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drawings/drawing29.xml" ContentType="application/vnd.openxmlformats-officedocument.drawing+xml"/>
  <Override PartName="/xl/comments29.xml" ContentType="application/vnd.openxmlformats-officedocument.spreadsheetml.comments+xml"/>
  <Override PartName="/xl/drawings/drawing30.xml" ContentType="application/vnd.openxmlformats-officedocument.drawing+xml"/>
  <Override PartName="/xl/comments30.xml" ContentType="application/vnd.openxmlformats-officedocument.spreadsheetml.comments+xml"/>
  <Override PartName="/xl/drawings/drawing31.xml" ContentType="application/vnd.openxmlformats-officedocument.drawing+xml"/>
  <Override PartName="/xl/comments31.xml" ContentType="application/vnd.openxmlformats-officedocument.spreadsheetml.comments+xml"/>
  <Override PartName="/xl/drawings/drawing32.xml" ContentType="application/vnd.openxmlformats-officedocument.drawing+xml"/>
  <Override PartName="/xl/comments32.xml" ContentType="application/vnd.openxmlformats-officedocument.spreadsheetml.comments+xml"/>
  <Override PartName="/xl/drawings/drawing33.xml" ContentType="application/vnd.openxmlformats-officedocument.drawing+xml"/>
  <Override PartName="/xl/comments33.xml" ContentType="application/vnd.openxmlformats-officedocument.spreadsheetml.comments+xml"/>
  <Override PartName="/xl/drawings/drawing34.xml" ContentType="application/vnd.openxmlformats-officedocument.drawing+xml"/>
  <Override PartName="/xl/comments34.xml" ContentType="application/vnd.openxmlformats-officedocument.spreadsheetml.comments+xml"/>
  <Override PartName="/xl/drawings/drawing35.xml" ContentType="application/vnd.openxmlformats-officedocument.drawing+xml"/>
  <Override PartName="/xl/comments35.xml" ContentType="application/vnd.openxmlformats-officedocument.spreadsheetml.comments+xml"/>
  <Override PartName="/xl/drawings/drawing36.xml" ContentType="application/vnd.openxmlformats-officedocument.drawing+xml"/>
  <Override PartName="/xl/comments36.xml" ContentType="application/vnd.openxmlformats-officedocument.spreadsheetml.comments+xml"/>
  <Override PartName="/xl/drawings/drawing37.xml" ContentType="application/vnd.openxmlformats-officedocument.drawing+xml"/>
  <Override PartName="/xl/comments37.xml" ContentType="application/vnd.openxmlformats-officedocument.spreadsheetml.comments+xml"/>
  <Override PartName="/xl/drawings/drawing38.xml" ContentType="application/vnd.openxmlformats-officedocument.drawing+xml"/>
  <Override PartName="/xl/comments38.xml" ContentType="application/vnd.openxmlformats-officedocument.spreadsheetml.comments+xml"/>
  <Override PartName="/xl/drawings/drawing39.xml" ContentType="application/vnd.openxmlformats-officedocument.drawing+xml"/>
  <Override PartName="/xl/comments39.xml" ContentType="application/vnd.openxmlformats-officedocument.spreadsheetml.comments+xml"/>
  <Override PartName="/xl/drawings/drawing40.xml" ContentType="application/vnd.openxmlformats-officedocument.drawing+xml"/>
  <Override PartName="/xl/comments40.xml" ContentType="application/vnd.openxmlformats-officedocument.spreadsheetml.comments+xml"/>
  <Override PartName="/xl/drawings/drawing41.xml" ContentType="application/vnd.openxmlformats-officedocument.drawing+xml"/>
  <Override PartName="/xl/comments41.xml" ContentType="application/vnd.openxmlformats-officedocument.spreadsheetml.comments+xml"/>
  <Override PartName="/xl/drawings/drawing42.xml" ContentType="application/vnd.openxmlformats-officedocument.drawing+xml"/>
  <Override PartName="/xl/comments42.xml" ContentType="application/vnd.openxmlformats-officedocument.spreadsheetml.comments+xml"/>
  <Override PartName="/xl/drawings/drawing43.xml" ContentType="application/vnd.openxmlformats-officedocument.drawing+xml"/>
  <Override PartName="/xl/comments43.xml" ContentType="application/vnd.openxmlformats-officedocument.spreadsheetml.comments+xml"/>
  <Override PartName="/xl/drawings/drawing44.xml" ContentType="application/vnd.openxmlformats-officedocument.drawing+xml"/>
  <Override PartName="/xl/comments44.xml" ContentType="application/vnd.openxmlformats-officedocument.spreadsheetml.comments+xml"/>
  <Override PartName="/xl/drawings/drawing45.xml" ContentType="application/vnd.openxmlformats-officedocument.drawing+xml"/>
  <Override PartName="/xl/comments45.xml" ContentType="application/vnd.openxmlformats-officedocument.spreadsheetml.comments+xml"/>
  <Override PartName="/xl/drawings/drawing46.xml" ContentType="application/vnd.openxmlformats-officedocument.drawing+xml"/>
  <Override PartName="/xl/comments46.xml" ContentType="application/vnd.openxmlformats-officedocument.spreadsheetml.comments+xml"/>
  <Override PartName="/xl/drawings/drawing47.xml" ContentType="application/vnd.openxmlformats-officedocument.drawing+xml"/>
  <Override PartName="/xl/comments47.xml" ContentType="application/vnd.openxmlformats-officedocument.spreadsheetml.comments+xml"/>
  <Override PartName="/xl/drawings/drawing48.xml" ContentType="application/vnd.openxmlformats-officedocument.drawing+xml"/>
  <Override PartName="/xl/comments48.xml" ContentType="application/vnd.openxmlformats-officedocument.spreadsheetml.comments+xml"/>
  <Override PartName="/xl/drawings/drawing49.xml" ContentType="application/vnd.openxmlformats-officedocument.drawing+xml"/>
  <Override PartName="/xl/comments49.xml" ContentType="application/vnd.openxmlformats-officedocument.spreadsheetml.comments+xml"/>
  <Override PartName="/xl/drawings/drawing50.xml" ContentType="application/vnd.openxmlformats-officedocument.drawing+xml"/>
  <Override PartName="/xl/comments50.xml" ContentType="application/vnd.openxmlformats-officedocument.spreadsheetml.comments+xml"/>
  <Override PartName="/xl/drawings/drawing51.xml" ContentType="application/vnd.openxmlformats-officedocument.drawing+xml"/>
  <Override PartName="/xl/comments51.xml" ContentType="application/vnd.openxmlformats-officedocument.spreadsheetml.comments+xml"/>
  <Override PartName="/xl/drawings/drawing52.xml" ContentType="application/vnd.openxmlformats-officedocument.drawing+xml"/>
  <Override PartName="/xl/comments52.xml" ContentType="application/vnd.openxmlformats-officedocument.spreadsheetml.comments+xml"/>
  <Override PartName="/xl/drawings/drawing53.xml" ContentType="application/vnd.openxmlformats-officedocument.drawing+xml"/>
  <Override PartName="/xl/comments53.xml" ContentType="application/vnd.openxmlformats-officedocument.spreadsheetml.comments+xml"/>
  <Override PartName="/xl/drawings/drawing54.xml" ContentType="application/vnd.openxmlformats-officedocument.drawing+xml"/>
  <Override PartName="/xl/comments54.xml" ContentType="application/vnd.openxmlformats-officedocument.spreadsheetml.comments+xml"/>
  <Override PartName="/xl/drawings/drawing55.xml" ContentType="application/vnd.openxmlformats-officedocument.drawing+xml"/>
  <Override PartName="/xl/comments55.xml" ContentType="application/vnd.openxmlformats-officedocument.spreadsheetml.comments+xml"/>
  <Override PartName="/xl/drawings/drawing56.xml" ContentType="application/vnd.openxmlformats-officedocument.drawing+xml"/>
  <Override PartName="/xl/comments56.xml" ContentType="application/vnd.openxmlformats-officedocument.spreadsheetml.comments+xml"/>
  <Override PartName="/xl/drawings/drawing57.xml" ContentType="application/vnd.openxmlformats-officedocument.drawing+xml"/>
  <Override PartName="/xl/comments57.xml" ContentType="application/vnd.openxmlformats-officedocument.spreadsheetml.comments+xml"/>
  <Override PartName="/xl/drawings/drawing58.xml" ContentType="application/vnd.openxmlformats-officedocument.drawing+xml"/>
  <Override PartName="/xl/comments58.xml" ContentType="application/vnd.openxmlformats-officedocument.spreadsheetml.comments+xml"/>
  <Override PartName="/xl/drawings/drawing59.xml" ContentType="application/vnd.openxmlformats-officedocument.drawing+xml"/>
  <Override PartName="/xl/comments59.xml" ContentType="application/vnd.openxmlformats-officedocument.spreadsheetml.comments+xml"/>
  <Override PartName="/xl/drawings/drawing60.xml" ContentType="application/vnd.openxmlformats-officedocument.drawing+xml"/>
  <Override PartName="/xl/comments60.xml" ContentType="application/vnd.openxmlformats-officedocument.spreadsheetml.comments+xml"/>
  <Override PartName="/xl/drawings/drawing61.xml" ContentType="application/vnd.openxmlformats-officedocument.drawing+xml"/>
  <Override PartName="/xl/comments61.xml" ContentType="application/vnd.openxmlformats-officedocument.spreadsheetml.comments+xml"/>
  <Override PartName="/xl/drawings/drawing62.xml" ContentType="application/vnd.openxmlformats-officedocument.drawing+xml"/>
  <Override PartName="/xl/comments62.xml" ContentType="application/vnd.openxmlformats-officedocument.spreadsheetml.comments+xml"/>
  <Override PartName="/xl/drawings/drawing63.xml" ContentType="application/vnd.openxmlformats-officedocument.drawing+xml"/>
  <Override PartName="/xl/comments63.xml" ContentType="application/vnd.openxmlformats-officedocument.spreadsheetml.comments+xml"/>
  <Override PartName="/xl/drawings/drawing64.xml" ContentType="application/vnd.openxmlformats-officedocument.drawing+xml"/>
  <Override PartName="/xl/comments64.xml" ContentType="application/vnd.openxmlformats-officedocument.spreadsheetml.comments+xml"/>
  <Override PartName="/xl/drawings/drawing65.xml" ContentType="application/vnd.openxmlformats-officedocument.drawing+xml"/>
  <Override PartName="/xl/comments65.xml" ContentType="application/vnd.openxmlformats-officedocument.spreadsheetml.comments+xml"/>
  <Override PartName="/xl/drawings/drawing66.xml" ContentType="application/vnd.openxmlformats-officedocument.drawing+xml"/>
  <Override PartName="/xl/comments66.xml" ContentType="application/vnd.openxmlformats-officedocument.spreadsheetml.comments+xml"/>
  <Override PartName="/xl/drawings/drawing67.xml" ContentType="application/vnd.openxmlformats-officedocument.drawing+xml"/>
  <Override PartName="/xl/comments67.xml" ContentType="application/vnd.openxmlformats-officedocument.spreadsheetml.comments+xml"/>
  <Override PartName="/xl/drawings/drawing68.xml" ContentType="application/vnd.openxmlformats-officedocument.drawing+xml"/>
  <Override PartName="/xl/comments68.xml" ContentType="application/vnd.openxmlformats-officedocument.spreadsheetml.comments+xml"/>
  <Override PartName="/xl/drawings/drawing69.xml" ContentType="application/vnd.openxmlformats-officedocument.drawing+xml"/>
  <Override PartName="/xl/comments69.xml" ContentType="application/vnd.openxmlformats-officedocument.spreadsheetml.comments+xml"/>
  <Override PartName="/xl/drawings/drawing70.xml" ContentType="application/vnd.openxmlformats-officedocument.drawing+xml"/>
  <Override PartName="/xl/comments70.xml" ContentType="application/vnd.openxmlformats-officedocument.spreadsheetml.comments+xml"/>
  <Override PartName="/xl/drawings/drawing71.xml" ContentType="application/vnd.openxmlformats-officedocument.drawing+xml"/>
  <Override PartName="/xl/comments71.xml" ContentType="application/vnd.openxmlformats-officedocument.spreadsheetml.comments+xml"/>
  <Override PartName="/xl/drawings/drawing72.xml" ContentType="application/vnd.openxmlformats-officedocument.drawing+xml"/>
  <Override PartName="/xl/comments72.xml" ContentType="application/vnd.openxmlformats-officedocument.spreadsheetml.comments+xml"/>
  <Override PartName="/xl/drawings/drawing73.xml" ContentType="application/vnd.openxmlformats-officedocument.drawing+xml"/>
  <Override PartName="/xl/comments73.xml" ContentType="application/vnd.openxmlformats-officedocument.spreadsheetml.comments+xml"/>
  <Override PartName="/xl/drawings/drawing74.xml" ContentType="application/vnd.openxmlformats-officedocument.drawing+xml"/>
  <Override PartName="/xl/comments74.xml" ContentType="application/vnd.openxmlformats-officedocument.spreadsheetml.comments+xml"/>
  <Override PartName="/xl/drawings/drawing75.xml" ContentType="application/vnd.openxmlformats-officedocument.drawing+xml"/>
  <Override PartName="/xl/comments75.xml" ContentType="application/vnd.openxmlformats-officedocument.spreadsheetml.comments+xml"/>
  <Override PartName="/xl/drawings/drawing76.xml" ContentType="application/vnd.openxmlformats-officedocument.drawing+xml"/>
  <Override PartName="/xl/comments76.xml" ContentType="application/vnd.openxmlformats-officedocument.spreadsheetml.comments+xml"/>
  <Override PartName="/xl/drawings/drawing77.xml" ContentType="application/vnd.openxmlformats-officedocument.drawing+xml"/>
  <Override PartName="/xl/comments77.xml" ContentType="application/vnd.openxmlformats-officedocument.spreadsheetml.comments+xml"/>
  <Override PartName="/xl/drawings/drawing78.xml" ContentType="application/vnd.openxmlformats-officedocument.drawing+xml"/>
  <Override PartName="/xl/comments78.xml" ContentType="application/vnd.openxmlformats-officedocument.spreadsheetml.comments+xml"/>
  <Override PartName="/xl/drawings/drawing79.xml" ContentType="application/vnd.openxmlformats-officedocument.drawing+xml"/>
  <Override PartName="/xl/comments79.xml" ContentType="application/vnd.openxmlformats-officedocument.spreadsheetml.comments+xml"/>
  <Override PartName="/xl/drawings/drawing80.xml" ContentType="application/vnd.openxmlformats-officedocument.drawing+xml"/>
  <Override PartName="/xl/comments80.xml" ContentType="application/vnd.openxmlformats-officedocument.spreadsheetml.comments+xml"/>
  <Override PartName="/xl/drawings/drawing81.xml" ContentType="application/vnd.openxmlformats-officedocument.drawing+xml"/>
  <Override PartName="/xl/comments81.xml" ContentType="application/vnd.openxmlformats-officedocument.spreadsheetml.comments+xml"/>
  <Override PartName="/xl/drawings/drawing82.xml" ContentType="application/vnd.openxmlformats-officedocument.drawing+xml"/>
  <Override PartName="/xl/comments82.xml" ContentType="application/vnd.openxmlformats-officedocument.spreadsheetml.comments+xml"/>
  <Override PartName="/xl/drawings/drawing83.xml" ContentType="application/vnd.openxmlformats-officedocument.drawing+xml"/>
  <Override PartName="/xl/comments83.xml" ContentType="application/vnd.openxmlformats-officedocument.spreadsheetml.comments+xml"/>
  <Override PartName="/xl/drawings/drawing84.xml" ContentType="application/vnd.openxmlformats-officedocument.drawing+xml"/>
  <Override PartName="/xl/comments84.xml" ContentType="application/vnd.openxmlformats-officedocument.spreadsheetml.comments+xml"/>
  <Override PartName="/xl/drawings/drawing85.xml" ContentType="application/vnd.openxmlformats-officedocument.drawing+xml"/>
  <Override PartName="/xl/comments85.xml" ContentType="application/vnd.openxmlformats-officedocument.spreadsheetml.comments+xml"/>
  <Override PartName="/xl/drawings/drawing86.xml" ContentType="application/vnd.openxmlformats-officedocument.drawing+xml"/>
  <Override PartName="/xl/comments86.xml" ContentType="application/vnd.openxmlformats-officedocument.spreadsheetml.comments+xml"/>
  <Override PartName="/xl/drawings/drawing87.xml" ContentType="application/vnd.openxmlformats-officedocument.drawing+xml"/>
  <Override PartName="/xl/comments87.xml" ContentType="application/vnd.openxmlformats-officedocument.spreadsheetml.comments+xml"/>
  <Override PartName="/xl/drawings/drawing88.xml" ContentType="application/vnd.openxmlformats-officedocument.drawing+xml"/>
  <Override PartName="/xl/comments88.xml" ContentType="application/vnd.openxmlformats-officedocument.spreadsheetml.comments+xml"/>
  <Override PartName="/xl/drawings/drawing89.xml" ContentType="application/vnd.openxmlformats-officedocument.drawing+xml"/>
  <Override PartName="/xl/comments89.xml" ContentType="application/vnd.openxmlformats-officedocument.spreadsheetml.comments+xml"/>
  <Override PartName="/xl/drawings/drawing90.xml" ContentType="application/vnd.openxmlformats-officedocument.drawing+xml"/>
  <Override PartName="/xl/comments90.xml" ContentType="application/vnd.openxmlformats-officedocument.spreadsheetml.comments+xml"/>
  <Override PartName="/xl/drawings/drawing91.xml" ContentType="application/vnd.openxmlformats-officedocument.drawing+xml"/>
  <Override PartName="/xl/comments91.xml" ContentType="application/vnd.openxmlformats-officedocument.spreadsheetml.comments+xml"/>
  <Override PartName="/xl/drawings/drawing92.xml" ContentType="application/vnd.openxmlformats-officedocument.drawing+xml"/>
  <Override PartName="/xl/comments92.xml" ContentType="application/vnd.openxmlformats-officedocument.spreadsheetml.comments+xml"/>
  <Override PartName="/xl/drawings/drawing93.xml" ContentType="application/vnd.openxmlformats-officedocument.drawing+xml"/>
  <Override PartName="/xl/comments93.xml" ContentType="application/vnd.openxmlformats-officedocument.spreadsheetml.comments+xml"/>
  <Override PartName="/xl/drawings/drawing94.xml" ContentType="application/vnd.openxmlformats-officedocument.drawing+xml"/>
  <Override PartName="/xl/comments94.xml" ContentType="application/vnd.openxmlformats-officedocument.spreadsheetml.comments+xml"/>
  <Override PartName="/xl/drawings/drawing95.xml" ContentType="application/vnd.openxmlformats-officedocument.drawing+xml"/>
  <Override PartName="/xl/comments95.xml" ContentType="application/vnd.openxmlformats-officedocument.spreadsheetml.comments+xml"/>
  <Override PartName="/xl/drawings/drawing96.xml" ContentType="application/vnd.openxmlformats-officedocument.drawing+xml"/>
  <Override PartName="/xl/comments96.xml" ContentType="application/vnd.openxmlformats-officedocument.spreadsheetml.comments+xml"/>
  <Override PartName="/xl/drawings/drawing97.xml" ContentType="application/vnd.openxmlformats-officedocument.drawing+xml"/>
  <Override PartName="/xl/comments97.xml" ContentType="application/vnd.openxmlformats-officedocument.spreadsheetml.comments+xml"/>
  <Override PartName="/xl/drawings/drawing98.xml" ContentType="application/vnd.openxmlformats-officedocument.drawing+xml"/>
  <Override PartName="/xl/comments98.xml" ContentType="application/vnd.openxmlformats-officedocument.spreadsheetml.comments+xml"/>
  <Override PartName="/xl/drawings/drawing99.xml" ContentType="application/vnd.openxmlformats-officedocument.drawing+xml"/>
  <Override PartName="/xl/comments99.xml" ContentType="application/vnd.openxmlformats-officedocument.spreadsheetml.comments+xml"/>
  <Override PartName="/xl/drawings/drawing100.xml" ContentType="application/vnd.openxmlformats-officedocument.drawing+xml"/>
  <Override PartName="/xl/comments100.xml" ContentType="application/vnd.openxmlformats-officedocument.spreadsheetml.comments+xml"/>
  <Override PartName="/xl/drawings/drawing101.xml" ContentType="application/vnd.openxmlformats-officedocument.drawing+xml"/>
  <Override PartName="/xl/comments101.xml" ContentType="application/vnd.openxmlformats-officedocument.spreadsheetml.comments+xml"/>
  <Override PartName="/xl/drawings/drawing102.xml" ContentType="application/vnd.openxmlformats-officedocument.drawing+xml"/>
  <Override PartName="/xl/comments102.xml" ContentType="application/vnd.openxmlformats-officedocument.spreadsheetml.comments+xml"/>
  <Override PartName="/xl/drawings/drawing103.xml" ContentType="application/vnd.openxmlformats-officedocument.drawing+xml"/>
  <Override PartName="/xl/comments103.xml" ContentType="application/vnd.openxmlformats-officedocument.spreadsheetml.comments+xml"/>
  <Override PartName="/xl/drawings/drawing104.xml" ContentType="application/vnd.openxmlformats-officedocument.drawing+xml"/>
  <Override PartName="/xl/comments104.xml" ContentType="application/vnd.openxmlformats-officedocument.spreadsheetml.comments+xml"/>
  <Override PartName="/xl/drawings/drawing105.xml" ContentType="application/vnd.openxmlformats-officedocument.drawing+xml"/>
  <Override PartName="/xl/comments105.xml" ContentType="application/vnd.openxmlformats-officedocument.spreadsheetml.comments+xml"/>
  <Override PartName="/xl/drawings/drawing106.xml" ContentType="application/vnd.openxmlformats-officedocument.drawing+xml"/>
  <Override PartName="/xl/comments106.xml" ContentType="application/vnd.openxmlformats-officedocument.spreadsheetml.comments+xml"/>
  <Override PartName="/xl/drawings/drawing107.xml" ContentType="application/vnd.openxmlformats-officedocument.drawing+xml"/>
  <Override PartName="/xl/comments10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1700" yWindow="-120" windowWidth="8550" windowHeight="7980" tabRatio="910" firstSheet="96" activeTab="105"/>
  </bookViews>
  <sheets>
    <sheet name="T 01" sheetId="1" r:id="rId1"/>
    <sheet name="T 02" sheetId="4" r:id="rId2"/>
    <sheet name="T 03" sheetId="14" r:id="rId3"/>
    <sheet name="T 04" sheetId="15" r:id="rId4"/>
    <sheet name="T 05" sheetId="13" r:id="rId5"/>
    <sheet name="T 06" sheetId="16" r:id="rId6"/>
    <sheet name="T 07" sheetId="19" r:id="rId7"/>
    <sheet name="T 08" sheetId="20" r:id="rId8"/>
    <sheet name="T 09" sheetId="18" r:id="rId9"/>
    <sheet name="T 10" sheetId="17" r:id="rId10"/>
    <sheet name="T 11" sheetId="22" r:id="rId11"/>
    <sheet name="T 12" sheetId="23" r:id="rId12"/>
    <sheet name="T 13" sheetId="21" r:id="rId13"/>
    <sheet name="T 14" sheetId="25" r:id="rId14"/>
    <sheet name="T 15" sheetId="26" r:id="rId15"/>
    <sheet name="T 16" sheetId="27" r:id="rId16"/>
    <sheet name="T 17" sheetId="28" r:id="rId17"/>
    <sheet name="T 18" sheetId="30" r:id="rId18"/>
    <sheet name="T 19" sheetId="33" r:id="rId19"/>
    <sheet name="T 20" sheetId="32" r:id="rId20"/>
    <sheet name="T 21" sheetId="36" r:id="rId21"/>
    <sheet name="T 22" sheetId="35" r:id="rId22"/>
    <sheet name="T 23" sheetId="34" r:id="rId23"/>
    <sheet name="T 24" sheetId="38" r:id="rId24"/>
    <sheet name="T 25" sheetId="37" r:id="rId25"/>
    <sheet name="T 26" sheetId="39" r:id="rId26"/>
    <sheet name="T 27" sheetId="42" r:id="rId27"/>
    <sheet name="T 28" sheetId="41" r:id="rId28"/>
    <sheet name="T 29" sheetId="40" r:id="rId29"/>
    <sheet name="T 30" sheetId="44" r:id="rId30"/>
    <sheet name="T 30 B" sheetId="45" r:id="rId31"/>
    <sheet name="T 31" sheetId="43" r:id="rId32"/>
    <sheet name="T 32" sheetId="47" r:id="rId33"/>
    <sheet name="T 33" sheetId="46" r:id="rId34"/>
    <sheet name="T 34" sheetId="50" r:id="rId35"/>
    <sheet name="T 35" sheetId="49" r:id="rId36"/>
    <sheet name="T 36" sheetId="48" r:id="rId37"/>
    <sheet name="T 37" sheetId="51" r:id="rId38"/>
    <sheet name="T 38" sheetId="52" r:id="rId39"/>
    <sheet name="T 39" sheetId="53" r:id="rId40"/>
    <sheet name="T 40" sheetId="54" r:id="rId41"/>
    <sheet name="T 41" sheetId="55" r:id="rId42"/>
    <sheet name="T 42" sheetId="58" r:id="rId43"/>
    <sheet name="T 43" sheetId="57" r:id="rId44"/>
    <sheet name="T 44" sheetId="56" r:id="rId45"/>
    <sheet name="T 45" sheetId="59" r:id="rId46"/>
    <sheet name="T 46" sheetId="64" r:id="rId47"/>
    <sheet name="T 47" sheetId="63" r:id="rId48"/>
    <sheet name="T 48" sheetId="62" r:id="rId49"/>
    <sheet name="T 49" sheetId="61" r:id="rId50"/>
    <sheet name="T 50" sheetId="60" r:id="rId51"/>
    <sheet name="T 51" sheetId="67" r:id="rId52"/>
    <sheet name="T 52" sheetId="66" r:id="rId53"/>
    <sheet name="T 53" sheetId="65" r:id="rId54"/>
    <sheet name="T 54" sheetId="68" r:id="rId55"/>
    <sheet name="T 55" sheetId="71" r:id="rId56"/>
    <sheet name="T 57" sheetId="70" r:id="rId57"/>
    <sheet name="T 56" sheetId="72" r:id="rId58"/>
    <sheet name="T 58" sheetId="69" r:id="rId59"/>
    <sheet name="T 59" sheetId="75" r:id="rId60"/>
    <sheet name="T 60" sheetId="74" r:id="rId61"/>
    <sheet name="T 61" sheetId="76" r:id="rId62"/>
    <sheet name="T 62" sheetId="73" r:id="rId63"/>
    <sheet name="T 63" sheetId="79" r:id="rId64"/>
    <sheet name="T 64" sheetId="80" r:id="rId65"/>
    <sheet name="T 65" sheetId="78" r:id="rId66"/>
    <sheet name="T 66" sheetId="81" r:id="rId67"/>
    <sheet name="T 67" sheetId="77" r:id="rId68"/>
    <sheet name="T 68" sheetId="83" r:id="rId69"/>
    <sheet name="T 69" sheetId="82" r:id="rId70"/>
    <sheet name="T 70" sheetId="84" r:id="rId71"/>
    <sheet name="T 71" sheetId="86" r:id="rId72"/>
    <sheet name="T 72" sheetId="85" r:id="rId73"/>
    <sheet name="T 73" sheetId="87" r:id="rId74"/>
    <sheet name="T 74" sheetId="90" r:id="rId75"/>
    <sheet name="T 75" sheetId="91" r:id="rId76"/>
    <sheet name="T 76" sheetId="89" r:id="rId77"/>
    <sheet name="T 77" sheetId="88" r:id="rId78"/>
    <sheet name="T 78" sheetId="93" r:id="rId79"/>
    <sheet name="T 79" sheetId="94" r:id="rId80"/>
    <sheet name="T 80" sheetId="95" r:id="rId81"/>
    <sheet name="T 81" sheetId="96" r:id="rId82"/>
    <sheet name="T 82" sheetId="97" r:id="rId83"/>
    <sheet name="T 83" sheetId="92" r:id="rId84"/>
    <sheet name="T 84" sheetId="99" r:id="rId85"/>
    <sheet name="T 85" sheetId="98" r:id="rId86"/>
    <sheet name="T 86" sheetId="101" r:id="rId87"/>
    <sheet name="T 87" sheetId="100" r:id="rId88"/>
    <sheet name="T 88" sheetId="104" r:id="rId89"/>
    <sheet name="T 89" sheetId="103" r:id="rId90"/>
    <sheet name="T 90" sheetId="102" r:id="rId91"/>
    <sheet name="T 91" sheetId="105" r:id="rId92"/>
    <sheet name="T 92" sheetId="107" r:id="rId93"/>
    <sheet name="T 93" sheetId="108" r:id="rId94"/>
    <sheet name="T 94" sheetId="110" r:id="rId95"/>
    <sheet name="T 95" sheetId="109" r:id="rId96"/>
    <sheet name="T 96" sheetId="106" r:id="rId97"/>
    <sheet name="T 97" sheetId="112" r:id="rId98"/>
    <sheet name="T 98" sheetId="113" r:id="rId99"/>
    <sheet name="T 99" sheetId="111" r:id="rId100"/>
    <sheet name="T 100" sheetId="114" r:id="rId101"/>
    <sheet name="T 101" sheetId="117" r:id="rId102"/>
    <sheet name="T 102" sheetId="116" r:id="rId103"/>
    <sheet name="T 103" sheetId="115" r:id="rId104"/>
    <sheet name="T 104" sheetId="118" r:id="rId105"/>
    <sheet name="T 105" sheetId="119" r:id="rId106"/>
    <sheet name="T" sheetId="12" r:id="rId107"/>
    <sheet name="Hoja3" sheetId="3" r:id="rId108"/>
  </sheets>
  <definedNames>
    <definedName name="_xlnm._FilterDatabase" localSheetId="106" hidden="1">T!$C$21:$L$66</definedName>
    <definedName name="_xlnm._FilterDatabase" localSheetId="2" hidden="1">'T 03'!$C$10:$K$56</definedName>
    <definedName name="_xlnm._FilterDatabase" localSheetId="3" hidden="1">'T 04'!$C$10:$K$56</definedName>
    <definedName name="_xlnm._FilterDatabase" localSheetId="4" hidden="1">'T 05'!$C$10:$K$56</definedName>
    <definedName name="_xlnm._FilterDatabase" localSheetId="5" hidden="1">'T 06'!$C$10:$K$56</definedName>
    <definedName name="_xlnm._FilterDatabase" localSheetId="6" hidden="1">'T 07'!$C$10:$K$56</definedName>
    <definedName name="_xlnm._FilterDatabase" localSheetId="7" hidden="1">'T 08'!$C$10:$K$56</definedName>
    <definedName name="_xlnm._FilterDatabase" localSheetId="8" hidden="1">'T 09'!$C$10:$K$56</definedName>
    <definedName name="_xlnm._FilterDatabase" localSheetId="9" hidden="1">'T 10'!$C$10:$K$56</definedName>
    <definedName name="_xlnm._FilterDatabase" localSheetId="100" hidden="1">'T 100'!$C$21:$L$66</definedName>
    <definedName name="_xlnm._FilterDatabase" localSheetId="101" hidden="1">'T 101'!$C$21:$L$66</definedName>
    <definedName name="_xlnm._FilterDatabase" localSheetId="102" hidden="1">'T 102'!$C$21:$L$66</definedName>
    <definedName name="_xlnm._FilterDatabase" localSheetId="103" hidden="1">'T 103'!$C$21:$L$66</definedName>
    <definedName name="_xlnm._FilterDatabase" localSheetId="104" hidden="1">'T 104'!$C$21:$L$66</definedName>
    <definedName name="_xlnm._FilterDatabase" localSheetId="105" hidden="1">'T 105'!$C$21:$L$66</definedName>
    <definedName name="_xlnm._FilterDatabase" localSheetId="10" hidden="1">'T 11'!$C$10:$K$56</definedName>
    <definedName name="_xlnm._FilterDatabase" localSheetId="11" hidden="1">'T 12'!$C$10:$K$56</definedName>
    <definedName name="_xlnm._FilterDatabase" localSheetId="12" hidden="1">'T 13'!$C$10:$K$56</definedName>
    <definedName name="_xlnm._FilterDatabase" localSheetId="13" hidden="1">'T 14'!$C$10:$K$56</definedName>
    <definedName name="_xlnm._FilterDatabase" localSheetId="14" hidden="1">'T 15'!$C$10:$K$57</definedName>
    <definedName name="_xlnm._FilterDatabase" localSheetId="15" hidden="1">'T 16'!$C$10:$K$56</definedName>
    <definedName name="_xlnm._FilterDatabase" localSheetId="16" hidden="1">'T 17'!$C$10:$K$56</definedName>
    <definedName name="_xlnm._FilterDatabase" localSheetId="17" hidden="1">'T 18'!$C$21:$L$66</definedName>
    <definedName name="_xlnm._FilterDatabase" localSheetId="18" hidden="1">'T 19'!$C$21:$L$66</definedName>
    <definedName name="_xlnm._FilterDatabase" localSheetId="19" hidden="1">'T 20'!$C$21:$L$66</definedName>
    <definedName name="_xlnm._FilterDatabase" localSheetId="20" hidden="1">'T 21'!$C$21:$L$66</definedName>
    <definedName name="_xlnm._FilterDatabase" localSheetId="21" hidden="1">'T 22'!$C$21:$L$66</definedName>
    <definedName name="_xlnm._FilterDatabase" localSheetId="22" hidden="1">'T 23'!$C$21:$L$66</definedName>
    <definedName name="_xlnm._FilterDatabase" localSheetId="23" hidden="1">'T 24'!$C$21:$L$66</definedName>
    <definedName name="_xlnm._FilterDatabase" localSheetId="24" hidden="1">'T 25'!$C$21:$L$66</definedName>
    <definedName name="_xlnm._FilterDatabase" localSheetId="25" hidden="1">'T 26'!$C$21:$L$73</definedName>
    <definedName name="_xlnm._FilterDatabase" localSheetId="26" hidden="1">'T 27'!$C$21:$L$66</definedName>
    <definedName name="_xlnm._FilterDatabase" localSheetId="27" hidden="1">'T 28'!$C$21:$L$66</definedName>
    <definedName name="_xlnm._FilterDatabase" localSheetId="28" hidden="1">'T 29'!$C$21:$L$66</definedName>
    <definedName name="_xlnm._FilterDatabase" localSheetId="29" hidden="1">'T 30'!$C$21:$L$66</definedName>
    <definedName name="_xlnm._FilterDatabase" localSheetId="30" hidden="1">'T 30 B'!$C$21:$L$66</definedName>
    <definedName name="_xlnm._FilterDatabase" localSheetId="31" hidden="1">'T 31'!$C$21:$L$73</definedName>
    <definedName name="_xlnm._FilterDatabase" localSheetId="32" hidden="1">'T 32'!$C$21:$L$66</definedName>
    <definedName name="_xlnm._FilterDatabase" localSheetId="33" hidden="1">'T 33'!$C$21:$L$66</definedName>
    <definedName name="_xlnm._FilterDatabase" localSheetId="34" hidden="1">'T 34'!$C$21:$L$66</definedName>
    <definedName name="_xlnm._FilterDatabase" localSheetId="35" hidden="1">'T 35'!$C$21:$L$66</definedName>
    <definedName name="_xlnm._FilterDatabase" localSheetId="36" hidden="1">'T 36'!$C$21:$L$66</definedName>
    <definedName name="_xlnm._FilterDatabase" localSheetId="37" hidden="1">'T 37'!$C$21:$L$66</definedName>
    <definedName name="_xlnm._FilterDatabase" localSheetId="38" hidden="1">'T 38'!$C$21:$L$66</definedName>
    <definedName name="_xlnm._FilterDatabase" localSheetId="39" hidden="1">'T 39'!$C$21:$L$66</definedName>
    <definedName name="_xlnm._FilterDatabase" localSheetId="40" hidden="1">'T 40'!$C$21:$L$66</definedName>
    <definedName name="_xlnm._FilterDatabase" localSheetId="41" hidden="1">'T 41'!$C$21:$L$66</definedName>
    <definedName name="_xlnm._FilterDatabase" localSheetId="42" hidden="1">'T 42'!$C$21:$L$66</definedName>
    <definedName name="_xlnm._FilterDatabase" localSheetId="43" hidden="1">'T 43'!$C$21:$L$66</definedName>
    <definedName name="_xlnm._FilterDatabase" localSheetId="44" hidden="1">'T 44'!$C$21:$L$66</definedName>
    <definedName name="_xlnm._FilterDatabase" localSheetId="45" hidden="1">'T 45'!$C$21:$L$66</definedName>
    <definedName name="_xlnm._FilterDatabase" localSheetId="46" hidden="1">'T 46'!$C$21:$L$66</definedName>
    <definedName name="_xlnm._FilterDatabase" localSheetId="47" hidden="1">'T 47'!$C$21:$L$66</definedName>
    <definedName name="_xlnm._FilterDatabase" localSheetId="48" hidden="1">'T 48'!$C$21:$L$66</definedName>
    <definedName name="_xlnm._FilterDatabase" localSheetId="49" hidden="1">'T 49'!$C$21:$L$66</definedName>
    <definedName name="_xlnm._FilterDatabase" localSheetId="50" hidden="1">'T 50'!$C$21:$L$66</definedName>
    <definedName name="_xlnm._FilterDatabase" localSheetId="51" hidden="1">'T 51'!$C$21:$L$66</definedName>
    <definedName name="_xlnm._FilterDatabase" localSheetId="52" hidden="1">'T 52'!$C$21:$L$66</definedName>
    <definedName name="_xlnm._FilterDatabase" localSheetId="53" hidden="1">'T 53'!$C$21:$L$66</definedName>
    <definedName name="_xlnm._FilterDatabase" localSheetId="54" hidden="1">'T 54'!$C$21:$L$73</definedName>
    <definedName name="_xlnm._FilterDatabase" localSheetId="55" hidden="1">'T 55'!$C$21:$L$66</definedName>
    <definedName name="_xlnm._FilterDatabase" localSheetId="57" hidden="1">'T 56'!$C$21:$L$66</definedName>
    <definedName name="_xlnm._FilterDatabase" localSheetId="56" hidden="1">'T 57'!$C$21:$L$66</definedName>
    <definedName name="_xlnm._FilterDatabase" localSheetId="58" hidden="1">'T 58'!$C$21:$L$66</definedName>
    <definedName name="_xlnm._FilterDatabase" localSheetId="59" hidden="1">'T 59'!$C$21:$L$66</definedName>
    <definedName name="_xlnm._FilterDatabase" localSheetId="60" hidden="1">'T 60'!$C$21:$L$66</definedName>
    <definedName name="_xlnm._FilterDatabase" localSheetId="61" hidden="1">'T 61'!$C$21:$L$66</definedName>
    <definedName name="_xlnm._FilterDatabase" localSheetId="62" hidden="1">'T 62'!$C$21:$L$66</definedName>
    <definedName name="_xlnm._FilterDatabase" localSheetId="63" hidden="1">'T 63'!$C$21:$L$66</definedName>
    <definedName name="_xlnm._FilterDatabase" localSheetId="64" hidden="1">'T 64'!$C$21:$L$66</definedName>
    <definedName name="_xlnm._FilterDatabase" localSheetId="65" hidden="1">'T 65'!$C$21:$L$66</definedName>
    <definedName name="_xlnm._FilterDatabase" localSheetId="66" hidden="1">'T 66'!$C$21:$L$66</definedName>
    <definedName name="_xlnm._FilterDatabase" localSheetId="67" hidden="1">'T 67'!$C$21:$L$68</definedName>
    <definedName name="_xlnm._FilterDatabase" localSheetId="68" hidden="1">'T 68'!$C$21:$L$66</definedName>
    <definedName name="_xlnm._FilterDatabase" localSheetId="69" hidden="1">'T 69'!$C$21:$L$73</definedName>
    <definedName name="_xlnm._FilterDatabase" localSheetId="70" hidden="1">'T 70'!$C$21:$L$66</definedName>
    <definedName name="_xlnm._FilterDatabase" localSheetId="71" hidden="1">'T 71'!$C$21:$L$66</definedName>
    <definedName name="_xlnm._FilterDatabase" localSheetId="72" hidden="1">'T 72'!$C$21:$L$66</definedName>
    <definedName name="_xlnm._FilterDatabase" localSheetId="73" hidden="1">'T 73'!$C$21:$L$66</definedName>
    <definedName name="_xlnm._FilterDatabase" localSheetId="74" hidden="1">'T 74'!$C$21:$L$66</definedName>
    <definedName name="_xlnm._FilterDatabase" localSheetId="75" hidden="1">'T 75'!$C$21:$L$66</definedName>
    <definedName name="_xlnm._FilterDatabase" localSheetId="76" hidden="1">'T 76'!$C$21:$L$66</definedName>
    <definedName name="_xlnm._FilterDatabase" localSheetId="77" hidden="1">'T 77'!$C$21:$L$66</definedName>
    <definedName name="_xlnm._FilterDatabase" localSheetId="78" hidden="1">'T 78'!$C$21:$L$66</definedName>
    <definedName name="_xlnm._FilterDatabase" localSheetId="79" hidden="1">'T 79'!$C$21:$L$66</definedName>
    <definedName name="_xlnm._FilterDatabase" localSheetId="80" hidden="1">'T 80'!$C$21:$L$66</definedName>
    <definedName name="_xlnm._FilterDatabase" localSheetId="81" hidden="1">'T 81'!$C$21:$L$66</definedName>
    <definedName name="_xlnm._FilterDatabase" localSheetId="82" hidden="1">'T 82'!$C$21:$L$66</definedName>
    <definedName name="_xlnm._FilterDatabase" localSheetId="83" hidden="1">'T 83'!$C$21:$L$66</definedName>
    <definedName name="_xlnm._FilterDatabase" localSheetId="84" hidden="1">'T 84'!$C$21:$L$66</definedName>
    <definedName name="_xlnm._FilterDatabase" localSheetId="85" hidden="1">'T 85'!$C$21:$L$66</definedName>
    <definedName name="_xlnm._FilterDatabase" localSheetId="86" hidden="1">'T 86'!$C$21:$L$73</definedName>
    <definedName name="_xlnm._FilterDatabase" localSheetId="87" hidden="1">'T 87'!$C$21:$L$66</definedName>
    <definedName name="_xlnm._FilterDatabase" localSheetId="88" hidden="1">'T 88'!$C$21:$L$66</definedName>
    <definedName name="_xlnm._FilterDatabase" localSheetId="89" hidden="1">'T 89'!$C$21:$L$66</definedName>
    <definedName name="_xlnm._FilterDatabase" localSheetId="90" hidden="1">'T 90'!$C$21:$L$66</definedName>
    <definedName name="_xlnm._FilterDatabase" localSheetId="91" hidden="1">'T 91'!$C$21:$L$66</definedName>
    <definedName name="_xlnm._FilterDatabase" localSheetId="92" hidden="1">'T 92'!$C$21:$L$66</definedName>
    <definedName name="_xlnm._FilterDatabase" localSheetId="93" hidden="1">'T 93'!$C$21:$L$66</definedName>
    <definedName name="_xlnm._FilterDatabase" localSheetId="94" hidden="1">'T 94'!$C$21:$L$66</definedName>
    <definedName name="_xlnm._FilterDatabase" localSheetId="95" hidden="1">'T 95'!$C$21:$L$66</definedName>
    <definedName name="_xlnm._FilterDatabase" localSheetId="96" hidden="1">'T 96'!$C$21:$L$66</definedName>
    <definedName name="_xlnm._FilterDatabase" localSheetId="97" hidden="1">'T 97'!$C$21:$L$66</definedName>
    <definedName name="_xlnm._FilterDatabase" localSheetId="98" hidden="1">'T 98'!$C$21:$L$67</definedName>
    <definedName name="_xlnm._FilterDatabase" localSheetId="99" hidden="1">'T 99'!$C$21:$L$66</definedName>
    <definedName name="_xlnm.Print_Area" localSheetId="106">T!$B$2:$N$85</definedName>
    <definedName name="_xlnm.Print_Area" localSheetId="0">'T 01'!$B$2:$M$75</definedName>
    <definedName name="_xlnm.Print_Area" localSheetId="1">'T 02'!$B$2:$M$75</definedName>
    <definedName name="_xlnm.Print_Area" localSheetId="2">'T 03'!$B$2:$M$75</definedName>
    <definedName name="_xlnm.Print_Area" localSheetId="3">'T 04'!$B$2:$M$75</definedName>
    <definedName name="_xlnm.Print_Area" localSheetId="4">'T 05'!$B$2:$M$75</definedName>
    <definedName name="_xlnm.Print_Area" localSheetId="5">'T 06'!$B$2:$M$75</definedName>
    <definedName name="_xlnm.Print_Area" localSheetId="6">'T 07'!$B$2:$M$75</definedName>
    <definedName name="_xlnm.Print_Area" localSheetId="7">'T 08'!$B$2:$M$75</definedName>
    <definedName name="_xlnm.Print_Area" localSheetId="8">'T 09'!$B$2:$M$75</definedName>
    <definedName name="_xlnm.Print_Area" localSheetId="9">'T 10'!$B$2:$M$75</definedName>
    <definedName name="_xlnm.Print_Area" localSheetId="100">'T 100'!$B$2:$N$85</definedName>
    <definedName name="_xlnm.Print_Area" localSheetId="101">'T 101'!$B$2:$N$85</definedName>
    <definedName name="_xlnm.Print_Area" localSheetId="102">'T 102'!$B$2:$N$85</definedName>
    <definedName name="_xlnm.Print_Area" localSheetId="103">'T 103'!$B$2:$N$85</definedName>
    <definedName name="_xlnm.Print_Area" localSheetId="104">'T 104'!$B$2:$N$85</definedName>
    <definedName name="_xlnm.Print_Area" localSheetId="105">'T 105'!$B$2:$N$85</definedName>
    <definedName name="_xlnm.Print_Area" localSheetId="10">'T 11'!$B$2:$M$75</definedName>
    <definedName name="_xlnm.Print_Area" localSheetId="11">'T 12'!$B$2:$M$75</definedName>
    <definedName name="_xlnm.Print_Area" localSheetId="12">'T 13'!$B$2:$M$75</definedName>
    <definedName name="_xlnm.Print_Area" localSheetId="13">'T 14'!$B$2:$M$75</definedName>
    <definedName name="_xlnm.Print_Area" localSheetId="14">'T 15'!$B$2:$M$76</definedName>
    <definedName name="_xlnm.Print_Area" localSheetId="15">'T 16'!$B$2:$M$75</definedName>
    <definedName name="_xlnm.Print_Area" localSheetId="16">'T 17'!$B$2:$M$75</definedName>
    <definedName name="_xlnm.Print_Area" localSheetId="17">'T 18'!$B$2:$N$85</definedName>
    <definedName name="_xlnm.Print_Area" localSheetId="18">'T 19'!$B$2:$N$85</definedName>
    <definedName name="_xlnm.Print_Area" localSheetId="19">'T 20'!$B$2:$N$85</definedName>
    <definedName name="_xlnm.Print_Area" localSheetId="20">'T 21'!$B$2:$N$85</definedName>
    <definedName name="_xlnm.Print_Area" localSheetId="21">'T 22'!$B$2:$N$85</definedName>
    <definedName name="_xlnm.Print_Area" localSheetId="22">'T 23'!$B$2:$N$85</definedName>
    <definedName name="_xlnm.Print_Area" localSheetId="23">'T 24'!$B$2:$N$85</definedName>
    <definedName name="_xlnm.Print_Area" localSheetId="24">'T 25'!$B$2:$N$85</definedName>
    <definedName name="_xlnm.Print_Area" localSheetId="25">'T 26'!$B$2:$N$92</definedName>
    <definedName name="_xlnm.Print_Area" localSheetId="26">'T 27'!$B$2:$N$85</definedName>
    <definedName name="_xlnm.Print_Area" localSheetId="27">'T 28'!$B$2:$N$85</definedName>
    <definedName name="_xlnm.Print_Area" localSheetId="28">'T 29'!$B$2:$N$85</definedName>
    <definedName name="_xlnm.Print_Area" localSheetId="29">'T 30'!$B$2:$N$85</definedName>
    <definedName name="_xlnm.Print_Area" localSheetId="30">'T 30 B'!$B$2:$N$85</definedName>
    <definedName name="_xlnm.Print_Area" localSheetId="31">'T 31'!$B$2:$N$92</definedName>
    <definedName name="_xlnm.Print_Area" localSheetId="32">'T 32'!$B$2:$N$85</definedName>
    <definedName name="_xlnm.Print_Area" localSheetId="33">'T 33'!$B$2:$N$85</definedName>
    <definedName name="_xlnm.Print_Area" localSheetId="34">'T 34'!$B$2:$N$85</definedName>
    <definedName name="_xlnm.Print_Area" localSheetId="35">'T 35'!$B$2:$N$85</definedName>
    <definedName name="_xlnm.Print_Area" localSheetId="36">'T 36'!$B$2:$N$85</definedName>
    <definedName name="_xlnm.Print_Area" localSheetId="37">'T 37'!$B$2:$N$85</definedName>
    <definedName name="_xlnm.Print_Area" localSheetId="38">'T 38'!$B$2:$N$85</definedName>
    <definedName name="_xlnm.Print_Area" localSheetId="39">'T 39'!$B$2:$N$85</definedName>
    <definedName name="_xlnm.Print_Area" localSheetId="40">'T 40'!$B$2:$N$85</definedName>
    <definedName name="_xlnm.Print_Area" localSheetId="41">'T 41'!$B$2:$N$85</definedName>
    <definedName name="_xlnm.Print_Area" localSheetId="42">'T 42'!$B$2:$N$85</definedName>
    <definedName name="_xlnm.Print_Area" localSheetId="43">'T 43'!$B$2:$N$85</definedName>
    <definedName name="_xlnm.Print_Area" localSheetId="44">'T 44'!$B$2:$N$85</definedName>
    <definedName name="_xlnm.Print_Area" localSheetId="45">'T 45'!$B$2:$N$85</definedName>
    <definedName name="_xlnm.Print_Area" localSheetId="46">'T 46'!$B$2:$N$85</definedName>
    <definedName name="_xlnm.Print_Area" localSheetId="47">'T 47'!$B$2:$N$85</definedName>
    <definedName name="_xlnm.Print_Area" localSheetId="48">'T 48'!$B$2:$N$85</definedName>
    <definedName name="_xlnm.Print_Area" localSheetId="49">'T 49'!$B$2:$N$85</definedName>
    <definedName name="_xlnm.Print_Area" localSheetId="50">'T 50'!$B$2:$N$85</definedName>
    <definedName name="_xlnm.Print_Area" localSheetId="51">'T 51'!$B$2:$N$85</definedName>
    <definedName name="_xlnm.Print_Area" localSheetId="52">'T 52'!$B$2:$N$85</definedName>
    <definedName name="_xlnm.Print_Area" localSheetId="53">'T 53'!$B$2:$N$85</definedName>
    <definedName name="_xlnm.Print_Area" localSheetId="54">'T 54'!$B$2:$N$92</definedName>
    <definedName name="_xlnm.Print_Area" localSheetId="55">'T 55'!$B$2:$N$85</definedName>
    <definedName name="_xlnm.Print_Area" localSheetId="57">'T 56'!$B$2:$N$85</definedName>
    <definedName name="_xlnm.Print_Area" localSheetId="56">'T 57'!$B$2:$N$85</definedName>
    <definedName name="_xlnm.Print_Area" localSheetId="58">'T 58'!$B$2:$N$85</definedName>
    <definedName name="_xlnm.Print_Area" localSheetId="59">'T 59'!$B$2:$N$85</definedName>
    <definedName name="_xlnm.Print_Area" localSheetId="60">'T 60'!$B$2:$N$85</definedName>
    <definedName name="_xlnm.Print_Area" localSheetId="61">'T 61'!$B$2:$N$85</definedName>
    <definedName name="_xlnm.Print_Area" localSheetId="62">'T 62'!$B$2:$N$85</definedName>
    <definedName name="_xlnm.Print_Area" localSheetId="63">'T 63'!$B$2:$N$85</definedName>
    <definedName name="_xlnm.Print_Area" localSheetId="64">'T 64'!$B$2:$N$85</definedName>
    <definedName name="_xlnm.Print_Area" localSheetId="65">'T 65'!$B$2:$N$85</definedName>
    <definedName name="_xlnm.Print_Area" localSheetId="66">'T 66'!$B$2:$N$85</definedName>
    <definedName name="_xlnm.Print_Area" localSheetId="67">'T 67'!$B$2:$N$87</definedName>
    <definedName name="_xlnm.Print_Area" localSheetId="68">'T 68'!$B$2:$N$85</definedName>
    <definedName name="_xlnm.Print_Area" localSheetId="69">'T 69'!$B$2:$N$92</definedName>
    <definedName name="_xlnm.Print_Area" localSheetId="70">'T 70'!$B$2:$N$85</definedName>
    <definedName name="_xlnm.Print_Area" localSheetId="71">'T 71'!$B$2:$N$85</definedName>
    <definedName name="_xlnm.Print_Area" localSheetId="72">'T 72'!$B$2:$N$85</definedName>
    <definedName name="_xlnm.Print_Area" localSheetId="73">'T 73'!$B$2:$N$85</definedName>
    <definedName name="_xlnm.Print_Area" localSheetId="74">'T 74'!$B$2:$N$85</definedName>
    <definedName name="_xlnm.Print_Area" localSheetId="75">'T 75'!$B$2:$N$85</definedName>
    <definedName name="_xlnm.Print_Area" localSheetId="76">'T 76'!$B$2:$N$85</definedName>
    <definedName name="_xlnm.Print_Area" localSheetId="77">'T 77'!$B$2:$N$85</definedName>
    <definedName name="_xlnm.Print_Area" localSheetId="78">'T 78'!$B$2:$N$85</definedName>
    <definedName name="_xlnm.Print_Area" localSheetId="79">'T 79'!$B$2:$N$85</definedName>
    <definedName name="_xlnm.Print_Area" localSheetId="80">'T 80'!$B$2:$N$85</definedName>
    <definedName name="_xlnm.Print_Area" localSheetId="81">'T 81'!$B$2:$N$85</definedName>
    <definedName name="_xlnm.Print_Area" localSheetId="82">'T 82'!$B$2:$N$85</definedName>
    <definedName name="_xlnm.Print_Area" localSheetId="83">'T 83'!$B$2:$N$85</definedName>
    <definedName name="_xlnm.Print_Area" localSheetId="84">'T 84'!$B$2:$N$85</definedName>
    <definedName name="_xlnm.Print_Area" localSheetId="85">'T 85'!$B$2:$N$85</definedName>
    <definedName name="_xlnm.Print_Area" localSheetId="86">'T 86'!$B$2:$N$92</definedName>
    <definedName name="_xlnm.Print_Area" localSheetId="87">'T 87'!$B$2:$N$85</definedName>
    <definedName name="_xlnm.Print_Area" localSheetId="88">'T 88'!$B$2:$N$85</definedName>
    <definedName name="_xlnm.Print_Area" localSheetId="89">'T 89'!$B$2:$N$85</definedName>
    <definedName name="_xlnm.Print_Area" localSheetId="90">'T 90'!$B$2:$N$85</definedName>
    <definedName name="_xlnm.Print_Area" localSheetId="91">'T 91'!$B$2:$N$85</definedName>
    <definedName name="_xlnm.Print_Area" localSheetId="92">'T 92'!$B$2:$N$85</definedName>
    <definedName name="_xlnm.Print_Area" localSheetId="93">'T 93'!$B$2:$N$85</definedName>
    <definedName name="_xlnm.Print_Area" localSheetId="94">'T 94'!$B$2:$N$85</definedName>
    <definedName name="_xlnm.Print_Area" localSheetId="95">'T 95'!$B$2:$N$85</definedName>
    <definedName name="_xlnm.Print_Area" localSheetId="96">'T 96'!$B$2:$N$85</definedName>
    <definedName name="_xlnm.Print_Area" localSheetId="97">'T 97'!$B$2:$N$85</definedName>
    <definedName name="_xlnm.Print_Area" localSheetId="98">'T 98'!$B$2:$N$86</definedName>
    <definedName name="_xlnm.Print_Area" localSheetId="99">'T 99'!$B$2:$N$85</definedName>
  </definedNames>
  <calcPr calcId="144525"/>
</workbook>
</file>

<file path=xl/calcChain.xml><?xml version="1.0" encoding="utf-8"?>
<calcChain xmlns="http://schemas.openxmlformats.org/spreadsheetml/2006/main">
  <c r="I93" i="119" l="1"/>
  <c r="K84" i="119"/>
  <c r="J84" i="119"/>
  <c r="I84" i="119"/>
  <c r="K66" i="119"/>
  <c r="J66" i="119"/>
  <c r="I66" i="119"/>
  <c r="D66" i="119"/>
  <c r="H89" i="119" s="1"/>
  <c r="L65" i="119"/>
  <c r="M65" i="119" s="1"/>
  <c r="L64" i="119"/>
  <c r="M64" i="119" s="1"/>
  <c r="M63" i="119"/>
  <c r="L63" i="119"/>
  <c r="L62" i="119"/>
  <c r="M62" i="119" s="1"/>
  <c r="L61" i="119"/>
  <c r="M61" i="119" s="1"/>
  <c r="L60" i="119"/>
  <c r="M60" i="119" s="1"/>
  <c r="L59" i="119"/>
  <c r="M59" i="119" s="1"/>
  <c r="L58" i="119"/>
  <c r="M58" i="119" s="1"/>
  <c r="M57" i="119"/>
  <c r="L57" i="119"/>
  <c r="L56" i="119"/>
  <c r="M56" i="119" s="1"/>
  <c r="L55" i="119"/>
  <c r="M55" i="119" s="1"/>
  <c r="L54" i="119"/>
  <c r="M54" i="119" s="1"/>
  <c r="L53" i="119"/>
  <c r="M53" i="119" s="1"/>
  <c r="L52" i="119"/>
  <c r="M52" i="119" s="1"/>
  <c r="L51" i="119"/>
  <c r="M51" i="119" s="1"/>
  <c r="L50" i="119"/>
  <c r="M50" i="119" s="1"/>
  <c r="M49" i="119"/>
  <c r="L49" i="119"/>
  <c r="L48" i="119"/>
  <c r="M48" i="119" s="1"/>
  <c r="L47" i="119"/>
  <c r="M47" i="119" s="1"/>
  <c r="L46" i="119"/>
  <c r="M46" i="119" s="1"/>
  <c r="L45" i="119"/>
  <c r="M45" i="119" s="1"/>
  <c r="L44" i="119"/>
  <c r="M44" i="119" s="1"/>
  <c r="L43" i="119"/>
  <c r="M43" i="119" s="1"/>
  <c r="L42" i="119"/>
  <c r="M42" i="119" s="1"/>
  <c r="M41" i="119"/>
  <c r="L41" i="119"/>
  <c r="L40" i="119"/>
  <c r="M40" i="119" s="1"/>
  <c r="L39" i="119"/>
  <c r="M39" i="119" s="1"/>
  <c r="L38" i="119"/>
  <c r="M38" i="119" s="1"/>
  <c r="M37" i="119"/>
  <c r="L37" i="119"/>
  <c r="L36" i="119"/>
  <c r="M36" i="119" s="1"/>
  <c r="L35" i="119"/>
  <c r="M35" i="119" s="1"/>
  <c r="L34" i="119"/>
  <c r="M34" i="119" s="1"/>
  <c r="M33" i="119"/>
  <c r="L33" i="119"/>
  <c r="L32" i="119"/>
  <c r="M32" i="119" s="1"/>
  <c r="L31" i="119"/>
  <c r="M31" i="119" s="1"/>
  <c r="L30" i="119"/>
  <c r="M30" i="119" s="1"/>
  <c r="L29" i="119"/>
  <c r="M29" i="119" s="1"/>
  <c r="L28" i="119"/>
  <c r="M28" i="119" s="1"/>
  <c r="L27" i="119"/>
  <c r="M27" i="119" s="1"/>
  <c r="L26" i="119"/>
  <c r="M26" i="119" s="1"/>
  <c r="M25" i="119"/>
  <c r="L25" i="119"/>
  <c r="L24" i="119"/>
  <c r="M24" i="119" s="1"/>
  <c r="L23" i="119"/>
  <c r="L66" i="119" s="1"/>
  <c r="L18" i="119"/>
  <c r="K18" i="119"/>
  <c r="L17" i="119"/>
  <c r="K17" i="119"/>
  <c r="L16" i="119"/>
  <c r="K16" i="119"/>
  <c r="L15" i="119"/>
  <c r="K15" i="119"/>
  <c r="E15" i="119"/>
  <c r="L14" i="119"/>
  <c r="K14" i="119"/>
  <c r="E14" i="119"/>
  <c r="L13" i="119"/>
  <c r="K13" i="119"/>
  <c r="M23" i="119" l="1"/>
  <c r="E16" i="119"/>
  <c r="E18" i="119"/>
  <c r="M66" i="119"/>
  <c r="L4" i="119"/>
  <c r="I93" i="118"/>
  <c r="K84" i="118"/>
  <c r="J84" i="118"/>
  <c r="I84" i="118"/>
  <c r="K66" i="118"/>
  <c r="J66" i="118"/>
  <c r="I66" i="118"/>
  <c r="D66" i="118"/>
  <c r="H89" i="118" s="1"/>
  <c r="L65" i="118"/>
  <c r="M65" i="118" s="1"/>
  <c r="L64" i="118"/>
  <c r="M64" i="118" s="1"/>
  <c r="M63" i="118"/>
  <c r="L63" i="118"/>
  <c r="L62" i="118"/>
  <c r="M62" i="118" s="1"/>
  <c r="L61" i="118"/>
  <c r="M61" i="118" s="1"/>
  <c r="L60" i="118"/>
  <c r="M60" i="118" s="1"/>
  <c r="M59" i="118"/>
  <c r="L59" i="118"/>
  <c r="L58" i="118"/>
  <c r="M58" i="118" s="1"/>
  <c r="L57" i="118"/>
  <c r="M57" i="118" s="1"/>
  <c r="L56" i="118"/>
  <c r="M56" i="118" s="1"/>
  <c r="M55" i="118"/>
  <c r="L55" i="118"/>
  <c r="L54" i="118"/>
  <c r="M54" i="118" s="1"/>
  <c r="L53" i="118"/>
  <c r="M53" i="118" s="1"/>
  <c r="L52" i="118"/>
  <c r="M52" i="118" s="1"/>
  <c r="M51" i="118"/>
  <c r="L51" i="118"/>
  <c r="L50" i="118"/>
  <c r="M50" i="118" s="1"/>
  <c r="L49" i="118"/>
  <c r="M49" i="118" s="1"/>
  <c r="L48" i="118"/>
  <c r="M48" i="118" s="1"/>
  <c r="M47" i="118"/>
  <c r="L47" i="118"/>
  <c r="L46" i="118"/>
  <c r="M46" i="118" s="1"/>
  <c r="L45" i="118"/>
  <c r="M45" i="118" s="1"/>
  <c r="L44" i="118"/>
  <c r="M44" i="118" s="1"/>
  <c r="M43" i="118"/>
  <c r="L43" i="118"/>
  <c r="L42" i="118"/>
  <c r="M42" i="118" s="1"/>
  <c r="L41" i="118"/>
  <c r="M41" i="118" s="1"/>
  <c r="L40" i="118"/>
  <c r="M40" i="118" s="1"/>
  <c r="L39" i="118"/>
  <c r="M39" i="118" s="1"/>
  <c r="L38" i="118"/>
  <c r="M38" i="118" s="1"/>
  <c r="L37" i="118"/>
  <c r="M37" i="118" s="1"/>
  <c r="L36" i="118"/>
  <c r="M36" i="118" s="1"/>
  <c r="L35" i="118"/>
  <c r="M35" i="118" s="1"/>
  <c r="L34" i="118"/>
  <c r="M34" i="118" s="1"/>
  <c r="L33" i="118"/>
  <c r="M33" i="118" s="1"/>
  <c r="L32" i="118"/>
  <c r="M32" i="118" s="1"/>
  <c r="L31" i="118"/>
  <c r="M31" i="118" s="1"/>
  <c r="L30" i="118"/>
  <c r="M30" i="118" s="1"/>
  <c r="L29" i="118"/>
  <c r="M29" i="118" s="1"/>
  <c r="L28" i="118"/>
  <c r="M28" i="118" s="1"/>
  <c r="M27" i="118"/>
  <c r="L27" i="118"/>
  <c r="L26" i="118"/>
  <c r="M26" i="118" s="1"/>
  <c r="L25" i="118"/>
  <c r="M25" i="118" s="1"/>
  <c r="L24" i="118"/>
  <c r="M24" i="118" s="1"/>
  <c r="L23" i="118"/>
  <c r="M23" i="118" s="1"/>
  <c r="L18" i="118"/>
  <c r="K18" i="118"/>
  <c r="L17" i="118"/>
  <c r="K17" i="118"/>
  <c r="L16" i="118"/>
  <c r="K16" i="118"/>
  <c r="L15" i="118"/>
  <c r="K15" i="118"/>
  <c r="E15" i="118"/>
  <c r="L14" i="118"/>
  <c r="K14" i="118"/>
  <c r="E14" i="118"/>
  <c r="L13" i="118"/>
  <c r="K13" i="118"/>
  <c r="I93" i="117"/>
  <c r="K84" i="117"/>
  <c r="J84" i="117"/>
  <c r="I84" i="117"/>
  <c r="K66" i="117"/>
  <c r="J66" i="117"/>
  <c r="I66" i="117"/>
  <c r="D66" i="117"/>
  <c r="H89" i="117" s="1"/>
  <c r="M65" i="117"/>
  <c r="L65" i="117"/>
  <c r="L64" i="117"/>
  <c r="M64" i="117" s="1"/>
  <c r="M63" i="117"/>
  <c r="L63" i="117"/>
  <c r="L62" i="117"/>
  <c r="M62" i="117" s="1"/>
  <c r="M61" i="117"/>
  <c r="L61" i="117"/>
  <c r="L60" i="117"/>
  <c r="M60" i="117" s="1"/>
  <c r="M59" i="117"/>
  <c r="L59" i="117"/>
  <c r="L58" i="117"/>
  <c r="M58" i="117" s="1"/>
  <c r="M57" i="117"/>
  <c r="L57" i="117"/>
  <c r="L56" i="117"/>
  <c r="M56" i="117" s="1"/>
  <c r="M55" i="117"/>
  <c r="L55" i="117"/>
  <c r="L54" i="117"/>
  <c r="M54" i="117" s="1"/>
  <c r="M53" i="117"/>
  <c r="L53" i="117"/>
  <c r="L52" i="117"/>
  <c r="M52" i="117" s="1"/>
  <c r="M51" i="117"/>
  <c r="L51" i="117"/>
  <c r="L50" i="117"/>
  <c r="M50" i="117" s="1"/>
  <c r="M49" i="117"/>
  <c r="L49" i="117"/>
  <c r="L48" i="117"/>
  <c r="M48" i="117" s="1"/>
  <c r="M47" i="117"/>
  <c r="L47" i="117"/>
  <c r="L46" i="117"/>
  <c r="M46" i="117" s="1"/>
  <c r="M45" i="117"/>
  <c r="L45" i="117"/>
  <c r="L44" i="117"/>
  <c r="M44" i="117" s="1"/>
  <c r="M43" i="117"/>
  <c r="L43" i="117"/>
  <c r="L42" i="117"/>
  <c r="M42" i="117" s="1"/>
  <c r="M41" i="117"/>
  <c r="L41" i="117"/>
  <c r="L40" i="117"/>
  <c r="M40" i="117" s="1"/>
  <c r="M39" i="117"/>
  <c r="L39" i="117"/>
  <c r="L38" i="117"/>
  <c r="M38" i="117" s="1"/>
  <c r="M37" i="117"/>
  <c r="L37" i="117"/>
  <c r="L36" i="117"/>
  <c r="M36" i="117" s="1"/>
  <c r="M35" i="117"/>
  <c r="L35" i="117"/>
  <c r="L34" i="117"/>
  <c r="M34" i="117" s="1"/>
  <c r="M33" i="117"/>
  <c r="L33" i="117"/>
  <c r="L32" i="117"/>
  <c r="M32" i="117" s="1"/>
  <c r="M31" i="117"/>
  <c r="L31" i="117"/>
  <c r="L30" i="117"/>
  <c r="M30" i="117" s="1"/>
  <c r="L29" i="117"/>
  <c r="M29" i="117" s="1"/>
  <c r="L28" i="117"/>
  <c r="M28" i="117" s="1"/>
  <c r="M27" i="117"/>
  <c r="L27" i="117"/>
  <c r="L26" i="117"/>
  <c r="M26" i="117" s="1"/>
  <c r="M25" i="117"/>
  <c r="L25" i="117"/>
  <c r="L24" i="117"/>
  <c r="M24" i="117" s="1"/>
  <c r="L23" i="117"/>
  <c r="L13" i="117" s="1"/>
  <c r="L18" i="117"/>
  <c r="K18" i="117"/>
  <c r="L17" i="117"/>
  <c r="K17" i="117"/>
  <c r="L16" i="117"/>
  <c r="K16" i="117"/>
  <c r="L15" i="117"/>
  <c r="K15" i="117"/>
  <c r="E15" i="117"/>
  <c r="L14" i="117"/>
  <c r="K14" i="117"/>
  <c r="K13" i="117"/>
  <c r="I93" i="116"/>
  <c r="K84" i="116"/>
  <c r="J84" i="116"/>
  <c r="I84" i="116"/>
  <c r="K66" i="116"/>
  <c r="J66" i="116"/>
  <c r="I66" i="116"/>
  <c r="D66" i="116"/>
  <c r="H89" i="116" s="1"/>
  <c r="L65" i="116"/>
  <c r="M65" i="116" s="1"/>
  <c r="L64" i="116"/>
  <c r="M64" i="116" s="1"/>
  <c r="M63" i="116"/>
  <c r="L63" i="116"/>
  <c r="L62" i="116"/>
  <c r="M62" i="116" s="1"/>
  <c r="L61" i="116"/>
  <c r="M61" i="116" s="1"/>
  <c r="L60" i="116"/>
  <c r="M60" i="116" s="1"/>
  <c r="M59" i="116"/>
  <c r="L59" i="116"/>
  <c r="L58" i="116"/>
  <c r="M58" i="116" s="1"/>
  <c r="L57" i="116"/>
  <c r="M57" i="116" s="1"/>
  <c r="L56" i="116"/>
  <c r="M56" i="116" s="1"/>
  <c r="M55" i="116"/>
  <c r="L55" i="116"/>
  <c r="L54" i="116"/>
  <c r="M54" i="116" s="1"/>
  <c r="L53" i="116"/>
  <c r="M53" i="116" s="1"/>
  <c r="L52" i="116"/>
  <c r="M52" i="116" s="1"/>
  <c r="M51" i="116"/>
  <c r="L51" i="116"/>
  <c r="L50" i="116"/>
  <c r="M50" i="116" s="1"/>
  <c r="L49" i="116"/>
  <c r="M49" i="116" s="1"/>
  <c r="L48" i="116"/>
  <c r="M48" i="116" s="1"/>
  <c r="M47" i="116"/>
  <c r="L47" i="116"/>
  <c r="L46" i="116"/>
  <c r="M46" i="116" s="1"/>
  <c r="L45" i="116"/>
  <c r="M45" i="116" s="1"/>
  <c r="L44" i="116"/>
  <c r="M44" i="116" s="1"/>
  <c r="M43" i="116"/>
  <c r="L43" i="116"/>
  <c r="L42" i="116"/>
  <c r="M42" i="116" s="1"/>
  <c r="L41" i="116"/>
  <c r="M41" i="116" s="1"/>
  <c r="L40" i="116"/>
  <c r="M40" i="116" s="1"/>
  <c r="M39" i="116"/>
  <c r="L39" i="116"/>
  <c r="L38" i="116"/>
  <c r="M38" i="116" s="1"/>
  <c r="L37" i="116"/>
  <c r="M37" i="116" s="1"/>
  <c r="L36" i="116"/>
  <c r="M36" i="116" s="1"/>
  <c r="M35" i="116"/>
  <c r="L35" i="116"/>
  <c r="L34" i="116"/>
  <c r="M34" i="116" s="1"/>
  <c r="L33" i="116"/>
  <c r="M33" i="116" s="1"/>
  <c r="L32" i="116"/>
  <c r="M32" i="116" s="1"/>
  <c r="L31" i="116"/>
  <c r="M31" i="116" s="1"/>
  <c r="L30" i="116"/>
  <c r="M30" i="116" s="1"/>
  <c r="L29" i="116"/>
  <c r="M29" i="116" s="1"/>
  <c r="L28" i="116"/>
  <c r="M28" i="116" s="1"/>
  <c r="M27" i="116"/>
  <c r="L27" i="116"/>
  <c r="L26" i="116"/>
  <c r="M26" i="116" s="1"/>
  <c r="L25" i="116"/>
  <c r="M25" i="116" s="1"/>
  <c r="L24" i="116"/>
  <c r="M24" i="116" s="1"/>
  <c r="M23" i="116"/>
  <c r="L23" i="116"/>
  <c r="L18" i="116"/>
  <c r="K18" i="116"/>
  <c r="L17" i="116"/>
  <c r="K17" i="116"/>
  <c r="L16" i="116"/>
  <c r="K16" i="116"/>
  <c r="L15" i="116"/>
  <c r="K15" i="116"/>
  <c r="E15" i="116"/>
  <c r="L14" i="116"/>
  <c r="K14" i="116"/>
  <c r="E14" i="116"/>
  <c r="L13" i="116"/>
  <c r="K13" i="116"/>
  <c r="I93" i="115"/>
  <c r="K84" i="115"/>
  <c r="J84" i="115"/>
  <c r="I84" i="115"/>
  <c r="K66" i="115"/>
  <c r="J66" i="115"/>
  <c r="I66" i="115"/>
  <c r="E15" i="115" s="1"/>
  <c r="D66" i="115"/>
  <c r="H89" i="115" s="1"/>
  <c r="M65" i="115"/>
  <c r="L65" i="115"/>
  <c r="L64" i="115"/>
  <c r="M64" i="115" s="1"/>
  <c r="L63" i="115"/>
  <c r="M63" i="115" s="1"/>
  <c r="M62" i="115"/>
  <c r="L62" i="115"/>
  <c r="M61" i="115"/>
  <c r="L61" i="115"/>
  <c r="L60" i="115"/>
  <c r="M60" i="115" s="1"/>
  <c r="L59" i="115"/>
  <c r="M59" i="115" s="1"/>
  <c r="M58" i="115"/>
  <c r="L58" i="115"/>
  <c r="M57" i="115"/>
  <c r="L57" i="115"/>
  <c r="L56" i="115"/>
  <c r="M56" i="115" s="1"/>
  <c r="L55" i="115"/>
  <c r="M55" i="115" s="1"/>
  <c r="M54" i="115"/>
  <c r="L54" i="115"/>
  <c r="M53" i="115"/>
  <c r="L53" i="115"/>
  <c r="L52" i="115"/>
  <c r="M52" i="115" s="1"/>
  <c r="L51" i="115"/>
  <c r="M51" i="115" s="1"/>
  <c r="M50" i="115"/>
  <c r="L50" i="115"/>
  <c r="M49" i="115"/>
  <c r="L49" i="115"/>
  <c r="L48" i="115"/>
  <c r="M48" i="115" s="1"/>
  <c r="L47" i="115"/>
  <c r="M47" i="115" s="1"/>
  <c r="M46" i="115"/>
  <c r="L46" i="115"/>
  <c r="M45" i="115"/>
  <c r="L45" i="115"/>
  <c r="L44" i="115"/>
  <c r="M44" i="115" s="1"/>
  <c r="L43" i="115"/>
  <c r="M43" i="115" s="1"/>
  <c r="M42" i="115"/>
  <c r="L42" i="115"/>
  <c r="M41" i="115"/>
  <c r="L41" i="115"/>
  <c r="L40" i="115"/>
  <c r="M40" i="115" s="1"/>
  <c r="L39" i="115"/>
  <c r="M39" i="115" s="1"/>
  <c r="M38" i="115"/>
  <c r="L38" i="115"/>
  <c r="M37" i="115"/>
  <c r="L37" i="115"/>
  <c r="L36" i="115"/>
  <c r="M36" i="115" s="1"/>
  <c r="L35" i="115"/>
  <c r="M35" i="115" s="1"/>
  <c r="M34" i="115"/>
  <c r="L34" i="115"/>
  <c r="M33" i="115"/>
  <c r="L33" i="115"/>
  <c r="L32" i="115"/>
  <c r="M32" i="115" s="1"/>
  <c r="L31" i="115"/>
  <c r="M31" i="115" s="1"/>
  <c r="M30" i="115"/>
  <c r="L30" i="115"/>
  <c r="L29" i="115"/>
  <c r="M29" i="115" s="1"/>
  <c r="L28" i="115"/>
  <c r="M28" i="115" s="1"/>
  <c r="L27" i="115"/>
  <c r="M27" i="115" s="1"/>
  <c r="L26" i="115"/>
  <c r="M26" i="115" s="1"/>
  <c r="M25" i="115"/>
  <c r="L25" i="115"/>
  <c r="L24" i="115"/>
  <c r="M24" i="115" s="1"/>
  <c r="L23" i="115"/>
  <c r="L18" i="115"/>
  <c r="K18" i="115"/>
  <c r="L17" i="115"/>
  <c r="K17" i="115"/>
  <c r="L16" i="115"/>
  <c r="K16" i="115"/>
  <c r="L15" i="115"/>
  <c r="K15" i="115"/>
  <c r="L14" i="115"/>
  <c r="K14" i="115"/>
  <c r="E14" i="115"/>
  <c r="L13" i="115"/>
  <c r="K13" i="115"/>
  <c r="L3" i="119" l="1"/>
  <c r="E17" i="119"/>
  <c r="L66" i="115"/>
  <c r="L66" i="118"/>
  <c r="L66" i="116"/>
  <c r="M23" i="117"/>
  <c r="E14" i="117"/>
  <c r="L66" i="117"/>
  <c r="E16" i="116"/>
  <c r="L4" i="116"/>
  <c r="E18" i="116"/>
  <c r="M66" i="116"/>
  <c r="L4" i="115"/>
  <c r="E18" i="115"/>
  <c r="M66" i="115"/>
  <c r="E16" i="115"/>
  <c r="M23" i="115"/>
  <c r="K82" i="114"/>
  <c r="K74" i="114"/>
  <c r="E16" i="118" l="1"/>
  <c r="L4" i="118"/>
  <c r="E18" i="118"/>
  <c r="M66" i="118"/>
  <c r="E16" i="117"/>
  <c r="L4" i="117"/>
  <c r="E18" i="117"/>
  <c r="M66" i="117"/>
  <c r="L3" i="116"/>
  <c r="E17" i="116"/>
  <c r="L3" i="115"/>
  <c r="E17" i="115"/>
  <c r="I93" i="114"/>
  <c r="K84" i="114"/>
  <c r="J84" i="114"/>
  <c r="I84" i="114"/>
  <c r="K66" i="114"/>
  <c r="J66" i="114"/>
  <c r="I66" i="114"/>
  <c r="D66" i="114"/>
  <c r="H89" i="114" s="1"/>
  <c r="M65" i="114"/>
  <c r="L65" i="114"/>
  <c r="L64" i="114"/>
  <c r="M64" i="114" s="1"/>
  <c r="M63" i="114"/>
  <c r="L63" i="114"/>
  <c r="M62" i="114"/>
  <c r="L62" i="114"/>
  <c r="M61" i="114"/>
  <c r="L61" i="114"/>
  <c r="L60" i="114"/>
  <c r="M60" i="114" s="1"/>
  <c r="M59" i="114"/>
  <c r="L59" i="114"/>
  <c r="M58" i="114"/>
  <c r="L58" i="114"/>
  <c r="M57" i="114"/>
  <c r="L57" i="114"/>
  <c r="L56" i="114"/>
  <c r="M56" i="114" s="1"/>
  <c r="M55" i="114"/>
  <c r="L55" i="114"/>
  <c r="M54" i="114"/>
  <c r="L54" i="114"/>
  <c r="M53" i="114"/>
  <c r="L53" i="114"/>
  <c r="L52" i="114"/>
  <c r="M52" i="114" s="1"/>
  <c r="M51" i="114"/>
  <c r="L51" i="114"/>
  <c r="M50" i="114"/>
  <c r="L50" i="114"/>
  <c r="M49" i="114"/>
  <c r="L49" i="114"/>
  <c r="L48" i="114"/>
  <c r="M48" i="114" s="1"/>
  <c r="M47" i="114"/>
  <c r="L47" i="114"/>
  <c r="M46" i="114"/>
  <c r="L46" i="114"/>
  <c r="M45" i="114"/>
  <c r="L45" i="114"/>
  <c r="L44" i="114"/>
  <c r="M44" i="114" s="1"/>
  <c r="M43" i="114"/>
  <c r="L43" i="114"/>
  <c r="M42" i="114"/>
  <c r="L42" i="114"/>
  <c r="M41" i="114"/>
  <c r="L41" i="114"/>
  <c r="L40" i="114"/>
  <c r="M40" i="114" s="1"/>
  <c r="L39" i="114"/>
  <c r="M39" i="114" s="1"/>
  <c r="M38" i="114"/>
  <c r="L38" i="114"/>
  <c r="L37" i="114"/>
  <c r="M37" i="114" s="1"/>
  <c r="L36" i="114"/>
  <c r="M36" i="114" s="1"/>
  <c r="L35" i="114"/>
  <c r="M35" i="114" s="1"/>
  <c r="M34" i="114"/>
  <c r="L34" i="114"/>
  <c r="M33" i="114"/>
  <c r="L33" i="114"/>
  <c r="L32" i="114"/>
  <c r="M32" i="114" s="1"/>
  <c r="L31" i="114"/>
  <c r="M31" i="114" s="1"/>
  <c r="L30" i="114"/>
  <c r="M30" i="114" s="1"/>
  <c r="M29" i="114"/>
  <c r="L29" i="114"/>
  <c r="L28" i="114"/>
  <c r="M28" i="114" s="1"/>
  <c r="L27" i="114"/>
  <c r="M27" i="114" s="1"/>
  <c r="L26" i="114"/>
  <c r="M26" i="114" s="1"/>
  <c r="M25" i="114"/>
  <c r="L25" i="114"/>
  <c r="L24" i="114"/>
  <c r="M24" i="114" s="1"/>
  <c r="L23" i="114"/>
  <c r="M23" i="114" s="1"/>
  <c r="L18" i="114"/>
  <c r="K18" i="114"/>
  <c r="L17" i="114"/>
  <c r="K17" i="114"/>
  <c r="L16" i="114"/>
  <c r="K16" i="114"/>
  <c r="L15" i="114"/>
  <c r="K15" i="114"/>
  <c r="E15" i="114"/>
  <c r="L14" i="114"/>
  <c r="K14" i="114"/>
  <c r="E14" i="114"/>
  <c r="L13" i="114"/>
  <c r="K13" i="114"/>
  <c r="L3" i="118" l="1"/>
  <c r="E17" i="118"/>
  <c r="L3" i="117"/>
  <c r="E17" i="117"/>
  <c r="L66" i="114"/>
  <c r="I80" i="112"/>
  <c r="I76" i="112"/>
  <c r="I73" i="112"/>
  <c r="I71" i="112"/>
  <c r="I73" i="113"/>
  <c r="I82" i="113"/>
  <c r="I81" i="113"/>
  <c r="I80" i="113"/>
  <c r="I79" i="113"/>
  <c r="I77" i="113"/>
  <c r="I76" i="113"/>
  <c r="I75" i="113"/>
  <c r="I74" i="113"/>
  <c r="I72" i="113"/>
  <c r="E16" i="114" l="1"/>
  <c r="E18" i="114"/>
  <c r="M66" i="114"/>
  <c r="L4" i="114"/>
  <c r="L26" i="113"/>
  <c r="M26" i="113" s="1"/>
  <c r="D67" i="113"/>
  <c r="I67" i="113"/>
  <c r="J67" i="113"/>
  <c r="K67" i="113"/>
  <c r="I94" i="113"/>
  <c r="K85" i="113"/>
  <c r="J85" i="113"/>
  <c r="I85" i="113"/>
  <c r="H90" i="113"/>
  <c r="L66" i="113"/>
  <c r="M66" i="113" s="1"/>
  <c r="L65" i="113"/>
  <c r="M65" i="113" s="1"/>
  <c r="L64" i="113"/>
  <c r="M64" i="113" s="1"/>
  <c r="L63" i="113"/>
  <c r="M63" i="113" s="1"/>
  <c r="L62" i="113"/>
  <c r="M62" i="113" s="1"/>
  <c r="L61" i="113"/>
  <c r="M61" i="113" s="1"/>
  <c r="L60" i="113"/>
  <c r="M60" i="113" s="1"/>
  <c r="L59" i="113"/>
  <c r="M59" i="113" s="1"/>
  <c r="L58" i="113"/>
  <c r="M58" i="113" s="1"/>
  <c r="L57" i="113"/>
  <c r="M57" i="113" s="1"/>
  <c r="L56" i="113"/>
  <c r="M56" i="113" s="1"/>
  <c r="L55" i="113"/>
  <c r="M55" i="113" s="1"/>
  <c r="L54" i="113"/>
  <c r="M54" i="113" s="1"/>
  <c r="L53" i="113"/>
  <c r="M53" i="113" s="1"/>
  <c r="L52" i="113"/>
  <c r="M52" i="113" s="1"/>
  <c r="L51" i="113"/>
  <c r="M51" i="113" s="1"/>
  <c r="L50" i="113"/>
  <c r="M50" i="113" s="1"/>
  <c r="L49" i="113"/>
  <c r="M49" i="113" s="1"/>
  <c r="L48" i="113"/>
  <c r="M48" i="113" s="1"/>
  <c r="L47" i="113"/>
  <c r="M47" i="113" s="1"/>
  <c r="L46" i="113"/>
  <c r="M46" i="113" s="1"/>
  <c r="L45" i="113"/>
  <c r="M45" i="113" s="1"/>
  <c r="L44" i="113"/>
  <c r="M44" i="113" s="1"/>
  <c r="L43" i="113"/>
  <c r="M43" i="113" s="1"/>
  <c r="L42" i="113"/>
  <c r="M42" i="113" s="1"/>
  <c r="L41" i="113"/>
  <c r="M41" i="113" s="1"/>
  <c r="L40" i="113"/>
  <c r="M40" i="113" s="1"/>
  <c r="L39" i="113"/>
  <c r="M39" i="113" s="1"/>
  <c r="L38" i="113"/>
  <c r="M38" i="113" s="1"/>
  <c r="L37" i="113"/>
  <c r="M37" i="113" s="1"/>
  <c r="L36" i="113"/>
  <c r="M36" i="113" s="1"/>
  <c r="L35" i="113"/>
  <c r="M35" i="113" s="1"/>
  <c r="L34" i="113"/>
  <c r="M34" i="113" s="1"/>
  <c r="L33" i="113"/>
  <c r="M33" i="113" s="1"/>
  <c r="L32" i="113"/>
  <c r="M32" i="113" s="1"/>
  <c r="L31" i="113"/>
  <c r="M31" i="113" s="1"/>
  <c r="L30" i="113"/>
  <c r="M30" i="113" s="1"/>
  <c r="L29" i="113"/>
  <c r="M29" i="113" s="1"/>
  <c r="L28" i="113"/>
  <c r="M28" i="113" s="1"/>
  <c r="L27" i="113"/>
  <c r="M27" i="113" s="1"/>
  <c r="L25" i="113"/>
  <c r="M25" i="113" s="1"/>
  <c r="L24" i="113"/>
  <c r="M24" i="113" s="1"/>
  <c r="L23" i="113"/>
  <c r="L18" i="113"/>
  <c r="K18" i="113"/>
  <c r="L17" i="113"/>
  <c r="K17" i="113"/>
  <c r="L16" i="113"/>
  <c r="K16" i="113"/>
  <c r="L15" i="113"/>
  <c r="K15" i="113"/>
  <c r="E15" i="113"/>
  <c r="L14" i="113"/>
  <c r="K14" i="113"/>
  <c r="E14" i="113"/>
  <c r="L13" i="113"/>
  <c r="K13" i="113"/>
  <c r="I93" i="112"/>
  <c r="K84" i="112"/>
  <c r="J84" i="112"/>
  <c r="I84" i="112"/>
  <c r="K66" i="112"/>
  <c r="J66" i="112"/>
  <c r="I66" i="112"/>
  <c r="D66" i="112"/>
  <c r="H89" i="112" s="1"/>
  <c r="L65" i="112"/>
  <c r="M65" i="112" s="1"/>
  <c r="L64" i="112"/>
  <c r="M64" i="112" s="1"/>
  <c r="L63" i="112"/>
  <c r="M63" i="112" s="1"/>
  <c r="M62" i="112"/>
  <c r="L62" i="112"/>
  <c r="L61" i="112"/>
  <c r="M61" i="112" s="1"/>
  <c r="L60" i="112"/>
  <c r="M60" i="112" s="1"/>
  <c r="L59" i="112"/>
  <c r="M59" i="112" s="1"/>
  <c r="M58" i="112"/>
  <c r="L58" i="112"/>
  <c r="L57" i="112"/>
  <c r="M57" i="112" s="1"/>
  <c r="L56" i="112"/>
  <c r="M56" i="112" s="1"/>
  <c r="L55" i="112"/>
  <c r="M55" i="112" s="1"/>
  <c r="M54" i="112"/>
  <c r="L54" i="112"/>
  <c r="L53" i="112"/>
  <c r="M53" i="112" s="1"/>
  <c r="L52" i="112"/>
  <c r="M52" i="112" s="1"/>
  <c r="L51" i="112"/>
  <c r="M51" i="112" s="1"/>
  <c r="M50" i="112"/>
  <c r="L50" i="112"/>
  <c r="L49" i="112"/>
  <c r="M49" i="112" s="1"/>
  <c r="L48" i="112"/>
  <c r="M48" i="112" s="1"/>
  <c r="L47" i="112"/>
  <c r="M47" i="112" s="1"/>
  <c r="M46" i="112"/>
  <c r="L46" i="112"/>
  <c r="L45" i="112"/>
  <c r="M45" i="112" s="1"/>
  <c r="L44" i="112"/>
  <c r="M44" i="112" s="1"/>
  <c r="L43" i="112"/>
  <c r="M43" i="112" s="1"/>
  <c r="M42" i="112"/>
  <c r="L42" i="112"/>
  <c r="L41" i="112"/>
  <c r="M41" i="112" s="1"/>
  <c r="L40" i="112"/>
  <c r="M40" i="112" s="1"/>
  <c r="L39" i="112"/>
  <c r="M39" i="112" s="1"/>
  <c r="L38" i="112"/>
  <c r="M38" i="112" s="1"/>
  <c r="L37" i="112"/>
  <c r="M37" i="112" s="1"/>
  <c r="L36" i="112"/>
  <c r="M36" i="112" s="1"/>
  <c r="L35" i="112"/>
  <c r="M35" i="112" s="1"/>
  <c r="L34" i="112"/>
  <c r="M34" i="112" s="1"/>
  <c r="L33" i="112"/>
  <c r="M33" i="112" s="1"/>
  <c r="L32" i="112"/>
  <c r="M32" i="112" s="1"/>
  <c r="L31" i="112"/>
  <c r="M31" i="112" s="1"/>
  <c r="L30" i="112"/>
  <c r="M30" i="112" s="1"/>
  <c r="L29" i="112"/>
  <c r="M29" i="112" s="1"/>
  <c r="L28" i="112"/>
  <c r="M28" i="112" s="1"/>
  <c r="L27" i="112"/>
  <c r="M27" i="112" s="1"/>
  <c r="M26" i="112"/>
  <c r="L26" i="112"/>
  <c r="L25" i="112"/>
  <c r="M25" i="112" s="1"/>
  <c r="L24" i="112"/>
  <c r="M24" i="112" s="1"/>
  <c r="L23" i="112"/>
  <c r="L18" i="112"/>
  <c r="K18" i="112"/>
  <c r="L17" i="112"/>
  <c r="K17" i="112"/>
  <c r="L16" i="112"/>
  <c r="K16" i="112"/>
  <c r="L15" i="112"/>
  <c r="K15" i="112"/>
  <c r="E15" i="112"/>
  <c r="L14" i="112"/>
  <c r="K14" i="112"/>
  <c r="E14" i="112"/>
  <c r="L13" i="112"/>
  <c r="K13" i="112"/>
  <c r="I93" i="111"/>
  <c r="K84" i="111"/>
  <c r="J84" i="111"/>
  <c r="I84" i="111"/>
  <c r="K66" i="111"/>
  <c r="J66" i="111"/>
  <c r="I66" i="111"/>
  <c r="D66" i="111"/>
  <c r="H89" i="111" s="1"/>
  <c r="L65" i="111"/>
  <c r="M65" i="111" s="1"/>
  <c r="L64" i="111"/>
  <c r="M64" i="111" s="1"/>
  <c r="M63" i="111"/>
  <c r="L63" i="111"/>
  <c r="L62" i="111"/>
  <c r="M62" i="111" s="1"/>
  <c r="L61" i="111"/>
  <c r="M61" i="111" s="1"/>
  <c r="L60" i="111"/>
  <c r="M60" i="111" s="1"/>
  <c r="M59" i="111"/>
  <c r="L59" i="111"/>
  <c r="L58" i="111"/>
  <c r="M58" i="111" s="1"/>
  <c r="L57" i="111"/>
  <c r="M57" i="111" s="1"/>
  <c r="L56" i="111"/>
  <c r="M56" i="111" s="1"/>
  <c r="M55" i="111"/>
  <c r="L55" i="111"/>
  <c r="L54" i="111"/>
  <c r="M54" i="111" s="1"/>
  <c r="L53" i="111"/>
  <c r="M53" i="111" s="1"/>
  <c r="L52" i="111"/>
  <c r="M52" i="111" s="1"/>
  <c r="M51" i="111"/>
  <c r="L51" i="111"/>
  <c r="L50" i="111"/>
  <c r="M50" i="111" s="1"/>
  <c r="L49" i="111"/>
  <c r="M49" i="111" s="1"/>
  <c r="L48" i="111"/>
  <c r="M48" i="111" s="1"/>
  <c r="M47" i="111"/>
  <c r="L47" i="111"/>
  <c r="L46" i="111"/>
  <c r="M46" i="111" s="1"/>
  <c r="L45" i="111"/>
  <c r="M45" i="111" s="1"/>
  <c r="L44" i="111"/>
  <c r="M44" i="111" s="1"/>
  <c r="L43" i="111"/>
  <c r="M43" i="111" s="1"/>
  <c r="L42" i="111"/>
  <c r="M42" i="111" s="1"/>
  <c r="L41" i="111"/>
  <c r="M41" i="111" s="1"/>
  <c r="L40" i="111"/>
  <c r="M40" i="111" s="1"/>
  <c r="M39" i="111"/>
  <c r="L39" i="111"/>
  <c r="L38" i="111"/>
  <c r="M38" i="111" s="1"/>
  <c r="L37" i="111"/>
  <c r="M37" i="111" s="1"/>
  <c r="L36" i="111"/>
  <c r="M36" i="111" s="1"/>
  <c r="L35" i="111"/>
  <c r="M35" i="111" s="1"/>
  <c r="L34" i="111"/>
  <c r="M34" i="111" s="1"/>
  <c r="L33" i="111"/>
  <c r="M33" i="111" s="1"/>
  <c r="L32" i="111"/>
  <c r="M32" i="111" s="1"/>
  <c r="L31" i="111"/>
  <c r="M31" i="111" s="1"/>
  <c r="L30" i="111"/>
  <c r="M30" i="111" s="1"/>
  <c r="L29" i="111"/>
  <c r="M29" i="111" s="1"/>
  <c r="L28" i="111"/>
  <c r="M28" i="111" s="1"/>
  <c r="M27" i="111"/>
  <c r="L27" i="111"/>
  <c r="L26" i="111"/>
  <c r="M26" i="111" s="1"/>
  <c r="L25" i="111"/>
  <c r="M25" i="111" s="1"/>
  <c r="L24" i="111"/>
  <c r="M24" i="111" s="1"/>
  <c r="M23" i="111"/>
  <c r="L23" i="111"/>
  <c r="L18" i="111"/>
  <c r="K18" i="111"/>
  <c r="L17" i="111"/>
  <c r="K17" i="111"/>
  <c r="L16" i="111"/>
  <c r="K16" i="111"/>
  <c r="L15" i="111"/>
  <c r="K15" i="111"/>
  <c r="E15" i="111"/>
  <c r="L14" i="111"/>
  <c r="K14" i="111"/>
  <c r="E14" i="111"/>
  <c r="L13" i="111"/>
  <c r="K13" i="111"/>
  <c r="L3" i="114" l="1"/>
  <c r="E17" i="114"/>
  <c r="L67" i="113"/>
  <c r="E16" i="113" s="1"/>
  <c r="M23" i="113"/>
  <c r="L66" i="112"/>
  <c r="E18" i="113"/>
  <c r="M67" i="113"/>
  <c r="M66" i="112"/>
  <c r="L4" i="112"/>
  <c r="E16" i="112"/>
  <c r="E18" i="112"/>
  <c r="M23" i="112"/>
  <c r="L66" i="111"/>
  <c r="I93" i="110"/>
  <c r="K84" i="110"/>
  <c r="J84" i="110"/>
  <c r="I84" i="110"/>
  <c r="K66" i="110"/>
  <c r="J66" i="110"/>
  <c r="I66" i="110"/>
  <c r="D66" i="110"/>
  <c r="H89" i="110" s="1"/>
  <c r="L65" i="110"/>
  <c r="M65" i="110" s="1"/>
  <c r="M64" i="110"/>
  <c r="L64" i="110"/>
  <c r="M63" i="110"/>
  <c r="L63" i="110"/>
  <c r="L62" i="110"/>
  <c r="M62" i="110" s="1"/>
  <c r="L61" i="110"/>
  <c r="M61" i="110" s="1"/>
  <c r="M60" i="110"/>
  <c r="L60" i="110"/>
  <c r="M59" i="110"/>
  <c r="L59" i="110"/>
  <c r="L58" i="110"/>
  <c r="M58" i="110" s="1"/>
  <c r="L57" i="110"/>
  <c r="M57" i="110" s="1"/>
  <c r="M56" i="110"/>
  <c r="L56" i="110"/>
  <c r="M55" i="110"/>
  <c r="L55" i="110"/>
  <c r="L54" i="110"/>
  <c r="M54" i="110" s="1"/>
  <c r="L53" i="110"/>
  <c r="M53" i="110" s="1"/>
  <c r="M52" i="110"/>
  <c r="L52" i="110"/>
  <c r="M51" i="110"/>
  <c r="L51" i="110"/>
  <c r="L50" i="110"/>
  <c r="M50" i="110" s="1"/>
  <c r="L49" i="110"/>
  <c r="M49" i="110" s="1"/>
  <c r="M48" i="110"/>
  <c r="L48" i="110"/>
  <c r="M47" i="110"/>
  <c r="L47" i="110"/>
  <c r="L46" i="110"/>
  <c r="M46" i="110" s="1"/>
  <c r="L45" i="110"/>
  <c r="M45" i="110" s="1"/>
  <c r="M44" i="110"/>
  <c r="L44" i="110"/>
  <c r="M43" i="110"/>
  <c r="L43" i="110"/>
  <c r="L42" i="110"/>
  <c r="M42" i="110" s="1"/>
  <c r="L41" i="110"/>
  <c r="M41" i="110" s="1"/>
  <c r="M40" i="110"/>
  <c r="L40" i="110"/>
  <c r="M39" i="110"/>
  <c r="L39" i="110"/>
  <c r="L38" i="110"/>
  <c r="M38" i="110" s="1"/>
  <c r="L37" i="110"/>
  <c r="M37" i="110" s="1"/>
  <c r="M36" i="110"/>
  <c r="L36" i="110"/>
  <c r="M35" i="110"/>
  <c r="L35" i="110"/>
  <c r="L34" i="110"/>
  <c r="M34" i="110" s="1"/>
  <c r="L33" i="110"/>
  <c r="M33" i="110" s="1"/>
  <c r="M32" i="110"/>
  <c r="L32" i="110"/>
  <c r="M31" i="110"/>
  <c r="L31" i="110"/>
  <c r="L30" i="110"/>
  <c r="M30" i="110" s="1"/>
  <c r="L29" i="110"/>
  <c r="M29" i="110" s="1"/>
  <c r="M28" i="110"/>
  <c r="L28" i="110"/>
  <c r="M27" i="110"/>
  <c r="L27" i="110"/>
  <c r="L26" i="110"/>
  <c r="M26" i="110" s="1"/>
  <c r="L25" i="110"/>
  <c r="M25" i="110" s="1"/>
  <c r="L24" i="110"/>
  <c r="L66" i="110" s="1"/>
  <c r="M23" i="110"/>
  <c r="L23" i="110"/>
  <c r="L18" i="110"/>
  <c r="K18" i="110"/>
  <c r="L17" i="110"/>
  <c r="K17" i="110"/>
  <c r="L16" i="110"/>
  <c r="K16" i="110"/>
  <c r="L15" i="110"/>
  <c r="K15" i="110"/>
  <c r="E15" i="110"/>
  <c r="L14" i="110"/>
  <c r="K14" i="110"/>
  <c r="E14" i="110"/>
  <c r="L13" i="110"/>
  <c r="K13" i="110"/>
  <c r="I93" i="109"/>
  <c r="H89" i="109"/>
  <c r="K84" i="109"/>
  <c r="J84" i="109"/>
  <c r="I84" i="109"/>
  <c r="K66" i="109"/>
  <c r="J66" i="109"/>
  <c r="I66" i="109"/>
  <c r="D66" i="109"/>
  <c r="L65" i="109"/>
  <c r="M65" i="109" s="1"/>
  <c r="L64" i="109"/>
  <c r="M64" i="109" s="1"/>
  <c r="M63" i="109"/>
  <c r="L63" i="109"/>
  <c r="M62" i="109"/>
  <c r="L62" i="109"/>
  <c r="M61" i="109"/>
  <c r="L61" i="109"/>
  <c r="L60" i="109"/>
  <c r="M60" i="109" s="1"/>
  <c r="M59" i="109"/>
  <c r="L59" i="109"/>
  <c r="M58" i="109"/>
  <c r="L58" i="109"/>
  <c r="M57" i="109"/>
  <c r="L57" i="109"/>
  <c r="L56" i="109"/>
  <c r="M56" i="109" s="1"/>
  <c r="M55" i="109"/>
  <c r="L55" i="109"/>
  <c r="M54" i="109"/>
  <c r="L54" i="109"/>
  <c r="M53" i="109"/>
  <c r="L53" i="109"/>
  <c r="L52" i="109"/>
  <c r="M52" i="109" s="1"/>
  <c r="M51" i="109"/>
  <c r="L51" i="109"/>
  <c r="M50" i="109"/>
  <c r="L50" i="109"/>
  <c r="M49" i="109"/>
  <c r="L49" i="109"/>
  <c r="L48" i="109"/>
  <c r="M48" i="109" s="1"/>
  <c r="M47" i="109"/>
  <c r="L47" i="109"/>
  <c r="M46" i="109"/>
  <c r="L46" i="109"/>
  <c r="M45" i="109"/>
  <c r="L45" i="109"/>
  <c r="L44" i="109"/>
  <c r="M44" i="109" s="1"/>
  <c r="M43" i="109"/>
  <c r="L43" i="109"/>
  <c r="M42" i="109"/>
  <c r="L42" i="109"/>
  <c r="M41" i="109"/>
  <c r="L41" i="109"/>
  <c r="L40" i="109"/>
  <c r="M40" i="109" s="1"/>
  <c r="M39" i="109"/>
  <c r="L39" i="109"/>
  <c r="M38" i="109"/>
  <c r="L38" i="109"/>
  <c r="M37" i="109"/>
  <c r="L37" i="109"/>
  <c r="L36" i="109"/>
  <c r="M36" i="109" s="1"/>
  <c r="L35" i="109"/>
  <c r="M35" i="109" s="1"/>
  <c r="L34" i="109"/>
  <c r="M34" i="109" s="1"/>
  <c r="L33" i="109"/>
  <c r="M33" i="109" s="1"/>
  <c r="L32" i="109"/>
  <c r="M32" i="109" s="1"/>
  <c r="M31" i="109"/>
  <c r="L31" i="109"/>
  <c r="L30" i="109"/>
  <c r="M30" i="109" s="1"/>
  <c r="L29" i="109"/>
  <c r="M29" i="109" s="1"/>
  <c r="L28" i="109"/>
  <c r="M28" i="109" s="1"/>
  <c r="L27" i="109"/>
  <c r="M27" i="109" s="1"/>
  <c r="L26" i="109"/>
  <c r="M26" i="109" s="1"/>
  <c r="L25" i="109"/>
  <c r="M25" i="109" s="1"/>
  <c r="L24" i="109"/>
  <c r="M24" i="109" s="1"/>
  <c r="M23" i="109"/>
  <c r="L23" i="109"/>
  <c r="L18" i="109"/>
  <c r="K18" i="109"/>
  <c r="L17" i="109"/>
  <c r="K17" i="109"/>
  <c r="L16" i="109"/>
  <c r="K16" i="109"/>
  <c r="L15" i="109"/>
  <c r="K15" i="109"/>
  <c r="E15" i="109"/>
  <c r="L14" i="109"/>
  <c r="K14" i="109"/>
  <c r="E14" i="109"/>
  <c r="L13" i="109"/>
  <c r="K13" i="109"/>
  <c r="I93" i="108"/>
  <c r="K84" i="108"/>
  <c r="J84" i="108"/>
  <c r="I84" i="108"/>
  <c r="K66" i="108"/>
  <c r="J66" i="108"/>
  <c r="I66" i="108"/>
  <c r="D66" i="108"/>
  <c r="H89" i="108" s="1"/>
  <c r="L65" i="108"/>
  <c r="M65" i="108" s="1"/>
  <c r="L64" i="108"/>
  <c r="M64" i="108" s="1"/>
  <c r="L63" i="108"/>
  <c r="M63" i="108" s="1"/>
  <c r="M62" i="108"/>
  <c r="L62" i="108"/>
  <c r="L61" i="108"/>
  <c r="M61" i="108" s="1"/>
  <c r="L60" i="108"/>
  <c r="M60" i="108" s="1"/>
  <c r="L59" i="108"/>
  <c r="M59" i="108" s="1"/>
  <c r="M58" i="108"/>
  <c r="L58" i="108"/>
  <c r="L57" i="108"/>
  <c r="M57" i="108" s="1"/>
  <c r="L56" i="108"/>
  <c r="M56" i="108" s="1"/>
  <c r="L55" i="108"/>
  <c r="M55" i="108" s="1"/>
  <c r="M54" i="108"/>
  <c r="L54" i="108"/>
  <c r="L53" i="108"/>
  <c r="M53" i="108" s="1"/>
  <c r="L52" i="108"/>
  <c r="M52" i="108" s="1"/>
  <c r="L51" i="108"/>
  <c r="M51" i="108" s="1"/>
  <c r="M50" i="108"/>
  <c r="L50" i="108"/>
  <c r="L49" i="108"/>
  <c r="M49" i="108" s="1"/>
  <c r="L48" i="108"/>
  <c r="M48" i="108" s="1"/>
  <c r="L47" i="108"/>
  <c r="M47" i="108" s="1"/>
  <c r="M46" i="108"/>
  <c r="L46" i="108"/>
  <c r="L45" i="108"/>
  <c r="M45" i="108" s="1"/>
  <c r="L44" i="108"/>
  <c r="M44" i="108" s="1"/>
  <c r="L43" i="108"/>
  <c r="M43" i="108" s="1"/>
  <c r="L42" i="108"/>
  <c r="M42" i="108" s="1"/>
  <c r="L41" i="108"/>
  <c r="M41" i="108" s="1"/>
  <c r="L40" i="108"/>
  <c r="M40" i="108" s="1"/>
  <c r="L39" i="108"/>
  <c r="M39" i="108" s="1"/>
  <c r="M38" i="108"/>
  <c r="L38" i="108"/>
  <c r="L37" i="108"/>
  <c r="M37" i="108" s="1"/>
  <c r="L36" i="108"/>
  <c r="M36" i="108" s="1"/>
  <c r="L35" i="108"/>
  <c r="M35" i="108" s="1"/>
  <c r="L34" i="108"/>
  <c r="M34" i="108" s="1"/>
  <c r="L33" i="108"/>
  <c r="M33" i="108" s="1"/>
  <c r="L32" i="108"/>
  <c r="M32" i="108" s="1"/>
  <c r="L31" i="108"/>
  <c r="M31" i="108" s="1"/>
  <c r="L30" i="108"/>
  <c r="M30" i="108" s="1"/>
  <c r="L29" i="108"/>
  <c r="M29" i="108" s="1"/>
  <c r="L28" i="108"/>
  <c r="M28" i="108" s="1"/>
  <c r="L27" i="108"/>
  <c r="M27" i="108" s="1"/>
  <c r="L26" i="108"/>
  <c r="M26" i="108" s="1"/>
  <c r="L25" i="108"/>
  <c r="M25" i="108" s="1"/>
  <c r="L24" i="108"/>
  <c r="M24" i="108" s="1"/>
  <c r="L23" i="108"/>
  <c r="L18" i="108"/>
  <c r="K18" i="108"/>
  <c r="L17" i="108"/>
  <c r="K17" i="108"/>
  <c r="L16" i="108"/>
  <c r="K16" i="108"/>
  <c r="L15" i="108"/>
  <c r="K15" i="108"/>
  <c r="E15" i="108"/>
  <c r="L14" i="108"/>
  <c r="K14" i="108"/>
  <c r="E14" i="108"/>
  <c r="L13" i="108"/>
  <c r="K13" i="108"/>
  <c r="I93" i="107"/>
  <c r="H89" i="107"/>
  <c r="K84" i="107"/>
  <c r="J84" i="107"/>
  <c r="I84" i="107"/>
  <c r="K66" i="107"/>
  <c r="J66" i="107"/>
  <c r="I66" i="107"/>
  <c r="D66" i="107"/>
  <c r="L65" i="107"/>
  <c r="M65" i="107" s="1"/>
  <c r="M64" i="107"/>
  <c r="L64" i="107"/>
  <c r="L63" i="107"/>
  <c r="M63" i="107" s="1"/>
  <c r="M62" i="107"/>
  <c r="L62" i="107"/>
  <c r="L61" i="107"/>
  <c r="M61" i="107" s="1"/>
  <c r="M60" i="107"/>
  <c r="L60" i="107"/>
  <c r="L59" i="107"/>
  <c r="M59" i="107" s="1"/>
  <c r="M58" i="107"/>
  <c r="L58" i="107"/>
  <c r="L57" i="107"/>
  <c r="M57" i="107" s="1"/>
  <c r="M56" i="107"/>
  <c r="L56" i="107"/>
  <c r="L55" i="107"/>
  <c r="M55" i="107" s="1"/>
  <c r="M54" i="107"/>
  <c r="L54" i="107"/>
  <c r="L53" i="107"/>
  <c r="M53" i="107" s="1"/>
  <c r="M52" i="107"/>
  <c r="L52" i="107"/>
  <c r="L51" i="107"/>
  <c r="M51" i="107" s="1"/>
  <c r="M50" i="107"/>
  <c r="L50" i="107"/>
  <c r="L49" i="107"/>
  <c r="M49" i="107" s="1"/>
  <c r="M48" i="107"/>
  <c r="L48" i="107"/>
  <c r="L47" i="107"/>
  <c r="M47" i="107" s="1"/>
  <c r="M46" i="107"/>
  <c r="L46" i="107"/>
  <c r="L45" i="107"/>
  <c r="M45" i="107" s="1"/>
  <c r="M44" i="107"/>
  <c r="L44" i="107"/>
  <c r="L43" i="107"/>
  <c r="M43" i="107" s="1"/>
  <c r="M42" i="107"/>
  <c r="L42" i="107"/>
  <c r="L41" i="107"/>
  <c r="M41" i="107" s="1"/>
  <c r="M40" i="107"/>
  <c r="L40" i="107"/>
  <c r="L39" i="107"/>
  <c r="M39" i="107" s="1"/>
  <c r="M38" i="107"/>
  <c r="L38" i="107"/>
  <c r="L37" i="107"/>
  <c r="M37" i="107" s="1"/>
  <c r="M36" i="107"/>
  <c r="L36" i="107"/>
  <c r="L35" i="107"/>
  <c r="M35" i="107" s="1"/>
  <c r="M34" i="107"/>
  <c r="L34" i="107"/>
  <c r="L33" i="107"/>
  <c r="M33" i="107" s="1"/>
  <c r="M32" i="107"/>
  <c r="L32" i="107"/>
  <c r="L31" i="107"/>
  <c r="M31" i="107" s="1"/>
  <c r="L30" i="107"/>
  <c r="M30" i="107" s="1"/>
  <c r="L29" i="107"/>
  <c r="M29" i="107" s="1"/>
  <c r="L28" i="107"/>
  <c r="M28" i="107" s="1"/>
  <c r="L27" i="107"/>
  <c r="M27" i="107" s="1"/>
  <c r="L26" i="107"/>
  <c r="M26" i="107" s="1"/>
  <c r="L25" i="107"/>
  <c r="M25" i="107" s="1"/>
  <c r="L24" i="107"/>
  <c r="M24" i="107" s="1"/>
  <c r="L23" i="107"/>
  <c r="L18" i="107"/>
  <c r="K18" i="107"/>
  <c r="L17" i="107"/>
  <c r="K17" i="107"/>
  <c r="L16" i="107"/>
  <c r="K16" i="107"/>
  <c r="L15" i="107"/>
  <c r="K15" i="107"/>
  <c r="E15" i="107"/>
  <c r="L14" i="107"/>
  <c r="K14" i="107"/>
  <c r="E14" i="107"/>
  <c r="L13" i="107"/>
  <c r="K13" i="107"/>
  <c r="I93" i="106"/>
  <c r="K84" i="106"/>
  <c r="J84" i="106"/>
  <c r="I84" i="106"/>
  <c r="K66" i="106"/>
  <c r="J66" i="106"/>
  <c r="I66" i="106"/>
  <c r="D66" i="106"/>
  <c r="H89" i="106" s="1"/>
  <c r="M65" i="106"/>
  <c r="L65" i="106"/>
  <c r="L64" i="106"/>
  <c r="M64" i="106" s="1"/>
  <c r="M63" i="106"/>
  <c r="L63" i="106"/>
  <c r="L62" i="106"/>
  <c r="M62" i="106" s="1"/>
  <c r="M61" i="106"/>
  <c r="L61" i="106"/>
  <c r="L60" i="106"/>
  <c r="M60" i="106" s="1"/>
  <c r="M59" i="106"/>
  <c r="L59" i="106"/>
  <c r="L58" i="106"/>
  <c r="M58" i="106" s="1"/>
  <c r="M57" i="106"/>
  <c r="L57" i="106"/>
  <c r="L56" i="106"/>
  <c r="M56" i="106" s="1"/>
  <c r="M55" i="106"/>
  <c r="L55" i="106"/>
  <c r="L54" i="106"/>
  <c r="M54" i="106" s="1"/>
  <c r="M53" i="106"/>
  <c r="L53" i="106"/>
  <c r="L52" i="106"/>
  <c r="M52" i="106" s="1"/>
  <c r="M51" i="106"/>
  <c r="L51" i="106"/>
  <c r="L50" i="106"/>
  <c r="M50" i="106" s="1"/>
  <c r="M49" i="106"/>
  <c r="L49" i="106"/>
  <c r="L48" i="106"/>
  <c r="M48" i="106" s="1"/>
  <c r="M47" i="106"/>
  <c r="L47" i="106"/>
  <c r="L46" i="106"/>
  <c r="M46" i="106" s="1"/>
  <c r="M45" i="106"/>
  <c r="L45" i="106"/>
  <c r="L44" i="106"/>
  <c r="M44" i="106" s="1"/>
  <c r="L43" i="106"/>
  <c r="M43" i="106" s="1"/>
  <c r="L42" i="106"/>
  <c r="M42" i="106" s="1"/>
  <c r="L41" i="106"/>
  <c r="M41" i="106" s="1"/>
  <c r="L40" i="106"/>
  <c r="M40" i="106" s="1"/>
  <c r="M39" i="106"/>
  <c r="L39" i="106"/>
  <c r="L38" i="106"/>
  <c r="M38" i="106" s="1"/>
  <c r="L37" i="106"/>
  <c r="M37" i="106" s="1"/>
  <c r="L36" i="106"/>
  <c r="M36" i="106" s="1"/>
  <c r="L35" i="106"/>
  <c r="M35" i="106" s="1"/>
  <c r="L34" i="106"/>
  <c r="M34" i="106" s="1"/>
  <c r="L33" i="106"/>
  <c r="M33" i="106" s="1"/>
  <c r="L32" i="106"/>
  <c r="M32" i="106" s="1"/>
  <c r="L31" i="106"/>
  <c r="M31" i="106" s="1"/>
  <c r="L30" i="106"/>
  <c r="M30" i="106" s="1"/>
  <c r="L29" i="106"/>
  <c r="M29" i="106" s="1"/>
  <c r="L28" i="106"/>
  <c r="M28" i="106" s="1"/>
  <c r="L27" i="106"/>
  <c r="M27" i="106" s="1"/>
  <c r="L26" i="106"/>
  <c r="M26" i="106" s="1"/>
  <c r="M25" i="106"/>
  <c r="L25" i="106"/>
  <c r="L24" i="106"/>
  <c r="M24" i="106" s="1"/>
  <c r="L23" i="106"/>
  <c r="L18" i="106" s="1"/>
  <c r="K18" i="106"/>
  <c r="L17" i="106"/>
  <c r="K17" i="106"/>
  <c r="L16" i="106"/>
  <c r="K16" i="106"/>
  <c r="L15" i="106"/>
  <c r="K15" i="106"/>
  <c r="E15" i="106"/>
  <c r="L14" i="106"/>
  <c r="K14" i="106"/>
  <c r="E14" i="106"/>
  <c r="L13" i="106"/>
  <c r="K13" i="106"/>
  <c r="I93" i="105"/>
  <c r="K84" i="105"/>
  <c r="J84" i="105"/>
  <c r="I84" i="105"/>
  <c r="K66" i="105"/>
  <c r="J66" i="105"/>
  <c r="I66" i="105"/>
  <c r="E15" i="105" s="1"/>
  <c r="D66" i="105"/>
  <c r="E14" i="105" s="1"/>
  <c r="L65" i="105"/>
  <c r="M65" i="105" s="1"/>
  <c r="L64" i="105"/>
  <c r="M64" i="105" s="1"/>
  <c r="L63" i="105"/>
  <c r="M63" i="105" s="1"/>
  <c r="L62" i="105"/>
  <c r="M62" i="105" s="1"/>
  <c r="L61" i="105"/>
  <c r="M61" i="105" s="1"/>
  <c r="L60" i="105"/>
  <c r="M60" i="105" s="1"/>
  <c r="L59" i="105"/>
  <c r="M59" i="105" s="1"/>
  <c r="L58" i="105"/>
  <c r="M58" i="105" s="1"/>
  <c r="L57" i="105"/>
  <c r="M57" i="105" s="1"/>
  <c r="L56" i="105"/>
  <c r="M56" i="105" s="1"/>
  <c r="L55" i="105"/>
  <c r="M55" i="105" s="1"/>
  <c r="L54" i="105"/>
  <c r="M54" i="105" s="1"/>
  <c r="L53" i="105"/>
  <c r="M53" i="105" s="1"/>
  <c r="L52" i="105"/>
  <c r="M52" i="105" s="1"/>
  <c r="L51" i="105"/>
  <c r="M51" i="105" s="1"/>
  <c r="L50" i="105"/>
  <c r="M50" i="105" s="1"/>
  <c r="L49" i="105"/>
  <c r="M49" i="105" s="1"/>
  <c r="L48" i="105"/>
  <c r="M48" i="105" s="1"/>
  <c r="L47" i="105"/>
  <c r="M47" i="105" s="1"/>
  <c r="L46" i="105"/>
  <c r="M46" i="105" s="1"/>
  <c r="L45" i="105"/>
  <c r="M45" i="105" s="1"/>
  <c r="L44" i="105"/>
  <c r="M44" i="105" s="1"/>
  <c r="L43" i="105"/>
  <c r="M43" i="105" s="1"/>
  <c r="L42" i="105"/>
  <c r="M42" i="105" s="1"/>
  <c r="L41" i="105"/>
  <c r="M41" i="105" s="1"/>
  <c r="L40" i="105"/>
  <c r="M40" i="105" s="1"/>
  <c r="L39" i="105"/>
  <c r="M39" i="105" s="1"/>
  <c r="L38" i="105"/>
  <c r="M38" i="105" s="1"/>
  <c r="L37" i="105"/>
  <c r="M37" i="105" s="1"/>
  <c r="L36" i="105"/>
  <c r="M36" i="105" s="1"/>
  <c r="L35" i="105"/>
  <c r="M35" i="105" s="1"/>
  <c r="L34" i="105"/>
  <c r="M34" i="105" s="1"/>
  <c r="L33" i="105"/>
  <c r="M33" i="105" s="1"/>
  <c r="L32" i="105"/>
  <c r="M32" i="105" s="1"/>
  <c r="L31" i="105"/>
  <c r="M31" i="105" s="1"/>
  <c r="L30" i="105"/>
  <c r="M30" i="105" s="1"/>
  <c r="L29" i="105"/>
  <c r="M29" i="105" s="1"/>
  <c r="L28" i="105"/>
  <c r="M28" i="105" s="1"/>
  <c r="L27" i="105"/>
  <c r="M27" i="105" s="1"/>
  <c r="L26" i="105"/>
  <c r="M26" i="105" s="1"/>
  <c r="L25" i="105"/>
  <c r="M25" i="105" s="1"/>
  <c r="L24" i="105"/>
  <c r="M24" i="105" s="1"/>
  <c r="L23" i="105"/>
  <c r="M23" i="105" s="1"/>
  <c r="L18" i="105"/>
  <c r="K18" i="105"/>
  <c r="L17" i="105"/>
  <c r="K17" i="105"/>
  <c r="L16" i="105"/>
  <c r="K16" i="105"/>
  <c r="L15" i="105"/>
  <c r="K15" i="105"/>
  <c r="L14" i="105"/>
  <c r="K14" i="105"/>
  <c r="L13" i="105"/>
  <c r="K13" i="105"/>
  <c r="L4" i="113" l="1"/>
  <c r="E17" i="112"/>
  <c r="L3" i="112"/>
  <c r="L3" i="113"/>
  <c r="E17" i="113"/>
  <c r="E16" i="111"/>
  <c r="E18" i="111"/>
  <c r="L4" i="111"/>
  <c r="M66" i="111"/>
  <c r="M24" i="110"/>
  <c r="E16" i="110"/>
  <c r="L4" i="110"/>
  <c r="E18" i="110"/>
  <c r="M66" i="110"/>
  <c r="L66" i="108"/>
  <c r="L66" i="107"/>
  <c r="E16" i="107" s="1"/>
  <c r="M23" i="106"/>
  <c r="M66" i="108"/>
  <c r="E16" i="108"/>
  <c r="L4" i="108"/>
  <c r="E18" i="108"/>
  <c r="L4" i="107"/>
  <c r="E18" i="107"/>
  <c r="M66" i="107"/>
  <c r="M23" i="107"/>
  <c r="L66" i="109"/>
  <c r="M23" i="108"/>
  <c r="L66" i="106"/>
  <c r="H89" i="105"/>
  <c r="L66" i="105"/>
  <c r="I93" i="104"/>
  <c r="K84" i="104"/>
  <c r="J84" i="104"/>
  <c r="I84" i="104"/>
  <c r="K66" i="104"/>
  <c r="J66" i="104"/>
  <c r="I66" i="104"/>
  <c r="D66" i="104"/>
  <c r="H89" i="104" s="1"/>
  <c r="L65" i="104"/>
  <c r="M65" i="104" s="1"/>
  <c r="L64" i="104"/>
  <c r="M64" i="104" s="1"/>
  <c r="M63" i="104"/>
  <c r="L63" i="104"/>
  <c r="L62" i="104"/>
  <c r="M62" i="104" s="1"/>
  <c r="L61" i="104"/>
  <c r="M61" i="104" s="1"/>
  <c r="L60" i="104"/>
  <c r="M60" i="104" s="1"/>
  <c r="M59" i="104"/>
  <c r="L59" i="104"/>
  <c r="L58" i="104"/>
  <c r="M58" i="104" s="1"/>
  <c r="L57" i="104"/>
  <c r="M57" i="104" s="1"/>
  <c r="L56" i="104"/>
  <c r="M56" i="104" s="1"/>
  <c r="M55" i="104"/>
  <c r="L55" i="104"/>
  <c r="L54" i="104"/>
  <c r="M54" i="104" s="1"/>
  <c r="L53" i="104"/>
  <c r="M53" i="104" s="1"/>
  <c r="L52" i="104"/>
  <c r="M52" i="104" s="1"/>
  <c r="M51" i="104"/>
  <c r="L51" i="104"/>
  <c r="L50" i="104"/>
  <c r="M50" i="104" s="1"/>
  <c r="L49" i="104"/>
  <c r="M49" i="104" s="1"/>
  <c r="L48" i="104"/>
  <c r="M48" i="104" s="1"/>
  <c r="M47" i="104"/>
  <c r="L47" i="104"/>
  <c r="L46" i="104"/>
  <c r="M46" i="104" s="1"/>
  <c r="L45" i="104"/>
  <c r="M45" i="104" s="1"/>
  <c r="L44" i="104"/>
  <c r="M44" i="104" s="1"/>
  <c r="M43" i="104"/>
  <c r="L43" i="104"/>
  <c r="L42" i="104"/>
  <c r="M42" i="104" s="1"/>
  <c r="L41" i="104"/>
  <c r="M41" i="104" s="1"/>
  <c r="L40" i="104"/>
  <c r="M40" i="104" s="1"/>
  <c r="M39" i="104"/>
  <c r="L39" i="104"/>
  <c r="L38" i="104"/>
  <c r="M38" i="104" s="1"/>
  <c r="L37" i="104"/>
  <c r="M37" i="104" s="1"/>
  <c r="L36" i="104"/>
  <c r="M36" i="104" s="1"/>
  <c r="M35" i="104"/>
  <c r="L35" i="104"/>
  <c r="L34" i="104"/>
  <c r="M34" i="104" s="1"/>
  <c r="L33" i="104"/>
  <c r="M33" i="104" s="1"/>
  <c r="L32" i="104"/>
  <c r="M32" i="104" s="1"/>
  <c r="M31" i="104"/>
  <c r="L31" i="104"/>
  <c r="L30" i="104"/>
  <c r="M30" i="104" s="1"/>
  <c r="L29" i="104"/>
  <c r="M29" i="104" s="1"/>
  <c r="L28" i="104"/>
  <c r="M28" i="104" s="1"/>
  <c r="M27" i="104"/>
  <c r="L27" i="104"/>
  <c r="L26" i="104"/>
  <c r="M26" i="104" s="1"/>
  <c r="L25" i="104"/>
  <c r="M25" i="104" s="1"/>
  <c r="L24" i="104"/>
  <c r="M24" i="104" s="1"/>
  <c r="L23" i="104"/>
  <c r="M23" i="104" s="1"/>
  <c r="L18" i="104"/>
  <c r="K18" i="104"/>
  <c r="L17" i="104"/>
  <c r="K17" i="104"/>
  <c r="L16" i="104"/>
  <c r="K16" i="104"/>
  <c r="L15" i="104"/>
  <c r="K15" i="104"/>
  <c r="E15" i="104"/>
  <c r="L14" i="104"/>
  <c r="K14" i="104"/>
  <c r="E14" i="104"/>
  <c r="L13" i="104"/>
  <c r="K13" i="104"/>
  <c r="I93" i="103"/>
  <c r="K84" i="103"/>
  <c r="J84" i="103"/>
  <c r="I84" i="103"/>
  <c r="K66" i="103"/>
  <c r="J66" i="103"/>
  <c r="I66" i="103"/>
  <c r="D66" i="103"/>
  <c r="H89" i="103" s="1"/>
  <c r="L65" i="103"/>
  <c r="M65" i="103" s="1"/>
  <c r="L64" i="103"/>
  <c r="M64" i="103" s="1"/>
  <c r="M63" i="103"/>
  <c r="L63" i="103"/>
  <c r="L62" i="103"/>
  <c r="M62" i="103" s="1"/>
  <c r="L61" i="103"/>
  <c r="M61" i="103" s="1"/>
  <c r="L60" i="103"/>
  <c r="M60" i="103" s="1"/>
  <c r="M59" i="103"/>
  <c r="L59" i="103"/>
  <c r="L58" i="103"/>
  <c r="M58" i="103" s="1"/>
  <c r="L57" i="103"/>
  <c r="M57" i="103" s="1"/>
  <c r="L56" i="103"/>
  <c r="M56" i="103" s="1"/>
  <c r="M55" i="103"/>
  <c r="L55" i="103"/>
  <c r="L54" i="103"/>
  <c r="M54" i="103" s="1"/>
  <c r="L53" i="103"/>
  <c r="M53" i="103" s="1"/>
  <c r="L52" i="103"/>
  <c r="M52" i="103" s="1"/>
  <c r="M51" i="103"/>
  <c r="L51" i="103"/>
  <c r="L50" i="103"/>
  <c r="M50" i="103" s="1"/>
  <c r="L49" i="103"/>
  <c r="M49" i="103" s="1"/>
  <c r="L48" i="103"/>
  <c r="M48" i="103" s="1"/>
  <c r="M47" i="103"/>
  <c r="L47" i="103"/>
  <c r="L46" i="103"/>
  <c r="M46" i="103" s="1"/>
  <c r="L45" i="103"/>
  <c r="M45" i="103" s="1"/>
  <c r="L44" i="103"/>
  <c r="M44" i="103" s="1"/>
  <c r="M43" i="103"/>
  <c r="L43" i="103"/>
  <c r="L42" i="103"/>
  <c r="M42" i="103" s="1"/>
  <c r="L41" i="103"/>
  <c r="M41" i="103" s="1"/>
  <c r="L40" i="103"/>
  <c r="M40" i="103" s="1"/>
  <c r="M39" i="103"/>
  <c r="L39" i="103"/>
  <c r="L38" i="103"/>
  <c r="M38" i="103" s="1"/>
  <c r="L37" i="103"/>
  <c r="M37" i="103" s="1"/>
  <c r="L36" i="103"/>
  <c r="M36" i="103" s="1"/>
  <c r="M35" i="103"/>
  <c r="L35" i="103"/>
  <c r="L34" i="103"/>
  <c r="M34" i="103" s="1"/>
  <c r="L33" i="103"/>
  <c r="M33" i="103" s="1"/>
  <c r="L32" i="103"/>
  <c r="M32" i="103" s="1"/>
  <c r="M31" i="103"/>
  <c r="L31" i="103"/>
  <c r="L30" i="103"/>
  <c r="M30" i="103" s="1"/>
  <c r="L29" i="103"/>
  <c r="M29" i="103" s="1"/>
  <c r="L28" i="103"/>
  <c r="M28" i="103" s="1"/>
  <c r="L27" i="103"/>
  <c r="M27" i="103" s="1"/>
  <c r="L26" i="103"/>
  <c r="M26" i="103" s="1"/>
  <c r="L25" i="103"/>
  <c r="M25" i="103" s="1"/>
  <c r="L24" i="103"/>
  <c r="M24" i="103" s="1"/>
  <c r="M23" i="103"/>
  <c r="L23" i="103"/>
  <c r="L18" i="103"/>
  <c r="K18" i="103"/>
  <c r="L17" i="103"/>
  <c r="K17" i="103"/>
  <c r="L16" i="103"/>
  <c r="K16" i="103"/>
  <c r="L15" i="103"/>
  <c r="K15" i="103"/>
  <c r="E15" i="103"/>
  <c r="L14" i="103"/>
  <c r="K14" i="103"/>
  <c r="E14" i="103"/>
  <c r="L13" i="103"/>
  <c r="K13" i="103"/>
  <c r="I93" i="102"/>
  <c r="K84" i="102"/>
  <c r="J84" i="102"/>
  <c r="I84" i="102"/>
  <c r="K66" i="102"/>
  <c r="J66" i="102"/>
  <c r="I66" i="102"/>
  <c r="D66" i="102"/>
  <c r="H89" i="102" s="1"/>
  <c r="L65" i="102"/>
  <c r="M65" i="102" s="1"/>
  <c r="M64" i="102"/>
  <c r="L64" i="102"/>
  <c r="L63" i="102"/>
  <c r="M63" i="102" s="1"/>
  <c r="L62" i="102"/>
  <c r="M62" i="102" s="1"/>
  <c r="L61" i="102"/>
  <c r="M61" i="102" s="1"/>
  <c r="M60" i="102"/>
  <c r="L60" i="102"/>
  <c r="L59" i="102"/>
  <c r="M59" i="102" s="1"/>
  <c r="L58" i="102"/>
  <c r="M58" i="102" s="1"/>
  <c r="L57" i="102"/>
  <c r="M57" i="102" s="1"/>
  <c r="M56" i="102"/>
  <c r="L56" i="102"/>
  <c r="L55" i="102"/>
  <c r="M55" i="102" s="1"/>
  <c r="L54" i="102"/>
  <c r="M54" i="102" s="1"/>
  <c r="L53" i="102"/>
  <c r="M53" i="102" s="1"/>
  <c r="M52" i="102"/>
  <c r="L52" i="102"/>
  <c r="L51" i="102"/>
  <c r="M51" i="102" s="1"/>
  <c r="L50" i="102"/>
  <c r="M50" i="102" s="1"/>
  <c r="L49" i="102"/>
  <c r="M49" i="102" s="1"/>
  <c r="M48" i="102"/>
  <c r="L48" i="102"/>
  <c r="L47" i="102"/>
  <c r="M47" i="102" s="1"/>
  <c r="L46" i="102"/>
  <c r="M46" i="102" s="1"/>
  <c r="L45" i="102"/>
  <c r="M45" i="102" s="1"/>
  <c r="M44" i="102"/>
  <c r="L44" i="102"/>
  <c r="L43" i="102"/>
  <c r="M43" i="102" s="1"/>
  <c r="L42" i="102"/>
  <c r="M42" i="102" s="1"/>
  <c r="L41" i="102"/>
  <c r="M41" i="102" s="1"/>
  <c r="M40" i="102"/>
  <c r="L40" i="102"/>
  <c r="L39" i="102"/>
  <c r="M39" i="102" s="1"/>
  <c r="L38" i="102"/>
  <c r="M38" i="102" s="1"/>
  <c r="L37" i="102"/>
  <c r="M37" i="102" s="1"/>
  <c r="M36" i="102"/>
  <c r="L36" i="102"/>
  <c r="L35" i="102"/>
  <c r="M35" i="102" s="1"/>
  <c r="L34" i="102"/>
  <c r="M34" i="102" s="1"/>
  <c r="L33" i="102"/>
  <c r="M33" i="102" s="1"/>
  <c r="M32" i="102"/>
  <c r="L32" i="102"/>
  <c r="L31" i="102"/>
  <c r="M31" i="102" s="1"/>
  <c r="L30" i="102"/>
  <c r="M30" i="102" s="1"/>
  <c r="L29" i="102"/>
  <c r="M29" i="102" s="1"/>
  <c r="L28" i="102"/>
  <c r="M28" i="102" s="1"/>
  <c r="L27" i="102"/>
  <c r="M27" i="102" s="1"/>
  <c r="L26" i="102"/>
  <c r="M26" i="102" s="1"/>
  <c r="L25" i="102"/>
  <c r="M25" i="102" s="1"/>
  <c r="L24" i="102"/>
  <c r="M24" i="102" s="1"/>
  <c r="L23" i="102"/>
  <c r="L18" i="102"/>
  <c r="K18" i="102"/>
  <c r="L17" i="102"/>
  <c r="K17" i="102"/>
  <c r="L16" i="102"/>
  <c r="K16" i="102"/>
  <c r="L15" i="102"/>
  <c r="K15" i="102"/>
  <c r="E15" i="102"/>
  <c r="L14" i="102"/>
  <c r="K14" i="102"/>
  <c r="E14" i="102"/>
  <c r="L13" i="102"/>
  <c r="K13" i="102"/>
  <c r="L3" i="111" l="1"/>
  <c r="E17" i="111"/>
  <c r="L3" i="110"/>
  <c r="E17" i="110"/>
  <c r="L3" i="107"/>
  <c r="E17" i="107"/>
  <c r="E16" i="109"/>
  <c r="L4" i="109"/>
  <c r="E18" i="109"/>
  <c r="M66" i="109"/>
  <c r="E17" i="108"/>
  <c r="L3" i="108"/>
  <c r="E16" i="106"/>
  <c r="E18" i="106"/>
  <c r="L4" i="106"/>
  <c r="M66" i="106"/>
  <c r="E16" i="105"/>
  <c r="E18" i="105"/>
  <c r="M66" i="105"/>
  <c r="L4" i="105"/>
  <c r="L66" i="102"/>
  <c r="E16" i="102" s="1"/>
  <c r="L66" i="104"/>
  <c r="L66" i="103"/>
  <c r="E18" i="102"/>
  <c r="L4" i="102"/>
  <c r="M66" i="102"/>
  <c r="M23" i="102"/>
  <c r="L3" i="109" l="1"/>
  <c r="E17" i="109"/>
  <c r="L3" i="106"/>
  <c r="E17" i="106"/>
  <c r="L3" i="105"/>
  <c r="E17" i="105"/>
  <c r="L4" i="104"/>
  <c r="E16" i="104"/>
  <c r="E18" i="104"/>
  <c r="M66" i="104"/>
  <c r="E16" i="103"/>
  <c r="E18" i="103"/>
  <c r="L4" i="103"/>
  <c r="M66" i="103"/>
  <c r="L3" i="102"/>
  <c r="E17" i="102"/>
  <c r="L3" i="104" l="1"/>
  <c r="E17" i="104"/>
  <c r="L3" i="103"/>
  <c r="E17" i="103"/>
  <c r="I72" i="100" l="1"/>
  <c r="I84" i="100" s="1"/>
  <c r="I89" i="101"/>
  <c r="I86" i="101"/>
  <c r="I83" i="101"/>
  <c r="L50" i="101"/>
  <c r="M50" i="101" s="1"/>
  <c r="L51" i="101"/>
  <c r="M51" i="101" s="1"/>
  <c r="L52" i="101"/>
  <c r="M52" i="101"/>
  <c r="L53" i="101"/>
  <c r="M53" i="101" s="1"/>
  <c r="L54" i="101"/>
  <c r="M54" i="101"/>
  <c r="L55" i="101"/>
  <c r="M55" i="101" s="1"/>
  <c r="L56" i="101"/>
  <c r="M56" i="101"/>
  <c r="I100" i="101"/>
  <c r="K91" i="101"/>
  <c r="J91" i="101"/>
  <c r="I91" i="101"/>
  <c r="K73" i="101"/>
  <c r="J73" i="101"/>
  <c r="I73" i="101"/>
  <c r="D73" i="101"/>
  <c r="H96" i="101" s="1"/>
  <c r="L72" i="101"/>
  <c r="M72" i="101" s="1"/>
  <c r="L71" i="101"/>
  <c r="M71" i="101" s="1"/>
  <c r="L70" i="101"/>
  <c r="M70" i="101" s="1"/>
  <c r="L69" i="101"/>
  <c r="M69" i="101" s="1"/>
  <c r="L68" i="101"/>
  <c r="M68" i="101" s="1"/>
  <c r="L67" i="101"/>
  <c r="M67" i="101" s="1"/>
  <c r="L66" i="101"/>
  <c r="M66" i="101" s="1"/>
  <c r="L65" i="101"/>
  <c r="M65" i="101" s="1"/>
  <c r="L64" i="101"/>
  <c r="M64" i="101" s="1"/>
  <c r="L63" i="101"/>
  <c r="M63" i="101" s="1"/>
  <c r="M62" i="101"/>
  <c r="L62" i="101"/>
  <c r="L61" i="101"/>
  <c r="M61" i="101" s="1"/>
  <c r="L60" i="101"/>
  <c r="M60" i="101" s="1"/>
  <c r="L59" i="101"/>
  <c r="M59" i="101" s="1"/>
  <c r="L58" i="101"/>
  <c r="M58" i="101" s="1"/>
  <c r="L57" i="101"/>
  <c r="M57" i="101" s="1"/>
  <c r="L49" i="101"/>
  <c r="M49" i="101" s="1"/>
  <c r="L48" i="101"/>
  <c r="M48" i="101" s="1"/>
  <c r="L47" i="101"/>
  <c r="M47" i="101" s="1"/>
  <c r="L46" i="101"/>
  <c r="M46" i="101" s="1"/>
  <c r="L45" i="101"/>
  <c r="M45" i="101" s="1"/>
  <c r="L44" i="101"/>
  <c r="M44" i="101" s="1"/>
  <c r="L43" i="101"/>
  <c r="M43" i="101" s="1"/>
  <c r="L42" i="101"/>
  <c r="M42" i="101" s="1"/>
  <c r="L41" i="101"/>
  <c r="M41" i="101" s="1"/>
  <c r="L40" i="101"/>
  <c r="M40" i="101" s="1"/>
  <c r="L39" i="101"/>
  <c r="M39" i="101" s="1"/>
  <c r="L38" i="101"/>
  <c r="M38" i="101" s="1"/>
  <c r="L37" i="101"/>
  <c r="M37" i="101" s="1"/>
  <c r="L36" i="101"/>
  <c r="M36" i="101" s="1"/>
  <c r="L35" i="101"/>
  <c r="M35" i="101" s="1"/>
  <c r="L34" i="101"/>
  <c r="M34" i="101" s="1"/>
  <c r="L33" i="101"/>
  <c r="M33" i="101" s="1"/>
  <c r="L32" i="101"/>
  <c r="M32" i="101" s="1"/>
  <c r="L31" i="101"/>
  <c r="M31" i="101" s="1"/>
  <c r="L30" i="101"/>
  <c r="M30" i="101" s="1"/>
  <c r="L29" i="101"/>
  <c r="M29" i="101" s="1"/>
  <c r="L28" i="101"/>
  <c r="M28" i="101" s="1"/>
  <c r="L27" i="101"/>
  <c r="M27" i="101" s="1"/>
  <c r="L26" i="101"/>
  <c r="M26" i="101" s="1"/>
  <c r="L25" i="101"/>
  <c r="M25" i="101" s="1"/>
  <c r="L24" i="101"/>
  <c r="M24" i="101" s="1"/>
  <c r="M23" i="101"/>
  <c r="L23" i="101"/>
  <c r="L18" i="101"/>
  <c r="K18" i="101"/>
  <c r="L17" i="101"/>
  <c r="K17" i="101"/>
  <c r="L16" i="101"/>
  <c r="K16" i="101"/>
  <c r="L15" i="101"/>
  <c r="K15" i="101"/>
  <c r="E15" i="101"/>
  <c r="L14" i="101"/>
  <c r="K14" i="101"/>
  <c r="E14" i="101"/>
  <c r="L13" i="101"/>
  <c r="K13" i="101"/>
  <c r="I93" i="100"/>
  <c r="K84" i="100"/>
  <c r="J84" i="100"/>
  <c r="K66" i="100"/>
  <c r="J66" i="100"/>
  <c r="I66" i="100"/>
  <c r="D66" i="100"/>
  <c r="H89" i="100" s="1"/>
  <c r="L65" i="100"/>
  <c r="M65" i="100" s="1"/>
  <c r="M64" i="100"/>
  <c r="L64" i="100"/>
  <c r="M63" i="100"/>
  <c r="L63" i="100"/>
  <c r="L62" i="100"/>
  <c r="M62" i="100" s="1"/>
  <c r="L61" i="100"/>
  <c r="M61" i="100" s="1"/>
  <c r="M60" i="100"/>
  <c r="L60" i="100"/>
  <c r="M59" i="100"/>
  <c r="L59" i="100"/>
  <c r="L58" i="100"/>
  <c r="M58" i="100" s="1"/>
  <c r="L57" i="100"/>
  <c r="M57" i="100" s="1"/>
  <c r="M56" i="100"/>
  <c r="L56" i="100"/>
  <c r="M55" i="100"/>
  <c r="L55" i="100"/>
  <c r="L54" i="100"/>
  <c r="M54" i="100" s="1"/>
  <c r="L53" i="100"/>
  <c r="M53" i="100" s="1"/>
  <c r="M52" i="100"/>
  <c r="L52" i="100"/>
  <c r="M51" i="100"/>
  <c r="L51" i="100"/>
  <c r="L50" i="100"/>
  <c r="M50" i="100" s="1"/>
  <c r="L49" i="100"/>
  <c r="M49" i="100" s="1"/>
  <c r="M48" i="100"/>
  <c r="L48" i="100"/>
  <c r="M47" i="100"/>
  <c r="L47" i="100"/>
  <c r="L46" i="100"/>
  <c r="M46" i="100" s="1"/>
  <c r="L45" i="100"/>
  <c r="M45" i="100" s="1"/>
  <c r="M44" i="100"/>
  <c r="L44" i="100"/>
  <c r="M43" i="100"/>
  <c r="L43" i="100"/>
  <c r="L42" i="100"/>
  <c r="M42" i="100" s="1"/>
  <c r="L41" i="100"/>
  <c r="M41" i="100" s="1"/>
  <c r="L40" i="100"/>
  <c r="M40" i="100" s="1"/>
  <c r="L39" i="100"/>
  <c r="M39" i="100" s="1"/>
  <c r="L38" i="100"/>
  <c r="M38" i="100" s="1"/>
  <c r="L37" i="100"/>
  <c r="M37" i="100" s="1"/>
  <c r="L36" i="100"/>
  <c r="M36" i="100" s="1"/>
  <c r="L35" i="100"/>
  <c r="M35" i="100" s="1"/>
  <c r="L34" i="100"/>
  <c r="M34" i="100" s="1"/>
  <c r="L33" i="100"/>
  <c r="M33" i="100" s="1"/>
  <c r="L32" i="100"/>
  <c r="M32" i="100" s="1"/>
  <c r="L31" i="100"/>
  <c r="M31" i="100" s="1"/>
  <c r="L30" i="100"/>
  <c r="M30" i="100" s="1"/>
  <c r="L29" i="100"/>
  <c r="M29" i="100" s="1"/>
  <c r="L28" i="100"/>
  <c r="M28" i="100" s="1"/>
  <c r="L27" i="100"/>
  <c r="M27" i="100" s="1"/>
  <c r="L26" i="100"/>
  <c r="M26" i="100" s="1"/>
  <c r="L25" i="100"/>
  <c r="M25" i="100" s="1"/>
  <c r="L24" i="100"/>
  <c r="L23" i="100"/>
  <c r="M23" i="100" s="1"/>
  <c r="L18" i="100"/>
  <c r="K18" i="100"/>
  <c r="L17" i="100"/>
  <c r="K17" i="100"/>
  <c r="L16" i="100"/>
  <c r="K16" i="100"/>
  <c r="L15" i="100"/>
  <c r="K15" i="100"/>
  <c r="E15" i="100"/>
  <c r="L14" i="100"/>
  <c r="K14" i="100"/>
  <c r="E14" i="100"/>
  <c r="L13" i="100"/>
  <c r="K13" i="100"/>
  <c r="L66" i="100" l="1"/>
  <c r="M24" i="100"/>
  <c r="L73" i="101"/>
  <c r="E16" i="100"/>
  <c r="E18" i="100"/>
  <c r="M66" i="100"/>
  <c r="L4" i="100"/>
  <c r="E16" i="101" l="1"/>
  <c r="L4" i="101"/>
  <c r="E18" i="101"/>
  <c r="M73" i="101"/>
  <c r="L3" i="100"/>
  <c r="E17" i="100"/>
  <c r="L3" i="101" l="1"/>
  <c r="E17" i="101"/>
  <c r="I93" i="99" l="1"/>
  <c r="K84" i="99"/>
  <c r="J84" i="99"/>
  <c r="I84" i="99"/>
  <c r="K66" i="99"/>
  <c r="J66" i="99"/>
  <c r="I66" i="99"/>
  <c r="D66" i="99"/>
  <c r="H89" i="99" s="1"/>
  <c r="L65" i="99"/>
  <c r="M65" i="99" s="1"/>
  <c r="L64" i="99"/>
  <c r="M64" i="99" s="1"/>
  <c r="M63" i="99"/>
  <c r="L63" i="99"/>
  <c r="L62" i="99"/>
  <c r="M62" i="99" s="1"/>
  <c r="L61" i="99"/>
  <c r="M61" i="99" s="1"/>
  <c r="L60" i="99"/>
  <c r="M60" i="99" s="1"/>
  <c r="M59" i="99"/>
  <c r="L59" i="99"/>
  <c r="L58" i="99"/>
  <c r="M58" i="99" s="1"/>
  <c r="L57" i="99"/>
  <c r="M57" i="99" s="1"/>
  <c r="L56" i="99"/>
  <c r="M56" i="99" s="1"/>
  <c r="M55" i="99"/>
  <c r="L55" i="99"/>
  <c r="L54" i="99"/>
  <c r="M54" i="99" s="1"/>
  <c r="L53" i="99"/>
  <c r="M53" i="99" s="1"/>
  <c r="L52" i="99"/>
  <c r="M52" i="99" s="1"/>
  <c r="M51" i="99"/>
  <c r="L51" i="99"/>
  <c r="L50" i="99"/>
  <c r="M50" i="99" s="1"/>
  <c r="L49" i="99"/>
  <c r="M49" i="99" s="1"/>
  <c r="L48" i="99"/>
  <c r="M48" i="99" s="1"/>
  <c r="M47" i="99"/>
  <c r="L47" i="99"/>
  <c r="L46" i="99"/>
  <c r="M46" i="99" s="1"/>
  <c r="L45" i="99"/>
  <c r="M45" i="99" s="1"/>
  <c r="L44" i="99"/>
  <c r="M44" i="99" s="1"/>
  <c r="L43" i="99"/>
  <c r="M43" i="99" s="1"/>
  <c r="L42" i="99"/>
  <c r="M42" i="99" s="1"/>
  <c r="L41" i="99"/>
  <c r="M41" i="99" s="1"/>
  <c r="L40" i="99"/>
  <c r="M40" i="99" s="1"/>
  <c r="L39" i="99"/>
  <c r="M39" i="99" s="1"/>
  <c r="L38" i="99"/>
  <c r="M38" i="99" s="1"/>
  <c r="L37" i="99"/>
  <c r="M37" i="99" s="1"/>
  <c r="L36" i="99"/>
  <c r="M36" i="99" s="1"/>
  <c r="L35" i="99"/>
  <c r="M35" i="99" s="1"/>
  <c r="L34" i="99"/>
  <c r="M34" i="99" s="1"/>
  <c r="L33" i="99"/>
  <c r="M33" i="99" s="1"/>
  <c r="L32" i="99"/>
  <c r="M32" i="99" s="1"/>
  <c r="L31" i="99"/>
  <c r="M31" i="99" s="1"/>
  <c r="L30" i="99"/>
  <c r="M30" i="99" s="1"/>
  <c r="L29" i="99"/>
  <c r="M29" i="99" s="1"/>
  <c r="L28" i="99"/>
  <c r="M28" i="99" s="1"/>
  <c r="L27" i="99"/>
  <c r="M27" i="99" s="1"/>
  <c r="L26" i="99"/>
  <c r="M26" i="99" s="1"/>
  <c r="L25" i="99"/>
  <c r="M25" i="99" s="1"/>
  <c r="L24" i="99"/>
  <c r="M24" i="99" s="1"/>
  <c r="L23" i="99"/>
  <c r="M23" i="99" s="1"/>
  <c r="L18" i="99"/>
  <c r="K18" i="99"/>
  <c r="L17" i="99"/>
  <c r="K17" i="99"/>
  <c r="L16" i="99"/>
  <c r="K16" i="99"/>
  <c r="L15" i="99"/>
  <c r="K15" i="99"/>
  <c r="E15" i="99"/>
  <c r="L14" i="99"/>
  <c r="K14" i="99"/>
  <c r="E14" i="99"/>
  <c r="L13" i="99"/>
  <c r="K13" i="99"/>
  <c r="I93" i="98"/>
  <c r="K84" i="98"/>
  <c r="J84" i="98"/>
  <c r="I84" i="98"/>
  <c r="K66" i="98"/>
  <c r="J66" i="98"/>
  <c r="I66" i="98"/>
  <c r="D66" i="98"/>
  <c r="H89" i="98" s="1"/>
  <c r="L65" i="98"/>
  <c r="M65" i="98" s="1"/>
  <c r="L64" i="98"/>
  <c r="M64" i="98" s="1"/>
  <c r="M63" i="98"/>
  <c r="L63" i="98"/>
  <c r="L62" i="98"/>
  <c r="M62" i="98" s="1"/>
  <c r="L61" i="98"/>
  <c r="M61" i="98" s="1"/>
  <c r="L60" i="98"/>
  <c r="M60" i="98" s="1"/>
  <c r="M59" i="98"/>
  <c r="L59" i="98"/>
  <c r="L58" i="98"/>
  <c r="M58" i="98" s="1"/>
  <c r="L57" i="98"/>
  <c r="M57" i="98" s="1"/>
  <c r="L56" i="98"/>
  <c r="M56" i="98" s="1"/>
  <c r="M55" i="98"/>
  <c r="L55" i="98"/>
  <c r="L54" i="98"/>
  <c r="M54" i="98" s="1"/>
  <c r="L53" i="98"/>
  <c r="M53" i="98" s="1"/>
  <c r="L52" i="98"/>
  <c r="M52" i="98" s="1"/>
  <c r="M51" i="98"/>
  <c r="L51" i="98"/>
  <c r="L50" i="98"/>
  <c r="M50" i="98" s="1"/>
  <c r="L49" i="98"/>
  <c r="M49" i="98" s="1"/>
  <c r="L48" i="98"/>
  <c r="M48" i="98" s="1"/>
  <c r="M47" i="98"/>
  <c r="L47" i="98"/>
  <c r="L46" i="98"/>
  <c r="M46" i="98" s="1"/>
  <c r="L45" i="98"/>
  <c r="M45" i="98" s="1"/>
  <c r="L44" i="98"/>
  <c r="M44" i="98" s="1"/>
  <c r="M43" i="98"/>
  <c r="L43" i="98"/>
  <c r="L42" i="98"/>
  <c r="M42" i="98" s="1"/>
  <c r="L41" i="98"/>
  <c r="M41" i="98" s="1"/>
  <c r="L40" i="98"/>
  <c r="M40" i="98" s="1"/>
  <c r="L39" i="98"/>
  <c r="M39" i="98" s="1"/>
  <c r="L38" i="98"/>
  <c r="M38" i="98" s="1"/>
  <c r="L37" i="98"/>
  <c r="M37" i="98" s="1"/>
  <c r="L36" i="98"/>
  <c r="M36" i="98" s="1"/>
  <c r="L35" i="98"/>
  <c r="M35" i="98" s="1"/>
  <c r="L34" i="98"/>
  <c r="M34" i="98" s="1"/>
  <c r="L33" i="98"/>
  <c r="M33" i="98" s="1"/>
  <c r="L32" i="98"/>
  <c r="M32" i="98" s="1"/>
  <c r="L31" i="98"/>
  <c r="M31" i="98" s="1"/>
  <c r="L30" i="98"/>
  <c r="M30" i="98" s="1"/>
  <c r="L29" i="98"/>
  <c r="M29" i="98" s="1"/>
  <c r="L28" i="98"/>
  <c r="M28" i="98" s="1"/>
  <c r="M27" i="98"/>
  <c r="L27" i="98"/>
  <c r="L26" i="98"/>
  <c r="M26" i="98" s="1"/>
  <c r="L25" i="98"/>
  <c r="M25" i="98" s="1"/>
  <c r="L24" i="98"/>
  <c r="M24" i="98" s="1"/>
  <c r="L23" i="98"/>
  <c r="M23" i="98" s="1"/>
  <c r="L18" i="98"/>
  <c r="K18" i="98"/>
  <c r="L17" i="98"/>
  <c r="K17" i="98"/>
  <c r="L16" i="98"/>
  <c r="K16" i="98"/>
  <c r="L15" i="98"/>
  <c r="K15" i="98"/>
  <c r="E15" i="98"/>
  <c r="L14" i="98"/>
  <c r="K14" i="98"/>
  <c r="E14" i="98"/>
  <c r="L13" i="98"/>
  <c r="K13" i="98"/>
  <c r="L66" i="99" l="1"/>
  <c r="L66" i="98"/>
  <c r="E16" i="99" l="1"/>
  <c r="E18" i="99"/>
  <c r="M66" i="99"/>
  <c r="L4" i="99"/>
  <c r="E18" i="98"/>
  <c r="M66" i="98"/>
  <c r="L4" i="98"/>
  <c r="E16" i="98"/>
  <c r="L3" i="99" l="1"/>
  <c r="E17" i="99"/>
  <c r="L3" i="98"/>
  <c r="E17" i="98"/>
  <c r="I93" i="97" l="1"/>
  <c r="K84" i="97"/>
  <c r="J84" i="97"/>
  <c r="I84" i="97"/>
  <c r="K66" i="97"/>
  <c r="J66" i="97"/>
  <c r="I66" i="97"/>
  <c r="E15" i="97" s="1"/>
  <c r="D66" i="97"/>
  <c r="H89" i="97" s="1"/>
  <c r="L65" i="97"/>
  <c r="M65" i="97" s="1"/>
  <c r="L64" i="97"/>
  <c r="M64" i="97" s="1"/>
  <c r="L63" i="97"/>
  <c r="M63" i="97" s="1"/>
  <c r="L62" i="97"/>
  <c r="M62" i="97" s="1"/>
  <c r="L61" i="97"/>
  <c r="M61" i="97" s="1"/>
  <c r="L60" i="97"/>
  <c r="M60" i="97" s="1"/>
  <c r="L59" i="97"/>
  <c r="M59" i="97" s="1"/>
  <c r="L58" i="97"/>
  <c r="M58" i="97" s="1"/>
  <c r="L57" i="97"/>
  <c r="M57" i="97" s="1"/>
  <c r="L56" i="97"/>
  <c r="M56" i="97" s="1"/>
  <c r="L55" i="97"/>
  <c r="M55" i="97" s="1"/>
  <c r="L54" i="97"/>
  <c r="M54" i="97" s="1"/>
  <c r="L53" i="97"/>
  <c r="M53" i="97" s="1"/>
  <c r="L52" i="97"/>
  <c r="M52" i="97" s="1"/>
  <c r="L51" i="97"/>
  <c r="M51" i="97" s="1"/>
  <c r="L50" i="97"/>
  <c r="M50" i="97" s="1"/>
  <c r="L49" i="97"/>
  <c r="M49" i="97" s="1"/>
  <c r="L48" i="97"/>
  <c r="M48" i="97" s="1"/>
  <c r="L47" i="97"/>
  <c r="M47" i="97" s="1"/>
  <c r="L46" i="97"/>
  <c r="M46" i="97" s="1"/>
  <c r="L45" i="97"/>
  <c r="M45" i="97" s="1"/>
  <c r="L44" i="97"/>
  <c r="M44" i="97" s="1"/>
  <c r="L43" i="97"/>
  <c r="M43" i="97" s="1"/>
  <c r="L42" i="97"/>
  <c r="M42" i="97" s="1"/>
  <c r="L41" i="97"/>
  <c r="M41" i="97" s="1"/>
  <c r="L40" i="97"/>
  <c r="M40" i="97" s="1"/>
  <c r="L39" i="97"/>
  <c r="M39" i="97" s="1"/>
  <c r="L38" i="97"/>
  <c r="M38" i="97" s="1"/>
  <c r="L37" i="97"/>
  <c r="M37" i="97" s="1"/>
  <c r="L36" i="97"/>
  <c r="M36" i="97" s="1"/>
  <c r="L35" i="97"/>
  <c r="M35" i="97" s="1"/>
  <c r="L34" i="97"/>
  <c r="M34" i="97" s="1"/>
  <c r="L33" i="97"/>
  <c r="M33" i="97" s="1"/>
  <c r="L32" i="97"/>
  <c r="M32" i="97" s="1"/>
  <c r="L31" i="97"/>
  <c r="M31" i="97" s="1"/>
  <c r="L30" i="97"/>
  <c r="M30" i="97" s="1"/>
  <c r="L29" i="97"/>
  <c r="M29" i="97" s="1"/>
  <c r="L28" i="97"/>
  <c r="M28" i="97" s="1"/>
  <c r="L27" i="97"/>
  <c r="M27" i="97" s="1"/>
  <c r="L26" i="97"/>
  <c r="M26" i="97" s="1"/>
  <c r="L25" i="97"/>
  <c r="M25" i="97" s="1"/>
  <c r="L24" i="97"/>
  <c r="M24" i="97" s="1"/>
  <c r="L23" i="97"/>
  <c r="M23" i="97" s="1"/>
  <c r="K18" i="97"/>
  <c r="L17" i="97"/>
  <c r="K17" i="97"/>
  <c r="L16" i="97"/>
  <c r="K16" i="97"/>
  <c r="L15" i="97"/>
  <c r="K15" i="97"/>
  <c r="K14" i="97"/>
  <c r="K13" i="97"/>
  <c r="I93" i="96"/>
  <c r="K84" i="96"/>
  <c r="J84" i="96"/>
  <c r="I84" i="96"/>
  <c r="K66" i="96"/>
  <c r="J66" i="96"/>
  <c r="I66" i="96"/>
  <c r="E15" i="96" s="1"/>
  <c r="D66" i="96"/>
  <c r="E14" i="96" s="1"/>
  <c r="L65" i="96"/>
  <c r="M65" i="96" s="1"/>
  <c r="L64" i="96"/>
  <c r="M64" i="96" s="1"/>
  <c r="L63" i="96"/>
  <c r="M63" i="96" s="1"/>
  <c r="M62" i="96"/>
  <c r="L62" i="96"/>
  <c r="L61" i="96"/>
  <c r="M61" i="96" s="1"/>
  <c r="L60" i="96"/>
  <c r="M60" i="96" s="1"/>
  <c r="L59" i="96"/>
  <c r="M59" i="96" s="1"/>
  <c r="M58" i="96"/>
  <c r="L58" i="96"/>
  <c r="L57" i="96"/>
  <c r="M57" i="96" s="1"/>
  <c r="L56" i="96"/>
  <c r="M56" i="96" s="1"/>
  <c r="L55" i="96"/>
  <c r="M55" i="96" s="1"/>
  <c r="M54" i="96"/>
  <c r="L54" i="96"/>
  <c r="L53" i="96"/>
  <c r="M53" i="96" s="1"/>
  <c r="L52" i="96"/>
  <c r="M52" i="96" s="1"/>
  <c r="L51" i="96"/>
  <c r="M51" i="96" s="1"/>
  <c r="M50" i="96"/>
  <c r="L50" i="96"/>
  <c r="L49" i="96"/>
  <c r="M49" i="96" s="1"/>
  <c r="L48" i="96"/>
  <c r="M48" i="96" s="1"/>
  <c r="L47" i="96"/>
  <c r="M47" i="96" s="1"/>
  <c r="M46" i="96"/>
  <c r="L46" i="96"/>
  <c r="L45" i="96"/>
  <c r="M45" i="96" s="1"/>
  <c r="L44" i="96"/>
  <c r="M44" i="96" s="1"/>
  <c r="L43" i="96"/>
  <c r="M43" i="96" s="1"/>
  <c r="M42" i="96"/>
  <c r="L42" i="96"/>
  <c r="L41" i="96"/>
  <c r="M41" i="96" s="1"/>
  <c r="L40" i="96"/>
  <c r="M40" i="96" s="1"/>
  <c r="L39" i="96"/>
  <c r="M39" i="96" s="1"/>
  <c r="M38" i="96"/>
  <c r="L38" i="96"/>
  <c r="L37" i="96"/>
  <c r="M37" i="96" s="1"/>
  <c r="L36" i="96"/>
  <c r="M36" i="96" s="1"/>
  <c r="L35" i="96"/>
  <c r="M35" i="96" s="1"/>
  <c r="L34" i="96"/>
  <c r="M34" i="96" s="1"/>
  <c r="L33" i="96"/>
  <c r="M33" i="96" s="1"/>
  <c r="L32" i="96"/>
  <c r="M32" i="96" s="1"/>
  <c r="L31" i="96"/>
  <c r="M31" i="96" s="1"/>
  <c r="L30" i="96"/>
  <c r="M30" i="96" s="1"/>
  <c r="L29" i="96"/>
  <c r="M29" i="96" s="1"/>
  <c r="L28" i="96"/>
  <c r="M28" i="96" s="1"/>
  <c r="L27" i="96"/>
  <c r="M27" i="96" s="1"/>
  <c r="M26" i="96"/>
  <c r="L26" i="96"/>
  <c r="L25" i="96"/>
  <c r="M25" i="96" s="1"/>
  <c r="L24" i="96"/>
  <c r="M24" i="96" s="1"/>
  <c r="L23" i="96"/>
  <c r="M23" i="96" s="1"/>
  <c r="L18" i="96"/>
  <c r="K18" i="96"/>
  <c r="L17" i="96"/>
  <c r="K17" i="96"/>
  <c r="L16" i="96"/>
  <c r="K16" i="96"/>
  <c r="L15" i="96"/>
  <c r="K15" i="96"/>
  <c r="L14" i="96"/>
  <c r="K14" i="96"/>
  <c r="L13" i="96"/>
  <c r="K13" i="96"/>
  <c r="I93" i="95"/>
  <c r="K84" i="95"/>
  <c r="J84" i="95"/>
  <c r="I84" i="95"/>
  <c r="K66" i="95"/>
  <c r="J66" i="95"/>
  <c r="I66" i="95"/>
  <c r="E15" i="95" s="1"/>
  <c r="D66" i="95"/>
  <c r="H89" i="95" s="1"/>
  <c r="L65" i="95"/>
  <c r="M65" i="95" s="1"/>
  <c r="L64" i="95"/>
  <c r="M64" i="95" s="1"/>
  <c r="L63" i="95"/>
  <c r="M63" i="95" s="1"/>
  <c r="L62" i="95"/>
  <c r="M62" i="95" s="1"/>
  <c r="L61" i="95"/>
  <c r="M61" i="95" s="1"/>
  <c r="L60" i="95"/>
  <c r="M60" i="95" s="1"/>
  <c r="L59" i="95"/>
  <c r="M59" i="95" s="1"/>
  <c r="L58" i="95"/>
  <c r="M58" i="95" s="1"/>
  <c r="L57" i="95"/>
  <c r="M57" i="95" s="1"/>
  <c r="L56" i="95"/>
  <c r="M56" i="95" s="1"/>
  <c r="L55" i="95"/>
  <c r="M55" i="95" s="1"/>
  <c r="L54" i="95"/>
  <c r="M54" i="95" s="1"/>
  <c r="L53" i="95"/>
  <c r="M53" i="95" s="1"/>
  <c r="L52" i="95"/>
  <c r="M52" i="95" s="1"/>
  <c r="L51" i="95"/>
  <c r="M51" i="95" s="1"/>
  <c r="L50" i="95"/>
  <c r="M50" i="95" s="1"/>
  <c r="L49" i="95"/>
  <c r="M49" i="95" s="1"/>
  <c r="L48" i="95"/>
  <c r="M48" i="95" s="1"/>
  <c r="L47" i="95"/>
  <c r="M47" i="95" s="1"/>
  <c r="L46" i="95"/>
  <c r="M46" i="95" s="1"/>
  <c r="L45" i="95"/>
  <c r="M45" i="95" s="1"/>
  <c r="L44" i="95"/>
  <c r="M44" i="95" s="1"/>
  <c r="L43" i="95"/>
  <c r="M43" i="95" s="1"/>
  <c r="L42" i="95"/>
  <c r="M42" i="95" s="1"/>
  <c r="L41" i="95"/>
  <c r="M41" i="95" s="1"/>
  <c r="L40" i="95"/>
  <c r="M40" i="95" s="1"/>
  <c r="L39" i="95"/>
  <c r="M39" i="95" s="1"/>
  <c r="L38" i="95"/>
  <c r="M38" i="95" s="1"/>
  <c r="L37" i="95"/>
  <c r="M37" i="95" s="1"/>
  <c r="L36" i="95"/>
  <c r="M36" i="95" s="1"/>
  <c r="L35" i="95"/>
  <c r="M35" i="95" s="1"/>
  <c r="L34" i="95"/>
  <c r="M34" i="95" s="1"/>
  <c r="L33" i="95"/>
  <c r="M33" i="95" s="1"/>
  <c r="L32" i="95"/>
  <c r="M32" i="95" s="1"/>
  <c r="L31" i="95"/>
  <c r="M31" i="95" s="1"/>
  <c r="L30" i="95"/>
  <c r="M30" i="95" s="1"/>
  <c r="L29" i="95"/>
  <c r="M29" i="95" s="1"/>
  <c r="L28" i="95"/>
  <c r="M28" i="95" s="1"/>
  <c r="L27" i="95"/>
  <c r="M27" i="95" s="1"/>
  <c r="L26" i="95"/>
  <c r="M26" i="95" s="1"/>
  <c r="L25" i="95"/>
  <c r="M25" i="95" s="1"/>
  <c r="L24" i="95"/>
  <c r="M24" i="95" s="1"/>
  <c r="L23" i="95"/>
  <c r="M23" i="95" s="1"/>
  <c r="L18" i="95"/>
  <c r="K18" i="95"/>
  <c r="L17" i="95"/>
  <c r="K17" i="95"/>
  <c r="L16" i="95"/>
  <c r="K16" i="95"/>
  <c r="L15" i="95"/>
  <c r="K15" i="95"/>
  <c r="L14" i="95"/>
  <c r="K14" i="95"/>
  <c r="K13" i="95"/>
  <c r="I93" i="94"/>
  <c r="K84" i="94"/>
  <c r="J84" i="94"/>
  <c r="I84" i="94"/>
  <c r="K66" i="94"/>
  <c r="J66" i="94"/>
  <c r="I66" i="94"/>
  <c r="D66" i="94"/>
  <c r="H89" i="94" s="1"/>
  <c r="L65" i="94"/>
  <c r="M65" i="94" s="1"/>
  <c r="L64" i="94"/>
  <c r="M64" i="94" s="1"/>
  <c r="M63" i="94"/>
  <c r="L63" i="94"/>
  <c r="L62" i="94"/>
  <c r="M62" i="94" s="1"/>
  <c r="L61" i="94"/>
  <c r="M61" i="94" s="1"/>
  <c r="L60" i="94"/>
  <c r="M60" i="94" s="1"/>
  <c r="M59" i="94"/>
  <c r="L59" i="94"/>
  <c r="L58" i="94"/>
  <c r="M58" i="94" s="1"/>
  <c r="L57" i="94"/>
  <c r="M57" i="94" s="1"/>
  <c r="L56" i="94"/>
  <c r="M56" i="94" s="1"/>
  <c r="M55" i="94"/>
  <c r="L55" i="94"/>
  <c r="L54" i="94"/>
  <c r="M54" i="94" s="1"/>
  <c r="L53" i="94"/>
  <c r="M53" i="94" s="1"/>
  <c r="L52" i="94"/>
  <c r="M52" i="94" s="1"/>
  <c r="M51" i="94"/>
  <c r="L51" i="94"/>
  <c r="L50" i="94"/>
  <c r="M50" i="94" s="1"/>
  <c r="L49" i="94"/>
  <c r="M49" i="94" s="1"/>
  <c r="L48" i="94"/>
  <c r="M48" i="94" s="1"/>
  <c r="M47" i="94"/>
  <c r="L47" i="94"/>
  <c r="L46" i="94"/>
  <c r="M46" i="94" s="1"/>
  <c r="L45" i="94"/>
  <c r="M45" i="94" s="1"/>
  <c r="L44" i="94"/>
  <c r="M44" i="94" s="1"/>
  <c r="M43" i="94"/>
  <c r="L43" i="94"/>
  <c r="L42" i="94"/>
  <c r="M42" i="94" s="1"/>
  <c r="L41" i="94"/>
  <c r="M41" i="94" s="1"/>
  <c r="L40" i="94"/>
  <c r="M40" i="94" s="1"/>
  <c r="L39" i="94"/>
  <c r="M39" i="94" s="1"/>
  <c r="L38" i="94"/>
  <c r="M38" i="94" s="1"/>
  <c r="L37" i="94"/>
  <c r="M37" i="94" s="1"/>
  <c r="L36" i="94"/>
  <c r="M36" i="94" s="1"/>
  <c r="M35" i="94"/>
  <c r="L35" i="94"/>
  <c r="L34" i="94"/>
  <c r="M34" i="94" s="1"/>
  <c r="L33" i="94"/>
  <c r="M33" i="94" s="1"/>
  <c r="L32" i="94"/>
  <c r="M32" i="94" s="1"/>
  <c r="M31" i="94"/>
  <c r="L31" i="94"/>
  <c r="L30" i="94"/>
  <c r="M30" i="94" s="1"/>
  <c r="L29" i="94"/>
  <c r="M29" i="94" s="1"/>
  <c r="L28" i="94"/>
  <c r="M28" i="94" s="1"/>
  <c r="M27" i="94"/>
  <c r="L27" i="94"/>
  <c r="L26" i="94"/>
  <c r="M26" i="94" s="1"/>
  <c r="L25" i="94"/>
  <c r="M25" i="94" s="1"/>
  <c r="L24" i="94"/>
  <c r="M24" i="94" s="1"/>
  <c r="L23" i="94"/>
  <c r="L13" i="94" s="1"/>
  <c r="L18" i="94"/>
  <c r="K18" i="94"/>
  <c r="L17" i="94"/>
  <c r="K17" i="94"/>
  <c r="L16" i="94"/>
  <c r="K16" i="94"/>
  <c r="L15" i="94"/>
  <c r="K15" i="94"/>
  <c r="E15" i="94"/>
  <c r="L14" i="94"/>
  <c r="K14" i="94"/>
  <c r="E14" i="94"/>
  <c r="K13" i="94"/>
  <c r="I93" i="93"/>
  <c r="K84" i="93"/>
  <c r="J84" i="93"/>
  <c r="I84" i="93"/>
  <c r="K66" i="93"/>
  <c r="J66" i="93"/>
  <c r="I66" i="93"/>
  <c r="D66" i="93"/>
  <c r="H89" i="93" s="1"/>
  <c r="L65" i="93"/>
  <c r="M65" i="93" s="1"/>
  <c r="L64" i="93"/>
  <c r="M64" i="93" s="1"/>
  <c r="L63" i="93"/>
  <c r="M63" i="93" s="1"/>
  <c r="M62" i="93"/>
  <c r="L62" i="93"/>
  <c r="L61" i="93"/>
  <c r="M61" i="93" s="1"/>
  <c r="L60" i="93"/>
  <c r="M60" i="93" s="1"/>
  <c r="L59" i="93"/>
  <c r="M59" i="93" s="1"/>
  <c r="M58" i="93"/>
  <c r="L58" i="93"/>
  <c r="L57" i="93"/>
  <c r="M57" i="93" s="1"/>
  <c r="L56" i="93"/>
  <c r="M56" i="93" s="1"/>
  <c r="L55" i="93"/>
  <c r="M55" i="93" s="1"/>
  <c r="M54" i="93"/>
  <c r="L54" i="93"/>
  <c r="L53" i="93"/>
  <c r="M53" i="93" s="1"/>
  <c r="L52" i="93"/>
  <c r="M52" i="93" s="1"/>
  <c r="L51" i="93"/>
  <c r="M51" i="93" s="1"/>
  <c r="M50" i="93"/>
  <c r="L50" i="93"/>
  <c r="L49" i="93"/>
  <c r="M49" i="93" s="1"/>
  <c r="L48" i="93"/>
  <c r="M48" i="93" s="1"/>
  <c r="L47" i="93"/>
  <c r="M47" i="93" s="1"/>
  <c r="M46" i="93"/>
  <c r="L46" i="93"/>
  <c r="L45" i="93"/>
  <c r="M45" i="93" s="1"/>
  <c r="L44" i="93"/>
  <c r="M44" i="93" s="1"/>
  <c r="L43" i="93"/>
  <c r="M43" i="93" s="1"/>
  <c r="M42" i="93"/>
  <c r="L42" i="93"/>
  <c r="L41" i="93"/>
  <c r="M41" i="93" s="1"/>
  <c r="L40" i="93"/>
  <c r="M40" i="93" s="1"/>
  <c r="L39" i="93"/>
  <c r="M39" i="93" s="1"/>
  <c r="M38" i="93"/>
  <c r="L38" i="93"/>
  <c r="L37" i="93"/>
  <c r="M37" i="93" s="1"/>
  <c r="L36" i="93"/>
  <c r="M36" i="93" s="1"/>
  <c r="L35" i="93"/>
  <c r="M35" i="93" s="1"/>
  <c r="M34" i="93"/>
  <c r="L34" i="93"/>
  <c r="L33" i="93"/>
  <c r="M33" i="93" s="1"/>
  <c r="L32" i="93"/>
  <c r="M32" i="93" s="1"/>
  <c r="L31" i="93"/>
  <c r="M31" i="93" s="1"/>
  <c r="L30" i="93"/>
  <c r="M30" i="93" s="1"/>
  <c r="L29" i="93"/>
  <c r="M29" i="93" s="1"/>
  <c r="L28" i="93"/>
  <c r="M28" i="93" s="1"/>
  <c r="L27" i="93"/>
  <c r="M27" i="93" s="1"/>
  <c r="L26" i="93"/>
  <c r="M26" i="93" s="1"/>
  <c r="L25" i="93"/>
  <c r="M25" i="93" s="1"/>
  <c r="L24" i="93"/>
  <c r="M24" i="93" s="1"/>
  <c r="L23" i="93"/>
  <c r="L18" i="93"/>
  <c r="K18" i="93"/>
  <c r="L17" i="93"/>
  <c r="K17" i="93"/>
  <c r="L16" i="93"/>
  <c r="K16" i="93"/>
  <c r="L15" i="93"/>
  <c r="K15" i="93"/>
  <c r="E15" i="93"/>
  <c r="L14" i="93"/>
  <c r="K14" i="93"/>
  <c r="E14" i="93"/>
  <c r="L13" i="93"/>
  <c r="K13" i="93"/>
  <c r="I93" i="92"/>
  <c r="K84" i="92"/>
  <c r="J84" i="92"/>
  <c r="I84" i="92"/>
  <c r="K66" i="92"/>
  <c r="J66" i="92"/>
  <c r="I66" i="92"/>
  <c r="D66" i="92"/>
  <c r="H89" i="92" s="1"/>
  <c r="L65" i="92"/>
  <c r="M65" i="92" s="1"/>
  <c r="L64" i="92"/>
  <c r="M64" i="92" s="1"/>
  <c r="M63" i="92"/>
  <c r="L63" i="92"/>
  <c r="L62" i="92"/>
  <c r="M62" i="92" s="1"/>
  <c r="M61" i="92"/>
  <c r="L61" i="92"/>
  <c r="L60" i="92"/>
  <c r="M60" i="92" s="1"/>
  <c r="M59" i="92"/>
  <c r="L59" i="92"/>
  <c r="L58" i="92"/>
  <c r="M58" i="92" s="1"/>
  <c r="M57" i="92"/>
  <c r="L57" i="92"/>
  <c r="L56" i="92"/>
  <c r="M56" i="92" s="1"/>
  <c r="M55" i="92"/>
  <c r="L55" i="92"/>
  <c r="L54" i="92"/>
  <c r="M54" i="92" s="1"/>
  <c r="M53" i="92"/>
  <c r="L53" i="92"/>
  <c r="L52" i="92"/>
  <c r="M52" i="92" s="1"/>
  <c r="M51" i="92"/>
  <c r="L51" i="92"/>
  <c r="L50" i="92"/>
  <c r="M50" i="92" s="1"/>
  <c r="M49" i="92"/>
  <c r="L49" i="92"/>
  <c r="L48" i="92"/>
  <c r="M48" i="92" s="1"/>
  <c r="M47" i="92"/>
  <c r="L47" i="92"/>
  <c r="L46" i="92"/>
  <c r="M46" i="92" s="1"/>
  <c r="M45" i="92"/>
  <c r="L45" i="92"/>
  <c r="L44" i="92"/>
  <c r="M44" i="92" s="1"/>
  <c r="M43" i="92"/>
  <c r="L43" i="92"/>
  <c r="L42" i="92"/>
  <c r="M42" i="92" s="1"/>
  <c r="M41" i="92"/>
  <c r="L41" i="92"/>
  <c r="L40" i="92"/>
  <c r="M40" i="92" s="1"/>
  <c r="M39" i="92"/>
  <c r="L39" i="92"/>
  <c r="L38" i="92"/>
  <c r="M38" i="92" s="1"/>
  <c r="L37" i="92"/>
  <c r="M37" i="92" s="1"/>
  <c r="L36" i="92"/>
  <c r="M36" i="92" s="1"/>
  <c r="L35" i="92"/>
  <c r="M35" i="92" s="1"/>
  <c r="L34" i="92"/>
  <c r="M34" i="92" s="1"/>
  <c r="L33" i="92"/>
  <c r="M33" i="92" s="1"/>
  <c r="L32" i="92"/>
  <c r="M32" i="92" s="1"/>
  <c r="L31" i="92"/>
  <c r="M31" i="92" s="1"/>
  <c r="L30" i="92"/>
  <c r="M30" i="92" s="1"/>
  <c r="M29" i="92"/>
  <c r="L29" i="92"/>
  <c r="L28" i="92"/>
  <c r="M28" i="92" s="1"/>
  <c r="M27" i="92"/>
  <c r="L27" i="92"/>
  <c r="L26" i="92"/>
  <c r="M26" i="92" s="1"/>
  <c r="L25" i="92"/>
  <c r="M25" i="92" s="1"/>
  <c r="L24" i="92"/>
  <c r="M24" i="92" s="1"/>
  <c r="L23" i="92"/>
  <c r="M23" i="92" s="1"/>
  <c r="L18" i="92"/>
  <c r="K18" i="92"/>
  <c r="L17" i="92"/>
  <c r="K17" i="92"/>
  <c r="L16" i="92"/>
  <c r="K16" i="92"/>
  <c r="L15" i="92"/>
  <c r="K15" i="92"/>
  <c r="E15" i="92"/>
  <c r="L14" i="92"/>
  <c r="K14" i="92"/>
  <c r="E14" i="92"/>
  <c r="L13" i="92"/>
  <c r="K13" i="92"/>
  <c r="L13" i="95" l="1"/>
  <c r="M23" i="94"/>
  <c r="L13" i="97"/>
  <c r="L14" i="97"/>
  <c r="L18" i="97"/>
  <c r="L66" i="93"/>
  <c r="E14" i="95"/>
  <c r="E14" i="97"/>
  <c r="L66" i="95"/>
  <c r="L66" i="97"/>
  <c r="H89" i="96"/>
  <c r="L66" i="96"/>
  <c r="M66" i="93"/>
  <c r="E16" i="93"/>
  <c r="L4" i="93"/>
  <c r="E18" i="93"/>
  <c r="L66" i="94"/>
  <c r="M23" i="93"/>
  <c r="L66" i="92"/>
  <c r="K76" i="90"/>
  <c r="E16" i="95" l="1"/>
  <c r="E18" i="95"/>
  <c r="M66" i="95"/>
  <c r="L4" i="95"/>
  <c r="M66" i="96"/>
  <c r="E16" i="96"/>
  <c r="L4" i="96"/>
  <c r="E18" i="96"/>
  <c r="E16" i="97"/>
  <c r="L4" i="97"/>
  <c r="E18" i="97"/>
  <c r="M66" i="97"/>
  <c r="E17" i="93"/>
  <c r="L3" i="93"/>
  <c r="E16" i="94"/>
  <c r="L4" i="94"/>
  <c r="E18" i="94"/>
  <c r="M66" i="94"/>
  <c r="L4" i="92"/>
  <c r="E18" i="92"/>
  <c r="E16" i="92"/>
  <c r="M66" i="92"/>
  <c r="I93" i="91"/>
  <c r="K84" i="91"/>
  <c r="J84" i="91"/>
  <c r="I84" i="91"/>
  <c r="K66" i="91"/>
  <c r="J66" i="91"/>
  <c r="I66" i="91"/>
  <c r="E15" i="91" s="1"/>
  <c r="D66" i="91"/>
  <c r="H89" i="91" s="1"/>
  <c r="L65" i="91"/>
  <c r="M65" i="91" s="1"/>
  <c r="M64" i="91"/>
  <c r="L64" i="91"/>
  <c r="L63" i="91"/>
  <c r="M63" i="91" s="1"/>
  <c r="M62" i="91"/>
  <c r="L62" i="91"/>
  <c r="L61" i="91"/>
  <c r="M61" i="91" s="1"/>
  <c r="M60" i="91"/>
  <c r="L60" i="91"/>
  <c r="L59" i="91"/>
  <c r="M59" i="91" s="1"/>
  <c r="M58" i="91"/>
  <c r="L58" i="91"/>
  <c r="L57" i="91"/>
  <c r="M57" i="91" s="1"/>
  <c r="M56" i="91"/>
  <c r="L56" i="91"/>
  <c r="L55" i="91"/>
  <c r="M55" i="91" s="1"/>
  <c r="M54" i="91"/>
  <c r="L54" i="91"/>
  <c r="L53" i="91"/>
  <c r="M53" i="91" s="1"/>
  <c r="M52" i="91"/>
  <c r="L52" i="91"/>
  <c r="L51" i="91"/>
  <c r="M51" i="91" s="1"/>
  <c r="M50" i="91"/>
  <c r="L50" i="91"/>
  <c r="L49" i="91"/>
  <c r="M49" i="91" s="1"/>
  <c r="M48" i="91"/>
  <c r="L48" i="91"/>
  <c r="L47" i="91"/>
  <c r="M47" i="91" s="1"/>
  <c r="M46" i="91"/>
  <c r="L46" i="91"/>
  <c r="L45" i="91"/>
  <c r="M45" i="91" s="1"/>
  <c r="M44" i="91"/>
  <c r="L44" i="91"/>
  <c r="L43" i="91"/>
  <c r="M43" i="91" s="1"/>
  <c r="M42" i="91"/>
  <c r="L42" i="91"/>
  <c r="L41" i="91"/>
  <c r="M41" i="91" s="1"/>
  <c r="M40" i="91"/>
  <c r="L40" i="91"/>
  <c r="L39" i="91"/>
  <c r="M39" i="91" s="1"/>
  <c r="M38" i="91"/>
  <c r="L38" i="91"/>
  <c r="L37" i="91"/>
  <c r="M37" i="91" s="1"/>
  <c r="M36" i="91"/>
  <c r="L36" i="91"/>
  <c r="L35" i="91"/>
  <c r="M35" i="91" s="1"/>
  <c r="M34" i="91"/>
  <c r="L34" i="91"/>
  <c r="L33" i="91"/>
  <c r="M33" i="91" s="1"/>
  <c r="M32" i="91"/>
  <c r="L32" i="91"/>
  <c r="L31" i="91"/>
  <c r="M31" i="91" s="1"/>
  <c r="M30" i="91"/>
  <c r="L30" i="91"/>
  <c r="L29" i="91"/>
  <c r="M29" i="91" s="1"/>
  <c r="M28" i="91"/>
  <c r="L28" i="91"/>
  <c r="L27" i="91"/>
  <c r="M27" i="91" s="1"/>
  <c r="L26" i="91"/>
  <c r="M26" i="91" s="1"/>
  <c r="L25" i="91"/>
  <c r="M25" i="91" s="1"/>
  <c r="L24" i="91"/>
  <c r="L14" i="91" s="1"/>
  <c r="L23" i="91"/>
  <c r="L18" i="91"/>
  <c r="K18" i="91"/>
  <c r="L17" i="91"/>
  <c r="K17" i="91"/>
  <c r="L16" i="91"/>
  <c r="K16" i="91"/>
  <c r="L15" i="91"/>
  <c r="K15" i="91"/>
  <c r="K14" i="91"/>
  <c r="E14" i="91"/>
  <c r="L13" i="91"/>
  <c r="K13" i="91"/>
  <c r="I93" i="90"/>
  <c r="K84" i="90"/>
  <c r="J84" i="90"/>
  <c r="I84" i="90"/>
  <c r="K66" i="90"/>
  <c r="J66" i="90"/>
  <c r="I66" i="90"/>
  <c r="E15" i="90" s="1"/>
  <c r="D66" i="90"/>
  <c r="E14" i="90" s="1"/>
  <c r="L65" i="90"/>
  <c r="M65" i="90" s="1"/>
  <c r="M64" i="90"/>
  <c r="L64" i="90"/>
  <c r="L63" i="90"/>
  <c r="M63" i="90" s="1"/>
  <c r="M62" i="90"/>
  <c r="L62" i="90"/>
  <c r="L61" i="90"/>
  <c r="M61" i="90" s="1"/>
  <c r="M60" i="90"/>
  <c r="L60" i="90"/>
  <c r="L59" i="90"/>
  <c r="M59" i="90" s="1"/>
  <c r="M58" i="90"/>
  <c r="L58" i="90"/>
  <c r="L57" i="90"/>
  <c r="M57" i="90" s="1"/>
  <c r="M56" i="90"/>
  <c r="L56" i="90"/>
  <c r="L55" i="90"/>
  <c r="M55" i="90" s="1"/>
  <c r="M54" i="90"/>
  <c r="L54" i="90"/>
  <c r="L53" i="90"/>
  <c r="M53" i="90" s="1"/>
  <c r="M52" i="90"/>
  <c r="L52" i="90"/>
  <c r="L51" i="90"/>
  <c r="M51" i="90" s="1"/>
  <c r="M50" i="90"/>
  <c r="L50" i="90"/>
  <c r="L49" i="90"/>
  <c r="M49" i="90" s="1"/>
  <c r="M48" i="90"/>
  <c r="L48" i="90"/>
  <c r="L47" i="90"/>
  <c r="M47" i="90" s="1"/>
  <c r="M46" i="90"/>
  <c r="L46" i="90"/>
  <c r="L45" i="90"/>
  <c r="M45" i="90" s="1"/>
  <c r="M44" i="90"/>
  <c r="L44" i="90"/>
  <c r="L43" i="90"/>
  <c r="M43" i="90" s="1"/>
  <c r="M42" i="90"/>
  <c r="L42" i="90"/>
  <c r="L41" i="90"/>
  <c r="M41" i="90" s="1"/>
  <c r="M40" i="90"/>
  <c r="L40" i="90"/>
  <c r="L39" i="90"/>
  <c r="M39" i="90" s="1"/>
  <c r="M38" i="90"/>
  <c r="L38" i="90"/>
  <c r="L37" i="90"/>
  <c r="M37" i="90" s="1"/>
  <c r="M36" i="90"/>
  <c r="L36" i="90"/>
  <c r="L35" i="90"/>
  <c r="M35" i="90" s="1"/>
  <c r="M34" i="90"/>
  <c r="L34" i="90"/>
  <c r="L33" i="90"/>
  <c r="M33" i="90" s="1"/>
  <c r="M32" i="90"/>
  <c r="L32" i="90"/>
  <c r="L31" i="90"/>
  <c r="M31" i="90" s="1"/>
  <c r="L30" i="90"/>
  <c r="M30" i="90" s="1"/>
  <c r="L29" i="90"/>
  <c r="M29" i="90" s="1"/>
  <c r="M28" i="90"/>
  <c r="L28" i="90"/>
  <c r="L27" i="90"/>
  <c r="M27" i="90" s="1"/>
  <c r="L26" i="90"/>
  <c r="M26" i="90" s="1"/>
  <c r="L25" i="90"/>
  <c r="M25" i="90" s="1"/>
  <c r="M24" i="90"/>
  <c r="L24" i="90"/>
  <c r="L23" i="90"/>
  <c r="L66" i="90" s="1"/>
  <c r="L18" i="90"/>
  <c r="K18" i="90"/>
  <c r="L17" i="90"/>
  <c r="K17" i="90"/>
  <c r="L16" i="90"/>
  <c r="K16" i="90"/>
  <c r="L15" i="90"/>
  <c r="K15" i="90"/>
  <c r="L14" i="90"/>
  <c r="K14" i="90"/>
  <c r="K13" i="90"/>
  <c r="I93" i="89"/>
  <c r="K84" i="89"/>
  <c r="J84" i="89"/>
  <c r="I84" i="89"/>
  <c r="K66" i="89"/>
  <c r="J66" i="89"/>
  <c r="I66" i="89"/>
  <c r="D66" i="89"/>
  <c r="H89" i="89" s="1"/>
  <c r="M65" i="89"/>
  <c r="L65" i="89"/>
  <c r="M64" i="89"/>
  <c r="L64" i="89"/>
  <c r="M63" i="89"/>
  <c r="L63" i="89"/>
  <c r="L62" i="89"/>
  <c r="M62" i="89" s="1"/>
  <c r="M61" i="89"/>
  <c r="L61" i="89"/>
  <c r="M60" i="89"/>
  <c r="L60" i="89"/>
  <c r="M59" i="89"/>
  <c r="L59" i="89"/>
  <c r="L58" i="89"/>
  <c r="M58" i="89" s="1"/>
  <c r="M57" i="89"/>
  <c r="L57" i="89"/>
  <c r="M56" i="89"/>
  <c r="L56" i="89"/>
  <c r="M55" i="89"/>
  <c r="L55" i="89"/>
  <c r="L54" i="89"/>
  <c r="M54" i="89" s="1"/>
  <c r="M53" i="89"/>
  <c r="L53" i="89"/>
  <c r="M52" i="89"/>
  <c r="L52" i="89"/>
  <c r="M51" i="89"/>
  <c r="L51" i="89"/>
  <c r="L50" i="89"/>
  <c r="M50" i="89" s="1"/>
  <c r="M49" i="89"/>
  <c r="L49" i="89"/>
  <c r="M48" i="89"/>
  <c r="L48" i="89"/>
  <c r="M47" i="89"/>
  <c r="L47" i="89"/>
  <c r="L46" i="89"/>
  <c r="M46" i="89" s="1"/>
  <c r="M45" i="89"/>
  <c r="L45" i="89"/>
  <c r="M44" i="89"/>
  <c r="L44" i="89"/>
  <c r="M43" i="89"/>
  <c r="L43" i="89"/>
  <c r="L42" i="89"/>
  <c r="M42" i="89" s="1"/>
  <c r="M41" i="89"/>
  <c r="L41" i="89"/>
  <c r="L40" i="89"/>
  <c r="M40" i="89" s="1"/>
  <c r="L39" i="89"/>
  <c r="M39" i="89" s="1"/>
  <c r="L38" i="89"/>
  <c r="M38" i="89" s="1"/>
  <c r="L37" i="89"/>
  <c r="M37" i="89" s="1"/>
  <c r="M36" i="89"/>
  <c r="L36" i="89"/>
  <c r="L35" i="89"/>
  <c r="M35" i="89" s="1"/>
  <c r="L34" i="89"/>
  <c r="M34" i="89" s="1"/>
  <c r="M33" i="89"/>
  <c r="L33" i="89"/>
  <c r="L32" i="89"/>
  <c r="M32" i="89" s="1"/>
  <c r="M31" i="89"/>
  <c r="L31" i="89"/>
  <c r="L30" i="89"/>
  <c r="M30" i="89" s="1"/>
  <c r="M29" i="89"/>
  <c r="L29" i="89"/>
  <c r="L28" i="89"/>
  <c r="M28" i="89" s="1"/>
  <c r="L27" i="89"/>
  <c r="M27" i="89" s="1"/>
  <c r="L26" i="89"/>
  <c r="M26" i="89" s="1"/>
  <c r="L25" i="89"/>
  <c r="M25" i="89" s="1"/>
  <c r="M24" i="89"/>
  <c r="L24" i="89"/>
  <c r="L23" i="89"/>
  <c r="M23" i="89" s="1"/>
  <c r="L18" i="89"/>
  <c r="K18" i="89"/>
  <c r="L17" i="89"/>
  <c r="K17" i="89"/>
  <c r="L16" i="89"/>
  <c r="K16" i="89"/>
  <c r="L15" i="89"/>
  <c r="K15" i="89"/>
  <c r="E15" i="89"/>
  <c r="L14" i="89"/>
  <c r="K14" i="89"/>
  <c r="E14" i="89"/>
  <c r="L13" i="89"/>
  <c r="K13" i="89"/>
  <c r="I93" i="88"/>
  <c r="K84" i="88"/>
  <c r="J84" i="88"/>
  <c r="I84" i="88"/>
  <c r="K66" i="88"/>
  <c r="J66" i="88"/>
  <c r="I66" i="88"/>
  <c r="D66" i="88"/>
  <c r="H89" i="88" s="1"/>
  <c r="L65" i="88"/>
  <c r="M65" i="88" s="1"/>
  <c r="L64" i="88"/>
  <c r="M64" i="88" s="1"/>
  <c r="L63" i="88"/>
  <c r="M63" i="88" s="1"/>
  <c r="L62" i="88"/>
  <c r="M62" i="88" s="1"/>
  <c r="L61" i="88"/>
  <c r="M61" i="88" s="1"/>
  <c r="L60" i="88"/>
  <c r="M60" i="88" s="1"/>
  <c r="L59" i="88"/>
  <c r="M59" i="88" s="1"/>
  <c r="L58" i="88"/>
  <c r="M58" i="88" s="1"/>
  <c r="L57" i="88"/>
  <c r="M57" i="88" s="1"/>
  <c r="L56" i="88"/>
  <c r="M56" i="88" s="1"/>
  <c r="L55" i="88"/>
  <c r="M55" i="88" s="1"/>
  <c r="L54" i="88"/>
  <c r="M54" i="88" s="1"/>
  <c r="L53" i="88"/>
  <c r="M53" i="88" s="1"/>
  <c r="L52" i="88"/>
  <c r="M52" i="88" s="1"/>
  <c r="L51" i="88"/>
  <c r="M51" i="88" s="1"/>
  <c r="L50" i="88"/>
  <c r="M50" i="88" s="1"/>
  <c r="L49" i="88"/>
  <c r="M49" i="88" s="1"/>
  <c r="L48" i="88"/>
  <c r="M48" i="88" s="1"/>
  <c r="L47" i="88"/>
  <c r="M47" i="88" s="1"/>
  <c r="L46" i="88"/>
  <c r="M46" i="88" s="1"/>
  <c r="L45" i="88"/>
  <c r="M45" i="88" s="1"/>
  <c r="L44" i="88"/>
  <c r="M44" i="88" s="1"/>
  <c r="L43" i="88"/>
  <c r="M43" i="88" s="1"/>
  <c r="L42" i="88"/>
  <c r="M42" i="88" s="1"/>
  <c r="L41" i="88"/>
  <c r="M41" i="88" s="1"/>
  <c r="L40" i="88"/>
  <c r="M40" i="88" s="1"/>
  <c r="L39" i="88"/>
  <c r="M39" i="88" s="1"/>
  <c r="L38" i="88"/>
  <c r="M38" i="88" s="1"/>
  <c r="L37" i="88"/>
  <c r="M37" i="88" s="1"/>
  <c r="L36" i="88"/>
  <c r="M36" i="88" s="1"/>
  <c r="L35" i="88"/>
  <c r="M35" i="88" s="1"/>
  <c r="L34" i="88"/>
  <c r="M34" i="88" s="1"/>
  <c r="L33" i="88"/>
  <c r="M33" i="88" s="1"/>
  <c r="L32" i="88"/>
  <c r="M32" i="88" s="1"/>
  <c r="L31" i="88"/>
  <c r="M31" i="88" s="1"/>
  <c r="L30" i="88"/>
  <c r="M30" i="88" s="1"/>
  <c r="L29" i="88"/>
  <c r="M29" i="88" s="1"/>
  <c r="L28" i="88"/>
  <c r="M28" i="88" s="1"/>
  <c r="L27" i="88"/>
  <c r="M27" i="88" s="1"/>
  <c r="L26" i="88"/>
  <c r="M26" i="88" s="1"/>
  <c r="L25" i="88"/>
  <c r="M25" i="88" s="1"/>
  <c r="L24" i="88"/>
  <c r="M24" i="88" s="1"/>
  <c r="L23" i="88"/>
  <c r="L18" i="88"/>
  <c r="K18" i="88"/>
  <c r="L17" i="88"/>
  <c r="K17" i="88"/>
  <c r="L16" i="88"/>
  <c r="K16" i="88"/>
  <c r="L15" i="88"/>
  <c r="K15" i="88"/>
  <c r="E15" i="88"/>
  <c r="L14" i="88"/>
  <c r="K14" i="88"/>
  <c r="E14" i="88"/>
  <c r="L13" i="88"/>
  <c r="K13" i="88"/>
  <c r="L3" i="95" l="1"/>
  <c r="E17" i="95"/>
  <c r="E17" i="96"/>
  <c r="L3" i="96"/>
  <c r="L3" i="97"/>
  <c r="E17" i="97"/>
  <c r="L3" i="94"/>
  <c r="E17" i="94"/>
  <c r="L3" i="92"/>
  <c r="E17" i="92"/>
  <c r="L66" i="88"/>
  <c r="M24" i="91"/>
  <c r="L66" i="91"/>
  <c r="E16" i="91" s="1"/>
  <c r="H89" i="90"/>
  <c r="L13" i="90"/>
  <c r="L66" i="89"/>
  <c r="L4" i="91"/>
  <c r="E18" i="91"/>
  <c r="M66" i="91"/>
  <c r="M66" i="90"/>
  <c r="E16" i="90"/>
  <c r="L4" i="90"/>
  <c r="E18" i="90"/>
  <c r="M23" i="91"/>
  <c r="M23" i="90"/>
  <c r="E16" i="89"/>
  <c r="L4" i="89"/>
  <c r="E18" i="89"/>
  <c r="M66" i="89"/>
  <c r="E18" i="88"/>
  <c r="E16" i="88"/>
  <c r="L4" i="88"/>
  <c r="M66" i="88"/>
  <c r="M23" i="88"/>
  <c r="I82" i="86"/>
  <c r="I81" i="86"/>
  <c r="I80" i="86"/>
  <c r="I79" i="86"/>
  <c r="I78" i="86"/>
  <c r="I76" i="86"/>
  <c r="I75" i="86"/>
  <c r="I74" i="86"/>
  <c r="I73" i="86"/>
  <c r="I72" i="86"/>
  <c r="I71" i="86"/>
  <c r="E17" i="90" l="1"/>
  <c r="L3" i="90"/>
  <c r="L3" i="91"/>
  <c r="E17" i="91"/>
  <c r="L3" i="89"/>
  <c r="E17" i="89"/>
  <c r="L3" i="88"/>
  <c r="E17" i="88"/>
  <c r="I81" i="85"/>
  <c r="I73" i="85"/>
  <c r="I72" i="85"/>
  <c r="I71" i="85"/>
  <c r="I93" i="87" l="1"/>
  <c r="K84" i="87"/>
  <c r="J84" i="87"/>
  <c r="I84" i="87"/>
  <c r="K66" i="87"/>
  <c r="J66" i="87"/>
  <c r="I66" i="87"/>
  <c r="D66" i="87"/>
  <c r="H89" i="87" s="1"/>
  <c r="L65" i="87"/>
  <c r="M65" i="87" s="1"/>
  <c r="L64" i="87"/>
  <c r="M64" i="87" s="1"/>
  <c r="M63" i="87"/>
  <c r="L63" i="87"/>
  <c r="L62" i="87"/>
  <c r="M62" i="87" s="1"/>
  <c r="L61" i="87"/>
  <c r="M61" i="87" s="1"/>
  <c r="L60" i="87"/>
  <c r="M60" i="87" s="1"/>
  <c r="M59" i="87"/>
  <c r="L59" i="87"/>
  <c r="L58" i="87"/>
  <c r="M58" i="87" s="1"/>
  <c r="L57" i="87"/>
  <c r="M57" i="87" s="1"/>
  <c r="L56" i="87"/>
  <c r="M56" i="87" s="1"/>
  <c r="M55" i="87"/>
  <c r="L55" i="87"/>
  <c r="L54" i="87"/>
  <c r="M54" i="87" s="1"/>
  <c r="L53" i="87"/>
  <c r="M53" i="87" s="1"/>
  <c r="L52" i="87"/>
  <c r="M52" i="87" s="1"/>
  <c r="M51" i="87"/>
  <c r="L51" i="87"/>
  <c r="L50" i="87"/>
  <c r="M50" i="87" s="1"/>
  <c r="L49" i="87"/>
  <c r="M49" i="87" s="1"/>
  <c r="L48" i="87"/>
  <c r="M48" i="87" s="1"/>
  <c r="M47" i="87"/>
  <c r="L47" i="87"/>
  <c r="L46" i="87"/>
  <c r="M46" i="87" s="1"/>
  <c r="L45" i="87"/>
  <c r="M45" i="87" s="1"/>
  <c r="L44" i="87"/>
  <c r="M44" i="87" s="1"/>
  <c r="M43" i="87"/>
  <c r="L43" i="87"/>
  <c r="L42" i="87"/>
  <c r="M42" i="87" s="1"/>
  <c r="L41" i="87"/>
  <c r="M41" i="87" s="1"/>
  <c r="L40" i="87"/>
  <c r="M40" i="87" s="1"/>
  <c r="M39" i="87"/>
  <c r="L39" i="87"/>
  <c r="L38" i="87"/>
  <c r="M38" i="87" s="1"/>
  <c r="L37" i="87"/>
  <c r="M37" i="87" s="1"/>
  <c r="L36" i="87"/>
  <c r="M36" i="87" s="1"/>
  <c r="L35" i="87"/>
  <c r="M35" i="87" s="1"/>
  <c r="L34" i="87"/>
  <c r="M34" i="87" s="1"/>
  <c r="L33" i="87"/>
  <c r="M33" i="87" s="1"/>
  <c r="L32" i="87"/>
  <c r="M32" i="87" s="1"/>
  <c r="L31" i="87"/>
  <c r="M31" i="87" s="1"/>
  <c r="L30" i="87"/>
  <c r="M30" i="87" s="1"/>
  <c r="L29" i="87"/>
  <c r="M29" i="87" s="1"/>
  <c r="L28" i="87"/>
  <c r="M28" i="87" s="1"/>
  <c r="M27" i="87"/>
  <c r="L27" i="87"/>
  <c r="L26" i="87"/>
  <c r="M26" i="87" s="1"/>
  <c r="L25" i="87"/>
  <c r="M25" i="87" s="1"/>
  <c r="L24" i="87"/>
  <c r="M24" i="87" s="1"/>
  <c r="M23" i="87"/>
  <c r="L23" i="87"/>
  <c r="K18" i="87"/>
  <c r="L17" i="87"/>
  <c r="K17" i="87"/>
  <c r="L16" i="87"/>
  <c r="K16" i="87"/>
  <c r="L15" i="87"/>
  <c r="K15" i="87"/>
  <c r="E15" i="87"/>
  <c r="L14" i="87"/>
  <c r="K14" i="87"/>
  <c r="L13" i="87"/>
  <c r="K13" i="87"/>
  <c r="I93" i="86"/>
  <c r="K84" i="86"/>
  <c r="J84" i="86"/>
  <c r="I84" i="86"/>
  <c r="K66" i="86"/>
  <c r="J66" i="86"/>
  <c r="I66" i="86"/>
  <c r="D66" i="86"/>
  <c r="H89" i="86" s="1"/>
  <c r="M65" i="86"/>
  <c r="L65" i="86"/>
  <c r="L64" i="86"/>
  <c r="M64" i="86" s="1"/>
  <c r="M63" i="86"/>
  <c r="L63" i="86"/>
  <c r="L62" i="86"/>
  <c r="M62" i="86" s="1"/>
  <c r="M61" i="86"/>
  <c r="L61" i="86"/>
  <c r="L60" i="86"/>
  <c r="M60" i="86" s="1"/>
  <c r="M59" i="86"/>
  <c r="L59" i="86"/>
  <c r="L58" i="86"/>
  <c r="M58" i="86" s="1"/>
  <c r="M57" i="86"/>
  <c r="L57" i="86"/>
  <c r="L56" i="86"/>
  <c r="M56" i="86" s="1"/>
  <c r="M55" i="86"/>
  <c r="L55" i="86"/>
  <c r="L54" i="86"/>
  <c r="M54" i="86" s="1"/>
  <c r="M53" i="86"/>
  <c r="L53" i="86"/>
  <c r="L52" i="86"/>
  <c r="M52" i="86" s="1"/>
  <c r="M51" i="86"/>
  <c r="L51" i="86"/>
  <c r="L50" i="86"/>
  <c r="M50" i="86" s="1"/>
  <c r="M49" i="86"/>
  <c r="L49" i="86"/>
  <c r="L48" i="86"/>
  <c r="M48" i="86" s="1"/>
  <c r="L47" i="86"/>
  <c r="M47" i="86" s="1"/>
  <c r="L46" i="86"/>
  <c r="M46" i="86" s="1"/>
  <c r="L45" i="86"/>
  <c r="M45" i="86" s="1"/>
  <c r="L44" i="86"/>
  <c r="M44" i="86" s="1"/>
  <c r="L43" i="86"/>
  <c r="M43" i="86" s="1"/>
  <c r="L42" i="86"/>
  <c r="M42" i="86" s="1"/>
  <c r="M41" i="86"/>
  <c r="L41" i="86"/>
  <c r="L40" i="86"/>
  <c r="M40" i="86" s="1"/>
  <c r="M39" i="86"/>
  <c r="L39" i="86"/>
  <c r="L38" i="86"/>
  <c r="M38" i="86" s="1"/>
  <c r="L37" i="86"/>
  <c r="M37" i="86" s="1"/>
  <c r="L36" i="86"/>
  <c r="M36" i="86" s="1"/>
  <c r="M35" i="86"/>
  <c r="L35" i="86"/>
  <c r="L34" i="86"/>
  <c r="M34" i="86" s="1"/>
  <c r="L33" i="86"/>
  <c r="M33" i="86" s="1"/>
  <c r="L32" i="86"/>
  <c r="M32" i="86" s="1"/>
  <c r="L31" i="86"/>
  <c r="M31" i="86" s="1"/>
  <c r="L30" i="86"/>
  <c r="M30" i="86" s="1"/>
  <c r="L29" i="86"/>
  <c r="M29" i="86" s="1"/>
  <c r="L28" i="86"/>
  <c r="M28" i="86" s="1"/>
  <c r="M27" i="86"/>
  <c r="L27" i="86"/>
  <c r="L26" i="86"/>
  <c r="M26" i="86" s="1"/>
  <c r="M25" i="86"/>
  <c r="L25" i="86"/>
  <c r="L24" i="86"/>
  <c r="M24" i="86" s="1"/>
  <c r="M23" i="86"/>
  <c r="L23" i="86"/>
  <c r="L18" i="86"/>
  <c r="K18" i="86"/>
  <c r="L17" i="86"/>
  <c r="K17" i="86"/>
  <c r="L16" i="86"/>
  <c r="K16" i="86"/>
  <c r="L15" i="86"/>
  <c r="K15" i="86"/>
  <c r="E15" i="86"/>
  <c r="K14" i="86"/>
  <c r="E14" i="86"/>
  <c r="K13" i="86"/>
  <c r="I93" i="85"/>
  <c r="K84" i="85"/>
  <c r="J84" i="85"/>
  <c r="I84" i="85"/>
  <c r="K66" i="85"/>
  <c r="J66" i="85"/>
  <c r="I66" i="85"/>
  <c r="D66" i="85"/>
  <c r="H89" i="85" s="1"/>
  <c r="L65" i="85"/>
  <c r="M65" i="85" s="1"/>
  <c r="L64" i="85"/>
  <c r="M64" i="85" s="1"/>
  <c r="M63" i="85"/>
  <c r="L63" i="85"/>
  <c r="L62" i="85"/>
  <c r="M62" i="85" s="1"/>
  <c r="L61" i="85"/>
  <c r="M61" i="85" s="1"/>
  <c r="L60" i="85"/>
  <c r="M60" i="85" s="1"/>
  <c r="M59" i="85"/>
  <c r="L59" i="85"/>
  <c r="L58" i="85"/>
  <c r="M58" i="85" s="1"/>
  <c r="L57" i="85"/>
  <c r="M57" i="85" s="1"/>
  <c r="L56" i="85"/>
  <c r="M56" i="85" s="1"/>
  <c r="M55" i="85"/>
  <c r="L55" i="85"/>
  <c r="L54" i="85"/>
  <c r="M54" i="85" s="1"/>
  <c r="L53" i="85"/>
  <c r="M53" i="85" s="1"/>
  <c r="L52" i="85"/>
  <c r="M52" i="85" s="1"/>
  <c r="M51" i="85"/>
  <c r="L51" i="85"/>
  <c r="L50" i="85"/>
  <c r="M50" i="85" s="1"/>
  <c r="L49" i="85"/>
  <c r="M49" i="85" s="1"/>
  <c r="L48" i="85"/>
  <c r="M48" i="85" s="1"/>
  <c r="M47" i="85"/>
  <c r="L47" i="85"/>
  <c r="L46" i="85"/>
  <c r="M46" i="85" s="1"/>
  <c r="L45" i="85"/>
  <c r="M45" i="85" s="1"/>
  <c r="L44" i="85"/>
  <c r="M44" i="85" s="1"/>
  <c r="M43" i="85"/>
  <c r="L43" i="85"/>
  <c r="L42" i="85"/>
  <c r="M42" i="85" s="1"/>
  <c r="L41" i="85"/>
  <c r="M41" i="85" s="1"/>
  <c r="L40" i="85"/>
  <c r="M40" i="85" s="1"/>
  <c r="L39" i="85"/>
  <c r="M39" i="85" s="1"/>
  <c r="L38" i="85"/>
  <c r="M38" i="85" s="1"/>
  <c r="L37" i="85"/>
  <c r="M37" i="85" s="1"/>
  <c r="L36" i="85"/>
  <c r="M36" i="85" s="1"/>
  <c r="M35" i="85"/>
  <c r="L35" i="85"/>
  <c r="L34" i="85"/>
  <c r="M34" i="85" s="1"/>
  <c r="L33" i="85"/>
  <c r="M33" i="85" s="1"/>
  <c r="L32" i="85"/>
  <c r="M32" i="85" s="1"/>
  <c r="L31" i="85"/>
  <c r="M31" i="85" s="1"/>
  <c r="L30" i="85"/>
  <c r="M30" i="85" s="1"/>
  <c r="L29" i="85"/>
  <c r="M29" i="85" s="1"/>
  <c r="L28" i="85"/>
  <c r="M28" i="85" s="1"/>
  <c r="M27" i="85"/>
  <c r="L27" i="85"/>
  <c r="L26" i="85"/>
  <c r="M26" i="85" s="1"/>
  <c r="L25" i="85"/>
  <c r="M25" i="85" s="1"/>
  <c r="L24" i="85"/>
  <c r="M24" i="85" s="1"/>
  <c r="L23" i="85"/>
  <c r="L18" i="85" s="1"/>
  <c r="K18" i="85"/>
  <c r="L17" i="85"/>
  <c r="K17" i="85"/>
  <c r="L16" i="85"/>
  <c r="K16" i="85"/>
  <c r="L15" i="85"/>
  <c r="K15" i="85"/>
  <c r="E15" i="85"/>
  <c r="L14" i="85"/>
  <c r="K14" i="85"/>
  <c r="E14" i="85"/>
  <c r="L13" i="85"/>
  <c r="K13" i="85"/>
  <c r="I93" i="84"/>
  <c r="K84" i="84"/>
  <c r="J84" i="84"/>
  <c r="I84" i="84"/>
  <c r="K66" i="84"/>
  <c r="J66" i="84"/>
  <c r="I66" i="84"/>
  <c r="D66" i="84"/>
  <c r="H89" i="84" s="1"/>
  <c r="L65" i="84"/>
  <c r="M65" i="84" s="1"/>
  <c r="L64" i="84"/>
  <c r="M64" i="84" s="1"/>
  <c r="M63" i="84"/>
  <c r="L63" i="84"/>
  <c r="L62" i="84"/>
  <c r="M62" i="84" s="1"/>
  <c r="L61" i="84"/>
  <c r="M61" i="84" s="1"/>
  <c r="L60" i="84"/>
  <c r="M60" i="84" s="1"/>
  <c r="M59" i="84"/>
  <c r="L59" i="84"/>
  <c r="L58" i="84"/>
  <c r="M58" i="84" s="1"/>
  <c r="L57" i="84"/>
  <c r="M57" i="84" s="1"/>
  <c r="L56" i="84"/>
  <c r="M56" i="84" s="1"/>
  <c r="M55" i="84"/>
  <c r="L55" i="84"/>
  <c r="L54" i="84"/>
  <c r="M54" i="84" s="1"/>
  <c r="L53" i="84"/>
  <c r="M53" i="84" s="1"/>
  <c r="L52" i="84"/>
  <c r="M52" i="84" s="1"/>
  <c r="M51" i="84"/>
  <c r="L51" i="84"/>
  <c r="L50" i="84"/>
  <c r="M50" i="84" s="1"/>
  <c r="L49" i="84"/>
  <c r="M49" i="84" s="1"/>
  <c r="L48" i="84"/>
  <c r="M48" i="84" s="1"/>
  <c r="M47" i="84"/>
  <c r="L47" i="84"/>
  <c r="L46" i="84"/>
  <c r="M46" i="84" s="1"/>
  <c r="L45" i="84"/>
  <c r="M45" i="84" s="1"/>
  <c r="L44" i="84"/>
  <c r="M44" i="84" s="1"/>
  <c r="M43" i="84"/>
  <c r="L43" i="84"/>
  <c r="L42" i="84"/>
  <c r="M42" i="84" s="1"/>
  <c r="L41" i="84"/>
  <c r="M41" i="84" s="1"/>
  <c r="L40" i="84"/>
  <c r="M40" i="84" s="1"/>
  <c r="M39" i="84"/>
  <c r="L39" i="84"/>
  <c r="L38" i="84"/>
  <c r="M38" i="84" s="1"/>
  <c r="L37" i="84"/>
  <c r="M37" i="84" s="1"/>
  <c r="L36" i="84"/>
  <c r="M36" i="84" s="1"/>
  <c r="M35" i="84"/>
  <c r="L35" i="84"/>
  <c r="L34" i="84"/>
  <c r="M34" i="84" s="1"/>
  <c r="L33" i="84"/>
  <c r="M33" i="84" s="1"/>
  <c r="L32" i="84"/>
  <c r="M32" i="84" s="1"/>
  <c r="M31" i="84"/>
  <c r="L31" i="84"/>
  <c r="L30" i="84"/>
  <c r="M30" i="84" s="1"/>
  <c r="L29" i="84"/>
  <c r="M29" i="84" s="1"/>
  <c r="L28" i="84"/>
  <c r="M28" i="84" s="1"/>
  <c r="M27" i="84"/>
  <c r="L27" i="84"/>
  <c r="L26" i="84"/>
  <c r="M26" i="84" s="1"/>
  <c r="L25" i="84"/>
  <c r="M25" i="84" s="1"/>
  <c r="L24" i="84"/>
  <c r="M24" i="84" s="1"/>
  <c r="L23" i="84"/>
  <c r="M23" i="84" s="1"/>
  <c r="L18" i="84"/>
  <c r="K18" i="84"/>
  <c r="L17" i="84"/>
  <c r="K17" i="84"/>
  <c r="L16" i="84"/>
  <c r="K16" i="84"/>
  <c r="L15" i="84"/>
  <c r="K15" i="84"/>
  <c r="E15" i="84"/>
  <c r="L14" i="84"/>
  <c r="K14" i="84"/>
  <c r="E14" i="84"/>
  <c r="L13" i="84"/>
  <c r="K13" i="84"/>
  <c r="L18" i="87" l="1"/>
  <c r="E14" i="87"/>
  <c r="M23" i="85"/>
  <c r="L14" i="86"/>
  <c r="L13" i="86"/>
  <c r="L66" i="87"/>
  <c r="L66" i="86"/>
  <c r="L66" i="85"/>
  <c r="L66" i="84"/>
  <c r="I81" i="83"/>
  <c r="I73" i="83"/>
  <c r="I72" i="83"/>
  <c r="I71" i="83"/>
  <c r="E16" i="87" l="1"/>
  <c r="L4" i="87"/>
  <c r="E18" i="87"/>
  <c r="M66" i="87"/>
  <c r="E16" i="86"/>
  <c r="L4" i="86"/>
  <c r="E18" i="86"/>
  <c r="M66" i="86"/>
  <c r="E16" i="85"/>
  <c r="E18" i="85"/>
  <c r="M66" i="85"/>
  <c r="L4" i="85"/>
  <c r="L4" i="84"/>
  <c r="E18" i="84"/>
  <c r="M66" i="84"/>
  <c r="E16" i="84"/>
  <c r="L53" i="82"/>
  <c r="M53" i="82" s="1"/>
  <c r="L54" i="82"/>
  <c r="M54" i="82" s="1"/>
  <c r="L55" i="82"/>
  <c r="M55" i="82" s="1"/>
  <c r="L56" i="82"/>
  <c r="M56" i="82" s="1"/>
  <c r="L57" i="82"/>
  <c r="M57" i="82"/>
  <c r="L58" i="82"/>
  <c r="M58" i="82" s="1"/>
  <c r="L59" i="82"/>
  <c r="M59" i="82"/>
  <c r="I93" i="83"/>
  <c r="K84" i="83"/>
  <c r="J84" i="83"/>
  <c r="I84" i="83"/>
  <c r="K66" i="83"/>
  <c r="J66" i="83"/>
  <c r="I66" i="83"/>
  <c r="D66" i="83"/>
  <c r="H89" i="83" s="1"/>
  <c r="M65" i="83"/>
  <c r="L65" i="83"/>
  <c r="L64" i="83"/>
  <c r="M64" i="83" s="1"/>
  <c r="M63" i="83"/>
  <c r="L63" i="83"/>
  <c r="L62" i="83"/>
  <c r="M62" i="83" s="1"/>
  <c r="M61" i="83"/>
  <c r="L61" i="83"/>
  <c r="L60" i="83"/>
  <c r="M60" i="83" s="1"/>
  <c r="M59" i="83"/>
  <c r="L59" i="83"/>
  <c r="L58" i="83"/>
  <c r="M58" i="83" s="1"/>
  <c r="M57" i="83"/>
  <c r="L57" i="83"/>
  <c r="L56" i="83"/>
  <c r="M56" i="83" s="1"/>
  <c r="M55" i="83"/>
  <c r="L55" i="83"/>
  <c r="L54" i="83"/>
  <c r="M54" i="83" s="1"/>
  <c r="M53" i="83"/>
  <c r="L53" i="83"/>
  <c r="L52" i="83"/>
  <c r="M52" i="83" s="1"/>
  <c r="M51" i="83"/>
  <c r="L51" i="83"/>
  <c r="L50" i="83"/>
  <c r="M50" i="83" s="1"/>
  <c r="M49" i="83"/>
  <c r="L49" i="83"/>
  <c r="L48" i="83"/>
  <c r="M48" i="83" s="1"/>
  <c r="M47" i="83"/>
  <c r="L47" i="83"/>
  <c r="L46" i="83"/>
  <c r="M46" i="83" s="1"/>
  <c r="M45" i="83"/>
  <c r="L45" i="83"/>
  <c r="L44" i="83"/>
  <c r="M44" i="83" s="1"/>
  <c r="M43" i="83"/>
  <c r="L43" i="83"/>
  <c r="L42" i="83"/>
  <c r="M42" i="83" s="1"/>
  <c r="M41" i="83"/>
  <c r="L41" i="83"/>
  <c r="L40" i="83"/>
  <c r="M40" i="83" s="1"/>
  <c r="M39" i="83"/>
  <c r="L39" i="83"/>
  <c r="L38" i="83"/>
  <c r="M38" i="83" s="1"/>
  <c r="L37" i="83"/>
  <c r="M37" i="83" s="1"/>
  <c r="L36" i="83"/>
  <c r="M36" i="83" s="1"/>
  <c r="L35" i="83"/>
  <c r="M35" i="83" s="1"/>
  <c r="L34" i="83"/>
  <c r="M34" i="83" s="1"/>
  <c r="L33" i="83"/>
  <c r="M33" i="83" s="1"/>
  <c r="L32" i="83"/>
  <c r="M32" i="83" s="1"/>
  <c r="L31" i="83"/>
  <c r="M31" i="83" s="1"/>
  <c r="L30" i="83"/>
  <c r="M30" i="83" s="1"/>
  <c r="L29" i="83"/>
  <c r="L18" i="83" s="1"/>
  <c r="L28" i="83"/>
  <c r="M28" i="83" s="1"/>
  <c r="L27" i="83"/>
  <c r="M27" i="83" s="1"/>
  <c r="L26" i="83"/>
  <c r="M26" i="83" s="1"/>
  <c r="L25" i="83"/>
  <c r="M25" i="83" s="1"/>
  <c r="L24" i="83"/>
  <c r="M24" i="83" s="1"/>
  <c r="M23" i="83"/>
  <c r="L23" i="83"/>
  <c r="K18" i="83"/>
  <c r="L17" i="83"/>
  <c r="K17" i="83"/>
  <c r="L16" i="83"/>
  <c r="K16" i="83"/>
  <c r="L15" i="83"/>
  <c r="K15" i="83"/>
  <c r="E15" i="83"/>
  <c r="L14" i="83"/>
  <c r="K14" i="83"/>
  <c r="E14" i="83"/>
  <c r="L13" i="83"/>
  <c r="K13" i="83"/>
  <c r="I100" i="82"/>
  <c r="K91" i="82"/>
  <c r="J91" i="82"/>
  <c r="I91" i="82"/>
  <c r="K73" i="82"/>
  <c r="J73" i="82"/>
  <c r="I73" i="82"/>
  <c r="D73" i="82"/>
  <c r="H96" i="82" s="1"/>
  <c r="L72" i="82"/>
  <c r="M72" i="82" s="1"/>
  <c r="L71" i="82"/>
  <c r="M71" i="82" s="1"/>
  <c r="L70" i="82"/>
  <c r="M70" i="82" s="1"/>
  <c r="L69" i="82"/>
  <c r="M69" i="82" s="1"/>
  <c r="M68" i="82"/>
  <c r="L68" i="82"/>
  <c r="L67" i="82"/>
  <c r="M67" i="82" s="1"/>
  <c r="L66" i="82"/>
  <c r="M66" i="82" s="1"/>
  <c r="L65" i="82"/>
  <c r="M65" i="82" s="1"/>
  <c r="L64" i="82"/>
  <c r="M64" i="82" s="1"/>
  <c r="L63" i="82"/>
  <c r="M63" i="82" s="1"/>
  <c r="L62" i="82"/>
  <c r="M62" i="82" s="1"/>
  <c r="L61" i="82"/>
  <c r="M61" i="82" s="1"/>
  <c r="M60" i="82"/>
  <c r="L60" i="82"/>
  <c r="L52" i="82"/>
  <c r="M52" i="82" s="1"/>
  <c r="L51" i="82"/>
  <c r="M51" i="82" s="1"/>
  <c r="L50" i="82"/>
  <c r="M50" i="82" s="1"/>
  <c r="M49" i="82"/>
  <c r="L49" i="82"/>
  <c r="L48" i="82"/>
  <c r="M48" i="82" s="1"/>
  <c r="L47" i="82"/>
  <c r="M47" i="82" s="1"/>
  <c r="L46" i="82"/>
  <c r="M46" i="82" s="1"/>
  <c r="M45" i="82"/>
  <c r="L45" i="82"/>
  <c r="L44" i="82"/>
  <c r="M44" i="82" s="1"/>
  <c r="L43" i="82"/>
  <c r="M43" i="82" s="1"/>
  <c r="L42" i="82"/>
  <c r="M42" i="82" s="1"/>
  <c r="L41" i="82"/>
  <c r="M41" i="82" s="1"/>
  <c r="L40" i="82"/>
  <c r="M40" i="82" s="1"/>
  <c r="L39" i="82"/>
  <c r="M39" i="82" s="1"/>
  <c r="L38" i="82"/>
  <c r="M38" i="82" s="1"/>
  <c r="M37" i="82"/>
  <c r="L37" i="82"/>
  <c r="L36" i="82"/>
  <c r="M36" i="82" s="1"/>
  <c r="L35" i="82"/>
  <c r="M35" i="82" s="1"/>
  <c r="L34" i="82"/>
  <c r="M34" i="82" s="1"/>
  <c r="M33" i="82"/>
  <c r="L33" i="82"/>
  <c r="L32" i="82"/>
  <c r="M32" i="82" s="1"/>
  <c r="L31" i="82"/>
  <c r="M31" i="82" s="1"/>
  <c r="L30" i="82"/>
  <c r="M30" i="82" s="1"/>
  <c r="M29" i="82"/>
  <c r="L29" i="82"/>
  <c r="L28" i="82"/>
  <c r="M28" i="82" s="1"/>
  <c r="L27" i="82"/>
  <c r="M27" i="82" s="1"/>
  <c r="L26" i="82"/>
  <c r="M26" i="82" s="1"/>
  <c r="L25" i="82"/>
  <c r="M25" i="82" s="1"/>
  <c r="L24" i="82"/>
  <c r="M24" i="82" s="1"/>
  <c r="L23" i="82"/>
  <c r="M23" i="82" s="1"/>
  <c r="L18" i="82"/>
  <c r="K18" i="82"/>
  <c r="L17" i="82"/>
  <c r="K17" i="82"/>
  <c r="L16" i="82"/>
  <c r="K16" i="82"/>
  <c r="L15" i="82"/>
  <c r="K15" i="82"/>
  <c r="E15" i="82"/>
  <c r="L14" i="82"/>
  <c r="K14" i="82"/>
  <c r="E14" i="82"/>
  <c r="L13" i="82"/>
  <c r="K13" i="82"/>
  <c r="L3" i="87" l="1"/>
  <c r="E17" i="87"/>
  <c r="L3" i="86"/>
  <c r="E17" i="86"/>
  <c r="L3" i="85"/>
  <c r="E17" i="85"/>
  <c r="L3" i="84"/>
  <c r="E17" i="84"/>
  <c r="M29" i="83"/>
  <c r="L66" i="83"/>
  <c r="L73" i="82"/>
  <c r="E16" i="83" l="1"/>
  <c r="E18" i="83"/>
  <c r="L4" i="83"/>
  <c r="M66" i="83"/>
  <c r="E16" i="82"/>
  <c r="E18" i="82"/>
  <c r="L4" i="82"/>
  <c r="M73" i="82"/>
  <c r="L3" i="83" l="1"/>
  <c r="E17" i="83"/>
  <c r="L3" i="82"/>
  <c r="E17" i="82"/>
  <c r="M38" i="77" l="1"/>
  <c r="M37" i="77"/>
  <c r="M28" i="81"/>
  <c r="M27" i="81"/>
  <c r="M26" i="81"/>
  <c r="M25" i="81"/>
  <c r="M23" i="81"/>
  <c r="M24" i="81"/>
  <c r="L24" i="77"/>
  <c r="M24" i="77" s="1"/>
  <c r="L25" i="77"/>
  <c r="M25" i="77" s="1"/>
  <c r="D68" i="77"/>
  <c r="I68" i="77"/>
  <c r="J68" i="77"/>
  <c r="K68" i="77"/>
  <c r="I93" i="81"/>
  <c r="K84" i="81"/>
  <c r="J84" i="81"/>
  <c r="I84" i="81"/>
  <c r="K66" i="81"/>
  <c r="J66" i="81"/>
  <c r="I66" i="81"/>
  <c r="D66" i="81"/>
  <c r="H89" i="81" s="1"/>
  <c r="L65" i="81"/>
  <c r="M65" i="81" s="1"/>
  <c r="L64" i="81"/>
  <c r="M64" i="81" s="1"/>
  <c r="M63" i="81"/>
  <c r="L63" i="81"/>
  <c r="L62" i="81"/>
  <c r="M62" i="81" s="1"/>
  <c r="L61" i="81"/>
  <c r="M61" i="81" s="1"/>
  <c r="L60" i="81"/>
  <c r="M60" i="81" s="1"/>
  <c r="M59" i="81"/>
  <c r="L59" i="81"/>
  <c r="L58" i="81"/>
  <c r="M58" i="81" s="1"/>
  <c r="L57" i="81"/>
  <c r="M57" i="81" s="1"/>
  <c r="L56" i="81"/>
  <c r="M56" i="81" s="1"/>
  <c r="M55" i="81"/>
  <c r="L55" i="81"/>
  <c r="L54" i="81"/>
  <c r="M54" i="81" s="1"/>
  <c r="L53" i="81"/>
  <c r="M53" i="81" s="1"/>
  <c r="L52" i="81"/>
  <c r="M52" i="81" s="1"/>
  <c r="M51" i="81"/>
  <c r="L51" i="81"/>
  <c r="L50" i="81"/>
  <c r="M50" i="81" s="1"/>
  <c r="L49" i="81"/>
  <c r="M49" i="81" s="1"/>
  <c r="L48" i="81"/>
  <c r="M48" i="81" s="1"/>
  <c r="M47" i="81"/>
  <c r="L47" i="81"/>
  <c r="L46" i="81"/>
  <c r="M46" i="81" s="1"/>
  <c r="L45" i="81"/>
  <c r="M45" i="81" s="1"/>
  <c r="L44" i="81"/>
  <c r="M44" i="81" s="1"/>
  <c r="L43" i="81"/>
  <c r="M43" i="81" s="1"/>
  <c r="L42" i="81"/>
  <c r="M42" i="81" s="1"/>
  <c r="L41" i="81"/>
  <c r="M41" i="81" s="1"/>
  <c r="L40" i="81"/>
  <c r="M40" i="81" s="1"/>
  <c r="L39" i="81"/>
  <c r="M39" i="81" s="1"/>
  <c r="L38" i="81"/>
  <c r="M38" i="81" s="1"/>
  <c r="L37" i="81"/>
  <c r="M37" i="81" s="1"/>
  <c r="L36" i="81"/>
  <c r="M36" i="81" s="1"/>
  <c r="L35" i="81"/>
  <c r="M35" i="81" s="1"/>
  <c r="L34" i="81"/>
  <c r="M34" i="81" s="1"/>
  <c r="L33" i="81"/>
  <c r="M33" i="81" s="1"/>
  <c r="L32" i="81"/>
  <c r="M32" i="81" s="1"/>
  <c r="L31" i="81"/>
  <c r="M31" i="81" s="1"/>
  <c r="L30" i="81"/>
  <c r="M30" i="81" s="1"/>
  <c r="L29" i="81"/>
  <c r="M29" i="81" s="1"/>
  <c r="L28" i="81"/>
  <c r="L27" i="81"/>
  <c r="L26" i="81"/>
  <c r="L25" i="81"/>
  <c r="L24" i="81"/>
  <c r="L23" i="81"/>
  <c r="L18" i="81"/>
  <c r="K18" i="81"/>
  <c r="L17" i="81"/>
  <c r="K17" i="81"/>
  <c r="L16" i="81"/>
  <c r="K16" i="81"/>
  <c r="L15" i="81"/>
  <c r="K15" i="81"/>
  <c r="E15" i="81"/>
  <c r="L14" i="81"/>
  <c r="K14" i="81"/>
  <c r="E14" i="81"/>
  <c r="L13" i="81"/>
  <c r="K13" i="81"/>
  <c r="I93" i="80"/>
  <c r="K84" i="80"/>
  <c r="J84" i="80"/>
  <c r="I84" i="80"/>
  <c r="K66" i="80"/>
  <c r="J66" i="80"/>
  <c r="I66" i="80"/>
  <c r="D66" i="80"/>
  <c r="H89" i="80" s="1"/>
  <c r="L65" i="80"/>
  <c r="M65" i="80" s="1"/>
  <c r="L64" i="80"/>
  <c r="M64" i="80" s="1"/>
  <c r="L63" i="80"/>
  <c r="M63" i="80" s="1"/>
  <c r="L62" i="80"/>
  <c r="M62" i="80" s="1"/>
  <c r="L61" i="80"/>
  <c r="M61" i="80" s="1"/>
  <c r="L60" i="80"/>
  <c r="M60" i="80" s="1"/>
  <c r="L59" i="80"/>
  <c r="M59" i="80" s="1"/>
  <c r="L58" i="80"/>
  <c r="M58" i="80" s="1"/>
  <c r="L57" i="80"/>
  <c r="M57" i="80" s="1"/>
  <c r="L56" i="80"/>
  <c r="M56" i="80" s="1"/>
  <c r="L55" i="80"/>
  <c r="M55" i="80" s="1"/>
  <c r="L54" i="80"/>
  <c r="M54" i="80" s="1"/>
  <c r="L53" i="80"/>
  <c r="M53" i="80" s="1"/>
  <c r="L52" i="80"/>
  <c r="M52" i="80" s="1"/>
  <c r="L51" i="80"/>
  <c r="M51" i="80" s="1"/>
  <c r="L50" i="80"/>
  <c r="M50" i="80" s="1"/>
  <c r="L49" i="80"/>
  <c r="M49" i="80" s="1"/>
  <c r="L48" i="80"/>
  <c r="M48" i="80" s="1"/>
  <c r="L47" i="80"/>
  <c r="M47" i="80" s="1"/>
  <c r="L46" i="80"/>
  <c r="M46" i="80" s="1"/>
  <c r="L45" i="80"/>
  <c r="M45" i="80" s="1"/>
  <c r="L44" i="80"/>
  <c r="M44" i="80" s="1"/>
  <c r="L43" i="80"/>
  <c r="M43" i="80" s="1"/>
  <c r="L42" i="80"/>
  <c r="M42" i="80" s="1"/>
  <c r="L41" i="80"/>
  <c r="M41" i="80" s="1"/>
  <c r="L40" i="80"/>
  <c r="M40" i="80" s="1"/>
  <c r="L39" i="80"/>
  <c r="M39" i="80" s="1"/>
  <c r="L38" i="80"/>
  <c r="M38" i="80" s="1"/>
  <c r="L37" i="80"/>
  <c r="M37" i="80" s="1"/>
  <c r="L36" i="80"/>
  <c r="M36" i="80" s="1"/>
  <c r="L35" i="80"/>
  <c r="M35" i="80" s="1"/>
  <c r="L34" i="80"/>
  <c r="M34" i="80" s="1"/>
  <c r="L33" i="80"/>
  <c r="M33" i="80" s="1"/>
  <c r="L32" i="80"/>
  <c r="M32" i="80" s="1"/>
  <c r="L31" i="80"/>
  <c r="M31" i="80" s="1"/>
  <c r="L30" i="80"/>
  <c r="M30" i="80" s="1"/>
  <c r="L29" i="80"/>
  <c r="M29" i="80" s="1"/>
  <c r="L28" i="80"/>
  <c r="M28" i="80" s="1"/>
  <c r="L27" i="80"/>
  <c r="M27" i="80" s="1"/>
  <c r="L26" i="80"/>
  <c r="M26" i="80" s="1"/>
  <c r="L25" i="80"/>
  <c r="M25" i="80" s="1"/>
  <c r="L24" i="80"/>
  <c r="M24" i="80" s="1"/>
  <c r="L23" i="80"/>
  <c r="M23" i="80" s="1"/>
  <c r="L18" i="80"/>
  <c r="K18" i="80"/>
  <c r="L17" i="80"/>
  <c r="K17" i="80"/>
  <c r="L16" i="80"/>
  <c r="K16" i="80"/>
  <c r="L15" i="80"/>
  <c r="K15" i="80"/>
  <c r="E15" i="80"/>
  <c r="L14" i="80"/>
  <c r="K14" i="80"/>
  <c r="L13" i="80"/>
  <c r="K13" i="80"/>
  <c r="I93" i="79"/>
  <c r="K84" i="79"/>
  <c r="J84" i="79"/>
  <c r="I84" i="79"/>
  <c r="K66" i="79"/>
  <c r="J66" i="79"/>
  <c r="I66" i="79"/>
  <c r="D66" i="79"/>
  <c r="E14" i="79" s="1"/>
  <c r="L65" i="79"/>
  <c r="M65" i="79" s="1"/>
  <c r="L64" i="79"/>
  <c r="M64" i="79" s="1"/>
  <c r="L63" i="79"/>
  <c r="M63" i="79" s="1"/>
  <c r="L62" i="79"/>
  <c r="M62" i="79" s="1"/>
  <c r="L61" i="79"/>
  <c r="M61" i="79" s="1"/>
  <c r="L60" i="79"/>
  <c r="M60" i="79" s="1"/>
  <c r="L59" i="79"/>
  <c r="M59" i="79" s="1"/>
  <c r="L58" i="79"/>
  <c r="M58" i="79" s="1"/>
  <c r="L57" i="79"/>
  <c r="M57" i="79" s="1"/>
  <c r="L56" i="79"/>
  <c r="M56" i="79" s="1"/>
  <c r="L55" i="79"/>
  <c r="M55" i="79" s="1"/>
  <c r="L54" i="79"/>
  <c r="M54" i="79" s="1"/>
  <c r="L53" i="79"/>
  <c r="M53" i="79" s="1"/>
  <c r="L52" i="79"/>
  <c r="M52" i="79" s="1"/>
  <c r="L51" i="79"/>
  <c r="M51" i="79" s="1"/>
  <c r="L50" i="79"/>
  <c r="M50" i="79" s="1"/>
  <c r="L49" i="79"/>
  <c r="M49" i="79" s="1"/>
  <c r="L48" i="79"/>
  <c r="M48" i="79" s="1"/>
  <c r="L47" i="79"/>
  <c r="M47" i="79" s="1"/>
  <c r="L46" i="79"/>
  <c r="M46" i="79" s="1"/>
  <c r="L45" i="79"/>
  <c r="M45" i="79" s="1"/>
  <c r="L44" i="79"/>
  <c r="M44" i="79" s="1"/>
  <c r="L43" i="79"/>
  <c r="M43" i="79" s="1"/>
  <c r="L42" i="79"/>
  <c r="M42" i="79" s="1"/>
  <c r="L41" i="79"/>
  <c r="M41" i="79" s="1"/>
  <c r="L40" i="79"/>
  <c r="M40" i="79" s="1"/>
  <c r="L39" i="79"/>
  <c r="M39" i="79" s="1"/>
  <c r="L38" i="79"/>
  <c r="M38" i="79" s="1"/>
  <c r="L37" i="79"/>
  <c r="M37" i="79" s="1"/>
  <c r="L36" i="79"/>
  <c r="M36" i="79" s="1"/>
  <c r="L35" i="79"/>
  <c r="M35" i="79" s="1"/>
  <c r="L34" i="79"/>
  <c r="M34" i="79" s="1"/>
  <c r="L33" i="79"/>
  <c r="M33" i="79" s="1"/>
  <c r="L32" i="79"/>
  <c r="M32" i="79" s="1"/>
  <c r="L31" i="79"/>
  <c r="M31" i="79" s="1"/>
  <c r="L30" i="79"/>
  <c r="M30" i="79" s="1"/>
  <c r="L29" i="79"/>
  <c r="M29" i="79" s="1"/>
  <c r="L28" i="79"/>
  <c r="M28" i="79" s="1"/>
  <c r="L27" i="79"/>
  <c r="M27" i="79" s="1"/>
  <c r="L26" i="79"/>
  <c r="M26" i="79" s="1"/>
  <c r="L25" i="79"/>
  <c r="M25" i="79" s="1"/>
  <c r="L24" i="79"/>
  <c r="M24" i="79" s="1"/>
  <c r="L23" i="79"/>
  <c r="M23" i="79" s="1"/>
  <c r="L18" i="79"/>
  <c r="K18" i="79"/>
  <c r="L17" i="79"/>
  <c r="K17" i="79"/>
  <c r="L16" i="79"/>
  <c r="K16" i="79"/>
  <c r="L15" i="79"/>
  <c r="K15" i="79"/>
  <c r="E15" i="79"/>
  <c r="L14" i="79"/>
  <c r="K14" i="79"/>
  <c r="L13" i="79"/>
  <c r="K13" i="79"/>
  <c r="I93" i="78"/>
  <c r="K84" i="78"/>
  <c r="J84" i="78"/>
  <c r="I84" i="78"/>
  <c r="K66" i="78"/>
  <c r="J66" i="78"/>
  <c r="I66" i="78"/>
  <c r="D66" i="78"/>
  <c r="H89" i="78" s="1"/>
  <c r="L65" i="78"/>
  <c r="M65" i="78" s="1"/>
  <c r="L64" i="78"/>
  <c r="M64" i="78" s="1"/>
  <c r="M63" i="78"/>
  <c r="L63" i="78"/>
  <c r="L62" i="78"/>
  <c r="M62" i="78" s="1"/>
  <c r="L61" i="78"/>
  <c r="M61" i="78" s="1"/>
  <c r="L60" i="78"/>
  <c r="M60" i="78" s="1"/>
  <c r="M59" i="78"/>
  <c r="L59" i="78"/>
  <c r="L58" i="78"/>
  <c r="M58" i="78" s="1"/>
  <c r="L57" i="78"/>
  <c r="M57" i="78" s="1"/>
  <c r="L56" i="78"/>
  <c r="M56" i="78" s="1"/>
  <c r="M55" i="78"/>
  <c r="L55" i="78"/>
  <c r="L54" i="78"/>
  <c r="M54" i="78" s="1"/>
  <c r="L53" i="78"/>
  <c r="M53" i="78" s="1"/>
  <c r="L52" i="78"/>
  <c r="M52" i="78" s="1"/>
  <c r="M51" i="78"/>
  <c r="L51" i="78"/>
  <c r="L50" i="78"/>
  <c r="M50" i="78" s="1"/>
  <c r="L49" i="78"/>
  <c r="M49" i="78" s="1"/>
  <c r="L48" i="78"/>
  <c r="M48" i="78" s="1"/>
  <c r="M47" i="78"/>
  <c r="L47" i="78"/>
  <c r="L46" i="78"/>
  <c r="M46" i="78" s="1"/>
  <c r="L45" i="78"/>
  <c r="M45" i="78" s="1"/>
  <c r="L44" i="78"/>
  <c r="M44" i="78" s="1"/>
  <c r="M43" i="78"/>
  <c r="L43" i="78"/>
  <c r="L42" i="78"/>
  <c r="M42" i="78" s="1"/>
  <c r="L41" i="78"/>
  <c r="M41" i="78" s="1"/>
  <c r="L40" i="78"/>
  <c r="M40" i="78" s="1"/>
  <c r="M39" i="78"/>
  <c r="L39" i="78"/>
  <c r="L38" i="78"/>
  <c r="M38" i="78" s="1"/>
  <c r="L37" i="78"/>
  <c r="M37" i="78" s="1"/>
  <c r="L36" i="78"/>
  <c r="M36" i="78" s="1"/>
  <c r="M35" i="78"/>
  <c r="L35" i="78"/>
  <c r="L34" i="78"/>
  <c r="M34" i="78" s="1"/>
  <c r="L33" i="78"/>
  <c r="M33" i="78" s="1"/>
  <c r="L32" i="78"/>
  <c r="M32" i="78" s="1"/>
  <c r="M31" i="78"/>
  <c r="L31" i="78"/>
  <c r="L30" i="78"/>
  <c r="M30" i="78" s="1"/>
  <c r="L29" i="78"/>
  <c r="M29" i="78" s="1"/>
  <c r="L28" i="78"/>
  <c r="M28" i="78" s="1"/>
  <c r="M27" i="78"/>
  <c r="L27" i="78"/>
  <c r="L26" i="78"/>
  <c r="M26" i="78" s="1"/>
  <c r="L25" i="78"/>
  <c r="M25" i="78" s="1"/>
  <c r="L24" i="78"/>
  <c r="M24" i="78" s="1"/>
  <c r="L23" i="78"/>
  <c r="M23" i="78" s="1"/>
  <c r="L18" i="78"/>
  <c r="K18" i="78"/>
  <c r="L17" i="78"/>
  <c r="K17" i="78"/>
  <c r="L16" i="78"/>
  <c r="K16" i="78"/>
  <c r="L15" i="78"/>
  <c r="K15" i="78"/>
  <c r="E15" i="78"/>
  <c r="L14" i="78"/>
  <c r="K14" i="78"/>
  <c r="E14" i="78"/>
  <c r="L13" i="78"/>
  <c r="K13" i="78"/>
  <c r="I95" i="77"/>
  <c r="K86" i="77"/>
  <c r="J86" i="77"/>
  <c r="I86" i="77"/>
  <c r="H91" i="77"/>
  <c r="L67" i="77"/>
  <c r="M67" i="77" s="1"/>
  <c r="L66" i="77"/>
  <c r="M66" i="77" s="1"/>
  <c r="L65" i="77"/>
  <c r="M65" i="77" s="1"/>
  <c r="L64" i="77"/>
  <c r="M64" i="77" s="1"/>
  <c r="L63" i="77"/>
  <c r="M63" i="77" s="1"/>
  <c r="L62" i="77"/>
  <c r="M62" i="77" s="1"/>
  <c r="L61" i="77"/>
  <c r="M61" i="77" s="1"/>
  <c r="L60" i="77"/>
  <c r="M60" i="77" s="1"/>
  <c r="L59" i="77"/>
  <c r="M59" i="77" s="1"/>
  <c r="L58" i="77"/>
  <c r="M58" i="77" s="1"/>
  <c r="L57" i="77"/>
  <c r="M57" i="77" s="1"/>
  <c r="M56" i="77"/>
  <c r="L56" i="77"/>
  <c r="L55" i="77"/>
  <c r="M55" i="77" s="1"/>
  <c r="L54" i="77"/>
  <c r="M54" i="77" s="1"/>
  <c r="L53" i="77"/>
  <c r="M53" i="77" s="1"/>
  <c r="L52" i="77"/>
  <c r="M52" i="77" s="1"/>
  <c r="L51" i="77"/>
  <c r="M51" i="77" s="1"/>
  <c r="L50" i="77"/>
  <c r="M50" i="77" s="1"/>
  <c r="L49" i="77"/>
  <c r="M49" i="77" s="1"/>
  <c r="L48" i="77"/>
  <c r="M48" i="77" s="1"/>
  <c r="L47" i="77"/>
  <c r="M47" i="77" s="1"/>
  <c r="L46" i="77"/>
  <c r="M46" i="77" s="1"/>
  <c r="L45" i="77"/>
  <c r="M45" i="77" s="1"/>
  <c r="L44" i="77"/>
  <c r="M44" i="77" s="1"/>
  <c r="L43" i="77"/>
  <c r="M43" i="77" s="1"/>
  <c r="L42" i="77"/>
  <c r="M42" i="77" s="1"/>
  <c r="L41" i="77"/>
  <c r="M41" i="77" s="1"/>
  <c r="L40" i="77"/>
  <c r="M40" i="77" s="1"/>
  <c r="L39" i="77"/>
  <c r="M39" i="77" s="1"/>
  <c r="L38" i="77"/>
  <c r="L37" i="77"/>
  <c r="L36" i="77"/>
  <c r="M36" i="77" s="1"/>
  <c r="L35" i="77"/>
  <c r="M35" i="77" s="1"/>
  <c r="L34" i="77"/>
  <c r="M34" i="77" s="1"/>
  <c r="L33" i="77"/>
  <c r="M33" i="77" s="1"/>
  <c r="L32" i="77"/>
  <c r="M32" i="77" s="1"/>
  <c r="L31" i="77"/>
  <c r="M31" i="77" s="1"/>
  <c r="L30" i="77"/>
  <c r="M30" i="77" s="1"/>
  <c r="L29" i="77"/>
  <c r="M29" i="77" s="1"/>
  <c r="L28" i="77"/>
  <c r="M28" i="77" s="1"/>
  <c r="L27" i="77"/>
  <c r="M27" i="77" s="1"/>
  <c r="L26" i="77"/>
  <c r="M26" i="77" s="1"/>
  <c r="L23" i="77"/>
  <c r="M23" i="77" s="1"/>
  <c r="L18" i="77"/>
  <c r="K18" i="77"/>
  <c r="L17" i="77"/>
  <c r="K17" i="77"/>
  <c r="L16" i="77"/>
  <c r="K16" i="77"/>
  <c r="L15" i="77"/>
  <c r="K15" i="77"/>
  <c r="E15" i="77"/>
  <c r="L14" i="77"/>
  <c r="K14" i="77"/>
  <c r="E14" i="77"/>
  <c r="L13" i="77"/>
  <c r="K13" i="77"/>
  <c r="L66" i="81" l="1"/>
  <c r="E16" i="81"/>
  <c r="L4" i="81"/>
  <c r="E18" i="81"/>
  <c r="M66" i="81"/>
  <c r="L66" i="79"/>
  <c r="E14" i="80"/>
  <c r="L66" i="80"/>
  <c r="H89" i="79"/>
  <c r="L66" i="78"/>
  <c r="L68" i="77"/>
  <c r="I93" i="76"/>
  <c r="K84" i="76"/>
  <c r="J84" i="76"/>
  <c r="I84" i="76"/>
  <c r="K66" i="76"/>
  <c r="J66" i="76"/>
  <c r="I66" i="76"/>
  <c r="D66" i="76"/>
  <c r="H89" i="76" s="1"/>
  <c r="L65" i="76"/>
  <c r="M65" i="76" s="1"/>
  <c r="L64" i="76"/>
  <c r="M64" i="76" s="1"/>
  <c r="M63" i="76"/>
  <c r="L63" i="76"/>
  <c r="L62" i="76"/>
  <c r="M62" i="76" s="1"/>
  <c r="L61" i="76"/>
  <c r="M61" i="76" s="1"/>
  <c r="L60" i="76"/>
  <c r="M60" i="76" s="1"/>
  <c r="M59" i="76"/>
  <c r="L59" i="76"/>
  <c r="L58" i="76"/>
  <c r="M58" i="76" s="1"/>
  <c r="L57" i="76"/>
  <c r="M57" i="76" s="1"/>
  <c r="L56" i="76"/>
  <c r="M56" i="76" s="1"/>
  <c r="M55" i="76"/>
  <c r="L55" i="76"/>
  <c r="L54" i="76"/>
  <c r="M54" i="76" s="1"/>
  <c r="L53" i="76"/>
  <c r="M53" i="76" s="1"/>
  <c r="L52" i="76"/>
  <c r="M52" i="76" s="1"/>
  <c r="M51" i="76"/>
  <c r="L51" i="76"/>
  <c r="L50" i="76"/>
  <c r="M50" i="76" s="1"/>
  <c r="L49" i="76"/>
  <c r="M49" i="76" s="1"/>
  <c r="L48" i="76"/>
  <c r="M48" i="76" s="1"/>
  <c r="M47" i="76"/>
  <c r="L47" i="76"/>
  <c r="L46" i="76"/>
  <c r="M46" i="76" s="1"/>
  <c r="L45" i="76"/>
  <c r="M45" i="76" s="1"/>
  <c r="L44" i="76"/>
  <c r="M44" i="76" s="1"/>
  <c r="M43" i="76"/>
  <c r="L43" i="76"/>
  <c r="L42" i="76"/>
  <c r="M42" i="76" s="1"/>
  <c r="L41" i="76"/>
  <c r="M41" i="76" s="1"/>
  <c r="L40" i="76"/>
  <c r="M40" i="76" s="1"/>
  <c r="L39" i="76"/>
  <c r="M39" i="76" s="1"/>
  <c r="L38" i="76"/>
  <c r="M38" i="76" s="1"/>
  <c r="L37" i="76"/>
  <c r="M37" i="76" s="1"/>
  <c r="L36" i="76"/>
  <c r="M36" i="76" s="1"/>
  <c r="L35" i="76"/>
  <c r="M35" i="76" s="1"/>
  <c r="L34" i="76"/>
  <c r="M34" i="76" s="1"/>
  <c r="L33" i="76"/>
  <c r="M33" i="76" s="1"/>
  <c r="L32" i="76"/>
  <c r="M32" i="76" s="1"/>
  <c r="L31" i="76"/>
  <c r="M31" i="76" s="1"/>
  <c r="L30" i="76"/>
  <c r="M30" i="76" s="1"/>
  <c r="L29" i="76"/>
  <c r="M29" i="76" s="1"/>
  <c r="L28" i="76"/>
  <c r="M28" i="76" s="1"/>
  <c r="M27" i="76"/>
  <c r="L27" i="76"/>
  <c r="L26" i="76"/>
  <c r="M26" i="76" s="1"/>
  <c r="L25" i="76"/>
  <c r="M25" i="76" s="1"/>
  <c r="L24" i="76"/>
  <c r="M24" i="76" s="1"/>
  <c r="L23" i="76"/>
  <c r="M23" i="76" s="1"/>
  <c r="L18" i="76"/>
  <c r="K18" i="76"/>
  <c r="L17" i="76"/>
  <c r="K17" i="76"/>
  <c r="L16" i="76"/>
  <c r="K16" i="76"/>
  <c r="L15" i="76"/>
  <c r="K15" i="76"/>
  <c r="E15" i="76"/>
  <c r="L14" i="76"/>
  <c r="K14" i="76"/>
  <c r="E14" i="76"/>
  <c r="L13" i="76"/>
  <c r="K13" i="76"/>
  <c r="I93" i="75"/>
  <c r="K84" i="75"/>
  <c r="J84" i="75"/>
  <c r="I84" i="75"/>
  <c r="K66" i="75"/>
  <c r="J66" i="75"/>
  <c r="I66" i="75"/>
  <c r="D66" i="75"/>
  <c r="H89" i="75" s="1"/>
  <c r="L65" i="75"/>
  <c r="M65" i="75" s="1"/>
  <c r="L64" i="75"/>
  <c r="M64" i="75" s="1"/>
  <c r="M63" i="75"/>
  <c r="L63" i="75"/>
  <c r="L62" i="75"/>
  <c r="M62" i="75" s="1"/>
  <c r="L61" i="75"/>
  <c r="M61" i="75" s="1"/>
  <c r="L60" i="75"/>
  <c r="M60" i="75" s="1"/>
  <c r="M59" i="75"/>
  <c r="L59" i="75"/>
  <c r="L58" i="75"/>
  <c r="M58" i="75" s="1"/>
  <c r="L57" i="75"/>
  <c r="M57" i="75" s="1"/>
  <c r="L56" i="75"/>
  <c r="M56" i="75" s="1"/>
  <c r="M55" i="75"/>
  <c r="L55" i="75"/>
  <c r="L54" i="75"/>
  <c r="M54" i="75" s="1"/>
  <c r="L53" i="75"/>
  <c r="M53" i="75" s="1"/>
  <c r="L52" i="75"/>
  <c r="M52" i="75" s="1"/>
  <c r="M51" i="75"/>
  <c r="L51" i="75"/>
  <c r="L50" i="75"/>
  <c r="M50" i="75" s="1"/>
  <c r="L49" i="75"/>
  <c r="M49" i="75" s="1"/>
  <c r="L48" i="75"/>
  <c r="M48" i="75" s="1"/>
  <c r="M47" i="75"/>
  <c r="L47" i="75"/>
  <c r="L46" i="75"/>
  <c r="M46" i="75" s="1"/>
  <c r="L45" i="75"/>
  <c r="M45" i="75" s="1"/>
  <c r="L44" i="75"/>
  <c r="M44" i="75" s="1"/>
  <c r="M43" i="75"/>
  <c r="L43" i="75"/>
  <c r="L42" i="75"/>
  <c r="M42" i="75" s="1"/>
  <c r="L41" i="75"/>
  <c r="M41" i="75" s="1"/>
  <c r="L40" i="75"/>
  <c r="M40" i="75" s="1"/>
  <c r="L39" i="75"/>
  <c r="M39" i="75" s="1"/>
  <c r="L38" i="75"/>
  <c r="M38" i="75" s="1"/>
  <c r="L37" i="75"/>
  <c r="M37" i="75" s="1"/>
  <c r="L36" i="75"/>
  <c r="M36" i="75" s="1"/>
  <c r="M35" i="75"/>
  <c r="L35" i="75"/>
  <c r="L34" i="75"/>
  <c r="M34" i="75" s="1"/>
  <c r="L33" i="75"/>
  <c r="M33" i="75" s="1"/>
  <c r="L32" i="75"/>
  <c r="M32" i="75" s="1"/>
  <c r="L31" i="75"/>
  <c r="M31" i="75" s="1"/>
  <c r="L30" i="75"/>
  <c r="M30" i="75" s="1"/>
  <c r="L29" i="75"/>
  <c r="M29" i="75" s="1"/>
  <c r="L28" i="75"/>
  <c r="M28" i="75" s="1"/>
  <c r="M27" i="75"/>
  <c r="L27" i="75"/>
  <c r="L26" i="75"/>
  <c r="M26" i="75" s="1"/>
  <c r="L25" i="75"/>
  <c r="M25" i="75" s="1"/>
  <c r="L24" i="75"/>
  <c r="M24" i="75" s="1"/>
  <c r="L23" i="75"/>
  <c r="M23" i="75" s="1"/>
  <c r="L18" i="75"/>
  <c r="K18" i="75"/>
  <c r="L17" i="75"/>
  <c r="K17" i="75"/>
  <c r="L16" i="75"/>
  <c r="K16" i="75"/>
  <c r="L15" i="75"/>
  <c r="K15" i="75"/>
  <c r="E15" i="75"/>
  <c r="L14" i="75"/>
  <c r="K14" i="75"/>
  <c r="E14" i="75"/>
  <c r="L13" i="75"/>
  <c r="K13" i="75"/>
  <c r="I93" i="74"/>
  <c r="K84" i="74"/>
  <c r="J84" i="74"/>
  <c r="I84" i="74"/>
  <c r="K66" i="74"/>
  <c r="J66" i="74"/>
  <c r="I66" i="74"/>
  <c r="D66" i="74"/>
  <c r="H89" i="74" s="1"/>
  <c r="L65" i="74"/>
  <c r="M65" i="74" s="1"/>
  <c r="M64" i="74"/>
  <c r="L64" i="74"/>
  <c r="M63" i="74"/>
  <c r="L63" i="74"/>
  <c r="L62" i="74"/>
  <c r="M62" i="74" s="1"/>
  <c r="L61" i="74"/>
  <c r="M61" i="74" s="1"/>
  <c r="M60" i="74"/>
  <c r="L60" i="74"/>
  <c r="M59" i="74"/>
  <c r="L59" i="74"/>
  <c r="L58" i="74"/>
  <c r="M58" i="74" s="1"/>
  <c r="L57" i="74"/>
  <c r="M57" i="74" s="1"/>
  <c r="M56" i="74"/>
  <c r="L56" i="74"/>
  <c r="M55" i="74"/>
  <c r="L55" i="74"/>
  <c r="L54" i="74"/>
  <c r="M54" i="74" s="1"/>
  <c r="L53" i="74"/>
  <c r="M53" i="74" s="1"/>
  <c r="M52" i="74"/>
  <c r="L52" i="74"/>
  <c r="M51" i="74"/>
  <c r="L51" i="74"/>
  <c r="L50" i="74"/>
  <c r="M50" i="74" s="1"/>
  <c r="L49" i="74"/>
  <c r="M49" i="74" s="1"/>
  <c r="L48" i="74"/>
  <c r="M48" i="74" s="1"/>
  <c r="L47" i="74"/>
  <c r="M47" i="74" s="1"/>
  <c r="L46" i="74"/>
  <c r="M46" i="74" s="1"/>
  <c r="L45" i="74"/>
  <c r="M45" i="74" s="1"/>
  <c r="M44" i="74"/>
  <c r="L44" i="74"/>
  <c r="L43" i="74"/>
  <c r="M43" i="74" s="1"/>
  <c r="L42" i="74"/>
  <c r="M42" i="74" s="1"/>
  <c r="L41" i="74"/>
  <c r="M41" i="74" s="1"/>
  <c r="L40" i="74"/>
  <c r="M40" i="74" s="1"/>
  <c r="M39" i="74"/>
  <c r="L39" i="74"/>
  <c r="L38" i="74"/>
  <c r="M38" i="74" s="1"/>
  <c r="L37" i="74"/>
  <c r="M37" i="74" s="1"/>
  <c r="L36" i="74"/>
  <c r="M36" i="74" s="1"/>
  <c r="L35" i="74"/>
  <c r="M35" i="74" s="1"/>
  <c r="L34" i="74"/>
  <c r="M34" i="74" s="1"/>
  <c r="L33" i="74"/>
  <c r="M33" i="74" s="1"/>
  <c r="L32" i="74"/>
  <c r="M32" i="74" s="1"/>
  <c r="L31" i="74"/>
  <c r="M31" i="74" s="1"/>
  <c r="L30" i="74"/>
  <c r="M30" i="74" s="1"/>
  <c r="L29" i="74"/>
  <c r="M29" i="74" s="1"/>
  <c r="M28" i="74"/>
  <c r="L28" i="74"/>
  <c r="L27" i="74"/>
  <c r="M27" i="74" s="1"/>
  <c r="L26" i="74"/>
  <c r="M26" i="74" s="1"/>
  <c r="L25" i="74"/>
  <c r="M25" i="74" s="1"/>
  <c r="L24" i="74"/>
  <c r="M23" i="74"/>
  <c r="L23" i="74"/>
  <c r="L18" i="74"/>
  <c r="K18" i="74"/>
  <c r="L17" i="74"/>
  <c r="K17" i="74"/>
  <c r="L16" i="74"/>
  <c r="K16" i="74"/>
  <c r="L15" i="74"/>
  <c r="K15" i="74"/>
  <c r="E15" i="74"/>
  <c r="L14" i="74"/>
  <c r="K14" i="74"/>
  <c r="E14" i="74"/>
  <c r="L13" i="74"/>
  <c r="K13" i="74"/>
  <c r="I93" i="73"/>
  <c r="H89" i="73"/>
  <c r="K84" i="73"/>
  <c r="J84" i="73"/>
  <c r="I84" i="73"/>
  <c r="K66" i="73"/>
  <c r="J66" i="73"/>
  <c r="I66" i="73"/>
  <c r="D66" i="73"/>
  <c r="L65" i="73"/>
  <c r="M65" i="73" s="1"/>
  <c r="L64" i="73"/>
  <c r="M64" i="73" s="1"/>
  <c r="M63" i="73"/>
  <c r="L63" i="73"/>
  <c r="M62" i="73"/>
  <c r="L62" i="73"/>
  <c r="M61" i="73"/>
  <c r="L61" i="73"/>
  <c r="L60" i="73"/>
  <c r="M60" i="73" s="1"/>
  <c r="M59" i="73"/>
  <c r="L59" i="73"/>
  <c r="M58" i="73"/>
  <c r="L58" i="73"/>
  <c r="M57" i="73"/>
  <c r="L57" i="73"/>
  <c r="L56" i="73"/>
  <c r="M56" i="73" s="1"/>
  <c r="M55" i="73"/>
  <c r="L55" i="73"/>
  <c r="M54" i="73"/>
  <c r="L54" i="73"/>
  <c r="M53" i="73"/>
  <c r="L53" i="73"/>
  <c r="L52" i="73"/>
  <c r="M52" i="73" s="1"/>
  <c r="M51" i="73"/>
  <c r="L51" i="73"/>
  <c r="M50" i="73"/>
  <c r="L50" i="73"/>
  <c r="M49" i="73"/>
  <c r="L49" i="73"/>
  <c r="L48" i="73"/>
  <c r="M48" i="73" s="1"/>
  <c r="M47" i="73"/>
  <c r="L47" i="73"/>
  <c r="M46" i="73"/>
  <c r="L46" i="73"/>
  <c r="M45" i="73"/>
  <c r="L45" i="73"/>
  <c r="L44" i="73"/>
  <c r="M44" i="73" s="1"/>
  <c r="M43" i="73"/>
  <c r="L43" i="73"/>
  <c r="M42" i="73"/>
  <c r="L42" i="73"/>
  <c r="M41" i="73"/>
  <c r="L41" i="73"/>
  <c r="L40" i="73"/>
  <c r="M40" i="73" s="1"/>
  <c r="M39" i="73"/>
  <c r="L39" i="73"/>
  <c r="M38" i="73"/>
  <c r="L38" i="73"/>
  <c r="M37" i="73"/>
  <c r="L37" i="73"/>
  <c r="L36" i="73"/>
  <c r="M36" i="73" s="1"/>
  <c r="M35" i="73"/>
  <c r="L35" i="73"/>
  <c r="M34" i="73"/>
  <c r="L34" i="73"/>
  <c r="M33" i="73"/>
  <c r="L33" i="73"/>
  <c r="L32" i="73"/>
  <c r="M32" i="73" s="1"/>
  <c r="M31" i="73"/>
  <c r="L31" i="73"/>
  <c r="M30" i="73"/>
  <c r="L30" i="73"/>
  <c r="M29" i="73"/>
  <c r="L29" i="73"/>
  <c r="L28" i="73"/>
  <c r="M28" i="73" s="1"/>
  <c r="M27" i="73"/>
  <c r="L27" i="73"/>
  <c r="M26" i="73"/>
  <c r="L26" i="73"/>
  <c r="M25" i="73"/>
  <c r="L25" i="73"/>
  <c r="L24" i="73"/>
  <c r="M24" i="73" s="1"/>
  <c r="M23" i="73"/>
  <c r="L23" i="73"/>
  <c r="L18" i="73"/>
  <c r="K18" i="73"/>
  <c r="L17" i="73"/>
  <c r="K17" i="73"/>
  <c r="L16" i="73"/>
  <c r="K16" i="73"/>
  <c r="L15" i="73"/>
  <c r="K15" i="73"/>
  <c r="E15" i="73"/>
  <c r="L14" i="73"/>
  <c r="K14" i="73"/>
  <c r="E14" i="73"/>
  <c r="L13" i="73"/>
  <c r="K13" i="73"/>
  <c r="L3" i="81" l="1"/>
  <c r="E17" i="81"/>
  <c r="L4" i="80"/>
  <c r="E16" i="80"/>
  <c r="E18" i="80"/>
  <c r="M66" i="80"/>
  <c r="M66" i="79"/>
  <c r="L4" i="79"/>
  <c r="E16" i="79"/>
  <c r="E18" i="79"/>
  <c r="E16" i="78"/>
  <c r="L4" i="78"/>
  <c r="E18" i="78"/>
  <c r="M66" i="78"/>
  <c r="E16" i="77"/>
  <c r="E18" i="77"/>
  <c r="M68" i="77"/>
  <c r="L4" i="77"/>
  <c r="L66" i="74"/>
  <c r="M24" i="74"/>
  <c r="L66" i="76"/>
  <c r="L66" i="75"/>
  <c r="E16" i="74"/>
  <c r="L4" i="74"/>
  <c r="E18" i="74"/>
  <c r="M66" i="74"/>
  <c r="L66" i="73"/>
  <c r="I93" i="72"/>
  <c r="K84" i="72"/>
  <c r="J84" i="72"/>
  <c r="I84" i="72"/>
  <c r="K66" i="72"/>
  <c r="J66" i="72"/>
  <c r="I66" i="72"/>
  <c r="D66" i="72"/>
  <c r="H89" i="72" s="1"/>
  <c r="L65" i="72"/>
  <c r="M65" i="72" s="1"/>
  <c r="L64" i="72"/>
  <c r="M64" i="72" s="1"/>
  <c r="M63" i="72"/>
  <c r="L63" i="72"/>
  <c r="M62" i="72"/>
  <c r="L62" i="72"/>
  <c r="L61" i="72"/>
  <c r="M61" i="72" s="1"/>
  <c r="L60" i="72"/>
  <c r="M60" i="72" s="1"/>
  <c r="M59" i="72"/>
  <c r="L59" i="72"/>
  <c r="M58" i="72"/>
  <c r="L58" i="72"/>
  <c r="L57" i="72"/>
  <c r="M57" i="72" s="1"/>
  <c r="L56" i="72"/>
  <c r="M56" i="72" s="1"/>
  <c r="M55" i="72"/>
  <c r="L55" i="72"/>
  <c r="M54" i="72"/>
  <c r="L54" i="72"/>
  <c r="L53" i="72"/>
  <c r="M53" i="72" s="1"/>
  <c r="L52" i="72"/>
  <c r="M52" i="72" s="1"/>
  <c r="M51" i="72"/>
  <c r="L51" i="72"/>
  <c r="M50" i="72"/>
  <c r="L50" i="72"/>
  <c r="L49" i="72"/>
  <c r="M49" i="72" s="1"/>
  <c r="L48" i="72"/>
  <c r="M48" i="72" s="1"/>
  <c r="M47" i="72"/>
  <c r="L47" i="72"/>
  <c r="M46" i="72"/>
  <c r="L46" i="72"/>
  <c r="L45" i="72"/>
  <c r="M45" i="72" s="1"/>
  <c r="L44" i="72"/>
  <c r="M44" i="72" s="1"/>
  <c r="M43" i="72"/>
  <c r="L43" i="72"/>
  <c r="M42" i="72"/>
  <c r="L42" i="72"/>
  <c r="L41" i="72"/>
  <c r="M41" i="72" s="1"/>
  <c r="L40" i="72"/>
  <c r="M40" i="72" s="1"/>
  <c r="M39" i="72"/>
  <c r="L39" i="72"/>
  <c r="M38" i="72"/>
  <c r="L38" i="72"/>
  <c r="L37" i="72"/>
  <c r="M37" i="72" s="1"/>
  <c r="L36" i="72"/>
  <c r="M36" i="72" s="1"/>
  <c r="L35" i="72"/>
  <c r="M35" i="72" s="1"/>
  <c r="L34" i="72"/>
  <c r="M34" i="72" s="1"/>
  <c r="L33" i="72"/>
  <c r="M33" i="72" s="1"/>
  <c r="L32" i="72"/>
  <c r="M32" i="72" s="1"/>
  <c r="L31" i="72"/>
  <c r="M31" i="72" s="1"/>
  <c r="L30" i="72"/>
  <c r="M30" i="72" s="1"/>
  <c r="L29" i="72"/>
  <c r="M29" i="72" s="1"/>
  <c r="L28" i="72"/>
  <c r="M28" i="72" s="1"/>
  <c r="L27" i="72"/>
  <c r="M27" i="72" s="1"/>
  <c r="M26" i="72"/>
  <c r="L26" i="72"/>
  <c r="L25" i="72"/>
  <c r="M25" i="72" s="1"/>
  <c r="L24" i="72"/>
  <c r="M24" i="72" s="1"/>
  <c r="L23" i="72"/>
  <c r="L18" i="72" s="1"/>
  <c r="K18" i="72"/>
  <c r="L17" i="72"/>
  <c r="K17" i="72"/>
  <c r="L16" i="72"/>
  <c r="K16" i="72"/>
  <c r="L15" i="72"/>
  <c r="K15" i="72"/>
  <c r="E15" i="72"/>
  <c r="K14" i="72"/>
  <c r="L13" i="72"/>
  <c r="K13" i="72"/>
  <c r="L3" i="80" l="1"/>
  <c r="E17" i="80"/>
  <c r="E17" i="79"/>
  <c r="L3" i="79"/>
  <c r="L3" i="78"/>
  <c r="E17" i="78"/>
  <c r="L3" i="77"/>
  <c r="E17" i="77"/>
  <c r="E16" i="76"/>
  <c r="L4" i="76"/>
  <c r="E18" i="76"/>
  <c r="M66" i="76"/>
  <c r="E16" i="75"/>
  <c r="L4" i="75"/>
  <c r="E18" i="75"/>
  <c r="M66" i="75"/>
  <c r="L3" i="74"/>
  <c r="E17" i="74"/>
  <c r="L4" i="73"/>
  <c r="E16" i="73"/>
  <c r="E18" i="73"/>
  <c r="M66" i="73"/>
  <c r="M23" i="72"/>
  <c r="E14" i="72"/>
  <c r="L14" i="72"/>
  <c r="L66" i="72"/>
  <c r="L3" i="76" l="1"/>
  <c r="E17" i="76"/>
  <c r="L3" i="75"/>
  <c r="E17" i="75"/>
  <c r="E17" i="73"/>
  <c r="L3" i="73"/>
  <c r="E16" i="72"/>
  <c r="L4" i="72"/>
  <c r="E18" i="72"/>
  <c r="M66" i="72"/>
  <c r="L3" i="72" l="1"/>
  <c r="E17" i="72"/>
  <c r="I93" i="71" l="1"/>
  <c r="K84" i="71"/>
  <c r="J84" i="71"/>
  <c r="I84" i="71"/>
  <c r="K66" i="71"/>
  <c r="J66" i="71"/>
  <c r="I66" i="71"/>
  <c r="D66" i="71"/>
  <c r="H89" i="71" s="1"/>
  <c r="M65" i="71"/>
  <c r="L65" i="71"/>
  <c r="L64" i="71"/>
  <c r="M64" i="71" s="1"/>
  <c r="M63" i="71"/>
  <c r="L63" i="71"/>
  <c r="L62" i="71"/>
  <c r="M62" i="71" s="1"/>
  <c r="M61" i="71"/>
  <c r="L61" i="71"/>
  <c r="L60" i="71"/>
  <c r="M60" i="71" s="1"/>
  <c r="M59" i="71"/>
  <c r="L59" i="71"/>
  <c r="L58" i="71"/>
  <c r="M58" i="71" s="1"/>
  <c r="M57" i="71"/>
  <c r="L57" i="71"/>
  <c r="L56" i="71"/>
  <c r="M56" i="71" s="1"/>
  <c r="M55" i="71"/>
  <c r="L55" i="71"/>
  <c r="L54" i="71"/>
  <c r="M54" i="71" s="1"/>
  <c r="M53" i="71"/>
  <c r="L53" i="71"/>
  <c r="L52" i="71"/>
  <c r="M52" i="71" s="1"/>
  <c r="M51" i="71"/>
  <c r="L51" i="71"/>
  <c r="L50" i="71"/>
  <c r="M50" i="71" s="1"/>
  <c r="M49" i="71"/>
  <c r="L49" i="71"/>
  <c r="L48" i="71"/>
  <c r="M48" i="71" s="1"/>
  <c r="M47" i="71"/>
  <c r="L47" i="71"/>
  <c r="L46" i="71"/>
  <c r="M46" i="71" s="1"/>
  <c r="M45" i="71"/>
  <c r="L45" i="71"/>
  <c r="L44" i="71"/>
  <c r="M44" i="71" s="1"/>
  <c r="M43" i="71"/>
  <c r="L43" i="71"/>
  <c r="L42" i="71"/>
  <c r="M42" i="71" s="1"/>
  <c r="M41" i="71"/>
  <c r="L41" i="71"/>
  <c r="L40" i="71"/>
  <c r="M40" i="71" s="1"/>
  <c r="M39" i="71"/>
  <c r="L39" i="71"/>
  <c r="L38" i="71"/>
  <c r="M38" i="71" s="1"/>
  <c r="M37" i="71"/>
  <c r="L37" i="71"/>
  <c r="L36" i="71"/>
  <c r="M36" i="71" s="1"/>
  <c r="M35" i="71"/>
  <c r="L35" i="71"/>
  <c r="L34" i="71"/>
  <c r="M34" i="71" s="1"/>
  <c r="M33" i="71"/>
  <c r="L33" i="71"/>
  <c r="L32" i="71"/>
  <c r="M32" i="71" s="1"/>
  <c r="L31" i="71"/>
  <c r="M31" i="71" s="1"/>
  <c r="L30" i="71"/>
  <c r="M30" i="71" s="1"/>
  <c r="L29" i="71"/>
  <c r="M29" i="71" s="1"/>
  <c r="L28" i="71"/>
  <c r="M28" i="71" s="1"/>
  <c r="L27" i="71"/>
  <c r="M27" i="71" s="1"/>
  <c r="L26" i="71"/>
  <c r="M26" i="71" s="1"/>
  <c r="L25" i="71"/>
  <c r="M25" i="71" s="1"/>
  <c r="L24" i="71"/>
  <c r="M24" i="71" s="1"/>
  <c r="M23" i="71"/>
  <c r="L23" i="71"/>
  <c r="L18" i="71"/>
  <c r="K18" i="71"/>
  <c r="L17" i="71"/>
  <c r="K17" i="71"/>
  <c r="L16" i="71"/>
  <c r="K16" i="71"/>
  <c r="L15" i="71"/>
  <c r="K15" i="71"/>
  <c r="E15" i="71"/>
  <c r="L14" i="71"/>
  <c r="K14" i="71"/>
  <c r="E14" i="71"/>
  <c r="L13" i="71"/>
  <c r="K13" i="71"/>
  <c r="I93" i="70"/>
  <c r="K84" i="70"/>
  <c r="J84" i="70"/>
  <c r="I84" i="70"/>
  <c r="K66" i="70"/>
  <c r="J66" i="70"/>
  <c r="I66" i="70"/>
  <c r="D66" i="70"/>
  <c r="H89" i="70" s="1"/>
  <c r="L65" i="70"/>
  <c r="M65" i="70" s="1"/>
  <c r="L64" i="70"/>
  <c r="M64" i="70" s="1"/>
  <c r="M63" i="70"/>
  <c r="L63" i="70"/>
  <c r="L62" i="70"/>
  <c r="M62" i="70" s="1"/>
  <c r="L61" i="70"/>
  <c r="M61" i="70" s="1"/>
  <c r="L60" i="70"/>
  <c r="M60" i="70" s="1"/>
  <c r="M59" i="70"/>
  <c r="L59" i="70"/>
  <c r="L58" i="70"/>
  <c r="M58" i="70" s="1"/>
  <c r="L57" i="70"/>
  <c r="M57" i="70" s="1"/>
  <c r="L56" i="70"/>
  <c r="M56" i="70" s="1"/>
  <c r="M55" i="70"/>
  <c r="L55" i="70"/>
  <c r="L54" i="70"/>
  <c r="M54" i="70" s="1"/>
  <c r="L53" i="70"/>
  <c r="M53" i="70" s="1"/>
  <c r="L52" i="70"/>
  <c r="M52" i="70" s="1"/>
  <c r="M51" i="70"/>
  <c r="L51" i="70"/>
  <c r="L50" i="70"/>
  <c r="M50" i="70" s="1"/>
  <c r="L49" i="70"/>
  <c r="M49" i="70" s="1"/>
  <c r="L48" i="70"/>
  <c r="M48" i="70" s="1"/>
  <c r="M47" i="70"/>
  <c r="L47" i="70"/>
  <c r="L46" i="70"/>
  <c r="M46" i="70" s="1"/>
  <c r="L45" i="70"/>
  <c r="M45" i="70" s="1"/>
  <c r="L44" i="70"/>
  <c r="M44" i="70" s="1"/>
  <c r="M43" i="70"/>
  <c r="L43" i="70"/>
  <c r="L42" i="70"/>
  <c r="M42" i="70" s="1"/>
  <c r="L41" i="70"/>
  <c r="M41" i="70" s="1"/>
  <c r="L40" i="70"/>
  <c r="M40" i="70" s="1"/>
  <c r="M39" i="70"/>
  <c r="L39" i="70"/>
  <c r="L38" i="70"/>
  <c r="M38" i="70" s="1"/>
  <c r="L37" i="70"/>
  <c r="M37" i="70" s="1"/>
  <c r="L36" i="70"/>
  <c r="M36" i="70" s="1"/>
  <c r="M35" i="70"/>
  <c r="L35" i="70"/>
  <c r="L34" i="70"/>
  <c r="M34" i="70" s="1"/>
  <c r="L33" i="70"/>
  <c r="M33" i="70" s="1"/>
  <c r="L32" i="70"/>
  <c r="M32" i="70" s="1"/>
  <c r="M31" i="70"/>
  <c r="L31" i="70"/>
  <c r="L30" i="70"/>
  <c r="M30" i="70" s="1"/>
  <c r="L29" i="70"/>
  <c r="M29" i="70" s="1"/>
  <c r="L28" i="70"/>
  <c r="M28" i="70" s="1"/>
  <c r="L27" i="70"/>
  <c r="M27" i="70" s="1"/>
  <c r="L26" i="70"/>
  <c r="M26" i="70" s="1"/>
  <c r="L25" i="70"/>
  <c r="M25" i="70" s="1"/>
  <c r="L24" i="70"/>
  <c r="M24" i="70" s="1"/>
  <c r="M23" i="70"/>
  <c r="L23" i="70"/>
  <c r="L18" i="70"/>
  <c r="K18" i="70"/>
  <c r="L17" i="70"/>
  <c r="K17" i="70"/>
  <c r="L16" i="70"/>
  <c r="K16" i="70"/>
  <c r="L15" i="70"/>
  <c r="K15" i="70"/>
  <c r="E15" i="70"/>
  <c r="L14" i="70"/>
  <c r="K14" i="70"/>
  <c r="E14" i="70"/>
  <c r="L13" i="70"/>
  <c r="K13" i="70"/>
  <c r="I93" i="69"/>
  <c r="K84" i="69"/>
  <c r="J84" i="69"/>
  <c r="I84" i="69"/>
  <c r="K66" i="69"/>
  <c r="J66" i="69"/>
  <c r="I66" i="69"/>
  <c r="D66" i="69"/>
  <c r="E14" i="69" s="1"/>
  <c r="L65" i="69"/>
  <c r="M65" i="69" s="1"/>
  <c r="L64" i="69"/>
  <c r="M64" i="69" s="1"/>
  <c r="M63" i="69"/>
  <c r="L63" i="69"/>
  <c r="L62" i="69"/>
  <c r="M62" i="69" s="1"/>
  <c r="L61" i="69"/>
  <c r="M61" i="69" s="1"/>
  <c r="L60" i="69"/>
  <c r="M60" i="69" s="1"/>
  <c r="M59" i="69"/>
  <c r="L59" i="69"/>
  <c r="L58" i="69"/>
  <c r="M58" i="69" s="1"/>
  <c r="L57" i="69"/>
  <c r="M57" i="69" s="1"/>
  <c r="L56" i="69"/>
  <c r="M56" i="69" s="1"/>
  <c r="M55" i="69"/>
  <c r="L55" i="69"/>
  <c r="L54" i="69"/>
  <c r="M54" i="69" s="1"/>
  <c r="L53" i="69"/>
  <c r="M53" i="69" s="1"/>
  <c r="L52" i="69"/>
  <c r="M52" i="69" s="1"/>
  <c r="M51" i="69"/>
  <c r="L51" i="69"/>
  <c r="L50" i="69"/>
  <c r="M50" i="69" s="1"/>
  <c r="L49" i="69"/>
  <c r="M49" i="69" s="1"/>
  <c r="L48" i="69"/>
  <c r="M48" i="69" s="1"/>
  <c r="M47" i="69"/>
  <c r="L47" i="69"/>
  <c r="L46" i="69"/>
  <c r="M46" i="69" s="1"/>
  <c r="L45" i="69"/>
  <c r="M45" i="69" s="1"/>
  <c r="L44" i="69"/>
  <c r="M44" i="69" s="1"/>
  <c r="M43" i="69"/>
  <c r="L43" i="69"/>
  <c r="L42" i="69"/>
  <c r="M42" i="69" s="1"/>
  <c r="L41" i="69"/>
  <c r="M41" i="69" s="1"/>
  <c r="L40" i="69"/>
  <c r="M40" i="69" s="1"/>
  <c r="M39" i="69"/>
  <c r="L39" i="69"/>
  <c r="L38" i="69"/>
  <c r="M38" i="69" s="1"/>
  <c r="L37" i="69"/>
  <c r="M37" i="69" s="1"/>
  <c r="L36" i="69"/>
  <c r="M36" i="69" s="1"/>
  <c r="M35" i="69"/>
  <c r="L35" i="69"/>
  <c r="L34" i="69"/>
  <c r="M34" i="69" s="1"/>
  <c r="L33" i="69"/>
  <c r="M33" i="69" s="1"/>
  <c r="L32" i="69"/>
  <c r="M32" i="69" s="1"/>
  <c r="L31" i="69"/>
  <c r="M31" i="69" s="1"/>
  <c r="L30" i="69"/>
  <c r="M30" i="69" s="1"/>
  <c r="L29" i="69"/>
  <c r="M29" i="69" s="1"/>
  <c r="L28" i="69"/>
  <c r="M28" i="69" s="1"/>
  <c r="M27" i="69"/>
  <c r="L27" i="69"/>
  <c r="L26" i="69"/>
  <c r="M26" i="69" s="1"/>
  <c r="L25" i="69"/>
  <c r="M25" i="69" s="1"/>
  <c r="L24" i="69"/>
  <c r="M24" i="69" s="1"/>
  <c r="L23" i="69"/>
  <c r="M23" i="69" s="1"/>
  <c r="L18" i="69"/>
  <c r="K18" i="69"/>
  <c r="L17" i="69"/>
  <c r="K17" i="69"/>
  <c r="L16" i="69"/>
  <c r="K16" i="69"/>
  <c r="L15" i="69"/>
  <c r="K15" i="69"/>
  <c r="E15" i="69"/>
  <c r="L14" i="69"/>
  <c r="K14" i="69"/>
  <c r="L13" i="69"/>
  <c r="K13" i="69"/>
  <c r="L66" i="71" l="1"/>
  <c r="L66" i="70"/>
  <c r="H89" i="69"/>
  <c r="L66" i="69"/>
  <c r="L60" i="68"/>
  <c r="M60" i="68" s="1"/>
  <c r="D73" i="68"/>
  <c r="I73" i="68"/>
  <c r="J73" i="68"/>
  <c r="K73" i="68"/>
  <c r="L25" i="68"/>
  <c r="M25" i="68" s="1"/>
  <c r="L26" i="68"/>
  <c r="M26" i="68" s="1"/>
  <c r="L27" i="68"/>
  <c r="M27" i="68" s="1"/>
  <c r="L28" i="68"/>
  <c r="M28" i="68" s="1"/>
  <c r="L29" i="68"/>
  <c r="M29" i="68" s="1"/>
  <c r="L30" i="68"/>
  <c r="M30" i="68" s="1"/>
  <c r="E16" i="71" l="1"/>
  <c r="L4" i="71"/>
  <c r="E18" i="71"/>
  <c r="M66" i="71"/>
  <c r="E16" i="70"/>
  <c r="E18" i="70"/>
  <c r="M66" i="70"/>
  <c r="L4" i="70"/>
  <c r="E16" i="69"/>
  <c r="L4" i="69"/>
  <c r="E18" i="69"/>
  <c r="M66" i="69"/>
  <c r="I100" i="68"/>
  <c r="K91" i="68"/>
  <c r="J91" i="68"/>
  <c r="I91" i="68"/>
  <c r="H96" i="68"/>
  <c r="L72" i="68"/>
  <c r="M72" i="68" s="1"/>
  <c r="L71" i="68"/>
  <c r="M71" i="68" s="1"/>
  <c r="L70" i="68"/>
  <c r="M70" i="68" s="1"/>
  <c r="L69" i="68"/>
  <c r="M69" i="68" s="1"/>
  <c r="L68" i="68"/>
  <c r="M68" i="68" s="1"/>
  <c r="L67" i="68"/>
  <c r="M67" i="68" s="1"/>
  <c r="L66" i="68"/>
  <c r="M66" i="68" s="1"/>
  <c r="L65" i="68"/>
  <c r="M65" i="68" s="1"/>
  <c r="L64" i="68"/>
  <c r="M64" i="68" s="1"/>
  <c r="L63" i="68"/>
  <c r="M63" i="68" s="1"/>
  <c r="L62" i="68"/>
  <c r="M62" i="68" s="1"/>
  <c r="L61" i="68"/>
  <c r="M61" i="68" s="1"/>
  <c r="L59" i="68"/>
  <c r="M59" i="68" s="1"/>
  <c r="L58" i="68"/>
  <c r="M58" i="68" s="1"/>
  <c r="L57" i="68"/>
  <c r="M57" i="68" s="1"/>
  <c r="L56" i="68"/>
  <c r="M56" i="68" s="1"/>
  <c r="L55" i="68"/>
  <c r="M55" i="68" s="1"/>
  <c r="L54" i="68"/>
  <c r="M54" i="68" s="1"/>
  <c r="L53" i="68"/>
  <c r="M53" i="68" s="1"/>
  <c r="L52" i="68"/>
  <c r="M52" i="68" s="1"/>
  <c r="L51" i="68"/>
  <c r="M51" i="68" s="1"/>
  <c r="L50" i="68"/>
  <c r="M50" i="68" s="1"/>
  <c r="L49" i="68"/>
  <c r="M49" i="68" s="1"/>
  <c r="L48" i="68"/>
  <c r="M48" i="68" s="1"/>
  <c r="L47" i="68"/>
  <c r="M47" i="68" s="1"/>
  <c r="L46" i="68"/>
  <c r="M46" i="68" s="1"/>
  <c r="L45" i="68"/>
  <c r="M45" i="68" s="1"/>
  <c r="L44" i="68"/>
  <c r="M44" i="68" s="1"/>
  <c r="L43" i="68"/>
  <c r="M43" i="68" s="1"/>
  <c r="L42" i="68"/>
  <c r="M42" i="68" s="1"/>
  <c r="L41" i="68"/>
  <c r="M41" i="68" s="1"/>
  <c r="L40" i="68"/>
  <c r="M40" i="68" s="1"/>
  <c r="L39" i="68"/>
  <c r="M39" i="68" s="1"/>
  <c r="L38" i="68"/>
  <c r="M38" i="68" s="1"/>
  <c r="L37" i="68"/>
  <c r="M37" i="68" s="1"/>
  <c r="L36" i="68"/>
  <c r="M36" i="68" s="1"/>
  <c r="L35" i="68"/>
  <c r="M35" i="68" s="1"/>
  <c r="L34" i="68"/>
  <c r="M34" i="68" s="1"/>
  <c r="L33" i="68"/>
  <c r="M33" i="68" s="1"/>
  <c r="L32" i="68"/>
  <c r="M32" i="68" s="1"/>
  <c r="L31" i="68"/>
  <c r="M31" i="68" s="1"/>
  <c r="L24" i="68"/>
  <c r="M24" i="68" s="1"/>
  <c r="L23" i="68"/>
  <c r="M23" i="68" s="1"/>
  <c r="L18" i="68"/>
  <c r="K18" i="68"/>
  <c r="L17" i="68"/>
  <c r="K17" i="68"/>
  <c r="L16" i="68"/>
  <c r="K16" i="68"/>
  <c r="L15" i="68"/>
  <c r="K15" i="68"/>
  <c r="E15" i="68"/>
  <c r="K14" i="68"/>
  <c r="E14" i="68"/>
  <c r="L13" i="68"/>
  <c r="K13" i="68"/>
  <c r="L3" i="71" l="1"/>
  <c r="E17" i="71"/>
  <c r="L3" i="70"/>
  <c r="E17" i="70"/>
  <c r="L3" i="69"/>
  <c r="E17" i="69"/>
  <c r="L14" i="68"/>
  <c r="L73" i="68"/>
  <c r="I93" i="67"/>
  <c r="K84" i="67"/>
  <c r="J84" i="67"/>
  <c r="I84" i="67"/>
  <c r="K66" i="67"/>
  <c r="J66" i="67"/>
  <c r="I66" i="67"/>
  <c r="D66" i="67"/>
  <c r="H89" i="67" s="1"/>
  <c r="L65" i="67"/>
  <c r="M65" i="67" s="1"/>
  <c r="L64" i="67"/>
  <c r="M64" i="67" s="1"/>
  <c r="L63" i="67"/>
  <c r="M63" i="67" s="1"/>
  <c r="L62" i="67"/>
  <c r="M62" i="67" s="1"/>
  <c r="L61" i="67"/>
  <c r="M61" i="67" s="1"/>
  <c r="L60" i="67"/>
  <c r="M60" i="67" s="1"/>
  <c r="M59" i="67"/>
  <c r="L59" i="67"/>
  <c r="L58" i="67"/>
  <c r="M58" i="67" s="1"/>
  <c r="L57" i="67"/>
  <c r="M57" i="67" s="1"/>
  <c r="L56" i="67"/>
  <c r="M56" i="67" s="1"/>
  <c r="L55" i="67"/>
  <c r="M55" i="67" s="1"/>
  <c r="L54" i="67"/>
  <c r="M54" i="67" s="1"/>
  <c r="L53" i="67"/>
  <c r="M53" i="67" s="1"/>
  <c r="L52" i="67"/>
  <c r="M52" i="67" s="1"/>
  <c r="L51" i="67"/>
  <c r="M51" i="67" s="1"/>
  <c r="L50" i="67"/>
  <c r="M50" i="67" s="1"/>
  <c r="L49" i="67"/>
  <c r="M49" i="67" s="1"/>
  <c r="L48" i="67"/>
  <c r="M48" i="67" s="1"/>
  <c r="L47" i="67"/>
  <c r="M47" i="67" s="1"/>
  <c r="L46" i="67"/>
  <c r="M46" i="67" s="1"/>
  <c r="L45" i="67"/>
  <c r="M45" i="67" s="1"/>
  <c r="L44" i="67"/>
  <c r="M44" i="67" s="1"/>
  <c r="M43" i="67"/>
  <c r="L43" i="67"/>
  <c r="L42" i="67"/>
  <c r="M42" i="67" s="1"/>
  <c r="L41" i="67"/>
  <c r="M41" i="67" s="1"/>
  <c r="L40" i="67"/>
  <c r="M40" i="67" s="1"/>
  <c r="L39" i="67"/>
  <c r="M39" i="67" s="1"/>
  <c r="L38" i="67"/>
  <c r="M38" i="67" s="1"/>
  <c r="L37" i="67"/>
  <c r="M37" i="67" s="1"/>
  <c r="L36" i="67"/>
  <c r="M36" i="67" s="1"/>
  <c r="L35" i="67"/>
  <c r="M35" i="67" s="1"/>
  <c r="L34" i="67"/>
  <c r="M34" i="67" s="1"/>
  <c r="L33" i="67"/>
  <c r="M33" i="67" s="1"/>
  <c r="L32" i="67"/>
  <c r="M32" i="67" s="1"/>
  <c r="L31" i="67"/>
  <c r="M31" i="67" s="1"/>
  <c r="L30" i="67"/>
  <c r="M30" i="67" s="1"/>
  <c r="L29" i="67"/>
  <c r="M29" i="67" s="1"/>
  <c r="L28" i="67"/>
  <c r="M28" i="67" s="1"/>
  <c r="M27" i="67"/>
  <c r="L27" i="67"/>
  <c r="L26" i="67"/>
  <c r="M26" i="67" s="1"/>
  <c r="L25" i="67"/>
  <c r="M25" i="67" s="1"/>
  <c r="L24" i="67"/>
  <c r="M24" i="67" s="1"/>
  <c r="L23" i="67"/>
  <c r="M23" i="67" s="1"/>
  <c r="K18" i="67"/>
  <c r="L17" i="67"/>
  <c r="K17" i="67"/>
  <c r="L16" i="67"/>
  <c r="K16" i="67"/>
  <c r="L15" i="67"/>
  <c r="K15" i="67"/>
  <c r="E15" i="67"/>
  <c r="K14" i="67"/>
  <c r="E14" i="67"/>
  <c r="K13" i="67"/>
  <c r="I93" i="66"/>
  <c r="K84" i="66"/>
  <c r="J84" i="66"/>
  <c r="I84" i="66"/>
  <c r="K66" i="66"/>
  <c r="J66" i="66"/>
  <c r="I66" i="66"/>
  <c r="D66" i="66"/>
  <c r="H89" i="66" s="1"/>
  <c r="M65" i="66"/>
  <c r="L65" i="66"/>
  <c r="L64" i="66"/>
  <c r="M64" i="66" s="1"/>
  <c r="M63" i="66"/>
  <c r="L63" i="66"/>
  <c r="L62" i="66"/>
  <c r="M62" i="66" s="1"/>
  <c r="M61" i="66"/>
  <c r="L61" i="66"/>
  <c r="L60" i="66"/>
  <c r="M60" i="66" s="1"/>
  <c r="M59" i="66"/>
  <c r="L59" i="66"/>
  <c r="L58" i="66"/>
  <c r="M58" i="66" s="1"/>
  <c r="M57" i="66"/>
  <c r="L57" i="66"/>
  <c r="L56" i="66"/>
  <c r="M56" i="66" s="1"/>
  <c r="M55" i="66"/>
  <c r="L55" i="66"/>
  <c r="L54" i="66"/>
  <c r="M54" i="66" s="1"/>
  <c r="M53" i="66"/>
  <c r="L53" i="66"/>
  <c r="L52" i="66"/>
  <c r="M52" i="66" s="1"/>
  <c r="M51" i="66"/>
  <c r="L51" i="66"/>
  <c r="L50" i="66"/>
  <c r="M50" i="66" s="1"/>
  <c r="M49" i="66"/>
  <c r="L49" i="66"/>
  <c r="L48" i="66"/>
  <c r="M48" i="66" s="1"/>
  <c r="M47" i="66"/>
  <c r="L47" i="66"/>
  <c r="L46" i="66"/>
  <c r="M46" i="66" s="1"/>
  <c r="M45" i="66"/>
  <c r="L45" i="66"/>
  <c r="L44" i="66"/>
  <c r="M44" i="66" s="1"/>
  <c r="M43" i="66"/>
  <c r="L43" i="66"/>
  <c r="L42" i="66"/>
  <c r="M42" i="66" s="1"/>
  <c r="M41" i="66"/>
  <c r="L41" i="66"/>
  <c r="L40" i="66"/>
  <c r="M40" i="66" s="1"/>
  <c r="M39" i="66"/>
  <c r="L39" i="66"/>
  <c r="L38" i="66"/>
  <c r="M38" i="66" s="1"/>
  <c r="L37" i="66"/>
  <c r="M37" i="66" s="1"/>
  <c r="L36" i="66"/>
  <c r="M36" i="66" s="1"/>
  <c r="L35" i="66"/>
  <c r="M35" i="66" s="1"/>
  <c r="L34" i="66"/>
  <c r="M34" i="66" s="1"/>
  <c r="L33" i="66"/>
  <c r="M33" i="66" s="1"/>
  <c r="L32" i="66"/>
  <c r="M32" i="66" s="1"/>
  <c r="L31" i="66"/>
  <c r="M31" i="66" s="1"/>
  <c r="L30" i="66"/>
  <c r="M30" i="66" s="1"/>
  <c r="L29" i="66"/>
  <c r="L13" i="66" s="1"/>
  <c r="L28" i="66"/>
  <c r="M28" i="66" s="1"/>
  <c r="L27" i="66"/>
  <c r="M27" i="66" s="1"/>
  <c r="L26" i="66"/>
  <c r="M26" i="66" s="1"/>
  <c r="M25" i="66"/>
  <c r="L25" i="66"/>
  <c r="L24" i="66"/>
  <c r="M24" i="66" s="1"/>
  <c r="M23" i="66"/>
  <c r="L23" i="66"/>
  <c r="L18" i="66"/>
  <c r="K18" i="66"/>
  <c r="L17" i="66"/>
  <c r="K17" i="66"/>
  <c r="L16" i="66"/>
  <c r="K16" i="66"/>
  <c r="L15" i="66"/>
  <c r="K15" i="66"/>
  <c r="E15" i="66"/>
  <c r="L14" i="66"/>
  <c r="K14" i="66"/>
  <c r="K13" i="66"/>
  <c r="I93" i="65"/>
  <c r="K84" i="65"/>
  <c r="J84" i="65"/>
  <c r="I84" i="65"/>
  <c r="K66" i="65"/>
  <c r="J66" i="65"/>
  <c r="I66" i="65"/>
  <c r="E15" i="65" s="1"/>
  <c r="D66" i="65"/>
  <c r="H89" i="65" s="1"/>
  <c r="L65" i="65"/>
  <c r="M65" i="65" s="1"/>
  <c r="L64" i="65"/>
  <c r="M64" i="65" s="1"/>
  <c r="M63" i="65"/>
  <c r="L63" i="65"/>
  <c r="M62" i="65"/>
  <c r="L62" i="65"/>
  <c r="L61" i="65"/>
  <c r="M61" i="65" s="1"/>
  <c r="L60" i="65"/>
  <c r="M60" i="65" s="1"/>
  <c r="M59" i="65"/>
  <c r="L59" i="65"/>
  <c r="M58" i="65"/>
  <c r="L58" i="65"/>
  <c r="L57" i="65"/>
  <c r="M57" i="65" s="1"/>
  <c r="L56" i="65"/>
  <c r="M56" i="65" s="1"/>
  <c r="M55" i="65"/>
  <c r="L55" i="65"/>
  <c r="M54" i="65"/>
  <c r="L54" i="65"/>
  <c r="L53" i="65"/>
  <c r="M53" i="65" s="1"/>
  <c r="L52" i="65"/>
  <c r="M52" i="65" s="1"/>
  <c r="M51" i="65"/>
  <c r="L51" i="65"/>
  <c r="M50" i="65"/>
  <c r="L50" i="65"/>
  <c r="L49" i="65"/>
  <c r="M49" i="65" s="1"/>
  <c r="L48" i="65"/>
  <c r="M48" i="65" s="1"/>
  <c r="M47" i="65"/>
  <c r="L47" i="65"/>
  <c r="M46" i="65"/>
  <c r="L46" i="65"/>
  <c r="L45" i="65"/>
  <c r="M45" i="65" s="1"/>
  <c r="L44" i="65"/>
  <c r="M44" i="65" s="1"/>
  <c r="M43" i="65"/>
  <c r="L43" i="65"/>
  <c r="M42" i="65"/>
  <c r="L42" i="65"/>
  <c r="L41" i="65"/>
  <c r="M41" i="65" s="1"/>
  <c r="L40" i="65"/>
  <c r="M40" i="65" s="1"/>
  <c r="M39" i="65"/>
  <c r="L39" i="65"/>
  <c r="L38" i="65"/>
  <c r="M38" i="65" s="1"/>
  <c r="L37" i="65"/>
  <c r="M37" i="65" s="1"/>
  <c r="L36" i="65"/>
  <c r="M36" i="65" s="1"/>
  <c r="L35" i="65"/>
  <c r="M35" i="65" s="1"/>
  <c r="M34" i="65"/>
  <c r="L34" i="65"/>
  <c r="L33" i="65"/>
  <c r="M33" i="65" s="1"/>
  <c r="L32" i="65"/>
  <c r="M32" i="65" s="1"/>
  <c r="L31" i="65"/>
  <c r="M31" i="65" s="1"/>
  <c r="L30" i="65"/>
  <c r="M30" i="65" s="1"/>
  <c r="L29" i="65"/>
  <c r="M29" i="65" s="1"/>
  <c r="L28" i="65"/>
  <c r="M28" i="65" s="1"/>
  <c r="L27" i="65"/>
  <c r="M27" i="65" s="1"/>
  <c r="L26" i="65"/>
  <c r="M26" i="65" s="1"/>
  <c r="L25" i="65"/>
  <c r="M25" i="65" s="1"/>
  <c r="L24" i="65"/>
  <c r="M24" i="65" s="1"/>
  <c r="M23" i="65"/>
  <c r="L23" i="65"/>
  <c r="K18" i="65"/>
  <c r="L17" i="65"/>
  <c r="K17" i="65"/>
  <c r="L16" i="65"/>
  <c r="K16" i="65"/>
  <c r="L15" i="65"/>
  <c r="K15" i="65"/>
  <c r="L14" i="65"/>
  <c r="K14" i="65"/>
  <c r="E14" i="65"/>
  <c r="L13" i="65"/>
  <c r="K13" i="65"/>
  <c r="L18" i="65" l="1"/>
  <c r="E16" i="68"/>
  <c r="E18" i="68"/>
  <c r="M73" i="68"/>
  <c r="L4" i="68"/>
  <c r="L13" i="67"/>
  <c r="L14" i="67"/>
  <c r="L18" i="67"/>
  <c r="M29" i="66"/>
  <c r="E14" i="66"/>
  <c r="L66" i="67"/>
  <c r="L66" i="66"/>
  <c r="L66" i="65"/>
  <c r="I93" i="64"/>
  <c r="K84" i="64"/>
  <c r="J84" i="64"/>
  <c r="I84" i="64"/>
  <c r="K66" i="64"/>
  <c r="J66" i="64"/>
  <c r="I66" i="64"/>
  <c r="D66" i="64"/>
  <c r="H89" i="64" s="1"/>
  <c r="L65" i="64"/>
  <c r="M65" i="64" s="1"/>
  <c r="L64" i="64"/>
  <c r="M64" i="64" s="1"/>
  <c r="M63" i="64"/>
  <c r="L63" i="64"/>
  <c r="L62" i="64"/>
  <c r="M62" i="64" s="1"/>
  <c r="L61" i="64"/>
  <c r="M61" i="64" s="1"/>
  <c r="L60" i="64"/>
  <c r="M60" i="64" s="1"/>
  <c r="M59" i="64"/>
  <c r="L59" i="64"/>
  <c r="L58" i="64"/>
  <c r="M58" i="64" s="1"/>
  <c r="L57" i="64"/>
  <c r="M57" i="64" s="1"/>
  <c r="L56" i="64"/>
  <c r="M56" i="64" s="1"/>
  <c r="M55" i="64"/>
  <c r="L55" i="64"/>
  <c r="L54" i="64"/>
  <c r="M54" i="64" s="1"/>
  <c r="L53" i="64"/>
  <c r="M53" i="64" s="1"/>
  <c r="L52" i="64"/>
  <c r="M52" i="64" s="1"/>
  <c r="M51" i="64"/>
  <c r="L51" i="64"/>
  <c r="L50" i="64"/>
  <c r="M50" i="64" s="1"/>
  <c r="L49" i="64"/>
  <c r="M49" i="64" s="1"/>
  <c r="L48" i="64"/>
  <c r="M48" i="64" s="1"/>
  <c r="M47" i="64"/>
  <c r="L47" i="64"/>
  <c r="L46" i="64"/>
  <c r="M46" i="64" s="1"/>
  <c r="L45" i="64"/>
  <c r="M45" i="64" s="1"/>
  <c r="L44" i="64"/>
  <c r="M44" i="64" s="1"/>
  <c r="M43" i="64"/>
  <c r="L43" i="64"/>
  <c r="L42" i="64"/>
  <c r="M42" i="64" s="1"/>
  <c r="L41" i="64"/>
  <c r="M41" i="64" s="1"/>
  <c r="L40" i="64"/>
  <c r="M40" i="64" s="1"/>
  <c r="L39" i="64"/>
  <c r="M39" i="64" s="1"/>
  <c r="L38" i="64"/>
  <c r="M38" i="64" s="1"/>
  <c r="L37" i="64"/>
  <c r="M37" i="64" s="1"/>
  <c r="L36" i="64"/>
  <c r="M36" i="64" s="1"/>
  <c r="L35" i="64"/>
  <c r="M35" i="64" s="1"/>
  <c r="L34" i="64"/>
  <c r="M34" i="64" s="1"/>
  <c r="L33" i="64"/>
  <c r="M33" i="64" s="1"/>
  <c r="L32" i="64"/>
  <c r="M32" i="64" s="1"/>
  <c r="M31" i="64"/>
  <c r="L31" i="64"/>
  <c r="L30" i="64"/>
  <c r="M30" i="64" s="1"/>
  <c r="L29" i="64"/>
  <c r="M29" i="64" s="1"/>
  <c r="L28" i="64"/>
  <c r="M28" i="64" s="1"/>
  <c r="M27" i="64"/>
  <c r="L27" i="64"/>
  <c r="L26" i="64"/>
  <c r="M26" i="64" s="1"/>
  <c r="L25" i="64"/>
  <c r="M25" i="64" s="1"/>
  <c r="L24" i="64"/>
  <c r="M24" i="64" s="1"/>
  <c r="M23" i="64"/>
  <c r="L23" i="64"/>
  <c r="L18" i="64"/>
  <c r="K18" i="64"/>
  <c r="L17" i="64"/>
  <c r="K17" i="64"/>
  <c r="L16" i="64"/>
  <c r="K16" i="64"/>
  <c r="L15" i="64"/>
  <c r="K15" i="64"/>
  <c r="E15" i="64"/>
  <c r="L14" i="64"/>
  <c r="K14" i="64"/>
  <c r="E14" i="64"/>
  <c r="L13" i="64"/>
  <c r="K13" i="64"/>
  <c r="I93" i="63"/>
  <c r="K84" i="63"/>
  <c r="J84" i="63"/>
  <c r="I84" i="63"/>
  <c r="K66" i="63"/>
  <c r="J66" i="63"/>
  <c r="I66" i="63"/>
  <c r="D66" i="63"/>
  <c r="H89" i="63" s="1"/>
  <c r="M65" i="63"/>
  <c r="L65" i="63"/>
  <c r="L64" i="63"/>
  <c r="M64" i="63" s="1"/>
  <c r="M63" i="63"/>
  <c r="L63" i="63"/>
  <c r="L62" i="63"/>
  <c r="M62" i="63" s="1"/>
  <c r="M61" i="63"/>
  <c r="L61" i="63"/>
  <c r="L60" i="63"/>
  <c r="M60" i="63" s="1"/>
  <c r="M59" i="63"/>
  <c r="L59" i="63"/>
  <c r="L58" i="63"/>
  <c r="M58" i="63" s="1"/>
  <c r="M57" i="63"/>
  <c r="L57" i="63"/>
  <c r="L56" i="63"/>
  <c r="M56" i="63" s="1"/>
  <c r="M55" i="63"/>
  <c r="L55" i="63"/>
  <c r="L54" i="63"/>
  <c r="M54" i="63" s="1"/>
  <c r="M53" i="63"/>
  <c r="L53" i="63"/>
  <c r="L52" i="63"/>
  <c r="M52" i="63" s="1"/>
  <c r="M51" i="63"/>
  <c r="L51" i="63"/>
  <c r="L50" i="63"/>
  <c r="M50" i="63" s="1"/>
  <c r="M49" i="63"/>
  <c r="L49" i="63"/>
  <c r="L48" i="63"/>
  <c r="M48" i="63" s="1"/>
  <c r="M47" i="63"/>
  <c r="L47" i="63"/>
  <c r="L46" i="63"/>
  <c r="M46" i="63" s="1"/>
  <c r="M45" i="63"/>
  <c r="L45" i="63"/>
  <c r="L44" i="63"/>
  <c r="M44" i="63" s="1"/>
  <c r="M43" i="63"/>
  <c r="L43" i="63"/>
  <c r="L42" i="63"/>
  <c r="M42" i="63" s="1"/>
  <c r="M41" i="63"/>
  <c r="L41" i="63"/>
  <c r="L40" i="63"/>
  <c r="M40" i="63" s="1"/>
  <c r="M39" i="63"/>
  <c r="L39" i="63"/>
  <c r="L38" i="63"/>
  <c r="M38" i="63" s="1"/>
  <c r="M37" i="63"/>
  <c r="L37" i="63"/>
  <c r="L36" i="63"/>
  <c r="M36" i="63" s="1"/>
  <c r="M35" i="63"/>
  <c r="L35" i="63"/>
  <c r="L34" i="63"/>
  <c r="M34" i="63" s="1"/>
  <c r="L33" i="63"/>
  <c r="M33" i="63" s="1"/>
  <c r="L32" i="63"/>
  <c r="M32" i="63" s="1"/>
  <c r="L31" i="63"/>
  <c r="M31" i="63" s="1"/>
  <c r="L30" i="63"/>
  <c r="M30" i="63" s="1"/>
  <c r="L29" i="63"/>
  <c r="M29" i="63" s="1"/>
  <c r="L28" i="63"/>
  <c r="M28" i="63" s="1"/>
  <c r="L27" i="63"/>
  <c r="M27" i="63" s="1"/>
  <c r="L26" i="63"/>
  <c r="M26" i="63" s="1"/>
  <c r="L25" i="63"/>
  <c r="M25" i="63" s="1"/>
  <c r="L24" i="63"/>
  <c r="M24" i="63" s="1"/>
  <c r="M23" i="63"/>
  <c r="L23" i="63"/>
  <c r="L18" i="63"/>
  <c r="K18" i="63"/>
  <c r="L17" i="63"/>
  <c r="K17" i="63"/>
  <c r="L16" i="63"/>
  <c r="K16" i="63"/>
  <c r="L15" i="63"/>
  <c r="K15" i="63"/>
  <c r="E15" i="63"/>
  <c r="L14" i="63"/>
  <c r="K14" i="63"/>
  <c r="E14" i="63"/>
  <c r="L13" i="63"/>
  <c r="K13" i="63"/>
  <c r="I93" i="62"/>
  <c r="K84" i="62"/>
  <c r="J84" i="62"/>
  <c r="I84" i="62"/>
  <c r="K66" i="62"/>
  <c r="J66" i="62"/>
  <c r="I66" i="62"/>
  <c r="D66" i="62"/>
  <c r="H89" i="62" s="1"/>
  <c r="M65" i="62"/>
  <c r="L65" i="62"/>
  <c r="L64" i="62"/>
  <c r="M64" i="62" s="1"/>
  <c r="M63" i="62"/>
  <c r="L63" i="62"/>
  <c r="L62" i="62"/>
  <c r="M62" i="62" s="1"/>
  <c r="M61" i="62"/>
  <c r="L61" i="62"/>
  <c r="L60" i="62"/>
  <c r="M60" i="62" s="1"/>
  <c r="M59" i="62"/>
  <c r="L59" i="62"/>
  <c r="L58" i="62"/>
  <c r="M58" i="62" s="1"/>
  <c r="M57" i="62"/>
  <c r="L57" i="62"/>
  <c r="L56" i="62"/>
  <c r="M56" i="62" s="1"/>
  <c r="M55" i="62"/>
  <c r="L55" i="62"/>
  <c r="L54" i="62"/>
  <c r="M54" i="62" s="1"/>
  <c r="M53" i="62"/>
  <c r="L53" i="62"/>
  <c r="L52" i="62"/>
  <c r="M52" i="62" s="1"/>
  <c r="M51" i="62"/>
  <c r="L51" i="62"/>
  <c r="L50" i="62"/>
  <c r="M50" i="62" s="1"/>
  <c r="M49" i="62"/>
  <c r="L49" i="62"/>
  <c r="L48" i="62"/>
  <c r="M48" i="62" s="1"/>
  <c r="M47" i="62"/>
  <c r="L47" i="62"/>
  <c r="L46" i="62"/>
  <c r="M46" i="62" s="1"/>
  <c r="M45" i="62"/>
  <c r="L45" i="62"/>
  <c r="L44" i="62"/>
  <c r="M44" i="62" s="1"/>
  <c r="M43" i="62"/>
  <c r="L43" i="62"/>
  <c r="L42" i="62"/>
  <c r="M42" i="62" s="1"/>
  <c r="M41" i="62"/>
  <c r="L41" i="62"/>
  <c r="L40" i="62"/>
  <c r="M40" i="62" s="1"/>
  <c r="M39" i="62"/>
  <c r="L39" i="62"/>
  <c r="L38" i="62"/>
  <c r="M38" i="62" s="1"/>
  <c r="M37" i="62"/>
  <c r="L37" i="62"/>
  <c r="L36" i="62"/>
  <c r="M36" i="62" s="1"/>
  <c r="M35" i="62"/>
  <c r="L35" i="62"/>
  <c r="L34" i="62"/>
  <c r="M34" i="62" s="1"/>
  <c r="M33" i="62"/>
  <c r="L33" i="62"/>
  <c r="L32" i="62"/>
  <c r="M32" i="62" s="1"/>
  <c r="M31" i="62"/>
  <c r="L31" i="62"/>
  <c r="L30" i="62"/>
  <c r="M30" i="62" s="1"/>
  <c r="L29" i="62"/>
  <c r="M29" i="62" s="1"/>
  <c r="L28" i="62"/>
  <c r="M28" i="62" s="1"/>
  <c r="L27" i="62"/>
  <c r="M27" i="62" s="1"/>
  <c r="L26" i="62"/>
  <c r="M26" i="62" s="1"/>
  <c r="L25" i="62"/>
  <c r="M25" i="62" s="1"/>
  <c r="L24" i="62"/>
  <c r="M24" i="62" s="1"/>
  <c r="M23" i="62"/>
  <c r="L23" i="62"/>
  <c r="L18" i="62"/>
  <c r="K18" i="62"/>
  <c r="L17" i="62"/>
  <c r="K17" i="62"/>
  <c r="L16" i="62"/>
  <c r="K16" i="62"/>
  <c r="L15" i="62"/>
  <c r="K15" i="62"/>
  <c r="E15" i="62"/>
  <c r="L14" i="62"/>
  <c r="K14" i="62"/>
  <c r="E14" i="62"/>
  <c r="L13" i="62"/>
  <c r="K13" i="62"/>
  <c r="I93" i="61"/>
  <c r="K84" i="61"/>
  <c r="J84" i="61"/>
  <c r="I84" i="61"/>
  <c r="K66" i="61"/>
  <c r="J66" i="61"/>
  <c r="I66" i="61"/>
  <c r="D66" i="61"/>
  <c r="H89" i="61" s="1"/>
  <c r="L65" i="61"/>
  <c r="M65" i="61" s="1"/>
  <c r="L64" i="61"/>
  <c r="M64" i="61" s="1"/>
  <c r="M63" i="61"/>
  <c r="L63" i="61"/>
  <c r="L62" i="61"/>
  <c r="M62" i="61" s="1"/>
  <c r="L61" i="61"/>
  <c r="M61" i="61" s="1"/>
  <c r="L60" i="61"/>
  <c r="M60" i="61" s="1"/>
  <c r="M59" i="61"/>
  <c r="L59" i="61"/>
  <c r="L58" i="61"/>
  <c r="M58" i="61" s="1"/>
  <c r="L57" i="61"/>
  <c r="M57" i="61" s="1"/>
  <c r="L56" i="61"/>
  <c r="M56" i="61" s="1"/>
  <c r="M55" i="61"/>
  <c r="L55" i="61"/>
  <c r="L54" i="61"/>
  <c r="M54" i="61" s="1"/>
  <c r="L53" i="61"/>
  <c r="M53" i="61" s="1"/>
  <c r="L52" i="61"/>
  <c r="M52" i="61" s="1"/>
  <c r="M51" i="61"/>
  <c r="L51" i="61"/>
  <c r="L50" i="61"/>
  <c r="M50" i="61" s="1"/>
  <c r="L49" i="61"/>
  <c r="M49" i="61" s="1"/>
  <c r="L48" i="61"/>
  <c r="M48" i="61" s="1"/>
  <c r="M47" i="61"/>
  <c r="L47" i="61"/>
  <c r="L46" i="61"/>
  <c r="M46" i="61" s="1"/>
  <c r="L45" i="61"/>
  <c r="M45" i="61" s="1"/>
  <c r="L44" i="61"/>
  <c r="M44" i="61" s="1"/>
  <c r="M43" i="61"/>
  <c r="L43" i="61"/>
  <c r="L42" i="61"/>
  <c r="M42" i="61" s="1"/>
  <c r="L41" i="61"/>
  <c r="M41" i="61" s="1"/>
  <c r="L40" i="61"/>
  <c r="M40" i="61" s="1"/>
  <c r="M39" i="61"/>
  <c r="L39" i="61"/>
  <c r="L38" i="61"/>
  <c r="M38" i="61" s="1"/>
  <c r="L37" i="61"/>
  <c r="M37" i="61" s="1"/>
  <c r="L36" i="61"/>
  <c r="M36" i="61" s="1"/>
  <c r="M35" i="61"/>
  <c r="L35" i="61"/>
  <c r="L34" i="61"/>
  <c r="M34" i="61" s="1"/>
  <c r="L33" i="61"/>
  <c r="M33" i="61" s="1"/>
  <c r="L32" i="61"/>
  <c r="M32" i="61" s="1"/>
  <c r="M31" i="61"/>
  <c r="L31" i="61"/>
  <c r="L30" i="61"/>
  <c r="M30" i="61" s="1"/>
  <c r="L29" i="61"/>
  <c r="M29" i="61" s="1"/>
  <c r="L28" i="61"/>
  <c r="M28" i="61" s="1"/>
  <c r="M27" i="61"/>
  <c r="L27" i="61"/>
  <c r="L26" i="61"/>
  <c r="M26" i="61" s="1"/>
  <c r="L25" i="61"/>
  <c r="M25" i="61" s="1"/>
  <c r="L24" i="61"/>
  <c r="M24" i="61" s="1"/>
  <c r="L23" i="61"/>
  <c r="M23" i="61" s="1"/>
  <c r="L18" i="61"/>
  <c r="K18" i="61"/>
  <c r="L17" i="61"/>
  <c r="K17" i="61"/>
  <c r="L16" i="61"/>
  <c r="K16" i="61"/>
  <c r="L15" i="61"/>
  <c r="K15" i="61"/>
  <c r="E15" i="61"/>
  <c r="L14" i="61"/>
  <c r="K14" i="61"/>
  <c r="L13" i="61"/>
  <c r="K13" i="61"/>
  <c r="I93" i="60"/>
  <c r="K84" i="60"/>
  <c r="J84" i="60"/>
  <c r="I84" i="60"/>
  <c r="K66" i="60"/>
  <c r="J66" i="60"/>
  <c r="I66" i="60"/>
  <c r="D66" i="60"/>
  <c r="H89" i="60" s="1"/>
  <c r="L65" i="60"/>
  <c r="M65" i="60" s="1"/>
  <c r="L64" i="60"/>
  <c r="M64" i="60" s="1"/>
  <c r="M63" i="60"/>
  <c r="L63" i="60"/>
  <c r="L62" i="60"/>
  <c r="M62" i="60" s="1"/>
  <c r="L61" i="60"/>
  <c r="M61" i="60" s="1"/>
  <c r="L60" i="60"/>
  <c r="M60" i="60" s="1"/>
  <c r="M59" i="60"/>
  <c r="L59" i="60"/>
  <c r="L58" i="60"/>
  <c r="M58" i="60" s="1"/>
  <c r="L57" i="60"/>
  <c r="M57" i="60" s="1"/>
  <c r="L56" i="60"/>
  <c r="M56" i="60" s="1"/>
  <c r="M55" i="60"/>
  <c r="L55" i="60"/>
  <c r="L54" i="60"/>
  <c r="M54" i="60" s="1"/>
  <c r="L53" i="60"/>
  <c r="M53" i="60" s="1"/>
  <c r="L52" i="60"/>
  <c r="M52" i="60" s="1"/>
  <c r="M51" i="60"/>
  <c r="L51" i="60"/>
  <c r="L50" i="60"/>
  <c r="M50" i="60" s="1"/>
  <c r="L49" i="60"/>
  <c r="M49" i="60" s="1"/>
  <c r="L48" i="60"/>
  <c r="M48" i="60" s="1"/>
  <c r="M47" i="60"/>
  <c r="L47" i="60"/>
  <c r="L46" i="60"/>
  <c r="M46" i="60" s="1"/>
  <c r="L45" i="60"/>
  <c r="M45" i="60" s="1"/>
  <c r="L44" i="60"/>
  <c r="M44" i="60" s="1"/>
  <c r="M43" i="60"/>
  <c r="L43" i="60"/>
  <c r="L42" i="60"/>
  <c r="M42" i="60" s="1"/>
  <c r="L41" i="60"/>
  <c r="M41" i="60" s="1"/>
  <c r="L40" i="60"/>
  <c r="M40" i="60" s="1"/>
  <c r="M39" i="60"/>
  <c r="L39" i="60"/>
  <c r="L38" i="60"/>
  <c r="M38" i="60" s="1"/>
  <c r="L37" i="60"/>
  <c r="M37" i="60" s="1"/>
  <c r="L36" i="60"/>
  <c r="M36" i="60" s="1"/>
  <c r="M35" i="60"/>
  <c r="L35" i="60"/>
  <c r="L34" i="60"/>
  <c r="M34" i="60" s="1"/>
  <c r="L33" i="60"/>
  <c r="M33" i="60" s="1"/>
  <c r="L32" i="60"/>
  <c r="M32" i="60" s="1"/>
  <c r="M31" i="60"/>
  <c r="L31" i="60"/>
  <c r="L30" i="60"/>
  <c r="M30" i="60" s="1"/>
  <c r="L29" i="60"/>
  <c r="M29" i="60" s="1"/>
  <c r="L28" i="60"/>
  <c r="M28" i="60" s="1"/>
  <c r="M27" i="60"/>
  <c r="L27" i="60"/>
  <c r="L26" i="60"/>
  <c r="M26" i="60" s="1"/>
  <c r="L25" i="60"/>
  <c r="M25" i="60" s="1"/>
  <c r="L24" i="60"/>
  <c r="M24" i="60" s="1"/>
  <c r="L23" i="60"/>
  <c r="M23" i="60" s="1"/>
  <c r="L18" i="60"/>
  <c r="K18" i="60"/>
  <c r="L17" i="60"/>
  <c r="K17" i="60"/>
  <c r="L16" i="60"/>
  <c r="K16" i="60"/>
  <c r="L15" i="60"/>
  <c r="K15" i="60"/>
  <c r="E15" i="60"/>
  <c r="L14" i="60"/>
  <c r="K14" i="60"/>
  <c r="E14" i="60"/>
  <c r="L13" i="60"/>
  <c r="K13" i="60"/>
  <c r="I93" i="59"/>
  <c r="K84" i="59"/>
  <c r="J84" i="59"/>
  <c r="I84" i="59"/>
  <c r="K66" i="59"/>
  <c r="J66" i="59"/>
  <c r="I66" i="59"/>
  <c r="D66" i="59"/>
  <c r="H89" i="59" s="1"/>
  <c r="M65" i="59"/>
  <c r="L65" i="59"/>
  <c r="L64" i="59"/>
  <c r="M64" i="59" s="1"/>
  <c r="M63" i="59"/>
  <c r="L63" i="59"/>
  <c r="L62" i="59"/>
  <c r="M62" i="59" s="1"/>
  <c r="M61" i="59"/>
  <c r="L61" i="59"/>
  <c r="L60" i="59"/>
  <c r="M60" i="59" s="1"/>
  <c r="M59" i="59"/>
  <c r="L59" i="59"/>
  <c r="L58" i="59"/>
  <c r="M58" i="59" s="1"/>
  <c r="M57" i="59"/>
  <c r="L57" i="59"/>
  <c r="L56" i="59"/>
  <c r="M56" i="59" s="1"/>
  <c r="M55" i="59"/>
  <c r="L55" i="59"/>
  <c r="L54" i="59"/>
  <c r="M54" i="59" s="1"/>
  <c r="M53" i="59"/>
  <c r="L53" i="59"/>
  <c r="L52" i="59"/>
  <c r="M52" i="59" s="1"/>
  <c r="M51" i="59"/>
  <c r="L51" i="59"/>
  <c r="L50" i="59"/>
  <c r="M50" i="59" s="1"/>
  <c r="M49" i="59"/>
  <c r="L49" i="59"/>
  <c r="L48" i="59"/>
  <c r="M48" i="59" s="1"/>
  <c r="M47" i="59"/>
  <c r="L47" i="59"/>
  <c r="L46" i="59"/>
  <c r="M46" i="59" s="1"/>
  <c r="M45" i="59"/>
  <c r="L45" i="59"/>
  <c r="L44" i="59"/>
  <c r="M44" i="59" s="1"/>
  <c r="L43" i="59"/>
  <c r="M43" i="59" s="1"/>
  <c r="L42" i="59"/>
  <c r="M42" i="59" s="1"/>
  <c r="L41" i="59"/>
  <c r="M41" i="59" s="1"/>
  <c r="L40" i="59"/>
  <c r="M40" i="59" s="1"/>
  <c r="M39" i="59"/>
  <c r="L39" i="59"/>
  <c r="L38" i="59"/>
  <c r="M38" i="59" s="1"/>
  <c r="L37" i="59"/>
  <c r="M37" i="59" s="1"/>
  <c r="L36" i="59"/>
  <c r="M36" i="59" s="1"/>
  <c r="M35" i="59"/>
  <c r="L35" i="59"/>
  <c r="L34" i="59"/>
  <c r="M34" i="59" s="1"/>
  <c r="L33" i="59"/>
  <c r="M33" i="59" s="1"/>
  <c r="L32" i="59"/>
  <c r="M32" i="59" s="1"/>
  <c r="L31" i="59"/>
  <c r="M31" i="59" s="1"/>
  <c r="L30" i="59"/>
  <c r="M30" i="59" s="1"/>
  <c r="L29" i="59"/>
  <c r="M29" i="59" s="1"/>
  <c r="L28" i="59"/>
  <c r="M28" i="59" s="1"/>
  <c r="M27" i="59"/>
  <c r="L27" i="59"/>
  <c r="L26" i="59"/>
  <c r="M26" i="59" s="1"/>
  <c r="L25" i="59"/>
  <c r="M25" i="59" s="1"/>
  <c r="L24" i="59"/>
  <c r="M24" i="59" s="1"/>
  <c r="M23" i="59"/>
  <c r="L23" i="59"/>
  <c r="L18" i="59"/>
  <c r="K18" i="59"/>
  <c r="L17" i="59"/>
  <c r="K17" i="59"/>
  <c r="L16" i="59"/>
  <c r="K16" i="59"/>
  <c r="L15" i="59"/>
  <c r="K15" i="59"/>
  <c r="E15" i="59"/>
  <c r="L14" i="59"/>
  <c r="K14" i="59"/>
  <c r="E14" i="59"/>
  <c r="L13" i="59"/>
  <c r="K13" i="59"/>
  <c r="L3" i="68" l="1"/>
  <c r="E17" i="68"/>
  <c r="E16" i="67"/>
  <c r="L4" i="67"/>
  <c r="E18" i="67"/>
  <c r="M66" i="67"/>
  <c r="E16" i="66"/>
  <c r="L4" i="66"/>
  <c r="E18" i="66"/>
  <c r="M66" i="66"/>
  <c r="E16" i="65"/>
  <c r="L4" i="65"/>
  <c r="E18" i="65"/>
  <c r="M66" i="65"/>
  <c r="E14" i="61"/>
  <c r="L66" i="64"/>
  <c r="L66" i="63"/>
  <c r="L66" i="62"/>
  <c r="L66" i="61"/>
  <c r="L66" i="60"/>
  <c r="L66" i="59"/>
  <c r="I93" i="58"/>
  <c r="K84" i="58"/>
  <c r="J84" i="58"/>
  <c r="I84" i="58"/>
  <c r="K66" i="58"/>
  <c r="J66" i="58"/>
  <c r="I66" i="58"/>
  <c r="D66" i="58"/>
  <c r="H89" i="58" s="1"/>
  <c r="M65" i="58"/>
  <c r="L65" i="58"/>
  <c r="L64" i="58"/>
  <c r="M64" i="58" s="1"/>
  <c r="M63" i="58"/>
  <c r="L63" i="58"/>
  <c r="L62" i="58"/>
  <c r="M62" i="58" s="1"/>
  <c r="M61" i="58"/>
  <c r="L61" i="58"/>
  <c r="L60" i="58"/>
  <c r="M60" i="58" s="1"/>
  <c r="M59" i="58"/>
  <c r="L59" i="58"/>
  <c r="L58" i="58"/>
  <c r="M58" i="58" s="1"/>
  <c r="M57" i="58"/>
  <c r="L57" i="58"/>
  <c r="L56" i="58"/>
  <c r="M56" i="58" s="1"/>
  <c r="M55" i="58"/>
  <c r="L55" i="58"/>
  <c r="L54" i="58"/>
  <c r="M54" i="58" s="1"/>
  <c r="M53" i="58"/>
  <c r="L53" i="58"/>
  <c r="L52" i="58"/>
  <c r="M52" i="58" s="1"/>
  <c r="M51" i="58"/>
  <c r="L51" i="58"/>
  <c r="L50" i="58"/>
  <c r="M50" i="58" s="1"/>
  <c r="M49" i="58"/>
  <c r="L49" i="58"/>
  <c r="L48" i="58"/>
  <c r="M48" i="58" s="1"/>
  <c r="M47" i="58"/>
  <c r="L47" i="58"/>
  <c r="L46" i="58"/>
  <c r="M46" i="58" s="1"/>
  <c r="M45" i="58"/>
  <c r="L45" i="58"/>
  <c r="L44" i="58"/>
  <c r="M44" i="58" s="1"/>
  <c r="M43" i="58"/>
  <c r="L43" i="58"/>
  <c r="L42" i="58"/>
  <c r="M42" i="58" s="1"/>
  <c r="M41" i="58"/>
  <c r="L41" i="58"/>
  <c r="L40" i="58"/>
  <c r="M40" i="58" s="1"/>
  <c r="M39" i="58"/>
  <c r="L39" i="58"/>
  <c r="L38" i="58"/>
  <c r="M38" i="58" s="1"/>
  <c r="M37" i="58"/>
  <c r="L37" i="58"/>
  <c r="L36" i="58"/>
  <c r="M36" i="58" s="1"/>
  <c r="L35" i="58"/>
  <c r="M35" i="58" s="1"/>
  <c r="L34" i="58"/>
  <c r="M34" i="58" s="1"/>
  <c r="L33" i="58"/>
  <c r="M33" i="58" s="1"/>
  <c r="L32" i="58"/>
  <c r="M32" i="58" s="1"/>
  <c r="L31" i="58"/>
  <c r="L18" i="58" s="1"/>
  <c r="L30" i="58"/>
  <c r="M30" i="58" s="1"/>
  <c r="L29" i="58"/>
  <c r="M29" i="58" s="1"/>
  <c r="L28" i="58"/>
  <c r="M28" i="58" s="1"/>
  <c r="L27" i="58"/>
  <c r="M27" i="58" s="1"/>
  <c r="L26" i="58"/>
  <c r="M26" i="58" s="1"/>
  <c r="M25" i="58"/>
  <c r="L25" i="58"/>
  <c r="L24" i="58"/>
  <c r="M24" i="58" s="1"/>
  <c r="M23" i="58"/>
  <c r="L23" i="58"/>
  <c r="K18" i="58"/>
  <c r="L17" i="58"/>
  <c r="K17" i="58"/>
  <c r="L16" i="58"/>
  <c r="K16" i="58"/>
  <c r="L15" i="58"/>
  <c r="K15" i="58"/>
  <c r="E15" i="58"/>
  <c r="L14" i="58"/>
  <c r="K14" i="58"/>
  <c r="E14" i="58"/>
  <c r="L13" i="58"/>
  <c r="K13" i="58"/>
  <c r="I93" i="57"/>
  <c r="K84" i="57"/>
  <c r="J84" i="57"/>
  <c r="I84" i="57"/>
  <c r="K66" i="57"/>
  <c r="J66" i="57"/>
  <c r="I66" i="57"/>
  <c r="D66" i="57"/>
  <c r="H89" i="57" s="1"/>
  <c r="L65" i="57"/>
  <c r="M65" i="57" s="1"/>
  <c r="L64" i="57"/>
  <c r="M64" i="57" s="1"/>
  <c r="M63" i="57"/>
  <c r="L63" i="57"/>
  <c r="L62" i="57"/>
  <c r="M62" i="57" s="1"/>
  <c r="M61" i="57"/>
  <c r="L61" i="57"/>
  <c r="L60" i="57"/>
  <c r="M60" i="57" s="1"/>
  <c r="M59" i="57"/>
  <c r="L59" i="57"/>
  <c r="L58" i="57"/>
  <c r="M58" i="57" s="1"/>
  <c r="M57" i="57"/>
  <c r="L57" i="57"/>
  <c r="L56" i="57"/>
  <c r="M56" i="57" s="1"/>
  <c r="M55" i="57"/>
  <c r="L55" i="57"/>
  <c r="L54" i="57"/>
  <c r="M54" i="57" s="1"/>
  <c r="M53" i="57"/>
  <c r="L53" i="57"/>
  <c r="L52" i="57"/>
  <c r="M52" i="57" s="1"/>
  <c r="M51" i="57"/>
  <c r="L51" i="57"/>
  <c r="L50" i="57"/>
  <c r="M50" i="57" s="1"/>
  <c r="M49" i="57"/>
  <c r="L49" i="57"/>
  <c r="L48" i="57"/>
  <c r="M48" i="57" s="1"/>
  <c r="M47" i="57"/>
  <c r="L47" i="57"/>
  <c r="L46" i="57"/>
  <c r="M46" i="57" s="1"/>
  <c r="M45" i="57"/>
  <c r="L45" i="57"/>
  <c r="L44" i="57"/>
  <c r="M44" i="57" s="1"/>
  <c r="M43" i="57"/>
  <c r="L43" i="57"/>
  <c r="L42" i="57"/>
  <c r="M42" i="57" s="1"/>
  <c r="M41" i="57"/>
  <c r="L41" i="57"/>
  <c r="L40" i="57"/>
  <c r="M40" i="57" s="1"/>
  <c r="M39" i="57"/>
  <c r="L39" i="57"/>
  <c r="L38" i="57"/>
  <c r="M38" i="57" s="1"/>
  <c r="M37" i="57"/>
  <c r="L37" i="57"/>
  <c r="L36" i="57"/>
  <c r="M36" i="57" s="1"/>
  <c r="M35" i="57"/>
  <c r="L35" i="57"/>
  <c r="L34" i="57"/>
  <c r="M34" i="57" s="1"/>
  <c r="M33" i="57"/>
  <c r="L33" i="57"/>
  <c r="L32" i="57"/>
  <c r="M32" i="57" s="1"/>
  <c r="L31" i="57"/>
  <c r="M31" i="57" s="1"/>
  <c r="L30" i="57"/>
  <c r="M30" i="57" s="1"/>
  <c r="L29" i="57"/>
  <c r="M29" i="57" s="1"/>
  <c r="L28" i="57"/>
  <c r="M28" i="57" s="1"/>
  <c r="L27" i="57"/>
  <c r="M27" i="57" s="1"/>
  <c r="L26" i="57"/>
  <c r="M26" i="57" s="1"/>
  <c r="M25" i="57"/>
  <c r="L25" i="57"/>
  <c r="L24" i="57"/>
  <c r="M24" i="57" s="1"/>
  <c r="L23" i="57"/>
  <c r="M23" i="57" s="1"/>
  <c r="L18" i="57"/>
  <c r="K18" i="57"/>
  <c r="L17" i="57"/>
  <c r="K17" i="57"/>
  <c r="L16" i="57"/>
  <c r="K16" i="57"/>
  <c r="L15" i="57"/>
  <c r="K15" i="57"/>
  <c r="E15" i="57"/>
  <c r="L14" i="57"/>
  <c r="K14" i="57"/>
  <c r="E14" i="57"/>
  <c r="L13" i="57"/>
  <c r="K13" i="57"/>
  <c r="I93" i="56"/>
  <c r="K84" i="56"/>
  <c r="J84" i="56"/>
  <c r="I84" i="56"/>
  <c r="K66" i="56"/>
  <c r="J66" i="56"/>
  <c r="I66" i="56"/>
  <c r="D66" i="56"/>
  <c r="H89" i="56" s="1"/>
  <c r="M65" i="56"/>
  <c r="L65" i="56"/>
  <c r="M64" i="56"/>
  <c r="L64" i="56"/>
  <c r="L63" i="56"/>
  <c r="M63" i="56" s="1"/>
  <c r="L62" i="56"/>
  <c r="M62" i="56" s="1"/>
  <c r="M61" i="56"/>
  <c r="L61" i="56"/>
  <c r="M60" i="56"/>
  <c r="L60" i="56"/>
  <c r="L59" i="56"/>
  <c r="M59" i="56" s="1"/>
  <c r="L58" i="56"/>
  <c r="M58" i="56" s="1"/>
  <c r="M57" i="56"/>
  <c r="L57" i="56"/>
  <c r="M56" i="56"/>
  <c r="L56" i="56"/>
  <c r="L55" i="56"/>
  <c r="M55" i="56" s="1"/>
  <c r="L54" i="56"/>
  <c r="M54" i="56" s="1"/>
  <c r="M53" i="56"/>
  <c r="L53" i="56"/>
  <c r="M52" i="56"/>
  <c r="L52" i="56"/>
  <c r="L51" i="56"/>
  <c r="M51" i="56" s="1"/>
  <c r="L50" i="56"/>
  <c r="M50" i="56" s="1"/>
  <c r="M49" i="56"/>
  <c r="L49" i="56"/>
  <c r="M48" i="56"/>
  <c r="L48" i="56"/>
  <c r="L47" i="56"/>
  <c r="M47" i="56" s="1"/>
  <c r="L46" i="56"/>
  <c r="M46" i="56" s="1"/>
  <c r="M45" i="56"/>
  <c r="L45" i="56"/>
  <c r="M44" i="56"/>
  <c r="L44" i="56"/>
  <c r="L43" i="56"/>
  <c r="M43" i="56" s="1"/>
  <c r="L42" i="56"/>
  <c r="M42" i="56" s="1"/>
  <c r="M41" i="56"/>
  <c r="L41" i="56"/>
  <c r="M40" i="56"/>
  <c r="L40" i="56"/>
  <c r="L39" i="56"/>
  <c r="M39" i="56" s="1"/>
  <c r="L38" i="56"/>
  <c r="M38" i="56" s="1"/>
  <c r="M37" i="56"/>
  <c r="L37" i="56"/>
  <c r="M36" i="56"/>
  <c r="L36" i="56"/>
  <c r="L35" i="56"/>
  <c r="M35" i="56" s="1"/>
  <c r="L34" i="56"/>
  <c r="M34" i="56" s="1"/>
  <c r="M33" i="56"/>
  <c r="L33" i="56"/>
  <c r="M32" i="56"/>
  <c r="L32" i="56"/>
  <c r="L31" i="56"/>
  <c r="M31" i="56" s="1"/>
  <c r="L30" i="56"/>
  <c r="M30" i="56" s="1"/>
  <c r="M29" i="56"/>
  <c r="L29" i="56"/>
  <c r="L28" i="56"/>
  <c r="M28" i="56" s="1"/>
  <c r="L27" i="56"/>
  <c r="M27" i="56" s="1"/>
  <c r="L26" i="56"/>
  <c r="M26" i="56" s="1"/>
  <c r="M25" i="56"/>
  <c r="L25" i="56"/>
  <c r="L24" i="56"/>
  <c r="M24" i="56" s="1"/>
  <c r="L23" i="56"/>
  <c r="L18" i="56"/>
  <c r="K18" i="56"/>
  <c r="L17" i="56"/>
  <c r="K17" i="56"/>
  <c r="L16" i="56"/>
  <c r="K16" i="56"/>
  <c r="L15" i="56"/>
  <c r="K15" i="56"/>
  <c r="E15" i="56"/>
  <c r="L14" i="56"/>
  <c r="K14" i="56"/>
  <c r="L13" i="56"/>
  <c r="K13" i="56"/>
  <c r="L3" i="67" l="1"/>
  <c r="E17" i="67"/>
  <c r="L3" i="66"/>
  <c r="E17" i="66"/>
  <c r="E17" i="65"/>
  <c r="L3" i="65"/>
  <c r="E16" i="64"/>
  <c r="L4" i="64"/>
  <c r="E18" i="64"/>
  <c r="M66" i="64"/>
  <c r="E16" i="63"/>
  <c r="L4" i="63"/>
  <c r="E18" i="63"/>
  <c r="M66" i="63"/>
  <c r="E16" i="62"/>
  <c r="L4" i="62"/>
  <c r="E18" i="62"/>
  <c r="M66" i="62"/>
  <c r="L4" i="61"/>
  <c r="E16" i="61"/>
  <c r="E18" i="61"/>
  <c r="M66" i="61"/>
  <c r="E16" i="60"/>
  <c r="L4" i="60"/>
  <c r="E18" i="60"/>
  <c r="M66" i="60"/>
  <c r="E16" i="59"/>
  <c r="E18" i="59"/>
  <c r="M66" i="59"/>
  <c r="L4" i="59"/>
  <c r="L66" i="56"/>
  <c r="M31" i="58"/>
  <c r="L66" i="58"/>
  <c r="L66" i="57"/>
  <c r="M66" i="56"/>
  <c r="L4" i="56"/>
  <c r="E18" i="56"/>
  <c r="E16" i="56"/>
  <c r="E14" i="56"/>
  <c r="M23" i="56"/>
  <c r="L3" i="64" l="1"/>
  <c r="E17" i="64"/>
  <c r="L3" i="63"/>
  <c r="E17" i="63"/>
  <c r="L3" i="62"/>
  <c r="E17" i="62"/>
  <c r="E17" i="61"/>
  <c r="L3" i="61"/>
  <c r="L3" i="60"/>
  <c r="E17" i="60"/>
  <c r="L3" i="59"/>
  <c r="E17" i="59"/>
  <c r="E16" i="58"/>
  <c r="L4" i="58"/>
  <c r="E18" i="58"/>
  <c r="M66" i="58"/>
  <c r="E18" i="57"/>
  <c r="L4" i="57"/>
  <c r="M66" i="57"/>
  <c r="E16" i="57"/>
  <c r="E17" i="56"/>
  <c r="L3" i="56"/>
  <c r="L3" i="58" l="1"/>
  <c r="E17" i="58"/>
  <c r="L3" i="57"/>
  <c r="E17" i="57"/>
  <c r="I72" i="46"/>
  <c r="K73" i="54" l="1"/>
  <c r="K84" i="54" s="1"/>
  <c r="L37" i="12"/>
  <c r="M37" i="12"/>
  <c r="L37" i="55"/>
  <c r="M37" i="55" s="1"/>
  <c r="I93" i="55"/>
  <c r="K84" i="55"/>
  <c r="J84" i="55"/>
  <c r="I84" i="55"/>
  <c r="K66" i="55"/>
  <c r="J66" i="55"/>
  <c r="I66" i="55"/>
  <c r="D66" i="55"/>
  <c r="H89" i="55" s="1"/>
  <c r="L65" i="55"/>
  <c r="M65" i="55" s="1"/>
  <c r="L64" i="55"/>
  <c r="M64" i="55" s="1"/>
  <c r="L63" i="55"/>
  <c r="M63" i="55" s="1"/>
  <c r="L62" i="55"/>
  <c r="M62" i="55" s="1"/>
  <c r="L61" i="55"/>
  <c r="M61" i="55" s="1"/>
  <c r="L60" i="55"/>
  <c r="M60" i="55" s="1"/>
  <c r="M59" i="55"/>
  <c r="L59" i="55"/>
  <c r="L58" i="55"/>
  <c r="M58" i="55" s="1"/>
  <c r="L57" i="55"/>
  <c r="M57" i="55" s="1"/>
  <c r="L56" i="55"/>
  <c r="M56" i="55" s="1"/>
  <c r="L55" i="55"/>
  <c r="M55" i="55" s="1"/>
  <c r="L54" i="55"/>
  <c r="M54" i="55" s="1"/>
  <c r="L53" i="55"/>
  <c r="M53" i="55" s="1"/>
  <c r="L52" i="55"/>
  <c r="M52" i="55" s="1"/>
  <c r="L51" i="55"/>
  <c r="M51" i="55" s="1"/>
  <c r="L50" i="55"/>
  <c r="M50" i="55" s="1"/>
  <c r="L49" i="55"/>
  <c r="M49" i="55" s="1"/>
  <c r="L48" i="55"/>
  <c r="M48" i="55" s="1"/>
  <c r="L47" i="55"/>
  <c r="M47" i="55" s="1"/>
  <c r="L46" i="55"/>
  <c r="M46" i="55" s="1"/>
  <c r="L45" i="55"/>
  <c r="M45" i="55" s="1"/>
  <c r="L44" i="55"/>
  <c r="M44" i="55" s="1"/>
  <c r="L43" i="55"/>
  <c r="M43" i="55" s="1"/>
  <c r="L42" i="55"/>
  <c r="M42" i="55" s="1"/>
  <c r="L41" i="55"/>
  <c r="M41" i="55" s="1"/>
  <c r="L40" i="55"/>
  <c r="M40" i="55" s="1"/>
  <c r="L39" i="55"/>
  <c r="M39" i="55" s="1"/>
  <c r="L38" i="55"/>
  <c r="M38" i="55" s="1"/>
  <c r="L36" i="55"/>
  <c r="M36" i="55" s="1"/>
  <c r="L35" i="55"/>
  <c r="M35" i="55" s="1"/>
  <c r="L34" i="55"/>
  <c r="M34" i="55" s="1"/>
  <c r="L33" i="55"/>
  <c r="M33" i="55" s="1"/>
  <c r="L32" i="55"/>
  <c r="M32" i="55" s="1"/>
  <c r="L31" i="55"/>
  <c r="M31" i="55" s="1"/>
  <c r="L30" i="55"/>
  <c r="M30" i="55" s="1"/>
  <c r="L29" i="55"/>
  <c r="M29" i="55" s="1"/>
  <c r="L28" i="55"/>
  <c r="M28" i="55" s="1"/>
  <c r="L27" i="55"/>
  <c r="M27" i="55" s="1"/>
  <c r="L26" i="55"/>
  <c r="M26" i="55" s="1"/>
  <c r="L25" i="55"/>
  <c r="M25" i="55" s="1"/>
  <c r="L24" i="55"/>
  <c r="M24" i="55" s="1"/>
  <c r="L23" i="55"/>
  <c r="M23" i="55" s="1"/>
  <c r="L18" i="55"/>
  <c r="K18" i="55"/>
  <c r="L17" i="55"/>
  <c r="K17" i="55"/>
  <c r="L16" i="55"/>
  <c r="K16" i="55"/>
  <c r="K15" i="55"/>
  <c r="E15" i="55"/>
  <c r="L14" i="55"/>
  <c r="K14" i="55"/>
  <c r="L13" i="55"/>
  <c r="K13" i="55"/>
  <c r="I93" i="54"/>
  <c r="J84" i="54"/>
  <c r="I84" i="54"/>
  <c r="K66" i="54"/>
  <c r="J66" i="54"/>
  <c r="I66" i="54"/>
  <c r="D66" i="54"/>
  <c r="H89" i="54" s="1"/>
  <c r="M65" i="54"/>
  <c r="L65" i="54"/>
  <c r="L64" i="54"/>
  <c r="M64" i="54" s="1"/>
  <c r="M63" i="54"/>
  <c r="L63" i="54"/>
  <c r="L62" i="54"/>
  <c r="M62" i="54" s="1"/>
  <c r="M61" i="54"/>
  <c r="L61" i="54"/>
  <c r="L60" i="54"/>
  <c r="M60" i="54" s="1"/>
  <c r="M59" i="54"/>
  <c r="L59" i="54"/>
  <c r="L58" i="54"/>
  <c r="M58" i="54" s="1"/>
  <c r="M57" i="54"/>
  <c r="L57" i="54"/>
  <c r="L56" i="54"/>
  <c r="M56" i="54" s="1"/>
  <c r="M55" i="54"/>
  <c r="L55" i="54"/>
  <c r="L54" i="54"/>
  <c r="M54" i="54" s="1"/>
  <c r="L53" i="54"/>
  <c r="M53" i="54" s="1"/>
  <c r="L52" i="54"/>
  <c r="M52" i="54" s="1"/>
  <c r="L51" i="54"/>
  <c r="M51" i="54" s="1"/>
  <c r="L50" i="54"/>
  <c r="M50" i="54" s="1"/>
  <c r="M49" i="54"/>
  <c r="L49" i="54"/>
  <c r="L48" i="54"/>
  <c r="M48" i="54" s="1"/>
  <c r="L47" i="54"/>
  <c r="M47" i="54" s="1"/>
  <c r="L46" i="54"/>
  <c r="M46" i="54" s="1"/>
  <c r="L45" i="54"/>
  <c r="M45" i="54" s="1"/>
  <c r="L44" i="54"/>
  <c r="M44" i="54" s="1"/>
  <c r="M43" i="54"/>
  <c r="L43" i="54"/>
  <c r="L42" i="54"/>
  <c r="M42" i="54" s="1"/>
  <c r="M41" i="54"/>
  <c r="L41" i="54"/>
  <c r="L40" i="54"/>
  <c r="M40" i="54" s="1"/>
  <c r="M39" i="54"/>
  <c r="L39" i="54"/>
  <c r="L38" i="54"/>
  <c r="M38" i="54" s="1"/>
  <c r="L37" i="54"/>
  <c r="M37" i="54" s="1"/>
  <c r="L36" i="54"/>
  <c r="M36" i="54" s="1"/>
  <c r="L35" i="54"/>
  <c r="M35" i="54" s="1"/>
  <c r="L34" i="54"/>
  <c r="M34" i="54" s="1"/>
  <c r="L33" i="54"/>
  <c r="M33" i="54" s="1"/>
  <c r="L32" i="54"/>
  <c r="M32" i="54" s="1"/>
  <c r="L31" i="54"/>
  <c r="M31" i="54" s="1"/>
  <c r="L30" i="54"/>
  <c r="M30" i="54" s="1"/>
  <c r="L29" i="54"/>
  <c r="M29" i="54" s="1"/>
  <c r="L28" i="54"/>
  <c r="M28" i="54" s="1"/>
  <c r="M27" i="54"/>
  <c r="L27" i="54"/>
  <c r="L26" i="54"/>
  <c r="M26" i="54" s="1"/>
  <c r="M25" i="54"/>
  <c r="L25" i="54"/>
  <c r="L24" i="54"/>
  <c r="M24" i="54" s="1"/>
  <c r="M23" i="54"/>
  <c r="L23" i="54"/>
  <c r="K18" i="54"/>
  <c r="L17" i="54"/>
  <c r="K17" i="54"/>
  <c r="L16" i="54"/>
  <c r="K16" i="54"/>
  <c r="L15" i="54"/>
  <c r="K15" i="54"/>
  <c r="E15" i="54"/>
  <c r="L14" i="54"/>
  <c r="K14" i="54"/>
  <c r="E14" i="54"/>
  <c r="L13" i="54"/>
  <c r="K13" i="54"/>
  <c r="I93" i="53"/>
  <c r="K84" i="53"/>
  <c r="J84" i="53"/>
  <c r="I84" i="53"/>
  <c r="K66" i="53"/>
  <c r="J66" i="53"/>
  <c r="I66" i="53"/>
  <c r="D66" i="53"/>
  <c r="H89" i="53" s="1"/>
  <c r="L65" i="53"/>
  <c r="M65" i="53" s="1"/>
  <c r="L64" i="53"/>
  <c r="M64" i="53" s="1"/>
  <c r="M63" i="53"/>
  <c r="L63" i="53"/>
  <c r="L62" i="53"/>
  <c r="M62" i="53" s="1"/>
  <c r="L61" i="53"/>
  <c r="M61" i="53" s="1"/>
  <c r="L60" i="53"/>
  <c r="M60" i="53" s="1"/>
  <c r="M59" i="53"/>
  <c r="L59" i="53"/>
  <c r="L58" i="53"/>
  <c r="M58" i="53" s="1"/>
  <c r="L57" i="53"/>
  <c r="M57" i="53" s="1"/>
  <c r="L56" i="53"/>
  <c r="M56" i="53" s="1"/>
  <c r="M55" i="53"/>
  <c r="L55" i="53"/>
  <c r="L54" i="53"/>
  <c r="M54" i="53" s="1"/>
  <c r="L53" i="53"/>
  <c r="M53" i="53" s="1"/>
  <c r="L52" i="53"/>
  <c r="M52" i="53" s="1"/>
  <c r="M51" i="53"/>
  <c r="L51" i="53"/>
  <c r="L50" i="53"/>
  <c r="M50" i="53" s="1"/>
  <c r="L49" i="53"/>
  <c r="M49" i="53" s="1"/>
  <c r="L48" i="53"/>
  <c r="M48" i="53" s="1"/>
  <c r="M47" i="53"/>
  <c r="L47" i="53"/>
  <c r="L46" i="53"/>
  <c r="M46" i="53" s="1"/>
  <c r="M45" i="53"/>
  <c r="L45" i="53"/>
  <c r="L44" i="53"/>
  <c r="M44" i="53" s="1"/>
  <c r="M43" i="53"/>
  <c r="L43" i="53"/>
  <c r="L42" i="53"/>
  <c r="M42" i="53" s="1"/>
  <c r="M41" i="53"/>
  <c r="L41" i="53"/>
  <c r="L40" i="53"/>
  <c r="M40" i="53" s="1"/>
  <c r="M39" i="53"/>
  <c r="L39" i="53"/>
  <c r="L38" i="53"/>
  <c r="M38" i="53" s="1"/>
  <c r="L37" i="53"/>
  <c r="M37" i="53" s="1"/>
  <c r="L36" i="53"/>
  <c r="M36" i="53" s="1"/>
  <c r="L35" i="53"/>
  <c r="M35" i="53" s="1"/>
  <c r="L34" i="53"/>
  <c r="M34" i="53" s="1"/>
  <c r="L33" i="53"/>
  <c r="M33" i="53" s="1"/>
  <c r="L32" i="53"/>
  <c r="M32" i="53" s="1"/>
  <c r="L31" i="53"/>
  <c r="M31" i="53" s="1"/>
  <c r="L30" i="53"/>
  <c r="M30" i="53" s="1"/>
  <c r="L29" i="53"/>
  <c r="M29" i="53" s="1"/>
  <c r="L28" i="53"/>
  <c r="M28" i="53" s="1"/>
  <c r="M27" i="53"/>
  <c r="L27" i="53"/>
  <c r="L26" i="53"/>
  <c r="M26" i="53" s="1"/>
  <c r="M25" i="53"/>
  <c r="L25" i="53"/>
  <c r="L24" i="53"/>
  <c r="M24" i="53" s="1"/>
  <c r="M23" i="53"/>
  <c r="L23" i="53"/>
  <c r="K18" i="53"/>
  <c r="L17" i="53"/>
  <c r="K17" i="53"/>
  <c r="L16" i="53"/>
  <c r="K16" i="53"/>
  <c r="L15" i="53"/>
  <c r="K15" i="53"/>
  <c r="E15" i="53"/>
  <c r="L14" i="53"/>
  <c r="K14" i="53"/>
  <c r="E14" i="53"/>
  <c r="L13" i="53"/>
  <c r="K13" i="53"/>
  <c r="L15" i="55" l="1"/>
  <c r="E14" i="55"/>
  <c r="L18" i="54"/>
  <c r="L18" i="53"/>
  <c r="L66" i="55"/>
  <c r="L66" i="54"/>
  <c r="L66" i="53"/>
  <c r="K76" i="51"/>
  <c r="K84" i="51"/>
  <c r="I93" i="52"/>
  <c r="K84" i="52"/>
  <c r="J84" i="52"/>
  <c r="I84" i="52"/>
  <c r="K66" i="52"/>
  <c r="J66" i="52"/>
  <c r="I66" i="52"/>
  <c r="D66" i="52"/>
  <c r="H89" i="52" s="1"/>
  <c r="L65" i="52"/>
  <c r="M65" i="52" s="1"/>
  <c r="L64" i="52"/>
  <c r="M64" i="52" s="1"/>
  <c r="M63" i="52"/>
  <c r="L63" i="52"/>
  <c r="L62" i="52"/>
  <c r="M62" i="52" s="1"/>
  <c r="L61" i="52"/>
  <c r="M61" i="52" s="1"/>
  <c r="L60" i="52"/>
  <c r="M60" i="52" s="1"/>
  <c r="M59" i="52"/>
  <c r="L59" i="52"/>
  <c r="L58" i="52"/>
  <c r="M58" i="52" s="1"/>
  <c r="L57" i="52"/>
  <c r="M57" i="52" s="1"/>
  <c r="L56" i="52"/>
  <c r="M56" i="52" s="1"/>
  <c r="M55" i="52"/>
  <c r="L55" i="52"/>
  <c r="L54" i="52"/>
  <c r="M54" i="52" s="1"/>
  <c r="L53" i="52"/>
  <c r="M53" i="52" s="1"/>
  <c r="L52" i="52"/>
  <c r="M52" i="52" s="1"/>
  <c r="M51" i="52"/>
  <c r="L51" i="52"/>
  <c r="L50" i="52"/>
  <c r="M50" i="52" s="1"/>
  <c r="L49" i="52"/>
  <c r="M49" i="52" s="1"/>
  <c r="L48" i="52"/>
  <c r="M48" i="52" s="1"/>
  <c r="L47" i="52"/>
  <c r="M47" i="52" s="1"/>
  <c r="L46" i="52"/>
  <c r="M46" i="52" s="1"/>
  <c r="L45" i="52"/>
  <c r="M45" i="52" s="1"/>
  <c r="L44" i="52"/>
  <c r="M44" i="52" s="1"/>
  <c r="L43" i="52"/>
  <c r="M43" i="52" s="1"/>
  <c r="L42" i="52"/>
  <c r="M42" i="52" s="1"/>
  <c r="L41" i="52"/>
  <c r="M41" i="52" s="1"/>
  <c r="L40" i="52"/>
  <c r="M40" i="52" s="1"/>
  <c r="M39" i="52"/>
  <c r="L39" i="52"/>
  <c r="L38" i="52"/>
  <c r="M38" i="52" s="1"/>
  <c r="L37" i="52"/>
  <c r="M37" i="52" s="1"/>
  <c r="L36" i="52"/>
  <c r="M36" i="52" s="1"/>
  <c r="L35" i="52"/>
  <c r="M35" i="52" s="1"/>
  <c r="L34" i="52"/>
  <c r="M34" i="52" s="1"/>
  <c r="L33" i="52"/>
  <c r="M33" i="52" s="1"/>
  <c r="L32" i="52"/>
  <c r="M32" i="52" s="1"/>
  <c r="L31" i="52"/>
  <c r="M31" i="52" s="1"/>
  <c r="L30" i="52"/>
  <c r="M30" i="52" s="1"/>
  <c r="L29" i="52"/>
  <c r="M29" i="52" s="1"/>
  <c r="L28" i="52"/>
  <c r="M28" i="52" s="1"/>
  <c r="M27" i="52"/>
  <c r="L27" i="52"/>
  <c r="L26" i="52"/>
  <c r="M26" i="52" s="1"/>
  <c r="L25" i="52"/>
  <c r="M25" i="52" s="1"/>
  <c r="L24" i="52"/>
  <c r="M24" i="52" s="1"/>
  <c r="L23" i="52"/>
  <c r="M23" i="52" s="1"/>
  <c r="L18" i="52"/>
  <c r="K18" i="52"/>
  <c r="L17" i="52"/>
  <c r="K17" i="52"/>
  <c r="L16" i="52"/>
  <c r="K16" i="52"/>
  <c r="L15" i="52"/>
  <c r="K15" i="52"/>
  <c r="E15" i="52"/>
  <c r="L14" i="52"/>
  <c r="K14" i="52"/>
  <c r="K13" i="52"/>
  <c r="I93" i="51"/>
  <c r="J84" i="51"/>
  <c r="I84" i="51"/>
  <c r="K66" i="51"/>
  <c r="J66" i="51"/>
  <c r="I66" i="51"/>
  <c r="D66" i="51"/>
  <c r="H89" i="51" s="1"/>
  <c r="L65" i="51"/>
  <c r="M65" i="51" s="1"/>
  <c r="L64" i="51"/>
  <c r="M64" i="51" s="1"/>
  <c r="M63" i="51"/>
  <c r="L63" i="51"/>
  <c r="L62" i="51"/>
  <c r="M62" i="51" s="1"/>
  <c r="L61" i="51"/>
  <c r="M61" i="51" s="1"/>
  <c r="L60" i="51"/>
  <c r="M60" i="51" s="1"/>
  <c r="M59" i="51"/>
  <c r="L59" i="51"/>
  <c r="L58" i="51"/>
  <c r="M58" i="51" s="1"/>
  <c r="L57" i="51"/>
  <c r="M57" i="51" s="1"/>
  <c r="L56" i="51"/>
  <c r="M56" i="51" s="1"/>
  <c r="M55" i="51"/>
  <c r="L55" i="51"/>
  <c r="L54" i="51"/>
  <c r="M54" i="51" s="1"/>
  <c r="L53" i="51"/>
  <c r="M53" i="51" s="1"/>
  <c r="L52" i="51"/>
  <c r="M52" i="51" s="1"/>
  <c r="M51" i="51"/>
  <c r="L51" i="51"/>
  <c r="L50" i="51"/>
  <c r="M50" i="51" s="1"/>
  <c r="L49" i="51"/>
  <c r="M49" i="51" s="1"/>
  <c r="L48" i="51"/>
  <c r="M48" i="51" s="1"/>
  <c r="M47" i="51"/>
  <c r="L47" i="51"/>
  <c r="L46" i="51"/>
  <c r="M46" i="51" s="1"/>
  <c r="L45" i="51"/>
  <c r="M45" i="51" s="1"/>
  <c r="L44" i="51"/>
  <c r="M44" i="51" s="1"/>
  <c r="M43" i="51"/>
  <c r="L43" i="51"/>
  <c r="L42" i="51"/>
  <c r="M42" i="51" s="1"/>
  <c r="L41" i="51"/>
  <c r="M41" i="51" s="1"/>
  <c r="L40" i="51"/>
  <c r="M40" i="51" s="1"/>
  <c r="M39" i="51"/>
  <c r="L39" i="51"/>
  <c r="L38" i="51"/>
  <c r="M38" i="51" s="1"/>
  <c r="L37" i="51"/>
  <c r="M37" i="51" s="1"/>
  <c r="L36" i="51"/>
  <c r="M36" i="51" s="1"/>
  <c r="L35" i="51"/>
  <c r="M35" i="51" s="1"/>
  <c r="L34" i="51"/>
  <c r="M34" i="51" s="1"/>
  <c r="L33" i="51"/>
  <c r="M33" i="51" s="1"/>
  <c r="L32" i="51"/>
  <c r="M32" i="51" s="1"/>
  <c r="M31" i="51"/>
  <c r="L31" i="51"/>
  <c r="L30" i="51"/>
  <c r="M30" i="51" s="1"/>
  <c r="L29" i="51"/>
  <c r="M29" i="51" s="1"/>
  <c r="L28" i="51"/>
  <c r="M28" i="51" s="1"/>
  <c r="L27" i="51"/>
  <c r="M27" i="51" s="1"/>
  <c r="L26" i="51"/>
  <c r="M26" i="51" s="1"/>
  <c r="L25" i="51"/>
  <c r="M25" i="51" s="1"/>
  <c r="L24" i="51"/>
  <c r="M24" i="51" s="1"/>
  <c r="L23" i="51"/>
  <c r="M23" i="51" s="1"/>
  <c r="L18" i="51"/>
  <c r="K18" i="51"/>
  <c r="L17" i="51"/>
  <c r="K17" i="51"/>
  <c r="L16" i="51"/>
  <c r="K16" i="51"/>
  <c r="L15" i="51"/>
  <c r="K15" i="51"/>
  <c r="E15" i="51"/>
  <c r="L14" i="51"/>
  <c r="K14" i="51"/>
  <c r="E14" i="51"/>
  <c r="L13" i="51"/>
  <c r="K13" i="51"/>
  <c r="E16" i="55" l="1"/>
  <c r="L4" i="55"/>
  <c r="E18" i="55"/>
  <c r="M66" i="55"/>
  <c r="E16" i="54"/>
  <c r="E18" i="54"/>
  <c r="L4" i="54"/>
  <c r="M66" i="54"/>
  <c r="E16" i="53"/>
  <c r="L4" i="53"/>
  <c r="E18" i="53"/>
  <c r="M66" i="53"/>
  <c r="L13" i="52"/>
  <c r="E14" i="52"/>
  <c r="L66" i="52"/>
  <c r="L66" i="51"/>
  <c r="I93" i="50"/>
  <c r="K84" i="50"/>
  <c r="J84" i="50"/>
  <c r="I84" i="50"/>
  <c r="K66" i="50"/>
  <c r="J66" i="50"/>
  <c r="I66" i="50"/>
  <c r="D66" i="50"/>
  <c r="H89" i="50" s="1"/>
  <c r="L65" i="50"/>
  <c r="M65" i="50" s="1"/>
  <c r="L64" i="50"/>
  <c r="M64" i="50" s="1"/>
  <c r="M63" i="50"/>
  <c r="L63" i="50"/>
  <c r="L62" i="50"/>
  <c r="M62" i="50" s="1"/>
  <c r="L61" i="50"/>
  <c r="M61" i="50" s="1"/>
  <c r="L60" i="50"/>
  <c r="M60" i="50" s="1"/>
  <c r="M59" i="50"/>
  <c r="L59" i="50"/>
  <c r="L58" i="50"/>
  <c r="M58" i="50" s="1"/>
  <c r="L57" i="50"/>
  <c r="M57" i="50" s="1"/>
  <c r="L56" i="50"/>
  <c r="M56" i="50" s="1"/>
  <c r="M55" i="50"/>
  <c r="L55" i="50"/>
  <c r="L54" i="50"/>
  <c r="M54" i="50" s="1"/>
  <c r="L53" i="50"/>
  <c r="M53" i="50" s="1"/>
  <c r="L52" i="50"/>
  <c r="M52" i="50" s="1"/>
  <c r="M51" i="50"/>
  <c r="L51" i="50"/>
  <c r="L50" i="50"/>
  <c r="M50" i="50" s="1"/>
  <c r="L49" i="50"/>
  <c r="M49" i="50" s="1"/>
  <c r="L48" i="50"/>
  <c r="M48" i="50" s="1"/>
  <c r="M47" i="50"/>
  <c r="L47" i="50"/>
  <c r="L46" i="50"/>
  <c r="M46" i="50" s="1"/>
  <c r="L45" i="50"/>
  <c r="M45" i="50" s="1"/>
  <c r="L44" i="50"/>
  <c r="M44" i="50" s="1"/>
  <c r="M43" i="50"/>
  <c r="L43" i="50"/>
  <c r="L42" i="50"/>
  <c r="M42" i="50" s="1"/>
  <c r="L41" i="50"/>
  <c r="M41" i="50" s="1"/>
  <c r="L40" i="50"/>
  <c r="M40" i="50" s="1"/>
  <c r="M39" i="50"/>
  <c r="L39" i="50"/>
  <c r="L38" i="50"/>
  <c r="M38" i="50" s="1"/>
  <c r="L37" i="50"/>
  <c r="M37" i="50" s="1"/>
  <c r="L36" i="50"/>
  <c r="M36" i="50" s="1"/>
  <c r="L35" i="50"/>
  <c r="M35" i="50" s="1"/>
  <c r="L34" i="50"/>
  <c r="M34" i="50" s="1"/>
  <c r="L33" i="50"/>
  <c r="M33" i="50" s="1"/>
  <c r="L32" i="50"/>
  <c r="M32" i="50" s="1"/>
  <c r="L31" i="50"/>
  <c r="M31" i="50" s="1"/>
  <c r="L30" i="50"/>
  <c r="M30" i="50" s="1"/>
  <c r="L29" i="50"/>
  <c r="M29" i="50" s="1"/>
  <c r="L28" i="50"/>
  <c r="M28" i="50" s="1"/>
  <c r="M27" i="50"/>
  <c r="L27" i="50"/>
  <c r="L26" i="50"/>
  <c r="M26" i="50" s="1"/>
  <c r="L25" i="50"/>
  <c r="M25" i="50" s="1"/>
  <c r="L24" i="50"/>
  <c r="M24" i="50" s="1"/>
  <c r="L23" i="50"/>
  <c r="L18" i="50"/>
  <c r="K18" i="50"/>
  <c r="L17" i="50"/>
  <c r="K17" i="50"/>
  <c r="L16" i="50"/>
  <c r="K16" i="50"/>
  <c r="L15" i="50"/>
  <c r="K15" i="50"/>
  <c r="E15" i="50"/>
  <c r="L14" i="50"/>
  <c r="K14" i="50"/>
  <c r="E14" i="50"/>
  <c r="L13" i="50"/>
  <c r="K13" i="50"/>
  <c r="I93" i="49"/>
  <c r="K84" i="49"/>
  <c r="J84" i="49"/>
  <c r="I84" i="49"/>
  <c r="K66" i="49"/>
  <c r="J66" i="49"/>
  <c r="I66" i="49"/>
  <c r="D66" i="49"/>
  <c r="H89" i="49" s="1"/>
  <c r="L65" i="49"/>
  <c r="M65" i="49" s="1"/>
  <c r="L64" i="49"/>
  <c r="M64" i="49" s="1"/>
  <c r="M63" i="49"/>
  <c r="L63" i="49"/>
  <c r="L62" i="49"/>
  <c r="M62" i="49" s="1"/>
  <c r="L61" i="49"/>
  <c r="M61" i="49" s="1"/>
  <c r="L60" i="49"/>
  <c r="M60" i="49" s="1"/>
  <c r="M59" i="49"/>
  <c r="L59" i="49"/>
  <c r="L58" i="49"/>
  <c r="M58" i="49" s="1"/>
  <c r="L57" i="49"/>
  <c r="M57" i="49" s="1"/>
  <c r="L56" i="49"/>
  <c r="M56" i="49" s="1"/>
  <c r="M55" i="49"/>
  <c r="L55" i="49"/>
  <c r="L54" i="49"/>
  <c r="M54" i="49" s="1"/>
  <c r="L53" i="49"/>
  <c r="M53" i="49" s="1"/>
  <c r="L52" i="49"/>
  <c r="M52" i="49" s="1"/>
  <c r="M51" i="49"/>
  <c r="L51" i="49"/>
  <c r="L50" i="49"/>
  <c r="M50" i="49" s="1"/>
  <c r="L49" i="49"/>
  <c r="M49" i="49" s="1"/>
  <c r="L48" i="49"/>
  <c r="M48" i="49" s="1"/>
  <c r="M47" i="49"/>
  <c r="L47" i="49"/>
  <c r="L46" i="49"/>
  <c r="M46" i="49" s="1"/>
  <c r="L45" i="49"/>
  <c r="M45" i="49" s="1"/>
  <c r="L44" i="49"/>
  <c r="M44" i="49" s="1"/>
  <c r="M43" i="49"/>
  <c r="L43" i="49"/>
  <c r="L42" i="49"/>
  <c r="M42" i="49" s="1"/>
  <c r="L41" i="49"/>
  <c r="M41" i="49" s="1"/>
  <c r="L40" i="49"/>
  <c r="M40" i="49" s="1"/>
  <c r="M39" i="49"/>
  <c r="L39" i="49"/>
  <c r="L38" i="49"/>
  <c r="M38" i="49" s="1"/>
  <c r="L37" i="49"/>
  <c r="M37" i="49" s="1"/>
  <c r="L36" i="49"/>
  <c r="M36" i="49" s="1"/>
  <c r="L35" i="49"/>
  <c r="M35" i="49" s="1"/>
  <c r="L34" i="49"/>
  <c r="M34" i="49" s="1"/>
  <c r="L33" i="49"/>
  <c r="M33" i="49" s="1"/>
  <c r="L32" i="49"/>
  <c r="M32" i="49" s="1"/>
  <c r="L31" i="49"/>
  <c r="M31" i="49" s="1"/>
  <c r="L30" i="49"/>
  <c r="M30" i="49" s="1"/>
  <c r="L29" i="49"/>
  <c r="M29" i="49" s="1"/>
  <c r="L28" i="49"/>
  <c r="M28" i="49" s="1"/>
  <c r="M27" i="49"/>
  <c r="L27" i="49"/>
  <c r="L26" i="49"/>
  <c r="M26" i="49" s="1"/>
  <c r="L25" i="49"/>
  <c r="M25" i="49" s="1"/>
  <c r="L24" i="49"/>
  <c r="M24" i="49" s="1"/>
  <c r="L23" i="49"/>
  <c r="M23" i="49" s="1"/>
  <c r="L18" i="49"/>
  <c r="K18" i="49"/>
  <c r="L17" i="49"/>
  <c r="K17" i="49"/>
  <c r="L16" i="49"/>
  <c r="K16" i="49"/>
  <c r="K15" i="49"/>
  <c r="E15" i="49"/>
  <c r="L14" i="49"/>
  <c r="K14" i="49"/>
  <c r="E14" i="49"/>
  <c r="L13" i="49"/>
  <c r="K13" i="49"/>
  <c r="I93" i="48"/>
  <c r="K84" i="48"/>
  <c r="J84" i="48"/>
  <c r="I84" i="48"/>
  <c r="K66" i="48"/>
  <c r="J66" i="48"/>
  <c r="I66" i="48"/>
  <c r="D66" i="48"/>
  <c r="H89" i="48" s="1"/>
  <c r="L65" i="48"/>
  <c r="M65" i="48" s="1"/>
  <c r="L64" i="48"/>
  <c r="M64" i="48" s="1"/>
  <c r="M63" i="48"/>
  <c r="L63" i="48"/>
  <c r="M62" i="48"/>
  <c r="L62" i="48"/>
  <c r="L61" i="48"/>
  <c r="M61" i="48" s="1"/>
  <c r="L60" i="48"/>
  <c r="M60" i="48" s="1"/>
  <c r="M59" i="48"/>
  <c r="L59" i="48"/>
  <c r="M58" i="48"/>
  <c r="L58" i="48"/>
  <c r="L57" i="48"/>
  <c r="M57" i="48" s="1"/>
  <c r="L56" i="48"/>
  <c r="M56" i="48" s="1"/>
  <c r="M55" i="48"/>
  <c r="L55" i="48"/>
  <c r="M54" i="48"/>
  <c r="L54" i="48"/>
  <c r="L53" i="48"/>
  <c r="M53" i="48" s="1"/>
  <c r="L52" i="48"/>
  <c r="M52" i="48" s="1"/>
  <c r="M51" i="48"/>
  <c r="L51" i="48"/>
  <c r="M50" i="48"/>
  <c r="L50" i="48"/>
  <c r="L49" i="48"/>
  <c r="M49" i="48" s="1"/>
  <c r="L48" i="48"/>
  <c r="M48" i="48" s="1"/>
  <c r="M47" i="48"/>
  <c r="L47" i="48"/>
  <c r="M46" i="48"/>
  <c r="L46" i="48"/>
  <c r="L45" i="48"/>
  <c r="M45" i="48" s="1"/>
  <c r="L44" i="48"/>
  <c r="M44" i="48" s="1"/>
  <c r="M43" i="48"/>
  <c r="L43" i="48"/>
  <c r="M42" i="48"/>
  <c r="L42" i="48"/>
  <c r="L41" i="48"/>
  <c r="M41" i="48" s="1"/>
  <c r="L40" i="48"/>
  <c r="M40" i="48" s="1"/>
  <c r="M39" i="48"/>
  <c r="L39" i="48"/>
  <c r="M38" i="48"/>
  <c r="L38" i="48"/>
  <c r="L37" i="48"/>
  <c r="M37" i="48" s="1"/>
  <c r="L36" i="48"/>
  <c r="M36" i="48" s="1"/>
  <c r="L35" i="48"/>
  <c r="M35" i="48" s="1"/>
  <c r="L34" i="48"/>
  <c r="M34" i="48" s="1"/>
  <c r="L33" i="48"/>
  <c r="M33" i="48" s="1"/>
  <c r="L32" i="48"/>
  <c r="M32" i="48" s="1"/>
  <c r="L31" i="48"/>
  <c r="M31" i="48" s="1"/>
  <c r="L30" i="48"/>
  <c r="M30" i="48" s="1"/>
  <c r="L29" i="48"/>
  <c r="M29" i="48" s="1"/>
  <c r="L28" i="48"/>
  <c r="M28" i="48" s="1"/>
  <c r="L27" i="48"/>
  <c r="M27" i="48" s="1"/>
  <c r="L26" i="48"/>
  <c r="M26" i="48" s="1"/>
  <c r="L25" i="48"/>
  <c r="M25" i="48" s="1"/>
  <c r="L24" i="48"/>
  <c r="M24" i="48" s="1"/>
  <c r="L23" i="48"/>
  <c r="M23" i="48" s="1"/>
  <c r="L18" i="48"/>
  <c r="K18" i="48"/>
  <c r="L17" i="48"/>
  <c r="K17" i="48"/>
  <c r="K16" i="48"/>
  <c r="L15" i="48"/>
  <c r="K15" i="48"/>
  <c r="E15" i="48"/>
  <c r="L14" i="48"/>
  <c r="K14" i="48"/>
  <c r="E14" i="48"/>
  <c r="L13" i="48"/>
  <c r="K13" i="48"/>
  <c r="L3" i="55" l="1"/>
  <c r="E17" i="55"/>
  <c r="L3" i="54"/>
  <c r="E17" i="54"/>
  <c r="L3" i="53"/>
  <c r="E17" i="53"/>
  <c r="E16" i="52"/>
  <c r="E18" i="52"/>
  <c r="L4" i="52"/>
  <c r="M66" i="52"/>
  <c r="E16" i="51"/>
  <c r="M66" i="51"/>
  <c r="L4" i="51"/>
  <c r="E18" i="51"/>
  <c r="L16" i="48"/>
  <c r="L15" i="49"/>
  <c r="L66" i="50"/>
  <c r="M23" i="50"/>
  <c r="E16" i="50"/>
  <c r="L4" i="50"/>
  <c r="E18" i="50"/>
  <c r="M66" i="50"/>
  <c r="L66" i="49"/>
  <c r="L66" i="48"/>
  <c r="I93" i="47"/>
  <c r="K84" i="47"/>
  <c r="J84" i="47"/>
  <c r="I84" i="47"/>
  <c r="K66" i="47"/>
  <c r="J66" i="47"/>
  <c r="I66" i="47"/>
  <c r="D66" i="47"/>
  <c r="H89" i="47" s="1"/>
  <c r="L65" i="47"/>
  <c r="M65" i="47" s="1"/>
  <c r="L64" i="47"/>
  <c r="M64" i="47" s="1"/>
  <c r="M63" i="47"/>
  <c r="L63" i="47"/>
  <c r="L62" i="47"/>
  <c r="M62" i="47" s="1"/>
  <c r="L61" i="47"/>
  <c r="M61" i="47" s="1"/>
  <c r="L60" i="47"/>
  <c r="M60" i="47" s="1"/>
  <c r="M59" i="47"/>
  <c r="L59" i="47"/>
  <c r="L58" i="47"/>
  <c r="M58" i="47" s="1"/>
  <c r="L57" i="47"/>
  <c r="M57" i="47" s="1"/>
  <c r="L56" i="47"/>
  <c r="M56" i="47" s="1"/>
  <c r="M55" i="47"/>
  <c r="L55" i="47"/>
  <c r="L54" i="47"/>
  <c r="M54" i="47" s="1"/>
  <c r="L53" i="47"/>
  <c r="M53" i="47" s="1"/>
  <c r="L52" i="47"/>
  <c r="M52" i="47" s="1"/>
  <c r="M51" i="47"/>
  <c r="L51" i="47"/>
  <c r="L50" i="47"/>
  <c r="M50" i="47" s="1"/>
  <c r="L49" i="47"/>
  <c r="M49" i="47" s="1"/>
  <c r="L48" i="47"/>
  <c r="M48" i="47" s="1"/>
  <c r="M47" i="47"/>
  <c r="L47" i="47"/>
  <c r="L46" i="47"/>
  <c r="M46" i="47" s="1"/>
  <c r="L45" i="47"/>
  <c r="M45" i="47" s="1"/>
  <c r="L44" i="47"/>
  <c r="M44" i="47" s="1"/>
  <c r="M43" i="47"/>
  <c r="L43" i="47"/>
  <c r="L42" i="47"/>
  <c r="M42" i="47" s="1"/>
  <c r="L41" i="47"/>
  <c r="M41" i="47" s="1"/>
  <c r="L40" i="47"/>
  <c r="M40" i="47" s="1"/>
  <c r="M39" i="47"/>
  <c r="L39" i="47"/>
  <c r="L38" i="47"/>
  <c r="M38" i="47" s="1"/>
  <c r="L37" i="47"/>
  <c r="M37" i="47" s="1"/>
  <c r="L36" i="47"/>
  <c r="M36" i="47" s="1"/>
  <c r="M35" i="47"/>
  <c r="L35" i="47"/>
  <c r="L34" i="47"/>
  <c r="M34" i="47" s="1"/>
  <c r="L33" i="47"/>
  <c r="M33" i="47" s="1"/>
  <c r="L32" i="47"/>
  <c r="M32" i="47" s="1"/>
  <c r="M31" i="47"/>
  <c r="L31" i="47"/>
  <c r="L30" i="47"/>
  <c r="M30" i="47" s="1"/>
  <c r="L29" i="47"/>
  <c r="M29" i="47" s="1"/>
  <c r="L28" i="47"/>
  <c r="M28" i="47" s="1"/>
  <c r="M27" i="47"/>
  <c r="L27" i="47"/>
  <c r="L26" i="47"/>
  <c r="M26" i="47" s="1"/>
  <c r="L25" i="47"/>
  <c r="M25" i="47" s="1"/>
  <c r="L24" i="47"/>
  <c r="M24" i="47" s="1"/>
  <c r="L23" i="47"/>
  <c r="M23" i="47" s="1"/>
  <c r="L18" i="47"/>
  <c r="K18" i="47"/>
  <c r="L17" i="47"/>
  <c r="K17" i="47"/>
  <c r="L16" i="47"/>
  <c r="K16" i="47"/>
  <c r="L15" i="47"/>
  <c r="K15" i="47"/>
  <c r="E15" i="47"/>
  <c r="L14" i="47"/>
  <c r="K14" i="47"/>
  <c r="L13" i="47"/>
  <c r="K13" i="47"/>
  <c r="I93" i="46"/>
  <c r="H89" i="46"/>
  <c r="K84" i="46"/>
  <c r="J84" i="46"/>
  <c r="I84" i="46"/>
  <c r="K66" i="46"/>
  <c r="J66" i="46"/>
  <c r="I66" i="46"/>
  <c r="D66" i="46"/>
  <c r="M65" i="46"/>
  <c r="L65" i="46"/>
  <c r="L64" i="46"/>
  <c r="M64" i="46" s="1"/>
  <c r="M63" i="46"/>
  <c r="L63" i="46"/>
  <c r="M62" i="46"/>
  <c r="L62" i="46"/>
  <c r="M61" i="46"/>
  <c r="L61" i="46"/>
  <c r="L60" i="46"/>
  <c r="M60" i="46" s="1"/>
  <c r="M59" i="46"/>
  <c r="L59" i="46"/>
  <c r="M58" i="46"/>
  <c r="L58" i="46"/>
  <c r="M57" i="46"/>
  <c r="L57" i="46"/>
  <c r="L56" i="46"/>
  <c r="M56" i="46" s="1"/>
  <c r="M55" i="46"/>
  <c r="L55" i="46"/>
  <c r="M54" i="46"/>
  <c r="L54" i="46"/>
  <c r="M53" i="46"/>
  <c r="L53" i="46"/>
  <c r="L52" i="46"/>
  <c r="M52" i="46" s="1"/>
  <c r="M51" i="46"/>
  <c r="L51" i="46"/>
  <c r="M50" i="46"/>
  <c r="L50" i="46"/>
  <c r="M49" i="46"/>
  <c r="L49" i="46"/>
  <c r="L48" i="46"/>
  <c r="M48" i="46" s="1"/>
  <c r="M47" i="46"/>
  <c r="L47" i="46"/>
  <c r="M46" i="46"/>
  <c r="L46" i="46"/>
  <c r="M45" i="46"/>
  <c r="L45" i="46"/>
  <c r="L44" i="46"/>
  <c r="M44" i="46" s="1"/>
  <c r="M43" i="46"/>
  <c r="L43" i="46"/>
  <c r="L42" i="46"/>
  <c r="M42" i="46" s="1"/>
  <c r="L41" i="46"/>
  <c r="M41" i="46" s="1"/>
  <c r="L40" i="46"/>
  <c r="M40" i="46" s="1"/>
  <c r="L39" i="46"/>
  <c r="M39" i="46" s="1"/>
  <c r="L38" i="46"/>
  <c r="M38" i="46" s="1"/>
  <c r="L37" i="46"/>
  <c r="M37" i="46" s="1"/>
  <c r="L36" i="46"/>
  <c r="M36" i="46" s="1"/>
  <c r="M35" i="46"/>
  <c r="L35" i="46"/>
  <c r="L34" i="46"/>
  <c r="M34" i="46" s="1"/>
  <c r="L33" i="46"/>
  <c r="M33" i="46" s="1"/>
  <c r="L32" i="46"/>
  <c r="M32" i="46" s="1"/>
  <c r="L31" i="46"/>
  <c r="M31" i="46" s="1"/>
  <c r="L30" i="46"/>
  <c r="M30" i="46" s="1"/>
  <c r="L29" i="46"/>
  <c r="M29" i="46" s="1"/>
  <c r="L28" i="46"/>
  <c r="M28" i="46" s="1"/>
  <c r="L27" i="46"/>
  <c r="M27" i="46" s="1"/>
  <c r="M26" i="46"/>
  <c r="L26" i="46"/>
  <c r="L25" i="46"/>
  <c r="M25" i="46" s="1"/>
  <c r="L24" i="46"/>
  <c r="M24" i="46" s="1"/>
  <c r="L23" i="46"/>
  <c r="M23" i="46" s="1"/>
  <c r="L18" i="46"/>
  <c r="K18" i="46"/>
  <c r="L17" i="46"/>
  <c r="K17" i="46"/>
  <c r="L16" i="46"/>
  <c r="K16" i="46"/>
  <c r="L15" i="46"/>
  <c r="K15" i="46"/>
  <c r="E15" i="46"/>
  <c r="L14" i="46"/>
  <c r="K14" i="46"/>
  <c r="E14" i="46"/>
  <c r="L13" i="46"/>
  <c r="K13" i="46"/>
  <c r="L3" i="52" l="1"/>
  <c r="E17" i="52"/>
  <c r="E17" i="51"/>
  <c r="L3" i="51"/>
  <c r="L3" i="50"/>
  <c r="E17" i="50"/>
  <c r="E16" i="49"/>
  <c r="L4" i="49"/>
  <c r="E18" i="49"/>
  <c r="M66" i="49"/>
  <c r="E16" i="48"/>
  <c r="L4" i="48"/>
  <c r="E18" i="48"/>
  <c r="M66" i="48"/>
  <c r="E14" i="47"/>
  <c r="L66" i="47"/>
  <c r="L66" i="46"/>
  <c r="I93" i="45"/>
  <c r="K84" i="45"/>
  <c r="J84" i="45"/>
  <c r="I84" i="45"/>
  <c r="K66" i="45"/>
  <c r="J66" i="45"/>
  <c r="I66" i="45"/>
  <c r="D66" i="45"/>
  <c r="H89" i="45" s="1"/>
  <c r="L65" i="45"/>
  <c r="M65" i="45" s="1"/>
  <c r="L64" i="45"/>
  <c r="M64" i="45" s="1"/>
  <c r="M63" i="45"/>
  <c r="L63" i="45"/>
  <c r="L62" i="45"/>
  <c r="M62" i="45" s="1"/>
  <c r="L61" i="45"/>
  <c r="M61" i="45" s="1"/>
  <c r="L60" i="45"/>
  <c r="M60" i="45" s="1"/>
  <c r="M59" i="45"/>
  <c r="L59" i="45"/>
  <c r="L58" i="45"/>
  <c r="M58" i="45" s="1"/>
  <c r="L57" i="45"/>
  <c r="M57" i="45" s="1"/>
  <c r="L56" i="45"/>
  <c r="M56" i="45" s="1"/>
  <c r="M55" i="45"/>
  <c r="L55" i="45"/>
  <c r="L54" i="45"/>
  <c r="M54" i="45" s="1"/>
  <c r="L53" i="45"/>
  <c r="M53" i="45" s="1"/>
  <c r="L52" i="45"/>
  <c r="M52" i="45" s="1"/>
  <c r="M51" i="45"/>
  <c r="L51" i="45"/>
  <c r="L50" i="45"/>
  <c r="M50" i="45" s="1"/>
  <c r="L49" i="45"/>
  <c r="M49" i="45" s="1"/>
  <c r="L48" i="45"/>
  <c r="M48" i="45" s="1"/>
  <c r="M47" i="45"/>
  <c r="L47" i="45"/>
  <c r="L46" i="45"/>
  <c r="M46" i="45" s="1"/>
  <c r="L45" i="45"/>
  <c r="M45" i="45" s="1"/>
  <c r="L44" i="45"/>
  <c r="M44" i="45" s="1"/>
  <c r="M43" i="45"/>
  <c r="L43" i="45"/>
  <c r="L42" i="45"/>
  <c r="M42" i="45" s="1"/>
  <c r="L41" i="45"/>
  <c r="M41" i="45" s="1"/>
  <c r="L40" i="45"/>
  <c r="M40" i="45" s="1"/>
  <c r="L39" i="45"/>
  <c r="M39" i="45" s="1"/>
  <c r="L38" i="45"/>
  <c r="M38" i="45" s="1"/>
  <c r="L37" i="45"/>
  <c r="M37" i="45" s="1"/>
  <c r="L36" i="45"/>
  <c r="M36" i="45" s="1"/>
  <c r="L35" i="45"/>
  <c r="M35" i="45" s="1"/>
  <c r="L34" i="45"/>
  <c r="M34" i="45" s="1"/>
  <c r="L33" i="45"/>
  <c r="M33" i="45" s="1"/>
  <c r="L32" i="45"/>
  <c r="M32" i="45" s="1"/>
  <c r="L31" i="45"/>
  <c r="M31" i="45" s="1"/>
  <c r="L30" i="45"/>
  <c r="M30" i="45" s="1"/>
  <c r="L29" i="45"/>
  <c r="M29" i="45" s="1"/>
  <c r="L28" i="45"/>
  <c r="M28" i="45" s="1"/>
  <c r="M27" i="45"/>
  <c r="L27" i="45"/>
  <c r="L26" i="45"/>
  <c r="M26" i="45" s="1"/>
  <c r="L25" i="45"/>
  <c r="M25" i="45" s="1"/>
  <c r="L24" i="45"/>
  <c r="M23" i="45"/>
  <c r="L23" i="45"/>
  <c r="K18" i="45"/>
  <c r="L17" i="45"/>
  <c r="K17" i="45"/>
  <c r="L16" i="45"/>
  <c r="K16" i="45"/>
  <c r="L15" i="45"/>
  <c r="K15" i="45"/>
  <c r="E15" i="45"/>
  <c r="L14" i="45"/>
  <c r="K14" i="45"/>
  <c r="E14" i="45"/>
  <c r="L13" i="45"/>
  <c r="K13" i="45"/>
  <c r="L3" i="49" l="1"/>
  <c r="E17" i="49"/>
  <c r="L3" i="48"/>
  <c r="E17" i="48"/>
  <c r="E16" i="47"/>
  <c r="E18" i="47"/>
  <c r="M66" i="47"/>
  <c r="L4" i="47"/>
  <c r="E16" i="46"/>
  <c r="L4" i="46"/>
  <c r="E18" i="46"/>
  <c r="M66" i="46"/>
  <c r="L18" i="45"/>
  <c r="M24" i="45"/>
  <c r="L66" i="45"/>
  <c r="L46" i="43"/>
  <c r="M46" i="43"/>
  <c r="L47" i="43"/>
  <c r="M47" i="43" s="1"/>
  <c r="L48" i="43"/>
  <c r="M48" i="43" s="1"/>
  <c r="L49" i="43"/>
  <c r="M49" i="43" s="1"/>
  <c r="L50" i="43"/>
  <c r="M50" i="43"/>
  <c r="L51" i="43"/>
  <c r="M51" i="43" s="1"/>
  <c r="L52" i="43"/>
  <c r="M52" i="43" s="1"/>
  <c r="I93" i="44"/>
  <c r="K84" i="44"/>
  <c r="J84" i="44"/>
  <c r="I84" i="44"/>
  <c r="K66" i="44"/>
  <c r="J66" i="44"/>
  <c r="I66" i="44"/>
  <c r="E15" i="44" s="1"/>
  <c r="D66" i="44"/>
  <c r="H89" i="44" s="1"/>
  <c r="M65" i="44"/>
  <c r="L65" i="44"/>
  <c r="L64" i="44"/>
  <c r="M64" i="44" s="1"/>
  <c r="M63" i="44"/>
  <c r="L63" i="44"/>
  <c r="L62" i="44"/>
  <c r="M62" i="44" s="1"/>
  <c r="M61" i="44"/>
  <c r="L61" i="44"/>
  <c r="L60" i="44"/>
  <c r="M60" i="44" s="1"/>
  <c r="M59" i="44"/>
  <c r="L59" i="44"/>
  <c r="L58" i="44"/>
  <c r="M58" i="44" s="1"/>
  <c r="M57" i="44"/>
  <c r="L57" i="44"/>
  <c r="L56" i="44"/>
  <c r="M56" i="44" s="1"/>
  <c r="M55" i="44"/>
  <c r="L55" i="44"/>
  <c r="L54" i="44"/>
  <c r="M54" i="44" s="1"/>
  <c r="M53" i="44"/>
  <c r="L53" i="44"/>
  <c r="L52" i="44"/>
  <c r="M52" i="44" s="1"/>
  <c r="M51" i="44"/>
  <c r="L51" i="44"/>
  <c r="L50" i="44"/>
  <c r="M50" i="44" s="1"/>
  <c r="M49" i="44"/>
  <c r="L49" i="44"/>
  <c r="L48" i="44"/>
  <c r="M48" i="44" s="1"/>
  <c r="M47" i="44"/>
  <c r="L47" i="44"/>
  <c r="L46" i="44"/>
  <c r="M46" i="44" s="1"/>
  <c r="M45" i="44"/>
  <c r="L45" i="44"/>
  <c r="L44" i="44"/>
  <c r="M44" i="44" s="1"/>
  <c r="M43" i="44"/>
  <c r="L43" i="44"/>
  <c r="L42" i="44"/>
  <c r="M42" i="44" s="1"/>
  <c r="M41" i="44"/>
  <c r="L41" i="44"/>
  <c r="L40" i="44"/>
  <c r="M40" i="44" s="1"/>
  <c r="M39" i="44"/>
  <c r="L39" i="44"/>
  <c r="L38" i="44"/>
  <c r="M38" i="44" s="1"/>
  <c r="L37" i="44"/>
  <c r="M37" i="44" s="1"/>
  <c r="L36" i="44"/>
  <c r="M36" i="44" s="1"/>
  <c r="L35" i="44"/>
  <c r="M35" i="44" s="1"/>
  <c r="L34" i="44"/>
  <c r="M34" i="44" s="1"/>
  <c r="M33" i="44"/>
  <c r="L33" i="44"/>
  <c r="L32" i="44"/>
  <c r="M32" i="44" s="1"/>
  <c r="L31" i="44"/>
  <c r="M31" i="44" s="1"/>
  <c r="L30" i="44"/>
  <c r="M30" i="44" s="1"/>
  <c r="L29" i="44"/>
  <c r="M29" i="44" s="1"/>
  <c r="L28" i="44"/>
  <c r="M28" i="44" s="1"/>
  <c r="M27" i="44"/>
  <c r="L27" i="44"/>
  <c r="L26" i="44"/>
  <c r="M26" i="44" s="1"/>
  <c r="M25" i="44"/>
  <c r="L25" i="44"/>
  <c r="L24" i="44"/>
  <c r="M24" i="44" s="1"/>
  <c r="M23" i="44"/>
  <c r="L23" i="44"/>
  <c r="L18" i="44"/>
  <c r="K18" i="44"/>
  <c r="L17" i="44"/>
  <c r="K17" i="44"/>
  <c r="L16" i="44"/>
  <c r="K16" i="44"/>
  <c r="L15" i="44"/>
  <c r="K15" i="44"/>
  <c r="L14" i="44"/>
  <c r="K14" i="44"/>
  <c r="L13" i="44"/>
  <c r="K13" i="44"/>
  <c r="I100" i="43"/>
  <c r="K91" i="43"/>
  <c r="J91" i="43"/>
  <c r="I91" i="43"/>
  <c r="K73" i="43"/>
  <c r="J73" i="43"/>
  <c r="I73" i="43"/>
  <c r="D73" i="43"/>
  <c r="H96" i="43" s="1"/>
  <c r="L72" i="43"/>
  <c r="M72" i="43" s="1"/>
  <c r="L71" i="43"/>
  <c r="M71" i="43" s="1"/>
  <c r="L70" i="43"/>
  <c r="M70" i="43" s="1"/>
  <c r="L69" i="43"/>
  <c r="M69" i="43" s="1"/>
  <c r="L68" i="43"/>
  <c r="M68" i="43" s="1"/>
  <c r="L67" i="43"/>
  <c r="M67" i="43" s="1"/>
  <c r="M66" i="43"/>
  <c r="L66" i="43"/>
  <c r="L65" i="43"/>
  <c r="M65" i="43" s="1"/>
  <c r="L64" i="43"/>
  <c r="M64" i="43" s="1"/>
  <c r="L63" i="43"/>
  <c r="M63" i="43" s="1"/>
  <c r="M62" i="43"/>
  <c r="L62" i="43"/>
  <c r="L61" i="43"/>
  <c r="M61" i="43" s="1"/>
  <c r="L60" i="43"/>
  <c r="M60" i="43" s="1"/>
  <c r="L59" i="43"/>
  <c r="M59" i="43" s="1"/>
  <c r="M58" i="43"/>
  <c r="L58" i="43"/>
  <c r="L57" i="43"/>
  <c r="M57" i="43" s="1"/>
  <c r="L56" i="43"/>
  <c r="M56" i="43" s="1"/>
  <c r="L55" i="43"/>
  <c r="M55" i="43" s="1"/>
  <c r="L54" i="43"/>
  <c r="M54" i="43" s="1"/>
  <c r="L53" i="43"/>
  <c r="M53" i="43" s="1"/>
  <c r="L45" i="43"/>
  <c r="M45" i="43" s="1"/>
  <c r="L44" i="43"/>
  <c r="M44" i="43" s="1"/>
  <c r="M43" i="43"/>
  <c r="L43" i="43"/>
  <c r="L42" i="43"/>
  <c r="M42" i="43" s="1"/>
  <c r="L41" i="43"/>
  <c r="M41" i="43" s="1"/>
  <c r="L40" i="43"/>
  <c r="M40" i="43" s="1"/>
  <c r="M39" i="43"/>
  <c r="L39" i="43"/>
  <c r="L38" i="43"/>
  <c r="M38" i="43" s="1"/>
  <c r="L37" i="43"/>
  <c r="M37" i="43" s="1"/>
  <c r="L36" i="43"/>
  <c r="M36" i="43" s="1"/>
  <c r="M35" i="43"/>
  <c r="L35" i="43"/>
  <c r="L34" i="43"/>
  <c r="M34" i="43" s="1"/>
  <c r="L33" i="43"/>
  <c r="M33" i="43" s="1"/>
  <c r="L32" i="43"/>
  <c r="M32" i="43" s="1"/>
  <c r="L31" i="43"/>
  <c r="M31" i="43" s="1"/>
  <c r="L30" i="43"/>
  <c r="M30" i="43" s="1"/>
  <c r="L29" i="43"/>
  <c r="M29" i="43" s="1"/>
  <c r="L28" i="43"/>
  <c r="M28" i="43" s="1"/>
  <c r="M27" i="43"/>
  <c r="L27" i="43"/>
  <c r="L26" i="43"/>
  <c r="M26" i="43" s="1"/>
  <c r="L25" i="43"/>
  <c r="M25" i="43" s="1"/>
  <c r="L24" i="43"/>
  <c r="M24" i="43" s="1"/>
  <c r="M23" i="43"/>
  <c r="L23" i="43"/>
  <c r="L18" i="43"/>
  <c r="K18" i="43"/>
  <c r="L17" i="43"/>
  <c r="K17" i="43"/>
  <c r="L16" i="43"/>
  <c r="K16" i="43"/>
  <c r="L15" i="43"/>
  <c r="K15" i="43"/>
  <c r="E15" i="43"/>
  <c r="L14" i="43"/>
  <c r="K14" i="43"/>
  <c r="L13" i="43"/>
  <c r="K13" i="43"/>
  <c r="L3" i="47" l="1"/>
  <c r="E17" i="47"/>
  <c r="L3" i="46"/>
  <c r="E17" i="46"/>
  <c r="E14" i="44"/>
  <c r="E16" i="45"/>
  <c r="L4" i="45"/>
  <c r="E18" i="45"/>
  <c r="M66" i="45"/>
  <c r="E14" i="43"/>
  <c r="L66" i="44"/>
  <c r="L73" i="43"/>
  <c r="I93" i="42"/>
  <c r="K84" i="42"/>
  <c r="J84" i="42"/>
  <c r="I84" i="42"/>
  <c r="K66" i="42"/>
  <c r="J66" i="42"/>
  <c r="I66" i="42"/>
  <c r="D66" i="42"/>
  <c r="H89" i="42" s="1"/>
  <c r="L65" i="42"/>
  <c r="M65" i="42" s="1"/>
  <c r="L64" i="42"/>
  <c r="M64" i="42" s="1"/>
  <c r="M63" i="42"/>
  <c r="L63" i="42"/>
  <c r="L62" i="42"/>
  <c r="M62" i="42" s="1"/>
  <c r="L61" i="42"/>
  <c r="M61" i="42" s="1"/>
  <c r="L60" i="42"/>
  <c r="M60" i="42" s="1"/>
  <c r="L59" i="42"/>
  <c r="M59" i="42" s="1"/>
  <c r="L58" i="42"/>
  <c r="M58" i="42" s="1"/>
  <c r="L57" i="42"/>
  <c r="M57" i="42" s="1"/>
  <c r="L56" i="42"/>
  <c r="M56" i="42" s="1"/>
  <c r="L55" i="42"/>
  <c r="M55" i="42" s="1"/>
  <c r="L54" i="42"/>
  <c r="M54" i="42" s="1"/>
  <c r="M53" i="42"/>
  <c r="L53" i="42"/>
  <c r="L52" i="42"/>
  <c r="M52" i="42" s="1"/>
  <c r="M51" i="42"/>
  <c r="L51" i="42"/>
  <c r="L50" i="42"/>
  <c r="M50" i="42" s="1"/>
  <c r="M49" i="42"/>
  <c r="L49" i="42"/>
  <c r="L48" i="42"/>
  <c r="M48" i="42" s="1"/>
  <c r="L47" i="42"/>
  <c r="M47" i="42" s="1"/>
  <c r="L46" i="42"/>
  <c r="M46" i="42" s="1"/>
  <c r="L45" i="42"/>
  <c r="M45" i="42" s="1"/>
  <c r="L44" i="42"/>
  <c r="M44" i="42" s="1"/>
  <c r="L43" i="42"/>
  <c r="M43" i="42" s="1"/>
  <c r="L42" i="42"/>
  <c r="M42" i="42" s="1"/>
  <c r="L41" i="42"/>
  <c r="M41" i="42" s="1"/>
  <c r="L40" i="42"/>
  <c r="M40" i="42" s="1"/>
  <c r="L39" i="42"/>
  <c r="M39" i="42" s="1"/>
  <c r="L38" i="42"/>
  <c r="M38" i="42" s="1"/>
  <c r="M37" i="42"/>
  <c r="L37" i="42"/>
  <c r="L36" i="42"/>
  <c r="M36" i="42" s="1"/>
  <c r="M35" i="42"/>
  <c r="L35" i="42"/>
  <c r="L34" i="42"/>
  <c r="M34" i="42" s="1"/>
  <c r="M33" i="42"/>
  <c r="L33" i="42"/>
  <c r="L32" i="42"/>
  <c r="M32" i="42" s="1"/>
  <c r="L31" i="42"/>
  <c r="M31" i="42" s="1"/>
  <c r="L30" i="42"/>
  <c r="M30" i="42" s="1"/>
  <c r="M29" i="42"/>
  <c r="L29" i="42"/>
  <c r="L28" i="42"/>
  <c r="M28" i="42" s="1"/>
  <c r="L27" i="42"/>
  <c r="M27" i="42" s="1"/>
  <c r="L26" i="42"/>
  <c r="M26" i="42" s="1"/>
  <c r="L25" i="42"/>
  <c r="M25" i="42" s="1"/>
  <c r="L24" i="42"/>
  <c r="M24" i="42" s="1"/>
  <c r="L23" i="42"/>
  <c r="M23" i="42" s="1"/>
  <c r="L18" i="42"/>
  <c r="K18" i="42"/>
  <c r="L17" i="42"/>
  <c r="K17" i="42"/>
  <c r="L16" i="42"/>
  <c r="K16" i="42"/>
  <c r="L15" i="42"/>
  <c r="K15" i="42"/>
  <c r="E15" i="42"/>
  <c r="L14" i="42"/>
  <c r="K14" i="42"/>
  <c r="E14" i="42"/>
  <c r="K13" i="42"/>
  <c r="I93" i="41"/>
  <c r="H89" i="41"/>
  <c r="K84" i="41"/>
  <c r="J84" i="41"/>
  <c r="I84" i="41"/>
  <c r="K66" i="41"/>
  <c r="J66" i="41"/>
  <c r="I66" i="41"/>
  <c r="D66" i="41"/>
  <c r="L65" i="41"/>
  <c r="M65" i="41" s="1"/>
  <c r="L64" i="41"/>
  <c r="M64" i="41" s="1"/>
  <c r="M63" i="41"/>
  <c r="L63" i="41"/>
  <c r="M62" i="41"/>
  <c r="L62" i="41"/>
  <c r="L61" i="41"/>
  <c r="M61" i="41" s="1"/>
  <c r="L60" i="41"/>
  <c r="M60" i="41" s="1"/>
  <c r="M59" i="41"/>
  <c r="L59" i="41"/>
  <c r="M58" i="41"/>
  <c r="L58" i="41"/>
  <c r="L57" i="41"/>
  <c r="M57" i="41" s="1"/>
  <c r="L56" i="41"/>
  <c r="M56" i="41" s="1"/>
  <c r="M55" i="41"/>
  <c r="L55" i="41"/>
  <c r="M54" i="41"/>
  <c r="L54" i="41"/>
  <c r="L53" i="41"/>
  <c r="M53" i="41" s="1"/>
  <c r="L52" i="41"/>
  <c r="M52" i="41" s="1"/>
  <c r="M51" i="41"/>
  <c r="L51" i="41"/>
  <c r="M50" i="41"/>
  <c r="L50" i="41"/>
  <c r="L49" i="41"/>
  <c r="M49" i="41" s="1"/>
  <c r="L48" i="41"/>
  <c r="M48" i="41" s="1"/>
  <c r="L47" i="41"/>
  <c r="M47" i="41" s="1"/>
  <c r="L46" i="41"/>
  <c r="M46" i="41" s="1"/>
  <c r="L45" i="41"/>
  <c r="M45" i="41" s="1"/>
  <c r="L44" i="41"/>
  <c r="M44" i="41" s="1"/>
  <c r="M43" i="41"/>
  <c r="L43" i="41"/>
  <c r="L42" i="41"/>
  <c r="M42" i="41" s="1"/>
  <c r="L41" i="41"/>
  <c r="M41" i="41" s="1"/>
  <c r="L40" i="41"/>
  <c r="M40" i="41" s="1"/>
  <c r="L39" i="41"/>
  <c r="M39" i="41" s="1"/>
  <c r="M38" i="41"/>
  <c r="L38" i="41"/>
  <c r="L37" i="41"/>
  <c r="M37" i="41" s="1"/>
  <c r="L36" i="41"/>
  <c r="M36" i="41" s="1"/>
  <c r="L35" i="41"/>
  <c r="M35" i="41" s="1"/>
  <c r="L34" i="41"/>
  <c r="M34" i="41" s="1"/>
  <c r="L33" i="41"/>
  <c r="M33" i="41" s="1"/>
  <c r="L32" i="41"/>
  <c r="M32" i="41" s="1"/>
  <c r="M31" i="41"/>
  <c r="L31" i="41"/>
  <c r="L30" i="41"/>
  <c r="M30" i="41" s="1"/>
  <c r="L29" i="41"/>
  <c r="M29" i="41" s="1"/>
  <c r="L28" i="41"/>
  <c r="M28" i="41" s="1"/>
  <c r="M27" i="41"/>
  <c r="L27" i="41"/>
  <c r="L26" i="41"/>
  <c r="M26" i="41" s="1"/>
  <c r="L25" i="41"/>
  <c r="M25" i="41" s="1"/>
  <c r="L24" i="41"/>
  <c r="M24" i="41" s="1"/>
  <c r="L23" i="41"/>
  <c r="M23" i="41" s="1"/>
  <c r="L18" i="41"/>
  <c r="K18" i="41"/>
  <c r="L17" i="41"/>
  <c r="K17" i="41"/>
  <c r="L16" i="41"/>
  <c r="K16" i="41"/>
  <c r="L15" i="41"/>
  <c r="K15" i="41"/>
  <c r="E15" i="41"/>
  <c r="L14" i="41"/>
  <c r="K14" i="41"/>
  <c r="E14" i="41"/>
  <c r="L13" i="41"/>
  <c r="K13" i="41"/>
  <c r="I93" i="40"/>
  <c r="K84" i="40"/>
  <c r="J84" i="40"/>
  <c r="I84" i="40"/>
  <c r="K66" i="40"/>
  <c r="J66" i="40"/>
  <c r="I66" i="40"/>
  <c r="D66" i="40"/>
  <c r="H89" i="40" s="1"/>
  <c r="L65" i="40"/>
  <c r="M65" i="40" s="1"/>
  <c r="L64" i="40"/>
  <c r="M64" i="40" s="1"/>
  <c r="M63" i="40"/>
  <c r="L63" i="40"/>
  <c r="L62" i="40"/>
  <c r="M62" i="40" s="1"/>
  <c r="L61" i="40"/>
  <c r="M61" i="40" s="1"/>
  <c r="L60" i="40"/>
  <c r="M60" i="40" s="1"/>
  <c r="M59" i="40"/>
  <c r="L59" i="40"/>
  <c r="L58" i="40"/>
  <c r="M58" i="40" s="1"/>
  <c r="L57" i="40"/>
  <c r="M57" i="40" s="1"/>
  <c r="L56" i="40"/>
  <c r="M56" i="40" s="1"/>
  <c r="M55" i="40"/>
  <c r="L55" i="40"/>
  <c r="L54" i="40"/>
  <c r="M54" i="40" s="1"/>
  <c r="L53" i="40"/>
  <c r="M53" i="40" s="1"/>
  <c r="L52" i="40"/>
  <c r="M52" i="40" s="1"/>
  <c r="M51" i="40"/>
  <c r="L51" i="40"/>
  <c r="L50" i="40"/>
  <c r="M50" i="40" s="1"/>
  <c r="L49" i="40"/>
  <c r="M49" i="40" s="1"/>
  <c r="L48" i="40"/>
  <c r="M48" i="40" s="1"/>
  <c r="M47" i="40"/>
  <c r="L47" i="40"/>
  <c r="L46" i="40"/>
  <c r="M46" i="40" s="1"/>
  <c r="L45" i="40"/>
  <c r="M45" i="40" s="1"/>
  <c r="L44" i="40"/>
  <c r="M44" i="40" s="1"/>
  <c r="M43" i="40"/>
  <c r="L43" i="40"/>
  <c r="L42" i="40"/>
  <c r="M42" i="40" s="1"/>
  <c r="L41" i="40"/>
  <c r="M41" i="40" s="1"/>
  <c r="L40" i="40"/>
  <c r="M40" i="40" s="1"/>
  <c r="M39" i="40"/>
  <c r="L39" i="40"/>
  <c r="L38" i="40"/>
  <c r="M38" i="40" s="1"/>
  <c r="L37" i="40"/>
  <c r="M37" i="40" s="1"/>
  <c r="L36" i="40"/>
  <c r="M36" i="40" s="1"/>
  <c r="L35" i="40"/>
  <c r="M35" i="40" s="1"/>
  <c r="L34" i="40"/>
  <c r="M34" i="40" s="1"/>
  <c r="L33" i="40"/>
  <c r="M33" i="40" s="1"/>
  <c r="L32" i="40"/>
  <c r="M32" i="40" s="1"/>
  <c r="L31" i="40"/>
  <c r="M31" i="40" s="1"/>
  <c r="L30" i="40"/>
  <c r="M30" i="40" s="1"/>
  <c r="L29" i="40"/>
  <c r="M29" i="40" s="1"/>
  <c r="L28" i="40"/>
  <c r="M28" i="40" s="1"/>
  <c r="M27" i="40"/>
  <c r="L27" i="40"/>
  <c r="L26" i="40"/>
  <c r="L18" i="40" s="1"/>
  <c r="L25" i="40"/>
  <c r="M25" i="40" s="1"/>
  <c r="L24" i="40"/>
  <c r="M24" i="40" s="1"/>
  <c r="L23" i="40"/>
  <c r="M23" i="40" s="1"/>
  <c r="K18" i="40"/>
  <c r="L17" i="40"/>
  <c r="K17" i="40"/>
  <c r="L16" i="40"/>
  <c r="K16" i="40"/>
  <c r="K15" i="40"/>
  <c r="E15" i="40"/>
  <c r="L14" i="40"/>
  <c r="K14" i="40"/>
  <c r="E14" i="40"/>
  <c r="L13" i="40"/>
  <c r="K13" i="40"/>
  <c r="L3" i="45" l="1"/>
  <c r="E17" i="45"/>
  <c r="E16" i="44"/>
  <c r="E18" i="44"/>
  <c r="M66" i="44"/>
  <c r="L4" i="44"/>
  <c r="E16" i="43"/>
  <c r="E18" i="43"/>
  <c r="M73" i="43"/>
  <c r="L4" i="43"/>
  <c r="M26" i="40"/>
  <c r="L15" i="40"/>
  <c r="L13" i="42"/>
  <c r="L66" i="42"/>
  <c r="L66" i="41"/>
  <c r="L66" i="40"/>
  <c r="M73" i="39"/>
  <c r="L3" i="44" l="1"/>
  <c r="E17" i="44"/>
  <c r="L3" i="43"/>
  <c r="E17" i="43"/>
  <c r="E16" i="42"/>
  <c r="L4" i="42"/>
  <c r="E18" i="42"/>
  <c r="M66" i="42"/>
  <c r="E16" i="41"/>
  <c r="L4" i="41"/>
  <c r="E18" i="41"/>
  <c r="M66" i="41"/>
  <c r="E16" i="40"/>
  <c r="E18" i="40"/>
  <c r="M66" i="40"/>
  <c r="L4" i="40"/>
  <c r="L50" i="39"/>
  <c r="M50" i="39"/>
  <c r="L51" i="39"/>
  <c r="M51" i="39" s="1"/>
  <c r="L52" i="39"/>
  <c r="M52" i="39" s="1"/>
  <c r="L53" i="39"/>
  <c r="M53" i="39" s="1"/>
  <c r="L54" i="39"/>
  <c r="M54" i="39"/>
  <c r="L55" i="39"/>
  <c r="M55" i="39" s="1"/>
  <c r="L56" i="39"/>
  <c r="M56" i="39"/>
  <c r="I100" i="39"/>
  <c r="K91" i="39"/>
  <c r="J91" i="39"/>
  <c r="I91" i="39"/>
  <c r="K73" i="39"/>
  <c r="J73" i="39"/>
  <c r="I73" i="39"/>
  <c r="D73" i="39"/>
  <c r="H96" i="39" s="1"/>
  <c r="L72" i="39"/>
  <c r="M72" i="39" s="1"/>
  <c r="L71" i="39"/>
  <c r="M71" i="39" s="1"/>
  <c r="M70" i="39"/>
  <c r="L70" i="39"/>
  <c r="L69" i="39"/>
  <c r="M69" i="39" s="1"/>
  <c r="L68" i="39"/>
  <c r="M68" i="39" s="1"/>
  <c r="L67" i="39"/>
  <c r="M67" i="39" s="1"/>
  <c r="L66" i="39"/>
  <c r="M66" i="39" s="1"/>
  <c r="L65" i="39"/>
  <c r="M65" i="39" s="1"/>
  <c r="L64" i="39"/>
  <c r="M64" i="39" s="1"/>
  <c r="L63" i="39"/>
  <c r="M63" i="39" s="1"/>
  <c r="L62" i="39"/>
  <c r="M62" i="39" s="1"/>
  <c r="L61" i="39"/>
  <c r="M61" i="39" s="1"/>
  <c r="L60" i="39"/>
  <c r="M60" i="39" s="1"/>
  <c r="L59" i="39"/>
  <c r="M59" i="39" s="1"/>
  <c r="L58" i="39"/>
  <c r="M58" i="39" s="1"/>
  <c r="L57" i="39"/>
  <c r="M57" i="39" s="1"/>
  <c r="L49" i="39"/>
  <c r="M49" i="39" s="1"/>
  <c r="L48" i="39"/>
  <c r="M48" i="39" s="1"/>
  <c r="L47" i="39"/>
  <c r="M47" i="39" s="1"/>
  <c r="L46" i="39"/>
  <c r="M46" i="39" s="1"/>
  <c r="L45" i="39"/>
  <c r="M45" i="39" s="1"/>
  <c r="L44" i="39"/>
  <c r="M44" i="39" s="1"/>
  <c r="L43" i="39"/>
  <c r="M43" i="39" s="1"/>
  <c r="L42" i="39"/>
  <c r="M42" i="39" s="1"/>
  <c r="L41" i="39"/>
  <c r="M41" i="39" s="1"/>
  <c r="L40" i="39"/>
  <c r="M40" i="39" s="1"/>
  <c r="M39" i="39"/>
  <c r="L39" i="39"/>
  <c r="L38" i="39"/>
  <c r="M38" i="39" s="1"/>
  <c r="L37" i="39"/>
  <c r="M37" i="39" s="1"/>
  <c r="L36" i="39"/>
  <c r="M36" i="39" s="1"/>
  <c r="L35" i="39"/>
  <c r="M35" i="39" s="1"/>
  <c r="L34" i="39"/>
  <c r="M34" i="39" s="1"/>
  <c r="L33" i="39"/>
  <c r="M33" i="39" s="1"/>
  <c r="L32" i="39"/>
  <c r="M32" i="39" s="1"/>
  <c r="L31" i="39"/>
  <c r="M31" i="39" s="1"/>
  <c r="L30" i="39"/>
  <c r="M30" i="39" s="1"/>
  <c r="L29" i="39"/>
  <c r="M29" i="39" s="1"/>
  <c r="L28" i="39"/>
  <c r="M28" i="39" s="1"/>
  <c r="L27" i="39"/>
  <c r="L14" i="39" s="1"/>
  <c r="L26" i="39"/>
  <c r="M26" i="39" s="1"/>
  <c r="L25" i="39"/>
  <c r="M25" i="39" s="1"/>
  <c r="L24" i="39"/>
  <c r="M24" i="39" s="1"/>
  <c r="L23" i="39"/>
  <c r="M23" i="39" s="1"/>
  <c r="L18" i="39"/>
  <c r="K18" i="39"/>
  <c r="L17" i="39"/>
  <c r="K17" i="39"/>
  <c r="L16" i="39"/>
  <c r="K16" i="39"/>
  <c r="L15" i="39"/>
  <c r="K15" i="39"/>
  <c r="E15" i="39"/>
  <c r="K14" i="39"/>
  <c r="E14" i="39"/>
  <c r="L13" i="39"/>
  <c r="K13" i="39"/>
  <c r="L3" i="42" l="1"/>
  <c r="E17" i="42"/>
  <c r="L3" i="41"/>
  <c r="E17" i="41"/>
  <c r="L3" i="40"/>
  <c r="E17" i="40"/>
  <c r="M27" i="39"/>
  <c r="L73" i="39"/>
  <c r="I93" i="38"/>
  <c r="K84" i="38"/>
  <c r="J84" i="38"/>
  <c r="I84" i="38"/>
  <c r="K66" i="38"/>
  <c r="J66" i="38"/>
  <c r="I66" i="38"/>
  <c r="D66" i="38"/>
  <c r="H89" i="38" s="1"/>
  <c r="L65" i="38"/>
  <c r="M65" i="38" s="1"/>
  <c r="L64" i="38"/>
  <c r="M64" i="38" s="1"/>
  <c r="M63" i="38"/>
  <c r="L63" i="38"/>
  <c r="L62" i="38"/>
  <c r="M62" i="38" s="1"/>
  <c r="L61" i="38"/>
  <c r="M61" i="38" s="1"/>
  <c r="L60" i="38"/>
  <c r="M60" i="38" s="1"/>
  <c r="M59" i="38"/>
  <c r="L59" i="38"/>
  <c r="L58" i="38"/>
  <c r="M58" i="38" s="1"/>
  <c r="L57" i="38"/>
  <c r="M57" i="38" s="1"/>
  <c r="L56" i="38"/>
  <c r="M56" i="38" s="1"/>
  <c r="M55" i="38"/>
  <c r="L55" i="38"/>
  <c r="L54" i="38"/>
  <c r="M54" i="38" s="1"/>
  <c r="L53" i="38"/>
  <c r="M53" i="38" s="1"/>
  <c r="L52" i="38"/>
  <c r="M52" i="38" s="1"/>
  <c r="L51" i="38"/>
  <c r="M51" i="38" s="1"/>
  <c r="L50" i="38"/>
  <c r="M50" i="38" s="1"/>
  <c r="L49" i="38"/>
  <c r="M49" i="38" s="1"/>
  <c r="L48" i="38"/>
  <c r="M48" i="38" s="1"/>
  <c r="L47" i="38"/>
  <c r="M47" i="38" s="1"/>
  <c r="L46" i="38"/>
  <c r="M46" i="38" s="1"/>
  <c r="L45" i="38"/>
  <c r="M45" i="38" s="1"/>
  <c r="L44" i="38"/>
  <c r="M44" i="38" s="1"/>
  <c r="M43" i="38"/>
  <c r="L43" i="38"/>
  <c r="L42" i="38"/>
  <c r="M42" i="38" s="1"/>
  <c r="L41" i="38"/>
  <c r="M41" i="38" s="1"/>
  <c r="L40" i="38"/>
  <c r="M40" i="38" s="1"/>
  <c r="L39" i="38"/>
  <c r="M39" i="38" s="1"/>
  <c r="L38" i="38"/>
  <c r="M38" i="38" s="1"/>
  <c r="L37" i="38"/>
  <c r="M37" i="38" s="1"/>
  <c r="L36" i="38"/>
  <c r="M36" i="38" s="1"/>
  <c r="L35" i="38"/>
  <c r="M35" i="38" s="1"/>
  <c r="L34" i="38"/>
  <c r="M34" i="38" s="1"/>
  <c r="L33" i="38"/>
  <c r="M33" i="38" s="1"/>
  <c r="L32" i="38"/>
  <c r="M32" i="38" s="1"/>
  <c r="L31" i="38"/>
  <c r="M31" i="38" s="1"/>
  <c r="L30" i="38"/>
  <c r="M30" i="38" s="1"/>
  <c r="L29" i="38"/>
  <c r="M29" i="38" s="1"/>
  <c r="L28" i="38"/>
  <c r="M28" i="38" s="1"/>
  <c r="M27" i="38"/>
  <c r="L27" i="38"/>
  <c r="L26" i="38"/>
  <c r="M26" i="38" s="1"/>
  <c r="L25" i="38"/>
  <c r="M25" i="38" s="1"/>
  <c r="L24" i="38"/>
  <c r="M24" i="38" s="1"/>
  <c r="L23" i="38"/>
  <c r="M23" i="38" s="1"/>
  <c r="L18" i="38"/>
  <c r="K18" i="38"/>
  <c r="L17" i="38"/>
  <c r="K17" i="38"/>
  <c r="L16" i="38"/>
  <c r="K16" i="38"/>
  <c r="L15" i="38"/>
  <c r="K15" i="38"/>
  <c r="E15" i="38"/>
  <c r="L14" i="38"/>
  <c r="K14" i="38"/>
  <c r="L13" i="38"/>
  <c r="K13" i="38"/>
  <c r="I93" i="37"/>
  <c r="K84" i="37"/>
  <c r="J84" i="37"/>
  <c r="I84" i="37"/>
  <c r="K66" i="37"/>
  <c r="J66" i="37"/>
  <c r="I66" i="37"/>
  <c r="D66" i="37"/>
  <c r="H89" i="37" s="1"/>
  <c r="L65" i="37"/>
  <c r="M65" i="37" s="1"/>
  <c r="M64" i="37"/>
  <c r="L64" i="37"/>
  <c r="M63" i="37"/>
  <c r="L63" i="37"/>
  <c r="L62" i="37"/>
  <c r="M62" i="37" s="1"/>
  <c r="L61" i="37"/>
  <c r="M61" i="37" s="1"/>
  <c r="M60" i="37"/>
  <c r="L60" i="37"/>
  <c r="M59" i="37"/>
  <c r="L59" i="37"/>
  <c r="L58" i="37"/>
  <c r="M58" i="37" s="1"/>
  <c r="L57" i="37"/>
  <c r="M57" i="37" s="1"/>
  <c r="M56" i="37"/>
  <c r="L56" i="37"/>
  <c r="M55" i="37"/>
  <c r="L55" i="37"/>
  <c r="L54" i="37"/>
  <c r="M54" i="37" s="1"/>
  <c r="L53" i="37"/>
  <c r="M53" i="37" s="1"/>
  <c r="M52" i="37"/>
  <c r="L52" i="37"/>
  <c r="M51" i="37"/>
  <c r="L51" i="37"/>
  <c r="L50" i="37"/>
  <c r="M50" i="37" s="1"/>
  <c r="L49" i="37"/>
  <c r="M49" i="37" s="1"/>
  <c r="M48" i="37"/>
  <c r="L48" i="37"/>
  <c r="M47" i="37"/>
  <c r="L47" i="37"/>
  <c r="L46" i="37"/>
  <c r="M46" i="37" s="1"/>
  <c r="L45" i="37"/>
  <c r="M45" i="37" s="1"/>
  <c r="M44" i="37"/>
  <c r="L44" i="37"/>
  <c r="M43" i="37"/>
  <c r="L43" i="37"/>
  <c r="L42" i="37"/>
  <c r="M42" i="37" s="1"/>
  <c r="L41" i="37"/>
  <c r="M41" i="37" s="1"/>
  <c r="M40" i="37"/>
  <c r="L40" i="37"/>
  <c r="M39" i="37"/>
  <c r="L39" i="37"/>
  <c r="L38" i="37"/>
  <c r="M38" i="37" s="1"/>
  <c r="L37" i="37"/>
  <c r="M37" i="37" s="1"/>
  <c r="M36" i="37"/>
  <c r="L36" i="37"/>
  <c r="M35" i="37"/>
  <c r="L35" i="37"/>
  <c r="L34" i="37"/>
  <c r="M34" i="37" s="1"/>
  <c r="L33" i="37"/>
  <c r="M33" i="37" s="1"/>
  <c r="M32" i="37"/>
  <c r="L32" i="37"/>
  <c r="M31" i="37"/>
  <c r="L31" i="37"/>
  <c r="L30" i="37"/>
  <c r="M30" i="37" s="1"/>
  <c r="L29" i="37"/>
  <c r="M29" i="37" s="1"/>
  <c r="M28" i="37"/>
  <c r="L28" i="37"/>
  <c r="L27" i="37"/>
  <c r="M27" i="37" s="1"/>
  <c r="L26" i="37"/>
  <c r="M26" i="37" s="1"/>
  <c r="L25" i="37"/>
  <c r="M25" i="37" s="1"/>
  <c r="L24" i="37"/>
  <c r="M23" i="37"/>
  <c r="L23" i="37"/>
  <c r="L18" i="37"/>
  <c r="K18" i="37"/>
  <c r="L17" i="37"/>
  <c r="K17" i="37"/>
  <c r="L16" i="37"/>
  <c r="K16" i="37"/>
  <c r="L15" i="37"/>
  <c r="K15" i="37"/>
  <c r="E15" i="37"/>
  <c r="L14" i="37"/>
  <c r="K14" i="37"/>
  <c r="L13" i="37"/>
  <c r="K13" i="37"/>
  <c r="E16" i="39" l="1"/>
  <c r="E18" i="39"/>
  <c r="L4" i="39"/>
  <c r="L66" i="37"/>
  <c r="M24" i="37"/>
  <c r="E14" i="38"/>
  <c r="E14" i="37"/>
  <c r="L66" i="38"/>
  <c r="E16" i="37"/>
  <c r="L4" i="37"/>
  <c r="M66" i="37"/>
  <c r="E18" i="37"/>
  <c r="I93" i="36"/>
  <c r="K84" i="36"/>
  <c r="J84" i="36"/>
  <c r="I84" i="36"/>
  <c r="K66" i="36"/>
  <c r="J66" i="36"/>
  <c r="I66" i="36"/>
  <c r="D66" i="36"/>
  <c r="H89" i="36" s="1"/>
  <c r="L65" i="36"/>
  <c r="M65" i="36" s="1"/>
  <c r="L64" i="36"/>
  <c r="M64" i="36" s="1"/>
  <c r="L63" i="36"/>
  <c r="M63" i="36" s="1"/>
  <c r="L62" i="36"/>
  <c r="M62" i="36" s="1"/>
  <c r="L61" i="36"/>
  <c r="M61" i="36" s="1"/>
  <c r="M60" i="36"/>
  <c r="L60" i="36"/>
  <c r="L59" i="36"/>
  <c r="M59" i="36" s="1"/>
  <c r="L58" i="36"/>
  <c r="M58" i="36" s="1"/>
  <c r="L57" i="36"/>
  <c r="M57" i="36" s="1"/>
  <c r="L56" i="36"/>
  <c r="M56" i="36" s="1"/>
  <c r="M55" i="36"/>
  <c r="L55" i="36"/>
  <c r="L54" i="36"/>
  <c r="M54" i="36" s="1"/>
  <c r="L53" i="36"/>
  <c r="M53" i="36" s="1"/>
  <c r="L52" i="36"/>
  <c r="M52" i="36" s="1"/>
  <c r="L51" i="36"/>
  <c r="M51" i="36" s="1"/>
  <c r="L50" i="36"/>
  <c r="M50" i="36" s="1"/>
  <c r="L49" i="36"/>
  <c r="M49" i="36" s="1"/>
  <c r="L48" i="36"/>
  <c r="M48" i="36" s="1"/>
  <c r="L47" i="36"/>
  <c r="M47" i="36" s="1"/>
  <c r="L46" i="36"/>
  <c r="M46" i="36" s="1"/>
  <c r="L45" i="36"/>
  <c r="M45" i="36" s="1"/>
  <c r="M44" i="36"/>
  <c r="L44" i="36"/>
  <c r="L43" i="36"/>
  <c r="M43" i="36" s="1"/>
  <c r="L42" i="36"/>
  <c r="M42" i="36" s="1"/>
  <c r="L41" i="36"/>
  <c r="M41" i="36" s="1"/>
  <c r="L40" i="36"/>
  <c r="M40" i="36" s="1"/>
  <c r="M39" i="36"/>
  <c r="L39" i="36"/>
  <c r="L38" i="36"/>
  <c r="M38" i="36" s="1"/>
  <c r="L37" i="36"/>
  <c r="M37" i="36" s="1"/>
  <c r="L36" i="36"/>
  <c r="M36" i="36" s="1"/>
  <c r="M35" i="36"/>
  <c r="L35" i="36"/>
  <c r="L34" i="36"/>
  <c r="M34" i="36" s="1"/>
  <c r="M33" i="36"/>
  <c r="L33" i="36"/>
  <c r="L32" i="36"/>
  <c r="M32" i="36" s="1"/>
  <c r="L31" i="36"/>
  <c r="M31" i="36" s="1"/>
  <c r="L30" i="36"/>
  <c r="M30" i="36" s="1"/>
  <c r="L29" i="36"/>
  <c r="M29" i="36" s="1"/>
  <c r="L28" i="36"/>
  <c r="M28" i="36" s="1"/>
  <c r="L27" i="36"/>
  <c r="M27" i="36" s="1"/>
  <c r="L26" i="36"/>
  <c r="M26" i="36" s="1"/>
  <c r="L25" i="36"/>
  <c r="M25" i="36" s="1"/>
  <c r="L24" i="36"/>
  <c r="M24" i="36" s="1"/>
  <c r="L23" i="36"/>
  <c r="L66" i="36" s="1"/>
  <c r="L18" i="36"/>
  <c r="K18" i="36"/>
  <c r="L17" i="36"/>
  <c r="K17" i="36"/>
  <c r="L16" i="36"/>
  <c r="K16" i="36"/>
  <c r="K15" i="36"/>
  <c r="E15" i="36"/>
  <c r="L14" i="36"/>
  <c r="K14" i="36"/>
  <c r="L13" i="36"/>
  <c r="K13" i="36"/>
  <c r="I93" i="35"/>
  <c r="K84" i="35"/>
  <c r="J84" i="35"/>
  <c r="I84" i="35"/>
  <c r="K66" i="35"/>
  <c r="J66" i="35"/>
  <c r="I66" i="35"/>
  <c r="D66" i="35"/>
  <c r="H89" i="35" s="1"/>
  <c r="L65" i="35"/>
  <c r="M65" i="35" s="1"/>
  <c r="L64" i="35"/>
  <c r="M64" i="35" s="1"/>
  <c r="M63" i="35"/>
  <c r="L63" i="35"/>
  <c r="L62" i="35"/>
  <c r="M62" i="35" s="1"/>
  <c r="L61" i="35"/>
  <c r="M61" i="35" s="1"/>
  <c r="L60" i="35"/>
  <c r="M60" i="35" s="1"/>
  <c r="L59" i="35"/>
  <c r="M59" i="35" s="1"/>
  <c r="L58" i="35"/>
  <c r="M58" i="35" s="1"/>
  <c r="L57" i="35"/>
  <c r="M57" i="35" s="1"/>
  <c r="L56" i="35"/>
  <c r="M56" i="35" s="1"/>
  <c r="M55" i="35"/>
  <c r="L55" i="35"/>
  <c r="L54" i="35"/>
  <c r="M54" i="35" s="1"/>
  <c r="L53" i="35"/>
  <c r="M53" i="35" s="1"/>
  <c r="L52" i="35"/>
  <c r="M52" i="35" s="1"/>
  <c r="L51" i="35"/>
  <c r="M51" i="35" s="1"/>
  <c r="L50" i="35"/>
  <c r="M50" i="35" s="1"/>
  <c r="L49" i="35"/>
  <c r="M49" i="35" s="1"/>
  <c r="L48" i="35"/>
  <c r="M48" i="35" s="1"/>
  <c r="L47" i="35"/>
  <c r="M47" i="35" s="1"/>
  <c r="L46" i="35"/>
  <c r="M46" i="35" s="1"/>
  <c r="L45" i="35"/>
  <c r="M45" i="35" s="1"/>
  <c r="L44" i="35"/>
  <c r="M44" i="35" s="1"/>
  <c r="L43" i="35"/>
  <c r="M43" i="35" s="1"/>
  <c r="L42" i="35"/>
  <c r="M42" i="35" s="1"/>
  <c r="L41" i="35"/>
  <c r="M41" i="35" s="1"/>
  <c r="L40" i="35"/>
  <c r="M40" i="35" s="1"/>
  <c r="L39" i="35"/>
  <c r="M39" i="35" s="1"/>
  <c r="L38" i="35"/>
  <c r="M38" i="35" s="1"/>
  <c r="L37" i="35"/>
  <c r="M37" i="35" s="1"/>
  <c r="L36" i="35"/>
  <c r="M36" i="35" s="1"/>
  <c r="L35" i="35"/>
  <c r="M35" i="35" s="1"/>
  <c r="L34" i="35"/>
  <c r="M34" i="35" s="1"/>
  <c r="L33" i="35"/>
  <c r="M33" i="35" s="1"/>
  <c r="L32" i="35"/>
  <c r="M32" i="35" s="1"/>
  <c r="M31" i="35"/>
  <c r="L31" i="35"/>
  <c r="L30" i="35"/>
  <c r="M30" i="35" s="1"/>
  <c r="L29" i="35"/>
  <c r="M29" i="35" s="1"/>
  <c r="L28" i="35"/>
  <c r="M28" i="35" s="1"/>
  <c r="L27" i="35"/>
  <c r="M27" i="35" s="1"/>
  <c r="L26" i="35"/>
  <c r="M26" i="35" s="1"/>
  <c r="L25" i="35"/>
  <c r="M25" i="35" s="1"/>
  <c r="M24" i="35"/>
  <c r="L24" i="35"/>
  <c r="L23" i="35"/>
  <c r="L18" i="35"/>
  <c r="K18" i="35"/>
  <c r="L17" i="35"/>
  <c r="K17" i="35"/>
  <c r="L16" i="35"/>
  <c r="K16" i="35"/>
  <c r="L15" i="35"/>
  <c r="K15" i="35"/>
  <c r="E15" i="35"/>
  <c r="L14" i="35"/>
  <c r="K14" i="35"/>
  <c r="E14" i="35"/>
  <c r="L13" i="35"/>
  <c r="K13" i="35"/>
  <c r="I93" i="34"/>
  <c r="K84" i="34"/>
  <c r="J84" i="34"/>
  <c r="I84" i="34"/>
  <c r="K66" i="34"/>
  <c r="J66" i="34"/>
  <c r="I66" i="34"/>
  <c r="D66" i="34"/>
  <c r="H89" i="34" s="1"/>
  <c r="L65" i="34"/>
  <c r="M65" i="34" s="1"/>
  <c r="L64" i="34"/>
  <c r="M64" i="34" s="1"/>
  <c r="L63" i="34"/>
  <c r="M63" i="34" s="1"/>
  <c r="L62" i="34"/>
  <c r="M62" i="34" s="1"/>
  <c r="L61" i="34"/>
  <c r="M61" i="34" s="1"/>
  <c r="L60" i="34"/>
  <c r="M60" i="34" s="1"/>
  <c r="M59" i="34"/>
  <c r="L59" i="34"/>
  <c r="L58" i="34"/>
  <c r="M58" i="34" s="1"/>
  <c r="L57" i="34"/>
  <c r="M57" i="34" s="1"/>
  <c r="L56" i="34"/>
  <c r="M56" i="34" s="1"/>
  <c r="L55" i="34"/>
  <c r="M55" i="34" s="1"/>
  <c r="L54" i="34"/>
  <c r="M54" i="34" s="1"/>
  <c r="L53" i="34"/>
  <c r="M53" i="34" s="1"/>
  <c r="L52" i="34"/>
  <c r="M52" i="34" s="1"/>
  <c r="M51" i="34"/>
  <c r="L51" i="34"/>
  <c r="L50" i="34"/>
  <c r="M50" i="34" s="1"/>
  <c r="L49" i="34"/>
  <c r="M49" i="34" s="1"/>
  <c r="L48" i="34"/>
  <c r="M48" i="34" s="1"/>
  <c r="L47" i="34"/>
  <c r="M47" i="34" s="1"/>
  <c r="L46" i="34"/>
  <c r="M46" i="34" s="1"/>
  <c r="L45" i="34"/>
  <c r="M45" i="34" s="1"/>
  <c r="L44" i="34"/>
  <c r="M44" i="34" s="1"/>
  <c r="M43" i="34"/>
  <c r="L43" i="34"/>
  <c r="L42" i="34"/>
  <c r="M42" i="34" s="1"/>
  <c r="L41" i="34"/>
  <c r="M41" i="34" s="1"/>
  <c r="L40" i="34"/>
  <c r="M40" i="34" s="1"/>
  <c r="L39" i="34"/>
  <c r="M39" i="34" s="1"/>
  <c r="L38" i="34"/>
  <c r="M38" i="34" s="1"/>
  <c r="L37" i="34"/>
  <c r="M37" i="34" s="1"/>
  <c r="L36" i="34"/>
  <c r="M36" i="34" s="1"/>
  <c r="L35" i="34"/>
  <c r="M35" i="34" s="1"/>
  <c r="L34" i="34"/>
  <c r="M34" i="34" s="1"/>
  <c r="L33" i="34"/>
  <c r="M33" i="34" s="1"/>
  <c r="L32" i="34"/>
  <c r="M32" i="34" s="1"/>
  <c r="M31" i="34"/>
  <c r="L31" i="34"/>
  <c r="L30" i="34"/>
  <c r="M30" i="34" s="1"/>
  <c r="L29" i="34"/>
  <c r="M29" i="34" s="1"/>
  <c r="L28" i="34"/>
  <c r="M28" i="34" s="1"/>
  <c r="L27" i="34"/>
  <c r="M27" i="34" s="1"/>
  <c r="L26" i="34"/>
  <c r="M26" i="34" s="1"/>
  <c r="L25" i="34"/>
  <c r="M25" i="34" s="1"/>
  <c r="L24" i="34"/>
  <c r="M24" i="34" s="1"/>
  <c r="L23" i="34"/>
  <c r="L18" i="34"/>
  <c r="K18" i="34"/>
  <c r="L17" i="34"/>
  <c r="K17" i="34"/>
  <c r="L16" i="34"/>
  <c r="K16" i="34"/>
  <c r="L15" i="34"/>
  <c r="K15" i="34"/>
  <c r="E15" i="34"/>
  <c r="L14" i="34"/>
  <c r="K14" i="34"/>
  <c r="E14" i="34"/>
  <c r="L13" i="34"/>
  <c r="K13" i="34"/>
  <c r="K18" i="12"/>
  <c r="K17" i="12"/>
  <c r="K16" i="12"/>
  <c r="K15" i="12"/>
  <c r="K14" i="12"/>
  <c r="K13" i="12"/>
  <c r="E17" i="39" l="1"/>
  <c r="L3" i="39"/>
  <c r="E16" i="38"/>
  <c r="L4" i="38"/>
  <c r="E18" i="38"/>
  <c r="M66" i="38"/>
  <c r="L3" i="37"/>
  <c r="E17" i="37"/>
  <c r="L15" i="36"/>
  <c r="L66" i="34"/>
  <c r="L66" i="35"/>
  <c r="E18" i="35" s="1"/>
  <c r="E14" i="36"/>
  <c r="L4" i="36"/>
  <c r="E18" i="36"/>
  <c r="E16" i="36"/>
  <c r="M66" i="36"/>
  <c r="M23" i="36"/>
  <c r="E16" i="35"/>
  <c r="L4" i="35"/>
  <c r="M66" i="35"/>
  <c r="M23" i="35"/>
  <c r="E18" i="34"/>
  <c r="E16" i="34"/>
  <c r="M66" i="34"/>
  <c r="L4" i="34"/>
  <c r="M23" i="34"/>
  <c r="K18" i="32"/>
  <c r="K17" i="32"/>
  <c r="K16" i="32"/>
  <c r="K15" i="32"/>
  <c r="K14" i="32"/>
  <c r="K13" i="32"/>
  <c r="K18" i="30"/>
  <c r="K17" i="30"/>
  <c r="K16" i="30"/>
  <c r="K15" i="30"/>
  <c r="K14" i="30"/>
  <c r="K13" i="30"/>
  <c r="K18" i="33"/>
  <c r="K17" i="33"/>
  <c r="K16" i="33"/>
  <c r="K15" i="33"/>
  <c r="K14" i="33"/>
  <c r="K13" i="33"/>
  <c r="I93" i="33"/>
  <c r="K84" i="33"/>
  <c r="J84" i="33"/>
  <c r="I84" i="33"/>
  <c r="K66" i="33"/>
  <c r="J66" i="33"/>
  <c r="I66" i="33"/>
  <c r="D66" i="33"/>
  <c r="H89" i="33" s="1"/>
  <c r="L65" i="33"/>
  <c r="M65" i="33" s="1"/>
  <c r="L64" i="33"/>
  <c r="M64" i="33" s="1"/>
  <c r="L63" i="33"/>
  <c r="M63" i="33" s="1"/>
  <c r="L62" i="33"/>
  <c r="M62" i="33" s="1"/>
  <c r="M61" i="33"/>
  <c r="L61" i="33"/>
  <c r="L60" i="33"/>
  <c r="M60" i="33" s="1"/>
  <c r="L59" i="33"/>
  <c r="M59" i="33" s="1"/>
  <c r="L58" i="33"/>
  <c r="M58" i="33" s="1"/>
  <c r="L57" i="33"/>
  <c r="M57" i="33" s="1"/>
  <c r="L56" i="33"/>
  <c r="M56" i="33" s="1"/>
  <c r="L55" i="33"/>
  <c r="M55" i="33" s="1"/>
  <c r="L54" i="33"/>
  <c r="M54" i="33" s="1"/>
  <c r="L53" i="33"/>
  <c r="M53" i="33" s="1"/>
  <c r="L52" i="33"/>
  <c r="M52" i="33" s="1"/>
  <c r="L51" i="33"/>
  <c r="M51" i="33" s="1"/>
  <c r="L50" i="33"/>
  <c r="M50" i="33" s="1"/>
  <c r="M49" i="33"/>
  <c r="L49" i="33"/>
  <c r="L48" i="33"/>
  <c r="M48" i="33" s="1"/>
  <c r="L47" i="33"/>
  <c r="M47" i="33" s="1"/>
  <c r="L46" i="33"/>
  <c r="M46" i="33" s="1"/>
  <c r="L45" i="33"/>
  <c r="M45" i="33" s="1"/>
  <c r="L44" i="33"/>
  <c r="M44" i="33" s="1"/>
  <c r="L43" i="33"/>
  <c r="M43" i="33" s="1"/>
  <c r="L42" i="33"/>
  <c r="M42" i="33" s="1"/>
  <c r="L41" i="33"/>
  <c r="M41" i="33" s="1"/>
  <c r="L40" i="33"/>
  <c r="M40" i="33" s="1"/>
  <c r="L39" i="33"/>
  <c r="M39" i="33" s="1"/>
  <c r="L38" i="33"/>
  <c r="M38" i="33" s="1"/>
  <c r="L37" i="33"/>
  <c r="M37" i="33" s="1"/>
  <c r="L36" i="33"/>
  <c r="M36" i="33" s="1"/>
  <c r="L35" i="33"/>
  <c r="M35" i="33" s="1"/>
  <c r="L34" i="33"/>
  <c r="M34" i="33" s="1"/>
  <c r="L33" i="33"/>
  <c r="M33" i="33" s="1"/>
  <c r="L32" i="33"/>
  <c r="M32" i="33" s="1"/>
  <c r="L31" i="33"/>
  <c r="M31" i="33" s="1"/>
  <c r="L30" i="33"/>
  <c r="M30" i="33" s="1"/>
  <c r="L29" i="33"/>
  <c r="M29" i="33" s="1"/>
  <c r="L28" i="33"/>
  <c r="M28" i="33" s="1"/>
  <c r="L27" i="33"/>
  <c r="M27" i="33" s="1"/>
  <c r="L26" i="33"/>
  <c r="M26" i="33" s="1"/>
  <c r="L25" i="33"/>
  <c r="M25" i="33" s="1"/>
  <c r="L24" i="33"/>
  <c r="M24" i="33" s="1"/>
  <c r="L23" i="33"/>
  <c r="L18" i="33"/>
  <c r="L17" i="33"/>
  <c r="L16" i="33"/>
  <c r="L15" i="33"/>
  <c r="E15" i="33"/>
  <c r="L14" i="33"/>
  <c r="E14" i="33"/>
  <c r="L13" i="33"/>
  <c r="I93" i="32"/>
  <c r="K84" i="32"/>
  <c r="J84" i="32"/>
  <c r="I84" i="32"/>
  <c r="K66" i="32"/>
  <c r="J66" i="32"/>
  <c r="I66" i="32"/>
  <c r="D66" i="32"/>
  <c r="H89" i="32" s="1"/>
  <c r="L65" i="32"/>
  <c r="M65" i="32" s="1"/>
  <c r="L64" i="32"/>
  <c r="M64" i="32" s="1"/>
  <c r="L63" i="32"/>
  <c r="M63" i="32" s="1"/>
  <c r="L62" i="32"/>
  <c r="M62" i="32" s="1"/>
  <c r="L61" i="32"/>
  <c r="M61" i="32" s="1"/>
  <c r="L60" i="32"/>
  <c r="M60" i="32" s="1"/>
  <c r="L59" i="32"/>
  <c r="M59" i="32" s="1"/>
  <c r="L58" i="32"/>
  <c r="M58" i="32" s="1"/>
  <c r="L57" i="32"/>
  <c r="M57" i="32" s="1"/>
  <c r="L56" i="32"/>
  <c r="M56" i="32" s="1"/>
  <c r="M55" i="32"/>
  <c r="L55" i="32"/>
  <c r="L54" i="32"/>
  <c r="M54" i="32" s="1"/>
  <c r="L53" i="32"/>
  <c r="M53" i="32" s="1"/>
  <c r="L52" i="32"/>
  <c r="M52" i="32" s="1"/>
  <c r="L51" i="32"/>
  <c r="M51" i="32" s="1"/>
  <c r="L50" i="32"/>
  <c r="M50" i="32" s="1"/>
  <c r="L49" i="32"/>
  <c r="M49" i="32" s="1"/>
  <c r="L48" i="32"/>
  <c r="M48" i="32" s="1"/>
  <c r="L47" i="32"/>
  <c r="M47" i="32" s="1"/>
  <c r="L46" i="32"/>
  <c r="M46" i="32" s="1"/>
  <c r="L45" i="32"/>
  <c r="M45" i="32" s="1"/>
  <c r="L44" i="32"/>
  <c r="M44" i="32" s="1"/>
  <c r="L43" i="32"/>
  <c r="M43" i="32" s="1"/>
  <c r="L42" i="32"/>
  <c r="M42" i="32" s="1"/>
  <c r="L41" i="32"/>
  <c r="M41" i="32" s="1"/>
  <c r="L40" i="32"/>
  <c r="M40" i="32" s="1"/>
  <c r="L39" i="32"/>
  <c r="M39" i="32" s="1"/>
  <c r="L38" i="32"/>
  <c r="M38" i="32" s="1"/>
  <c r="L37" i="32"/>
  <c r="M37" i="32" s="1"/>
  <c r="L36" i="32"/>
  <c r="M36" i="32" s="1"/>
  <c r="L35" i="32"/>
  <c r="M35" i="32" s="1"/>
  <c r="L34" i="32"/>
  <c r="M34" i="32" s="1"/>
  <c r="L33" i="32"/>
  <c r="M33" i="32" s="1"/>
  <c r="L32" i="32"/>
  <c r="M32" i="32" s="1"/>
  <c r="L31" i="32"/>
  <c r="M31" i="32" s="1"/>
  <c r="L30" i="32"/>
  <c r="M30" i="32" s="1"/>
  <c r="L29" i="32"/>
  <c r="M29" i="32" s="1"/>
  <c r="L28" i="32"/>
  <c r="M28" i="32" s="1"/>
  <c r="L27" i="32"/>
  <c r="M27" i="32" s="1"/>
  <c r="L26" i="32"/>
  <c r="M26" i="32" s="1"/>
  <c r="L25" i="32"/>
  <c r="M25" i="32" s="1"/>
  <c r="L24" i="32"/>
  <c r="M24" i="32" s="1"/>
  <c r="L23" i="32"/>
  <c r="L15" i="32" s="1"/>
  <c r="L18" i="32"/>
  <c r="L17" i="32"/>
  <c r="L16" i="32"/>
  <c r="E15" i="32"/>
  <c r="L14" i="32"/>
  <c r="L13" i="32"/>
  <c r="L3" i="38" l="1"/>
  <c r="E17" i="38"/>
  <c r="E17" i="36"/>
  <c r="L3" i="36"/>
  <c r="E17" i="35"/>
  <c r="L3" i="35"/>
  <c r="E17" i="34"/>
  <c r="L3" i="34"/>
  <c r="E14" i="32"/>
  <c r="L66" i="33"/>
  <c r="M66" i="33" s="1"/>
  <c r="L66" i="32"/>
  <c r="M23" i="33"/>
  <c r="M23" i="32"/>
  <c r="I93" i="12"/>
  <c r="K84" i="12"/>
  <c r="J84" i="12"/>
  <c r="I84" i="12"/>
  <c r="K66" i="12"/>
  <c r="J66" i="12"/>
  <c r="I66" i="12"/>
  <c r="E15" i="12" s="1"/>
  <c r="D66" i="12"/>
  <c r="H89" i="12" s="1"/>
  <c r="L65" i="12"/>
  <c r="M65" i="12" s="1"/>
  <c r="L64" i="12"/>
  <c r="M64" i="12" s="1"/>
  <c r="L63" i="12"/>
  <c r="M63" i="12" s="1"/>
  <c r="L62" i="12"/>
  <c r="M62" i="12" s="1"/>
  <c r="L61" i="12"/>
  <c r="M61" i="12" s="1"/>
  <c r="L60" i="12"/>
  <c r="M60" i="12" s="1"/>
  <c r="L59" i="12"/>
  <c r="M59" i="12" s="1"/>
  <c r="L58" i="12"/>
  <c r="M58" i="12" s="1"/>
  <c r="L57" i="12"/>
  <c r="M57" i="12" s="1"/>
  <c r="L56" i="12"/>
  <c r="M56" i="12" s="1"/>
  <c r="L55" i="12"/>
  <c r="M55" i="12" s="1"/>
  <c r="L54" i="12"/>
  <c r="M54" i="12" s="1"/>
  <c r="L53" i="12"/>
  <c r="M53" i="12" s="1"/>
  <c r="L52" i="12"/>
  <c r="M52" i="12" s="1"/>
  <c r="L51" i="12"/>
  <c r="M51" i="12" s="1"/>
  <c r="L50" i="12"/>
  <c r="M50" i="12" s="1"/>
  <c r="L49" i="12"/>
  <c r="M49" i="12" s="1"/>
  <c r="L48" i="12"/>
  <c r="M48" i="12" s="1"/>
  <c r="L47" i="12"/>
  <c r="M47" i="12" s="1"/>
  <c r="L46" i="12"/>
  <c r="M46" i="12" s="1"/>
  <c r="L45" i="12"/>
  <c r="M45" i="12" s="1"/>
  <c r="L44" i="12"/>
  <c r="M44" i="12" s="1"/>
  <c r="L43" i="12"/>
  <c r="M43" i="12" s="1"/>
  <c r="L42" i="12"/>
  <c r="M42" i="12" s="1"/>
  <c r="L41" i="12"/>
  <c r="M41" i="12" s="1"/>
  <c r="L40" i="12"/>
  <c r="M40" i="12" s="1"/>
  <c r="L39" i="12"/>
  <c r="M39" i="12" s="1"/>
  <c r="L38" i="12"/>
  <c r="M38" i="12" s="1"/>
  <c r="L36" i="12"/>
  <c r="M36" i="12" s="1"/>
  <c r="L35" i="12"/>
  <c r="M35" i="12" s="1"/>
  <c r="L34" i="12"/>
  <c r="M34" i="12" s="1"/>
  <c r="L33" i="12"/>
  <c r="M33" i="12" s="1"/>
  <c r="L32" i="12"/>
  <c r="M32" i="12" s="1"/>
  <c r="L31" i="12"/>
  <c r="M31" i="12" s="1"/>
  <c r="L30" i="12"/>
  <c r="M30" i="12" s="1"/>
  <c r="L29" i="12"/>
  <c r="M29" i="12" s="1"/>
  <c r="L28" i="12"/>
  <c r="M28" i="12" s="1"/>
  <c r="L27" i="12"/>
  <c r="M27" i="12" s="1"/>
  <c r="L26" i="12"/>
  <c r="M26" i="12" s="1"/>
  <c r="L25" i="12"/>
  <c r="M25" i="12" s="1"/>
  <c r="L24" i="12"/>
  <c r="M24" i="12" s="1"/>
  <c r="L23" i="12"/>
  <c r="M23" i="12" s="1"/>
  <c r="L18" i="12"/>
  <c r="L17" i="12"/>
  <c r="L16" i="12"/>
  <c r="L15" i="12"/>
  <c r="L14" i="12"/>
  <c r="E14" i="12"/>
  <c r="L13" i="12"/>
  <c r="L17" i="30"/>
  <c r="L16" i="30"/>
  <c r="L14" i="30"/>
  <c r="E18" i="33" l="1"/>
  <c r="L4" i="33"/>
  <c r="E16" i="33"/>
  <c r="L4" i="32"/>
  <c r="M66" i="32"/>
  <c r="E17" i="32" s="1"/>
  <c r="E18" i="32"/>
  <c r="E16" i="32"/>
  <c r="E17" i="33"/>
  <c r="L3" i="33"/>
  <c r="L66" i="12"/>
  <c r="L3" i="32" l="1"/>
  <c r="L4" i="12"/>
  <c r="E18" i="12"/>
  <c r="E16" i="12"/>
  <c r="M66" i="12"/>
  <c r="E17" i="12" l="1"/>
  <c r="L3" i="12"/>
  <c r="I93" i="30" l="1"/>
  <c r="K84" i="30"/>
  <c r="J84" i="30"/>
  <c r="I84" i="30"/>
  <c r="K66" i="30"/>
  <c r="J66" i="30"/>
  <c r="I66" i="30"/>
  <c r="E15" i="30" s="1"/>
  <c r="D66" i="30"/>
  <c r="L65" i="30"/>
  <c r="M65" i="30" s="1"/>
  <c r="L64" i="30"/>
  <c r="M64" i="30" s="1"/>
  <c r="L63" i="30"/>
  <c r="M63" i="30" s="1"/>
  <c r="L62" i="30"/>
  <c r="M62" i="30" s="1"/>
  <c r="L61" i="30"/>
  <c r="M61" i="30" s="1"/>
  <c r="L60" i="30"/>
  <c r="M60" i="30" s="1"/>
  <c r="L59" i="30"/>
  <c r="M59" i="30" s="1"/>
  <c r="L58" i="30"/>
  <c r="M58" i="30" s="1"/>
  <c r="L57" i="30"/>
  <c r="M57" i="30" s="1"/>
  <c r="L56" i="30"/>
  <c r="M56" i="30" s="1"/>
  <c r="L55" i="30"/>
  <c r="M55" i="30" s="1"/>
  <c r="L54" i="30"/>
  <c r="L53" i="30"/>
  <c r="M53" i="30" s="1"/>
  <c r="L52" i="30"/>
  <c r="M52" i="30" s="1"/>
  <c r="M51" i="30"/>
  <c r="L51" i="30"/>
  <c r="L50" i="30"/>
  <c r="M50" i="30" s="1"/>
  <c r="L49" i="30"/>
  <c r="M49" i="30" s="1"/>
  <c r="L48" i="30"/>
  <c r="M48" i="30" s="1"/>
  <c r="L47" i="30"/>
  <c r="M47" i="30" s="1"/>
  <c r="L46" i="30"/>
  <c r="M46" i="30" s="1"/>
  <c r="L45" i="30"/>
  <c r="M45" i="30" s="1"/>
  <c r="L44" i="30"/>
  <c r="M44" i="30" s="1"/>
  <c r="L43" i="30"/>
  <c r="M43" i="30" s="1"/>
  <c r="L42" i="30"/>
  <c r="M42" i="30" s="1"/>
  <c r="L41" i="30"/>
  <c r="M41" i="30" s="1"/>
  <c r="L40" i="30"/>
  <c r="M40" i="30" s="1"/>
  <c r="L39" i="30"/>
  <c r="M39" i="30" s="1"/>
  <c r="L38" i="30"/>
  <c r="M38" i="30" s="1"/>
  <c r="L37" i="30"/>
  <c r="M37" i="30" s="1"/>
  <c r="L36" i="30"/>
  <c r="M36" i="30" s="1"/>
  <c r="L35" i="30"/>
  <c r="M35" i="30" s="1"/>
  <c r="L34" i="30"/>
  <c r="M34" i="30" s="1"/>
  <c r="L33" i="30"/>
  <c r="M33" i="30" s="1"/>
  <c r="L32" i="30"/>
  <c r="M32" i="30" s="1"/>
  <c r="L31" i="30"/>
  <c r="M31" i="30" s="1"/>
  <c r="L30" i="30"/>
  <c r="M30" i="30" s="1"/>
  <c r="L29" i="30"/>
  <c r="M29" i="30" s="1"/>
  <c r="L28" i="30"/>
  <c r="M28" i="30" s="1"/>
  <c r="L27" i="30"/>
  <c r="M27" i="30" s="1"/>
  <c r="L26" i="30"/>
  <c r="M26" i="30" s="1"/>
  <c r="L25" i="30"/>
  <c r="M25" i="30" s="1"/>
  <c r="L24" i="30"/>
  <c r="L13" i="30" s="1"/>
  <c r="L23" i="30"/>
  <c r="L18" i="30" s="1"/>
  <c r="H89" i="30" l="1"/>
  <c r="E14" i="30"/>
  <c r="M54" i="30"/>
  <c r="L15" i="30"/>
  <c r="M24" i="30"/>
  <c r="L66" i="30"/>
  <c r="L4" i="30"/>
  <c r="M66" i="30"/>
  <c r="E17" i="30" s="1"/>
  <c r="M23" i="30"/>
  <c r="K47" i="26"/>
  <c r="L47" i="26" s="1"/>
  <c r="D57" i="26"/>
  <c r="H57" i="26"/>
  <c r="I57" i="26"/>
  <c r="J57" i="26"/>
  <c r="H83" i="28"/>
  <c r="J74" i="28"/>
  <c r="I74" i="28"/>
  <c r="H74" i="28"/>
  <c r="J56" i="28"/>
  <c r="I56" i="28"/>
  <c r="H56" i="28"/>
  <c r="D56" i="28"/>
  <c r="G79" i="28" s="1"/>
  <c r="K55" i="28"/>
  <c r="L55" i="28" s="1"/>
  <c r="K54" i="28"/>
  <c r="L54" i="28" s="1"/>
  <c r="L53" i="28"/>
  <c r="K53" i="28"/>
  <c r="K52" i="28"/>
  <c r="L52" i="28" s="1"/>
  <c r="K51" i="28"/>
  <c r="L51" i="28" s="1"/>
  <c r="K50" i="28"/>
  <c r="L50" i="28" s="1"/>
  <c r="L49" i="28"/>
  <c r="K49" i="28"/>
  <c r="K48" i="28"/>
  <c r="L48" i="28" s="1"/>
  <c r="K47" i="28"/>
  <c r="L47" i="28" s="1"/>
  <c r="K46" i="28"/>
  <c r="L46" i="28" s="1"/>
  <c r="L45" i="28"/>
  <c r="K45" i="28"/>
  <c r="K44" i="28"/>
  <c r="L44" i="28" s="1"/>
  <c r="K43" i="28"/>
  <c r="L43" i="28" s="1"/>
  <c r="K42" i="28"/>
  <c r="L42" i="28" s="1"/>
  <c r="L41" i="28"/>
  <c r="K41" i="28"/>
  <c r="K40" i="28"/>
  <c r="L40" i="28" s="1"/>
  <c r="K39" i="28"/>
  <c r="L39" i="28" s="1"/>
  <c r="K38" i="28"/>
  <c r="L38" i="28" s="1"/>
  <c r="L37" i="28"/>
  <c r="K37" i="28"/>
  <c r="K36" i="28"/>
  <c r="L36" i="28" s="1"/>
  <c r="K35" i="28"/>
  <c r="L35" i="28" s="1"/>
  <c r="K34" i="28"/>
  <c r="L34" i="28" s="1"/>
  <c r="L33" i="28"/>
  <c r="K33" i="28"/>
  <c r="K32" i="28"/>
  <c r="L32" i="28" s="1"/>
  <c r="K31" i="28"/>
  <c r="L31" i="28" s="1"/>
  <c r="K30" i="28"/>
  <c r="L30" i="28" s="1"/>
  <c r="L29" i="28"/>
  <c r="K29" i="28"/>
  <c r="K28" i="28"/>
  <c r="L28" i="28" s="1"/>
  <c r="K27" i="28"/>
  <c r="L27" i="28" s="1"/>
  <c r="K26" i="28"/>
  <c r="L26" i="28" s="1"/>
  <c r="K25" i="28"/>
  <c r="L25" i="28" s="1"/>
  <c r="K24" i="28"/>
  <c r="L24" i="28" s="1"/>
  <c r="K23" i="28"/>
  <c r="L23" i="28" s="1"/>
  <c r="K22" i="28"/>
  <c r="L22" i="28" s="1"/>
  <c r="L21" i="28"/>
  <c r="K21" i="28"/>
  <c r="K20" i="28"/>
  <c r="L20" i="28" s="1"/>
  <c r="K19" i="28"/>
  <c r="L19" i="28" s="1"/>
  <c r="K18" i="28"/>
  <c r="L18" i="28" s="1"/>
  <c r="L17" i="28"/>
  <c r="K17" i="28"/>
  <c r="O16" i="28"/>
  <c r="K16" i="28"/>
  <c r="L16" i="28" s="1"/>
  <c r="O15" i="28"/>
  <c r="K15" i="28"/>
  <c r="L15" i="28" s="1"/>
  <c r="O14" i="28"/>
  <c r="K14" i="28"/>
  <c r="L14" i="28" s="1"/>
  <c r="O13" i="28"/>
  <c r="K13" i="28"/>
  <c r="L13" i="28" s="1"/>
  <c r="O12" i="28"/>
  <c r="K12" i="28"/>
  <c r="L12" i="28" s="1"/>
  <c r="O11" i="28"/>
  <c r="K11" i="28"/>
  <c r="L11" i="28" s="1"/>
  <c r="G7" i="28"/>
  <c r="G3" i="28"/>
  <c r="H83" i="27"/>
  <c r="J74" i="27"/>
  <c r="I74" i="27"/>
  <c r="H74" i="27"/>
  <c r="J56" i="27"/>
  <c r="I56" i="27"/>
  <c r="H56" i="27"/>
  <c r="D56" i="27"/>
  <c r="G79" i="27" s="1"/>
  <c r="K55" i="27"/>
  <c r="L55" i="27" s="1"/>
  <c r="K54" i="27"/>
  <c r="L54" i="27" s="1"/>
  <c r="L53" i="27"/>
  <c r="K53" i="27"/>
  <c r="K52" i="27"/>
  <c r="L52" i="27" s="1"/>
  <c r="K51" i="27"/>
  <c r="L51" i="27" s="1"/>
  <c r="K50" i="27"/>
  <c r="L50" i="27" s="1"/>
  <c r="L49" i="27"/>
  <c r="K49" i="27"/>
  <c r="K48" i="27"/>
  <c r="L48" i="27" s="1"/>
  <c r="K47" i="27"/>
  <c r="L47" i="27" s="1"/>
  <c r="K46" i="27"/>
  <c r="L46" i="27" s="1"/>
  <c r="L45" i="27"/>
  <c r="K45" i="27"/>
  <c r="K44" i="27"/>
  <c r="L44" i="27" s="1"/>
  <c r="K43" i="27"/>
  <c r="L43" i="27" s="1"/>
  <c r="K42" i="27"/>
  <c r="L42" i="27" s="1"/>
  <c r="L41" i="27"/>
  <c r="K41" i="27"/>
  <c r="K40" i="27"/>
  <c r="L40" i="27" s="1"/>
  <c r="K39" i="27"/>
  <c r="L39" i="27" s="1"/>
  <c r="K38" i="27"/>
  <c r="L38" i="27" s="1"/>
  <c r="L37" i="27"/>
  <c r="K37" i="27"/>
  <c r="K36" i="27"/>
  <c r="L36" i="27" s="1"/>
  <c r="K35" i="27"/>
  <c r="L35" i="27" s="1"/>
  <c r="K34" i="27"/>
  <c r="L34" i="27" s="1"/>
  <c r="L33" i="27"/>
  <c r="K33" i="27"/>
  <c r="K32" i="27"/>
  <c r="L32" i="27" s="1"/>
  <c r="K31" i="27"/>
  <c r="L31" i="27" s="1"/>
  <c r="K30" i="27"/>
  <c r="L30" i="27" s="1"/>
  <c r="L29" i="27"/>
  <c r="K29" i="27"/>
  <c r="K28" i="27"/>
  <c r="L28" i="27" s="1"/>
  <c r="K27" i="27"/>
  <c r="L27" i="27" s="1"/>
  <c r="K26" i="27"/>
  <c r="L26" i="27" s="1"/>
  <c r="K25" i="27"/>
  <c r="L25" i="27" s="1"/>
  <c r="K24" i="27"/>
  <c r="L24" i="27" s="1"/>
  <c r="K23" i="27"/>
  <c r="L23" i="27" s="1"/>
  <c r="K22" i="27"/>
  <c r="L22" i="27" s="1"/>
  <c r="K21" i="27"/>
  <c r="L21" i="27" s="1"/>
  <c r="K20" i="27"/>
  <c r="L20" i="27" s="1"/>
  <c r="K19" i="27"/>
  <c r="L19" i="27" s="1"/>
  <c r="K18" i="27"/>
  <c r="L18" i="27" s="1"/>
  <c r="K17" i="27"/>
  <c r="L17" i="27" s="1"/>
  <c r="O16" i="27"/>
  <c r="K16" i="27"/>
  <c r="L16" i="27" s="1"/>
  <c r="O15" i="27"/>
  <c r="L15" i="27"/>
  <c r="K15" i="27"/>
  <c r="O14" i="27"/>
  <c r="K14" i="27"/>
  <c r="L14" i="27" s="1"/>
  <c r="O13" i="27"/>
  <c r="K13" i="27"/>
  <c r="L13" i="27" s="1"/>
  <c r="O12" i="27"/>
  <c r="K12" i="27"/>
  <c r="L12" i="27" s="1"/>
  <c r="O11" i="27"/>
  <c r="K11" i="27"/>
  <c r="L11" i="27" s="1"/>
  <c r="G7" i="27"/>
  <c r="G3" i="27"/>
  <c r="H84" i="26"/>
  <c r="J75" i="26"/>
  <c r="I75" i="26"/>
  <c r="H75" i="26"/>
  <c r="G80" i="26"/>
  <c r="K56" i="26"/>
  <c r="L56" i="26" s="1"/>
  <c r="K55" i="26"/>
  <c r="L55" i="26" s="1"/>
  <c r="K54" i="26"/>
  <c r="L54" i="26" s="1"/>
  <c r="K53" i="26"/>
  <c r="L53" i="26" s="1"/>
  <c r="K52" i="26"/>
  <c r="L52" i="26" s="1"/>
  <c r="K51" i="26"/>
  <c r="L51" i="26" s="1"/>
  <c r="K50" i="26"/>
  <c r="L50" i="26" s="1"/>
  <c r="K49" i="26"/>
  <c r="L49" i="26" s="1"/>
  <c r="K48" i="26"/>
  <c r="L48" i="26" s="1"/>
  <c r="K46" i="26"/>
  <c r="L46" i="26" s="1"/>
  <c r="K45" i="26"/>
  <c r="L45" i="26" s="1"/>
  <c r="K44" i="26"/>
  <c r="L44" i="26" s="1"/>
  <c r="K43" i="26"/>
  <c r="L43" i="26" s="1"/>
  <c r="K42" i="26"/>
  <c r="L42" i="26" s="1"/>
  <c r="K41" i="26"/>
  <c r="L41" i="26" s="1"/>
  <c r="K40" i="26"/>
  <c r="L40" i="26" s="1"/>
  <c r="K39" i="26"/>
  <c r="L39" i="26" s="1"/>
  <c r="K38" i="26"/>
  <c r="L38" i="26" s="1"/>
  <c r="K37" i="26"/>
  <c r="L37" i="26" s="1"/>
  <c r="K36" i="26"/>
  <c r="L36" i="26" s="1"/>
  <c r="K35" i="26"/>
  <c r="L35" i="26" s="1"/>
  <c r="K34" i="26"/>
  <c r="L34" i="26" s="1"/>
  <c r="K33" i="26"/>
  <c r="L33" i="26" s="1"/>
  <c r="K32" i="26"/>
  <c r="L32" i="26" s="1"/>
  <c r="K31" i="26"/>
  <c r="L31" i="26" s="1"/>
  <c r="K30" i="26"/>
  <c r="L30" i="26" s="1"/>
  <c r="K29" i="26"/>
  <c r="L29" i="26" s="1"/>
  <c r="K28" i="26"/>
  <c r="L28" i="26" s="1"/>
  <c r="K27" i="26"/>
  <c r="L27" i="26" s="1"/>
  <c r="K26" i="26"/>
  <c r="L26" i="26" s="1"/>
  <c r="K25" i="26"/>
  <c r="L25" i="26" s="1"/>
  <c r="K24" i="26"/>
  <c r="L24" i="26" s="1"/>
  <c r="K23" i="26"/>
  <c r="L23" i="26" s="1"/>
  <c r="K22" i="26"/>
  <c r="L22" i="26" s="1"/>
  <c r="K21" i="26"/>
  <c r="L21" i="26" s="1"/>
  <c r="K20" i="26"/>
  <c r="L20" i="26" s="1"/>
  <c r="K19" i="26"/>
  <c r="L19" i="26" s="1"/>
  <c r="K18" i="26"/>
  <c r="L18" i="26" s="1"/>
  <c r="K17" i="26"/>
  <c r="L17" i="26" s="1"/>
  <c r="O16" i="26"/>
  <c r="K16" i="26"/>
  <c r="L16" i="26" s="1"/>
  <c r="O15" i="26"/>
  <c r="K15" i="26"/>
  <c r="L15" i="26" s="1"/>
  <c r="O14" i="26"/>
  <c r="K14" i="26"/>
  <c r="L14" i="26" s="1"/>
  <c r="O13" i="26"/>
  <c r="K13" i="26"/>
  <c r="L13" i="26" s="1"/>
  <c r="O12" i="26"/>
  <c r="K12" i="26"/>
  <c r="L12" i="26" s="1"/>
  <c r="O11" i="26"/>
  <c r="K11" i="26"/>
  <c r="G7" i="26"/>
  <c r="G3" i="26"/>
  <c r="E18" i="30" l="1"/>
  <c r="E16" i="30"/>
  <c r="L3" i="30"/>
  <c r="O17" i="28"/>
  <c r="O17" i="27"/>
  <c r="K57" i="26"/>
  <c r="I6" i="26" s="1"/>
  <c r="O17" i="26"/>
  <c r="K56" i="28"/>
  <c r="K56" i="27"/>
  <c r="L11" i="26"/>
  <c r="H83" i="25"/>
  <c r="J74" i="25"/>
  <c r="I74" i="25"/>
  <c r="H74" i="25"/>
  <c r="J56" i="25"/>
  <c r="I56" i="25"/>
  <c r="H56" i="25"/>
  <c r="G3" i="25" s="1"/>
  <c r="D56" i="25"/>
  <c r="G79" i="25" s="1"/>
  <c r="L55" i="25"/>
  <c r="K55" i="25"/>
  <c r="K54" i="25"/>
  <c r="L54" i="25" s="1"/>
  <c r="L53" i="25"/>
  <c r="K53" i="25"/>
  <c r="K52" i="25"/>
  <c r="L52" i="25" s="1"/>
  <c r="L51" i="25"/>
  <c r="K51" i="25"/>
  <c r="K50" i="25"/>
  <c r="L50" i="25" s="1"/>
  <c r="L49" i="25"/>
  <c r="K49" i="25"/>
  <c r="K48" i="25"/>
  <c r="L48" i="25" s="1"/>
  <c r="L47" i="25"/>
  <c r="K47" i="25"/>
  <c r="K46" i="25"/>
  <c r="L46" i="25" s="1"/>
  <c r="L45" i="25"/>
  <c r="K45" i="25"/>
  <c r="K44" i="25"/>
  <c r="L44" i="25" s="1"/>
  <c r="K43" i="25"/>
  <c r="L43" i="25" s="1"/>
  <c r="K42" i="25"/>
  <c r="L42" i="25" s="1"/>
  <c r="K41" i="25"/>
  <c r="L41" i="25" s="1"/>
  <c r="K40" i="25"/>
  <c r="L40" i="25" s="1"/>
  <c r="K39" i="25"/>
  <c r="L39" i="25" s="1"/>
  <c r="K38" i="25"/>
  <c r="L38" i="25" s="1"/>
  <c r="K37" i="25"/>
  <c r="L37" i="25" s="1"/>
  <c r="K36" i="25"/>
  <c r="L36" i="25" s="1"/>
  <c r="K35" i="25"/>
  <c r="L35" i="25" s="1"/>
  <c r="K34" i="25"/>
  <c r="L34" i="25" s="1"/>
  <c r="L33" i="25"/>
  <c r="K33" i="25"/>
  <c r="K32" i="25"/>
  <c r="L32" i="25" s="1"/>
  <c r="K31" i="25"/>
  <c r="L31" i="25" s="1"/>
  <c r="K30" i="25"/>
  <c r="L30" i="25" s="1"/>
  <c r="L29" i="25"/>
  <c r="K29" i="25"/>
  <c r="K28" i="25"/>
  <c r="L28" i="25" s="1"/>
  <c r="K27" i="25"/>
  <c r="L27" i="25" s="1"/>
  <c r="K26" i="25"/>
  <c r="L26" i="25" s="1"/>
  <c r="K25" i="25"/>
  <c r="L25" i="25" s="1"/>
  <c r="K24" i="25"/>
  <c r="L24" i="25" s="1"/>
  <c r="K23" i="25"/>
  <c r="L23" i="25" s="1"/>
  <c r="K22" i="25"/>
  <c r="L22" i="25" s="1"/>
  <c r="K21" i="25"/>
  <c r="L21" i="25" s="1"/>
  <c r="K20" i="25"/>
  <c r="L20" i="25" s="1"/>
  <c r="K19" i="25"/>
  <c r="L19" i="25" s="1"/>
  <c r="K18" i="25"/>
  <c r="L18" i="25" s="1"/>
  <c r="K17" i="25"/>
  <c r="L17" i="25" s="1"/>
  <c r="O16" i="25"/>
  <c r="K16" i="25"/>
  <c r="L16" i="25" s="1"/>
  <c r="O15" i="25"/>
  <c r="K15" i="25"/>
  <c r="L15" i="25" s="1"/>
  <c r="O14" i="25"/>
  <c r="K14" i="25"/>
  <c r="L14" i="25" s="1"/>
  <c r="O13" i="25"/>
  <c r="K13" i="25"/>
  <c r="L13" i="25" s="1"/>
  <c r="O12" i="25"/>
  <c r="K12" i="25"/>
  <c r="L12" i="25" s="1"/>
  <c r="O11" i="25"/>
  <c r="K11" i="25"/>
  <c r="L11" i="25" s="1"/>
  <c r="G4" i="26" l="1"/>
  <c r="L57" i="26"/>
  <c r="I4" i="26" s="1"/>
  <c r="I6" i="28"/>
  <c r="L56" i="28"/>
  <c r="I4" i="28" s="1"/>
  <c r="G4" i="28"/>
  <c r="L56" i="27"/>
  <c r="I4" i="27" s="1"/>
  <c r="G4" i="27"/>
  <c r="I6" i="27"/>
  <c r="O17" i="25"/>
  <c r="K56" i="25"/>
  <c r="G7" i="25"/>
  <c r="I6" i="25" l="1"/>
  <c r="L56" i="25"/>
  <c r="I4" i="25" s="1"/>
  <c r="G4" i="25"/>
  <c r="G65" i="21" l="1"/>
  <c r="H83" i="23" l="1"/>
  <c r="J74" i="23"/>
  <c r="I74" i="23"/>
  <c r="H74" i="23"/>
  <c r="J56" i="23"/>
  <c r="I56" i="23"/>
  <c r="H56" i="23"/>
  <c r="D56" i="23"/>
  <c r="G79" i="23" s="1"/>
  <c r="K55" i="23"/>
  <c r="L55" i="23" s="1"/>
  <c r="K54" i="23"/>
  <c r="L54" i="23" s="1"/>
  <c r="L53" i="23"/>
  <c r="K53" i="23"/>
  <c r="K52" i="23"/>
  <c r="L52" i="23" s="1"/>
  <c r="K51" i="23"/>
  <c r="L51" i="23" s="1"/>
  <c r="K50" i="23"/>
  <c r="L50" i="23" s="1"/>
  <c r="L49" i="23"/>
  <c r="K49" i="23"/>
  <c r="K48" i="23"/>
  <c r="L48" i="23" s="1"/>
  <c r="K47" i="23"/>
  <c r="L47" i="23" s="1"/>
  <c r="K46" i="23"/>
  <c r="L46" i="23" s="1"/>
  <c r="L45" i="23"/>
  <c r="K45" i="23"/>
  <c r="K44" i="23"/>
  <c r="L44" i="23" s="1"/>
  <c r="K43" i="23"/>
  <c r="L43" i="23" s="1"/>
  <c r="K42" i="23"/>
  <c r="L42" i="23" s="1"/>
  <c r="L41" i="23"/>
  <c r="K41" i="23"/>
  <c r="K40" i="23"/>
  <c r="L40" i="23" s="1"/>
  <c r="K39" i="23"/>
  <c r="L39" i="23" s="1"/>
  <c r="K38" i="23"/>
  <c r="L38" i="23" s="1"/>
  <c r="L37" i="23"/>
  <c r="K37" i="23"/>
  <c r="K36" i="23"/>
  <c r="L36" i="23" s="1"/>
  <c r="K35" i="23"/>
  <c r="L35" i="23" s="1"/>
  <c r="K34" i="23"/>
  <c r="L34" i="23" s="1"/>
  <c r="L33" i="23"/>
  <c r="K33" i="23"/>
  <c r="K32" i="23"/>
  <c r="L32" i="23" s="1"/>
  <c r="K31" i="23"/>
  <c r="L31" i="23" s="1"/>
  <c r="K30" i="23"/>
  <c r="L30" i="23" s="1"/>
  <c r="L29" i="23"/>
  <c r="K29" i="23"/>
  <c r="K28" i="23"/>
  <c r="L28" i="23" s="1"/>
  <c r="K27" i="23"/>
  <c r="L27" i="23" s="1"/>
  <c r="K26" i="23"/>
  <c r="L26" i="23" s="1"/>
  <c r="L25" i="23"/>
  <c r="K25" i="23"/>
  <c r="K24" i="23"/>
  <c r="L24" i="23" s="1"/>
  <c r="K23" i="23"/>
  <c r="L23" i="23" s="1"/>
  <c r="K22" i="23"/>
  <c r="L22" i="23" s="1"/>
  <c r="L21" i="23"/>
  <c r="K21" i="23"/>
  <c r="K20" i="23"/>
  <c r="L20" i="23" s="1"/>
  <c r="K19" i="23"/>
  <c r="L19" i="23" s="1"/>
  <c r="K18" i="23"/>
  <c r="L18" i="23" s="1"/>
  <c r="L17" i="23"/>
  <c r="K17" i="23"/>
  <c r="O16" i="23"/>
  <c r="K16" i="23"/>
  <c r="L16" i="23" s="1"/>
  <c r="O15" i="23"/>
  <c r="K15" i="23"/>
  <c r="L15" i="23" s="1"/>
  <c r="O14" i="23"/>
  <c r="K14" i="23"/>
  <c r="L14" i="23" s="1"/>
  <c r="O13" i="23"/>
  <c r="K13" i="23"/>
  <c r="L13" i="23" s="1"/>
  <c r="O12" i="23"/>
  <c r="K12" i="23"/>
  <c r="L12" i="23" s="1"/>
  <c r="O11" i="23"/>
  <c r="K11" i="23"/>
  <c r="L11" i="23" s="1"/>
  <c r="G3" i="23"/>
  <c r="H83" i="22"/>
  <c r="J74" i="22"/>
  <c r="I74" i="22"/>
  <c r="H74" i="22"/>
  <c r="J56" i="22"/>
  <c r="I56" i="22"/>
  <c r="H56" i="22"/>
  <c r="G3" i="22" s="1"/>
  <c r="D56" i="22"/>
  <c r="G79" i="22" s="1"/>
  <c r="L55" i="22"/>
  <c r="K55" i="22"/>
  <c r="K54" i="22"/>
  <c r="L54" i="22" s="1"/>
  <c r="L53" i="22"/>
  <c r="K53" i="22"/>
  <c r="L52" i="22"/>
  <c r="K52" i="22"/>
  <c r="L51" i="22"/>
  <c r="K51" i="22"/>
  <c r="K50" i="22"/>
  <c r="L50" i="22" s="1"/>
  <c r="L49" i="22"/>
  <c r="K49" i="22"/>
  <c r="L48" i="22"/>
  <c r="K48" i="22"/>
  <c r="L47" i="22"/>
  <c r="K47" i="22"/>
  <c r="K46" i="22"/>
  <c r="L46" i="22" s="1"/>
  <c r="L45" i="22"/>
  <c r="K45" i="22"/>
  <c r="L44" i="22"/>
  <c r="K44" i="22"/>
  <c r="L43" i="22"/>
  <c r="K43" i="22"/>
  <c r="K42" i="22"/>
  <c r="L42" i="22" s="1"/>
  <c r="L41" i="22"/>
  <c r="K41" i="22"/>
  <c r="L40" i="22"/>
  <c r="K40" i="22"/>
  <c r="L39" i="22"/>
  <c r="K39" i="22"/>
  <c r="K38" i="22"/>
  <c r="L38" i="22" s="1"/>
  <c r="L37" i="22"/>
  <c r="K37" i="22"/>
  <c r="L36" i="22"/>
  <c r="K36" i="22"/>
  <c r="L35" i="22"/>
  <c r="K35" i="22"/>
  <c r="K34" i="22"/>
  <c r="L34" i="22" s="1"/>
  <c r="L33" i="22"/>
  <c r="K33" i="22"/>
  <c r="L32" i="22"/>
  <c r="K32" i="22"/>
  <c r="L31" i="22"/>
  <c r="K31" i="22"/>
  <c r="K30" i="22"/>
  <c r="L30" i="22" s="1"/>
  <c r="K29" i="22"/>
  <c r="L29" i="22" s="1"/>
  <c r="L28" i="22"/>
  <c r="K28" i="22"/>
  <c r="K27" i="22"/>
  <c r="L27" i="22" s="1"/>
  <c r="K26" i="22"/>
  <c r="L26" i="22" s="1"/>
  <c r="L25" i="22"/>
  <c r="K25" i="22"/>
  <c r="K24" i="22"/>
  <c r="L24" i="22" s="1"/>
  <c r="K23" i="22"/>
  <c r="L23" i="22" s="1"/>
  <c r="K22" i="22"/>
  <c r="L22" i="22" s="1"/>
  <c r="K21" i="22"/>
  <c r="L21" i="22" s="1"/>
  <c r="K20" i="22"/>
  <c r="L20" i="22" s="1"/>
  <c r="L19" i="22"/>
  <c r="K19" i="22"/>
  <c r="K18" i="22"/>
  <c r="L18" i="22" s="1"/>
  <c r="K17" i="22"/>
  <c r="L17" i="22" s="1"/>
  <c r="O16" i="22"/>
  <c r="L16" i="22"/>
  <c r="K16" i="22"/>
  <c r="O15" i="22"/>
  <c r="K15" i="22"/>
  <c r="L15" i="22" s="1"/>
  <c r="O14" i="22"/>
  <c r="K14" i="22"/>
  <c r="L14" i="22" s="1"/>
  <c r="O13" i="22"/>
  <c r="K13" i="22"/>
  <c r="L13" i="22" s="1"/>
  <c r="O12" i="22"/>
  <c r="K12" i="22"/>
  <c r="L12" i="22" s="1"/>
  <c r="O11" i="22"/>
  <c r="K11" i="22"/>
  <c r="K56" i="22" s="1"/>
  <c r="G7" i="22"/>
  <c r="H83" i="21"/>
  <c r="J74" i="21"/>
  <c r="I74" i="21"/>
  <c r="H74" i="21"/>
  <c r="J56" i="21"/>
  <c r="I56" i="21"/>
  <c r="H56" i="21"/>
  <c r="G3" i="21" s="1"/>
  <c r="D56" i="21"/>
  <c r="G79" i="21" s="1"/>
  <c r="L55" i="21"/>
  <c r="K55" i="21"/>
  <c r="K54" i="21"/>
  <c r="L54" i="21" s="1"/>
  <c r="L53" i="21"/>
  <c r="K53" i="21"/>
  <c r="K52" i="21"/>
  <c r="L52" i="21" s="1"/>
  <c r="L51" i="21"/>
  <c r="K51" i="21"/>
  <c r="K50" i="21"/>
  <c r="L50" i="21" s="1"/>
  <c r="K49" i="21"/>
  <c r="L49" i="21" s="1"/>
  <c r="K48" i="21"/>
  <c r="L48" i="21" s="1"/>
  <c r="K47" i="21"/>
  <c r="L47" i="21" s="1"/>
  <c r="K46" i="21"/>
  <c r="L46" i="21" s="1"/>
  <c r="L45" i="21"/>
  <c r="K45" i="21"/>
  <c r="K44" i="21"/>
  <c r="L44" i="21" s="1"/>
  <c r="K43" i="21"/>
  <c r="L43" i="21" s="1"/>
  <c r="K42" i="21"/>
  <c r="L42" i="21" s="1"/>
  <c r="K41" i="21"/>
  <c r="L41" i="21" s="1"/>
  <c r="K40" i="21"/>
  <c r="L40" i="21" s="1"/>
  <c r="K39" i="21"/>
  <c r="L39" i="21" s="1"/>
  <c r="K38" i="21"/>
  <c r="L38" i="21" s="1"/>
  <c r="K37" i="21"/>
  <c r="L37" i="21" s="1"/>
  <c r="K36" i="21"/>
  <c r="L36" i="21" s="1"/>
  <c r="L35" i="21"/>
  <c r="K35" i="21"/>
  <c r="K34" i="21"/>
  <c r="L34" i="21" s="1"/>
  <c r="K33" i="21"/>
  <c r="L33" i="21" s="1"/>
  <c r="K32" i="21"/>
  <c r="L32" i="21" s="1"/>
  <c r="K31" i="21"/>
  <c r="L31" i="21" s="1"/>
  <c r="K30" i="21"/>
  <c r="L30" i="21" s="1"/>
  <c r="L29" i="21"/>
  <c r="K29" i="21"/>
  <c r="K28" i="21"/>
  <c r="L28" i="21" s="1"/>
  <c r="K27" i="21"/>
  <c r="L27" i="21" s="1"/>
  <c r="K26" i="21"/>
  <c r="L26" i="21" s="1"/>
  <c r="K25" i="21"/>
  <c r="L25" i="21" s="1"/>
  <c r="K24" i="21"/>
  <c r="L24" i="21" s="1"/>
  <c r="K23" i="21"/>
  <c r="L23" i="21" s="1"/>
  <c r="K22" i="21"/>
  <c r="L22" i="21" s="1"/>
  <c r="K21" i="21"/>
  <c r="L21" i="21" s="1"/>
  <c r="K20" i="21"/>
  <c r="L20" i="21" s="1"/>
  <c r="L19" i="21"/>
  <c r="K19" i="21"/>
  <c r="K18" i="21"/>
  <c r="K17" i="21"/>
  <c r="L17" i="21" s="1"/>
  <c r="O16" i="21"/>
  <c r="K16" i="21"/>
  <c r="L16" i="21" s="1"/>
  <c r="O15" i="21"/>
  <c r="L15" i="21"/>
  <c r="K15" i="21"/>
  <c r="O14" i="21"/>
  <c r="K14" i="21"/>
  <c r="L14" i="21" s="1"/>
  <c r="O13" i="21"/>
  <c r="K13" i="21"/>
  <c r="L13" i="21" s="1"/>
  <c r="O12" i="21"/>
  <c r="K12" i="21"/>
  <c r="L12" i="21" s="1"/>
  <c r="O11" i="21"/>
  <c r="O17" i="21" s="1"/>
  <c r="K11" i="21"/>
  <c r="L11" i="21" s="1"/>
  <c r="G7" i="21"/>
  <c r="K56" i="21" l="1"/>
  <c r="G7" i="23"/>
  <c r="O17" i="23"/>
  <c r="O17" i="22"/>
  <c r="K56" i="23"/>
  <c r="I6" i="22"/>
  <c r="L56" i="22"/>
  <c r="I4" i="22" s="1"/>
  <c r="G4" i="22"/>
  <c r="L11" i="22"/>
  <c r="I6" i="21"/>
  <c r="L56" i="21"/>
  <c r="I4" i="21" s="1"/>
  <c r="G4" i="21"/>
  <c r="L18" i="21"/>
  <c r="H83" i="20"/>
  <c r="J74" i="20"/>
  <c r="I74" i="20"/>
  <c r="H74" i="20"/>
  <c r="J56" i="20"/>
  <c r="I56" i="20"/>
  <c r="H56" i="20"/>
  <c r="D56" i="20"/>
  <c r="G79" i="20" s="1"/>
  <c r="K55" i="20"/>
  <c r="L55" i="20" s="1"/>
  <c r="K54" i="20"/>
  <c r="L54" i="20" s="1"/>
  <c r="K53" i="20"/>
  <c r="L53" i="20" s="1"/>
  <c r="K52" i="20"/>
  <c r="L52" i="20" s="1"/>
  <c r="K51" i="20"/>
  <c r="L51" i="20" s="1"/>
  <c r="K50" i="20"/>
  <c r="L50" i="20" s="1"/>
  <c r="K49" i="20"/>
  <c r="L49" i="20" s="1"/>
  <c r="K48" i="20"/>
  <c r="L48" i="20" s="1"/>
  <c r="K47" i="20"/>
  <c r="L47" i="20" s="1"/>
  <c r="K46" i="20"/>
  <c r="L46" i="20" s="1"/>
  <c r="K45" i="20"/>
  <c r="L45" i="20" s="1"/>
  <c r="K44" i="20"/>
  <c r="L44" i="20" s="1"/>
  <c r="K43" i="20"/>
  <c r="L43" i="20" s="1"/>
  <c r="K42" i="20"/>
  <c r="L42" i="20" s="1"/>
  <c r="K41" i="20"/>
  <c r="L41" i="20" s="1"/>
  <c r="K40" i="20"/>
  <c r="L40" i="20" s="1"/>
  <c r="K39" i="20"/>
  <c r="L39" i="20" s="1"/>
  <c r="K38" i="20"/>
  <c r="L38" i="20" s="1"/>
  <c r="K37" i="20"/>
  <c r="L37" i="20" s="1"/>
  <c r="K36" i="20"/>
  <c r="L36" i="20" s="1"/>
  <c r="K35" i="20"/>
  <c r="L35" i="20" s="1"/>
  <c r="K34" i="20"/>
  <c r="L34" i="20" s="1"/>
  <c r="K33" i="20"/>
  <c r="L33" i="20" s="1"/>
  <c r="K32" i="20"/>
  <c r="L32" i="20" s="1"/>
  <c r="K31" i="20"/>
  <c r="L31" i="20" s="1"/>
  <c r="K30" i="20"/>
  <c r="L30" i="20" s="1"/>
  <c r="K29" i="20"/>
  <c r="L29" i="20" s="1"/>
  <c r="K28" i="20"/>
  <c r="L28" i="20" s="1"/>
  <c r="K27" i="20"/>
  <c r="L27" i="20" s="1"/>
  <c r="K26" i="20"/>
  <c r="L26" i="20" s="1"/>
  <c r="K25" i="20"/>
  <c r="L25" i="20" s="1"/>
  <c r="K24" i="20"/>
  <c r="L24" i="20" s="1"/>
  <c r="K23" i="20"/>
  <c r="L23" i="20" s="1"/>
  <c r="K22" i="20"/>
  <c r="L22" i="20" s="1"/>
  <c r="K21" i="20"/>
  <c r="L21" i="20" s="1"/>
  <c r="K20" i="20"/>
  <c r="L20" i="20" s="1"/>
  <c r="K19" i="20"/>
  <c r="L19" i="20" s="1"/>
  <c r="K18" i="20"/>
  <c r="L18" i="20" s="1"/>
  <c r="L17" i="20"/>
  <c r="K17" i="20"/>
  <c r="O16" i="20"/>
  <c r="K16" i="20"/>
  <c r="L16" i="20" s="1"/>
  <c r="O15" i="20"/>
  <c r="K15" i="20"/>
  <c r="L15" i="20" s="1"/>
  <c r="O14" i="20"/>
  <c r="K14" i="20"/>
  <c r="L14" i="20" s="1"/>
  <c r="O13" i="20"/>
  <c r="K13" i="20"/>
  <c r="L13" i="20" s="1"/>
  <c r="O12" i="20"/>
  <c r="K12" i="20"/>
  <c r="L12" i="20" s="1"/>
  <c r="O11" i="20"/>
  <c r="K11" i="20"/>
  <c r="L11" i="20" s="1"/>
  <c r="G3" i="20"/>
  <c r="H83" i="19"/>
  <c r="J74" i="19"/>
  <c r="I74" i="19"/>
  <c r="H74" i="19"/>
  <c r="J56" i="19"/>
  <c r="I56" i="19"/>
  <c r="H56" i="19"/>
  <c r="G3" i="19" s="1"/>
  <c r="D56" i="19"/>
  <c r="G79" i="19" s="1"/>
  <c r="L55" i="19"/>
  <c r="K55" i="19"/>
  <c r="L54" i="19"/>
  <c r="K54" i="19"/>
  <c r="L53" i="19"/>
  <c r="K53" i="19"/>
  <c r="K52" i="19"/>
  <c r="L52" i="19" s="1"/>
  <c r="L51" i="19"/>
  <c r="K51" i="19"/>
  <c r="L50" i="19"/>
  <c r="K50" i="19"/>
  <c r="L49" i="19"/>
  <c r="K49" i="19"/>
  <c r="K48" i="19"/>
  <c r="L48" i="19" s="1"/>
  <c r="L47" i="19"/>
  <c r="K47" i="19"/>
  <c r="L46" i="19"/>
  <c r="K46" i="19"/>
  <c r="K45" i="19"/>
  <c r="L45" i="19" s="1"/>
  <c r="K44" i="19"/>
  <c r="L44" i="19" s="1"/>
  <c r="K43" i="19"/>
  <c r="L43" i="19" s="1"/>
  <c r="K42" i="19"/>
  <c r="L42" i="19" s="1"/>
  <c r="K41" i="19"/>
  <c r="L41" i="19" s="1"/>
  <c r="K40" i="19"/>
  <c r="L40" i="19" s="1"/>
  <c r="K39" i="19"/>
  <c r="L39" i="19" s="1"/>
  <c r="K38" i="19"/>
  <c r="L38" i="19" s="1"/>
  <c r="L37" i="19"/>
  <c r="K37" i="19"/>
  <c r="K36" i="19"/>
  <c r="L36" i="19" s="1"/>
  <c r="K35" i="19"/>
  <c r="L35" i="19" s="1"/>
  <c r="K34" i="19"/>
  <c r="L34" i="19" s="1"/>
  <c r="K33" i="19"/>
  <c r="L33" i="19" s="1"/>
  <c r="K32" i="19"/>
  <c r="L32" i="19" s="1"/>
  <c r="K31" i="19"/>
  <c r="L31" i="19" s="1"/>
  <c r="K30" i="19"/>
  <c r="L30" i="19" s="1"/>
  <c r="K29" i="19"/>
  <c r="L29" i="19" s="1"/>
  <c r="K28" i="19"/>
  <c r="L28" i="19" s="1"/>
  <c r="K27" i="19"/>
  <c r="L27" i="19" s="1"/>
  <c r="L26" i="19"/>
  <c r="K26" i="19"/>
  <c r="K25" i="19"/>
  <c r="L25" i="19" s="1"/>
  <c r="K24" i="19"/>
  <c r="L24" i="19" s="1"/>
  <c r="L23" i="19"/>
  <c r="K23" i="19"/>
  <c r="K22" i="19"/>
  <c r="L22" i="19" s="1"/>
  <c r="K21" i="19"/>
  <c r="L21" i="19" s="1"/>
  <c r="K20" i="19"/>
  <c r="L20" i="19" s="1"/>
  <c r="K19" i="19"/>
  <c r="L19" i="19" s="1"/>
  <c r="K18" i="19"/>
  <c r="L18" i="19" s="1"/>
  <c r="L17" i="19"/>
  <c r="K17" i="19"/>
  <c r="O16" i="19"/>
  <c r="K16" i="19"/>
  <c r="L16" i="19" s="1"/>
  <c r="O15" i="19"/>
  <c r="K15" i="19"/>
  <c r="L15" i="19" s="1"/>
  <c r="O14" i="19"/>
  <c r="K14" i="19"/>
  <c r="L14" i="19" s="1"/>
  <c r="O13" i="19"/>
  <c r="K13" i="19"/>
  <c r="L13" i="19" s="1"/>
  <c r="O12" i="19"/>
  <c r="K12" i="19"/>
  <c r="L12" i="19" s="1"/>
  <c r="O11" i="19"/>
  <c r="K11" i="19"/>
  <c r="L11" i="19" s="1"/>
  <c r="H83" i="18"/>
  <c r="J74" i="18"/>
  <c r="I74" i="18"/>
  <c r="H74" i="18"/>
  <c r="J56" i="18"/>
  <c r="I56" i="18"/>
  <c r="H56" i="18"/>
  <c r="D56" i="18"/>
  <c r="G79" i="18" s="1"/>
  <c r="K55" i="18"/>
  <c r="L55" i="18" s="1"/>
  <c r="K54" i="18"/>
  <c r="L54" i="18" s="1"/>
  <c r="L53" i="18"/>
  <c r="K53" i="18"/>
  <c r="K52" i="18"/>
  <c r="L52" i="18" s="1"/>
  <c r="K51" i="18"/>
  <c r="L51" i="18" s="1"/>
  <c r="K50" i="18"/>
  <c r="L50" i="18" s="1"/>
  <c r="L49" i="18"/>
  <c r="K49" i="18"/>
  <c r="K48" i="18"/>
  <c r="L48" i="18" s="1"/>
  <c r="K47" i="18"/>
  <c r="L47" i="18" s="1"/>
  <c r="K46" i="18"/>
  <c r="L46" i="18" s="1"/>
  <c r="L45" i="18"/>
  <c r="K45" i="18"/>
  <c r="K44" i="18"/>
  <c r="L44" i="18" s="1"/>
  <c r="K43" i="18"/>
  <c r="L43" i="18" s="1"/>
  <c r="K42" i="18"/>
  <c r="L42" i="18" s="1"/>
  <c r="L41" i="18"/>
  <c r="K41" i="18"/>
  <c r="K40" i="18"/>
  <c r="L40" i="18" s="1"/>
  <c r="K39" i="18"/>
  <c r="L39" i="18" s="1"/>
  <c r="K38" i="18"/>
  <c r="L38" i="18" s="1"/>
  <c r="L37" i="18"/>
  <c r="K37" i="18"/>
  <c r="K36" i="18"/>
  <c r="L36" i="18" s="1"/>
  <c r="K35" i="18"/>
  <c r="L35" i="18" s="1"/>
  <c r="K34" i="18"/>
  <c r="L34" i="18" s="1"/>
  <c r="L33" i="18"/>
  <c r="K33" i="18"/>
  <c r="K32" i="18"/>
  <c r="L32" i="18" s="1"/>
  <c r="K31" i="18"/>
  <c r="L31" i="18" s="1"/>
  <c r="K30" i="18"/>
  <c r="L30" i="18" s="1"/>
  <c r="L29" i="18"/>
  <c r="K29" i="18"/>
  <c r="K28" i="18"/>
  <c r="L28" i="18" s="1"/>
  <c r="K27" i="18"/>
  <c r="L27" i="18" s="1"/>
  <c r="K26" i="18"/>
  <c r="L26" i="18" s="1"/>
  <c r="L25" i="18"/>
  <c r="K25" i="18"/>
  <c r="K24" i="18"/>
  <c r="L24" i="18" s="1"/>
  <c r="K23" i="18"/>
  <c r="L23" i="18" s="1"/>
  <c r="K22" i="18"/>
  <c r="L22" i="18" s="1"/>
  <c r="L21" i="18"/>
  <c r="K21" i="18"/>
  <c r="K20" i="18"/>
  <c r="L20" i="18" s="1"/>
  <c r="K19" i="18"/>
  <c r="L19" i="18" s="1"/>
  <c r="K18" i="18"/>
  <c r="L18" i="18" s="1"/>
  <c r="L17" i="18"/>
  <c r="K17" i="18"/>
  <c r="O16" i="18"/>
  <c r="K16" i="18"/>
  <c r="L16" i="18" s="1"/>
  <c r="O15" i="18"/>
  <c r="K15" i="18"/>
  <c r="L15" i="18" s="1"/>
  <c r="O14" i="18"/>
  <c r="K14" i="18"/>
  <c r="L14" i="18" s="1"/>
  <c r="O13" i="18"/>
  <c r="K13" i="18"/>
  <c r="L13" i="18" s="1"/>
  <c r="O12" i="18"/>
  <c r="K12" i="18"/>
  <c r="L12" i="18" s="1"/>
  <c r="O11" i="18"/>
  <c r="K11" i="18"/>
  <c r="G7" i="18"/>
  <c r="G3" i="18"/>
  <c r="H83" i="17"/>
  <c r="J74" i="17"/>
  <c r="I74" i="17"/>
  <c r="H74" i="17"/>
  <c r="J56" i="17"/>
  <c r="I56" i="17"/>
  <c r="H56" i="17"/>
  <c r="G3" i="17" s="1"/>
  <c r="D56" i="17"/>
  <c r="G79" i="17" s="1"/>
  <c r="K55" i="17"/>
  <c r="L55" i="17" s="1"/>
  <c r="L54" i="17"/>
  <c r="K54" i="17"/>
  <c r="K53" i="17"/>
  <c r="L53" i="17" s="1"/>
  <c r="L52" i="17"/>
  <c r="K52" i="17"/>
  <c r="K51" i="17"/>
  <c r="L51" i="17" s="1"/>
  <c r="L50" i="17"/>
  <c r="K50" i="17"/>
  <c r="K49" i="17"/>
  <c r="L49" i="17" s="1"/>
  <c r="L48" i="17"/>
  <c r="K48" i="17"/>
  <c r="K47" i="17"/>
  <c r="L47" i="17" s="1"/>
  <c r="L46" i="17"/>
  <c r="K46" i="17"/>
  <c r="K45" i="17"/>
  <c r="L45" i="17" s="1"/>
  <c r="L44" i="17"/>
  <c r="K44" i="17"/>
  <c r="K43" i="17"/>
  <c r="L43" i="17" s="1"/>
  <c r="L42" i="17"/>
  <c r="K42" i="17"/>
  <c r="K41" i="17"/>
  <c r="L41" i="17" s="1"/>
  <c r="L40" i="17"/>
  <c r="K40" i="17"/>
  <c r="K39" i="17"/>
  <c r="L39" i="17" s="1"/>
  <c r="L38" i="17"/>
  <c r="K38" i="17"/>
  <c r="K37" i="17"/>
  <c r="L37" i="17" s="1"/>
  <c r="L36" i="17"/>
  <c r="K36" i="17"/>
  <c r="K35" i="17"/>
  <c r="L35" i="17" s="1"/>
  <c r="L34" i="17"/>
  <c r="K34" i="17"/>
  <c r="K33" i="17"/>
  <c r="L33" i="17" s="1"/>
  <c r="L32" i="17"/>
  <c r="K32" i="17"/>
  <c r="K31" i="17"/>
  <c r="L31" i="17" s="1"/>
  <c r="L30" i="17"/>
  <c r="K30" i="17"/>
  <c r="K29" i="17"/>
  <c r="L29" i="17" s="1"/>
  <c r="L28" i="17"/>
  <c r="K28" i="17"/>
  <c r="K27" i="17"/>
  <c r="L27" i="17" s="1"/>
  <c r="L26" i="17"/>
  <c r="K26" i="17"/>
  <c r="K25" i="17"/>
  <c r="L25" i="17" s="1"/>
  <c r="K24" i="17"/>
  <c r="L24" i="17" s="1"/>
  <c r="K23" i="17"/>
  <c r="L23" i="17" s="1"/>
  <c r="K22" i="17"/>
  <c r="L22" i="17" s="1"/>
  <c r="K21" i="17"/>
  <c r="L21" i="17" s="1"/>
  <c r="K20" i="17"/>
  <c r="L20" i="17" s="1"/>
  <c r="K19" i="17"/>
  <c r="L19" i="17" s="1"/>
  <c r="K18" i="17"/>
  <c r="L18" i="17" s="1"/>
  <c r="K17" i="17"/>
  <c r="L17" i="17" s="1"/>
  <c r="O16" i="17"/>
  <c r="K16" i="17"/>
  <c r="L16" i="17" s="1"/>
  <c r="O15" i="17"/>
  <c r="K15" i="17"/>
  <c r="L15" i="17" s="1"/>
  <c r="O14" i="17"/>
  <c r="K14" i="17"/>
  <c r="L14" i="17" s="1"/>
  <c r="O13" i="17"/>
  <c r="K13" i="17"/>
  <c r="L13" i="17" s="1"/>
  <c r="O12" i="17"/>
  <c r="K12" i="17"/>
  <c r="L12" i="17" s="1"/>
  <c r="O11" i="17"/>
  <c r="K11" i="17"/>
  <c r="L11" i="17" s="1"/>
  <c r="G7" i="17"/>
  <c r="I6" i="23" l="1"/>
  <c r="G4" i="23"/>
  <c r="L56" i="23"/>
  <c r="I4" i="23" s="1"/>
  <c r="O17" i="18"/>
  <c r="K56" i="18"/>
  <c r="I6" i="18" s="1"/>
  <c r="G7" i="20"/>
  <c r="O17" i="20"/>
  <c r="O17" i="19"/>
  <c r="G7" i="19"/>
  <c r="O17" i="17"/>
  <c r="K56" i="19"/>
  <c r="K56" i="20"/>
  <c r="L11" i="18"/>
  <c r="K56" i="17"/>
  <c r="G4" i="18" l="1"/>
  <c r="L56" i="18"/>
  <c r="I4" i="18" s="1"/>
  <c r="L56" i="19"/>
  <c r="I4" i="19" s="1"/>
  <c r="I6" i="19"/>
  <c r="G4" i="19"/>
  <c r="L56" i="20"/>
  <c r="I4" i="20" s="1"/>
  <c r="I6" i="20"/>
  <c r="G4" i="20"/>
  <c r="L56" i="17"/>
  <c r="I4" i="17" s="1"/>
  <c r="I6" i="17"/>
  <c r="G4" i="17"/>
  <c r="H83" i="16" l="1"/>
  <c r="J74" i="16"/>
  <c r="I74" i="16"/>
  <c r="H74" i="16"/>
  <c r="J56" i="16"/>
  <c r="I56" i="16"/>
  <c r="H56" i="16"/>
  <c r="G3" i="16" s="1"/>
  <c r="D56" i="16"/>
  <c r="G7" i="16" s="1"/>
  <c r="L55" i="16"/>
  <c r="K55" i="16"/>
  <c r="K54" i="16"/>
  <c r="L54" i="16" s="1"/>
  <c r="K53" i="16"/>
  <c r="L53" i="16" s="1"/>
  <c r="L52" i="16"/>
  <c r="K52" i="16"/>
  <c r="L51" i="16"/>
  <c r="K51" i="16"/>
  <c r="K50" i="16"/>
  <c r="L50" i="16" s="1"/>
  <c r="K49" i="16"/>
  <c r="L49" i="16" s="1"/>
  <c r="L48" i="16"/>
  <c r="K48" i="16"/>
  <c r="L47" i="16"/>
  <c r="K47" i="16"/>
  <c r="K46" i="16"/>
  <c r="L46" i="16" s="1"/>
  <c r="K45" i="16"/>
  <c r="L45" i="16" s="1"/>
  <c r="L44" i="16"/>
  <c r="K44" i="16"/>
  <c r="L43" i="16"/>
  <c r="K43" i="16"/>
  <c r="K42" i="16"/>
  <c r="L42" i="16" s="1"/>
  <c r="K41" i="16"/>
  <c r="L41" i="16" s="1"/>
  <c r="L40" i="16"/>
  <c r="K40" i="16"/>
  <c r="L39" i="16"/>
  <c r="K39" i="16"/>
  <c r="K38" i="16"/>
  <c r="L38" i="16" s="1"/>
  <c r="K37" i="16"/>
  <c r="L37" i="16" s="1"/>
  <c r="L36" i="16"/>
  <c r="K36" i="16"/>
  <c r="L35" i="16"/>
  <c r="K35" i="16"/>
  <c r="K34" i="16"/>
  <c r="L34" i="16" s="1"/>
  <c r="K33" i="16"/>
  <c r="L33" i="16" s="1"/>
  <c r="L32" i="16"/>
  <c r="K32" i="16"/>
  <c r="L31" i="16"/>
  <c r="K31" i="16"/>
  <c r="K30" i="16"/>
  <c r="L30" i="16" s="1"/>
  <c r="K29" i="16"/>
  <c r="L29" i="16" s="1"/>
  <c r="L28" i="16"/>
  <c r="K28" i="16"/>
  <c r="L27" i="16"/>
  <c r="K27" i="16"/>
  <c r="K26" i="16"/>
  <c r="L26" i="16" s="1"/>
  <c r="K25" i="16"/>
  <c r="L25" i="16" s="1"/>
  <c r="K24" i="16"/>
  <c r="L24" i="16" s="1"/>
  <c r="K23" i="16"/>
  <c r="L23" i="16" s="1"/>
  <c r="K22" i="16"/>
  <c r="L22" i="16" s="1"/>
  <c r="K21" i="16"/>
  <c r="L21" i="16" s="1"/>
  <c r="K20" i="16"/>
  <c r="L20" i="16" s="1"/>
  <c r="K19" i="16"/>
  <c r="L19" i="16" s="1"/>
  <c r="K18" i="16"/>
  <c r="L18" i="16" s="1"/>
  <c r="K17" i="16"/>
  <c r="L17" i="16" s="1"/>
  <c r="O16" i="16"/>
  <c r="K16" i="16"/>
  <c r="L16" i="16" s="1"/>
  <c r="O15" i="16"/>
  <c r="K15" i="16"/>
  <c r="L15" i="16" s="1"/>
  <c r="O14" i="16"/>
  <c r="K14" i="16"/>
  <c r="L14" i="16" s="1"/>
  <c r="O13" i="16"/>
  <c r="K13" i="16"/>
  <c r="L13" i="16" s="1"/>
  <c r="O12" i="16"/>
  <c r="K12" i="16"/>
  <c r="L12" i="16" s="1"/>
  <c r="O11" i="16"/>
  <c r="K11" i="16"/>
  <c r="O17" i="16" l="1"/>
  <c r="G79" i="16"/>
  <c r="K56" i="16"/>
  <c r="I6" i="16" s="1"/>
  <c r="L11" i="16"/>
  <c r="G4" i="16"/>
  <c r="K34" i="13"/>
  <c r="L56" i="16" l="1"/>
  <c r="I4" i="16" s="1"/>
  <c r="H83" i="15"/>
  <c r="J74" i="15"/>
  <c r="I74" i="15"/>
  <c r="H74" i="15"/>
  <c r="J56" i="15"/>
  <c r="I56" i="15"/>
  <c r="H56" i="15"/>
  <c r="D56" i="15"/>
  <c r="G79" i="15" s="1"/>
  <c r="K55" i="15"/>
  <c r="L55" i="15" s="1"/>
  <c r="K54" i="15"/>
  <c r="L54" i="15" s="1"/>
  <c r="K53" i="15"/>
  <c r="L53" i="15" s="1"/>
  <c r="K52" i="15"/>
  <c r="L52" i="15" s="1"/>
  <c r="K51" i="15"/>
  <c r="L51" i="15" s="1"/>
  <c r="K50" i="15"/>
  <c r="L50" i="15" s="1"/>
  <c r="K49" i="15"/>
  <c r="L49" i="15" s="1"/>
  <c r="K48" i="15"/>
  <c r="L48" i="15" s="1"/>
  <c r="K47" i="15"/>
  <c r="L47" i="15" s="1"/>
  <c r="K46" i="15"/>
  <c r="L46" i="15" s="1"/>
  <c r="L45" i="15"/>
  <c r="K45" i="15"/>
  <c r="K44" i="15"/>
  <c r="L44" i="15" s="1"/>
  <c r="K43" i="15"/>
  <c r="L43" i="15" s="1"/>
  <c r="K42" i="15"/>
  <c r="L42" i="15" s="1"/>
  <c r="K41" i="15"/>
  <c r="L41" i="15" s="1"/>
  <c r="K40" i="15"/>
  <c r="L40" i="15" s="1"/>
  <c r="K39" i="15"/>
  <c r="L39" i="15" s="1"/>
  <c r="K38" i="15"/>
  <c r="L38" i="15" s="1"/>
  <c r="K37" i="15"/>
  <c r="L37" i="15" s="1"/>
  <c r="K36" i="15"/>
  <c r="L36" i="15" s="1"/>
  <c r="K35" i="15"/>
  <c r="L35" i="15" s="1"/>
  <c r="K27" i="15"/>
  <c r="L27" i="15" s="1"/>
  <c r="K22" i="15"/>
  <c r="L22" i="15" s="1"/>
  <c r="K30" i="15"/>
  <c r="L30" i="15" s="1"/>
  <c r="K23" i="15"/>
  <c r="L23" i="15" s="1"/>
  <c r="K24" i="15"/>
  <c r="L24" i="15" s="1"/>
  <c r="K26" i="15"/>
  <c r="L26" i="15" s="1"/>
  <c r="K29" i="15"/>
  <c r="L29" i="15" s="1"/>
  <c r="K15" i="15"/>
  <c r="L15" i="15" s="1"/>
  <c r="K34" i="15"/>
  <c r="L34" i="15" s="1"/>
  <c r="K11" i="15"/>
  <c r="L11" i="15" s="1"/>
  <c r="K20" i="15"/>
  <c r="L20" i="15" s="1"/>
  <c r="K28" i="15"/>
  <c r="L28" i="15" s="1"/>
  <c r="K17" i="15"/>
  <c r="L17" i="15" s="1"/>
  <c r="K14" i="15"/>
  <c r="L14" i="15" s="1"/>
  <c r="K31" i="15"/>
  <c r="L31" i="15" s="1"/>
  <c r="K33" i="15"/>
  <c r="L33" i="15" s="1"/>
  <c r="K13" i="15"/>
  <c r="L13" i="15" s="1"/>
  <c r="K21" i="15"/>
  <c r="L21" i="15" s="1"/>
  <c r="O16" i="15"/>
  <c r="K18" i="15"/>
  <c r="L18" i="15" s="1"/>
  <c r="O15" i="15"/>
  <c r="K25" i="15"/>
  <c r="L25" i="15" s="1"/>
  <c r="O14" i="15"/>
  <c r="K12" i="15"/>
  <c r="L12" i="15" s="1"/>
  <c r="O13" i="15"/>
  <c r="K19" i="15"/>
  <c r="L19" i="15" s="1"/>
  <c r="O12" i="15"/>
  <c r="K16" i="15"/>
  <c r="L16" i="15" s="1"/>
  <c r="O11" i="15"/>
  <c r="K32" i="15"/>
  <c r="L32" i="15" s="1"/>
  <c r="G7" i="15"/>
  <c r="G3" i="15"/>
  <c r="H83" i="14"/>
  <c r="J74" i="14"/>
  <c r="I74" i="14"/>
  <c r="H74" i="14"/>
  <c r="J56" i="14"/>
  <c r="I56" i="14"/>
  <c r="H56" i="14"/>
  <c r="G3" i="14" s="1"/>
  <c r="D56" i="14"/>
  <c r="G79" i="14" s="1"/>
  <c r="K55" i="14"/>
  <c r="L55" i="14" s="1"/>
  <c r="K54" i="14"/>
  <c r="L54" i="14" s="1"/>
  <c r="K53" i="14"/>
  <c r="L53" i="14" s="1"/>
  <c r="K52" i="14"/>
  <c r="L52" i="14" s="1"/>
  <c r="K51" i="14"/>
  <c r="L51" i="14" s="1"/>
  <c r="K30" i="14"/>
  <c r="L30" i="14" s="1"/>
  <c r="K34" i="14"/>
  <c r="L34" i="14" s="1"/>
  <c r="K40" i="14"/>
  <c r="L40" i="14" s="1"/>
  <c r="K50" i="14"/>
  <c r="L50" i="14" s="1"/>
  <c r="K28" i="14"/>
  <c r="L28" i="14" s="1"/>
  <c r="K45" i="14"/>
  <c r="L45" i="14" s="1"/>
  <c r="K27" i="14"/>
  <c r="L27" i="14" s="1"/>
  <c r="K46" i="14"/>
  <c r="L46" i="14" s="1"/>
  <c r="K49" i="14"/>
  <c r="L49" i="14" s="1"/>
  <c r="K48" i="14"/>
  <c r="L48" i="14" s="1"/>
  <c r="K29" i="14"/>
  <c r="L29" i="14" s="1"/>
  <c r="K39" i="14"/>
  <c r="L39" i="14" s="1"/>
  <c r="K38" i="14"/>
  <c r="L38" i="14" s="1"/>
  <c r="K35" i="14"/>
  <c r="L35" i="14" s="1"/>
  <c r="K43" i="14"/>
  <c r="L43" i="14" s="1"/>
  <c r="L41" i="14"/>
  <c r="K41" i="14"/>
  <c r="K42" i="14"/>
  <c r="L42" i="14" s="1"/>
  <c r="L36" i="14"/>
  <c r="K36" i="14"/>
  <c r="K44" i="14"/>
  <c r="L44" i="14" s="1"/>
  <c r="K47" i="14"/>
  <c r="L47" i="14" s="1"/>
  <c r="K37" i="14"/>
  <c r="L37" i="14" s="1"/>
  <c r="L33" i="14"/>
  <c r="K33" i="14"/>
  <c r="K26" i="14"/>
  <c r="L26" i="14" s="1"/>
  <c r="K18" i="14"/>
  <c r="L18" i="14" s="1"/>
  <c r="K13" i="14"/>
  <c r="L13" i="14" s="1"/>
  <c r="K14" i="14"/>
  <c r="L14" i="14" s="1"/>
  <c r="K20" i="14"/>
  <c r="L20" i="14" s="1"/>
  <c r="K11" i="14"/>
  <c r="L11" i="14" s="1"/>
  <c r="K12" i="14"/>
  <c r="L12" i="14" s="1"/>
  <c r="K16" i="14"/>
  <c r="L16" i="14" s="1"/>
  <c r="K22" i="14"/>
  <c r="L22" i="14" s="1"/>
  <c r="L23" i="14"/>
  <c r="K23" i="14"/>
  <c r="K32" i="14"/>
  <c r="L32" i="14" s="1"/>
  <c r="K31" i="14"/>
  <c r="L31" i="14" s="1"/>
  <c r="O16" i="14"/>
  <c r="K19" i="14"/>
  <c r="L19" i="14" s="1"/>
  <c r="O15" i="14"/>
  <c r="L24" i="14"/>
  <c r="K24" i="14"/>
  <c r="O14" i="14"/>
  <c r="K17" i="14"/>
  <c r="L17" i="14" s="1"/>
  <c r="O13" i="14"/>
  <c r="K15" i="14"/>
  <c r="L15" i="14" s="1"/>
  <c r="O12" i="14"/>
  <c r="K21" i="14"/>
  <c r="L21" i="14" s="1"/>
  <c r="O11" i="14"/>
  <c r="O17" i="14" s="1"/>
  <c r="K25" i="14"/>
  <c r="L25" i="14" s="1"/>
  <c r="H83" i="13"/>
  <c r="J74" i="13"/>
  <c r="I74" i="13"/>
  <c r="H74" i="13"/>
  <c r="J56" i="13"/>
  <c r="I56" i="13"/>
  <c r="H56" i="13"/>
  <c r="G3" i="13" s="1"/>
  <c r="D56" i="13"/>
  <c r="G79" i="13" s="1"/>
  <c r="K55" i="13"/>
  <c r="L55" i="13" s="1"/>
  <c r="K54" i="13"/>
  <c r="L54" i="13" s="1"/>
  <c r="K53" i="13"/>
  <c r="L53" i="13" s="1"/>
  <c r="K52" i="13"/>
  <c r="L52" i="13" s="1"/>
  <c r="K51" i="13"/>
  <c r="L51" i="13" s="1"/>
  <c r="K50" i="13"/>
  <c r="L50" i="13" s="1"/>
  <c r="K49" i="13"/>
  <c r="L49" i="13" s="1"/>
  <c r="K48" i="13"/>
  <c r="L48" i="13" s="1"/>
  <c r="K47" i="13"/>
  <c r="L47" i="13" s="1"/>
  <c r="K46" i="13"/>
  <c r="L46" i="13" s="1"/>
  <c r="K45" i="13"/>
  <c r="L45" i="13" s="1"/>
  <c r="K44" i="13"/>
  <c r="L44" i="13" s="1"/>
  <c r="K43" i="13"/>
  <c r="L43" i="13" s="1"/>
  <c r="K42" i="13"/>
  <c r="L42" i="13" s="1"/>
  <c r="K41" i="13"/>
  <c r="L41" i="13" s="1"/>
  <c r="K40" i="13"/>
  <c r="L40" i="13" s="1"/>
  <c r="K33" i="13"/>
  <c r="L33" i="13" s="1"/>
  <c r="K39" i="13"/>
  <c r="L39" i="13" s="1"/>
  <c r="K16" i="13"/>
  <c r="L16" i="13" s="1"/>
  <c r="K36" i="13"/>
  <c r="L36" i="13" s="1"/>
  <c r="K21" i="13"/>
  <c r="L21" i="13" s="1"/>
  <c r="K22" i="13"/>
  <c r="L22" i="13" s="1"/>
  <c r="K29" i="13"/>
  <c r="L29" i="13" s="1"/>
  <c r="K31" i="13"/>
  <c r="L31" i="13" s="1"/>
  <c r="K32" i="13"/>
  <c r="L32" i="13" s="1"/>
  <c r="K23" i="13"/>
  <c r="L23" i="13" s="1"/>
  <c r="K24" i="13"/>
  <c r="L24" i="13" s="1"/>
  <c r="K17" i="13"/>
  <c r="L17" i="13" s="1"/>
  <c r="K19" i="13"/>
  <c r="L19" i="13" s="1"/>
  <c r="K11" i="13"/>
  <c r="L11" i="13" s="1"/>
  <c r="K28" i="13"/>
  <c r="L28" i="13" s="1"/>
  <c r="K13" i="13"/>
  <c r="L13" i="13" s="1"/>
  <c r="K18" i="13"/>
  <c r="L18" i="13" s="1"/>
  <c r="K26" i="13"/>
  <c r="L26" i="13" s="1"/>
  <c r="K37" i="13"/>
  <c r="L37" i="13" s="1"/>
  <c r="K20" i="13"/>
  <c r="L20" i="13" s="1"/>
  <c r="K15" i="13"/>
  <c r="L15" i="13" s="1"/>
  <c r="K35" i="13"/>
  <c r="L35" i="13" s="1"/>
  <c r="K27" i="13"/>
  <c r="L27" i="13" s="1"/>
  <c r="O16" i="13"/>
  <c r="L34" i="13"/>
  <c r="O15" i="13"/>
  <c r="K14" i="13"/>
  <c r="L14" i="13" s="1"/>
  <c r="O14" i="13"/>
  <c r="K30" i="13"/>
  <c r="L30" i="13" s="1"/>
  <c r="O13" i="13"/>
  <c r="K12" i="13"/>
  <c r="L12" i="13" s="1"/>
  <c r="O12" i="13"/>
  <c r="K38" i="13"/>
  <c r="L38" i="13" s="1"/>
  <c r="O11" i="13"/>
  <c r="K25" i="13"/>
  <c r="G7" i="14" l="1"/>
  <c r="O17" i="13"/>
  <c r="K56" i="13"/>
  <c r="G4" i="13" s="1"/>
  <c r="K56" i="14"/>
  <c r="I6" i="14" s="1"/>
  <c r="O17" i="15"/>
  <c r="K56" i="15"/>
  <c r="G4" i="14"/>
  <c r="L56" i="14"/>
  <c r="I4" i="14" s="1"/>
  <c r="L25" i="13"/>
  <c r="G7" i="13"/>
  <c r="H83" i="4"/>
  <c r="J74" i="4"/>
  <c r="I74" i="4"/>
  <c r="H74" i="4"/>
  <c r="J56" i="4"/>
  <c r="I56" i="4"/>
  <c r="H56" i="4"/>
  <c r="G3" i="4" s="1"/>
  <c r="D56" i="4"/>
  <c r="G79" i="4" s="1"/>
  <c r="K55" i="4"/>
  <c r="L55" i="4" s="1"/>
  <c r="K54" i="4"/>
  <c r="L54" i="4" s="1"/>
  <c r="K53" i="4"/>
  <c r="L53" i="4" s="1"/>
  <c r="L52" i="4"/>
  <c r="K52" i="4"/>
  <c r="K51" i="4"/>
  <c r="L51" i="4" s="1"/>
  <c r="K50" i="4"/>
  <c r="L50" i="4" s="1"/>
  <c r="K49" i="4"/>
  <c r="L49" i="4" s="1"/>
  <c r="K48" i="4"/>
  <c r="L48" i="4" s="1"/>
  <c r="K47" i="4"/>
  <c r="L47" i="4" s="1"/>
  <c r="K46" i="4"/>
  <c r="L46" i="4" s="1"/>
  <c r="K45" i="4"/>
  <c r="L45" i="4" s="1"/>
  <c r="K44" i="4"/>
  <c r="L44" i="4" s="1"/>
  <c r="K43" i="4"/>
  <c r="L43" i="4" s="1"/>
  <c r="K42" i="4"/>
  <c r="L42" i="4" s="1"/>
  <c r="K41" i="4"/>
  <c r="L41" i="4" s="1"/>
  <c r="K40" i="4"/>
  <c r="L40" i="4" s="1"/>
  <c r="K39" i="4"/>
  <c r="L39" i="4" s="1"/>
  <c r="K38" i="4"/>
  <c r="L38" i="4" s="1"/>
  <c r="K37" i="4"/>
  <c r="L37" i="4" s="1"/>
  <c r="K36" i="4"/>
  <c r="L36" i="4" s="1"/>
  <c r="K35" i="4"/>
  <c r="L35" i="4" s="1"/>
  <c r="K34" i="4"/>
  <c r="L34" i="4" s="1"/>
  <c r="K33" i="4"/>
  <c r="L33" i="4" s="1"/>
  <c r="K32" i="4"/>
  <c r="L32" i="4" s="1"/>
  <c r="K31" i="4"/>
  <c r="L31" i="4" s="1"/>
  <c r="K30" i="4"/>
  <c r="L30" i="4" s="1"/>
  <c r="K29" i="4"/>
  <c r="L29" i="4" s="1"/>
  <c r="K28" i="4"/>
  <c r="L28" i="4" s="1"/>
  <c r="K27" i="4"/>
  <c r="L27" i="4" s="1"/>
  <c r="K26" i="4"/>
  <c r="L26" i="4" s="1"/>
  <c r="K25" i="4"/>
  <c r="L25" i="4" s="1"/>
  <c r="K24" i="4"/>
  <c r="L24" i="4" s="1"/>
  <c r="K23" i="4"/>
  <c r="L23" i="4" s="1"/>
  <c r="K22" i="4"/>
  <c r="L22" i="4" s="1"/>
  <c r="K21" i="4"/>
  <c r="L21" i="4" s="1"/>
  <c r="L20" i="4"/>
  <c r="K20" i="4"/>
  <c r="K19" i="4"/>
  <c r="L19" i="4" s="1"/>
  <c r="K18" i="4"/>
  <c r="L18" i="4" s="1"/>
  <c r="K17" i="4"/>
  <c r="L17" i="4" s="1"/>
  <c r="O16" i="4"/>
  <c r="K16" i="4"/>
  <c r="L16" i="4" s="1"/>
  <c r="O15" i="4"/>
  <c r="K15" i="4"/>
  <c r="L15" i="4" s="1"/>
  <c r="O14" i="4"/>
  <c r="K14" i="4"/>
  <c r="L14" i="4" s="1"/>
  <c r="O13" i="4"/>
  <c r="K13" i="4"/>
  <c r="L13" i="4" s="1"/>
  <c r="O12" i="4"/>
  <c r="K12" i="4"/>
  <c r="L12" i="4" s="1"/>
  <c r="O11" i="4"/>
  <c r="O17" i="4" s="1"/>
  <c r="K11" i="4"/>
  <c r="L11" i="4" s="1"/>
  <c r="G7" i="4"/>
  <c r="H83" i="1"/>
  <c r="J74" i="1"/>
  <c r="I74" i="1"/>
  <c r="H74" i="1"/>
  <c r="J56" i="1"/>
  <c r="I56" i="1"/>
  <c r="H56" i="1"/>
  <c r="G3" i="1" s="1"/>
  <c r="D56" i="1"/>
  <c r="G79" i="1" s="1"/>
  <c r="K55" i="1"/>
  <c r="L55" i="1" s="1"/>
  <c r="L54" i="1"/>
  <c r="K54" i="1"/>
  <c r="K53" i="1"/>
  <c r="L53" i="1" s="1"/>
  <c r="L52" i="1"/>
  <c r="K52" i="1"/>
  <c r="K51" i="1"/>
  <c r="L51" i="1" s="1"/>
  <c r="L50" i="1"/>
  <c r="K50" i="1"/>
  <c r="K49" i="1"/>
  <c r="L49" i="1" s="1"/>
  <c r="L48" i="1"/>
  <c r="K48" i="1"/>
  <c r="K47" i="1"/>
  <c r="L47" i="1" s="1"/>
  <c r="L46" i="1"/>
  <c r="K46" i="1"/>
  <c r="K45" i="1"/>
  <c r="L45" i="1" s="1"/>
  <c r="L44" i="1"/>
  <c r="K44" i="1"/>
  <c r="K43" i="1"/>
  <c r="L43" i="1" s="1"/>
  <c r="L42" i="1"/>
  <c r="K42" i="1"/>
  <c r="K41" i="1"/>
  <c r="L41" i="1" s="1"/>
  <c r="L40" i="1"/>
  <c r="K40" i="1"/>
  <c r="K39" i="1"/>
  <c r="L39" i="1" s="1"/>
  <c r="L38" i="1"/>
  <c r="K38" i="1"/>
  <c r="K37" i="1"/>
  <c r="L37" i="1" s="1"/>
  <c r="L36" i="1"/>
  <c r="K36" i="1"/>
  <c r="K35" i="1"/>
  <c r="L35" i="1" s="1"/>
  <c r="L34" i="1"/>
  <c r="K34" i="1"/>
  <c r="K33" i="1"/>
  <c r="L33" i="1" s="1"/>
  <c r="L32" i="1"/>
  <c r="K32" i="1"/>
  <c r="K31" i="1"/>
  <c r="L31" i="1" s="1"/>
  <c r="L30" i="1"/>
  <c r="K30" i="1"/>
  <c r="K29" i="1"/>
  <c r="L29" i="1" s="1"/>
  <c r="L28" i="1"/>
  <c r="K28" i="1"/>
  <c r="K27" i="1"/>
  <c r="L27" i="1" s="1"/>
  <c r="L26" i="1"/>
  <c r="K26" i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O16" i="1"/>
  <c r="K16" i="1"/>
  <c r="L16" i="1" s="1"/>
  <c r="O15" i="1"/>
  <c r="L15" i="1"/>
  <c r="K15" i="1"/>
  <c r="O14" i="1"/>
  <c r="K14" i="1"/>
  <c r="L14" i="1" s="1"/>
  <c r="O13" i="1"/>
  <c r="K13" i="1"/>
  <c r="L13" i="1" s="1"/>
  <c r="O12" i="1"/>
  <c r="K12" i="1"/>
  <c r="L12" i="1" s="1"/>
  <c r="O11" i="1"/>
  <c r="O17" i="1" s="1"/>
  <c r="K11" i="1"/>
  <c r="L11" i="1" s="1"/>
  <c r="G7" i="1"/>
  <c r="L56" i="13" l="1"/>
  <c r="I4" i="13" s="1"/>
  <c r="I6" i="13"/>
  <c r="I6" i="15"/>
  <c r="G4" i="15"/>
  <c r="L56" i="15"/>
  <c r="I4" i="15" s="1"/>
  <c r="K56" i="4"/>
  <c r="K56" i="1"/>
  <c r="L56" i="4" l="1"/>
  <c r="I4" i="4" s="1"/>
  <c r="I6" i="4"/>
  <c r="G4" i="4"/>
  <c r="L56" i="1"/>
  <c r="I4" i="1" s="1"/>
  <c r="I6" i="1"/>
  <c r="G4" i="1"/>
</calcChain>
</file>

<file path=xl/comments1.xml><?xml version="1.0" encoding="utf-8"?>
<comments xmlns="http://schemas.openxmlformats.org/spreadsheetml/2006/main">
  <authors>
    <author>Usuario</author>
  </authors>
  <commentList>
    <comment ref="H8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Usuario</author>
  </authors>
  <commentList>
    <comment ref="H8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TROPA 01-02
</t>
        </r>
      </text>
    </comment>
  </commentList>
</comments>
</file>

<file path=xl/comments3.xml><?xml version="1.0" encoding="utf-8"?>
<comments xmlns="http://schemas.openxmlformats.org/spreadsheetml/2006/main">
  <authors>
    <author>Usuario</author>
  </authors>
  <commentList>
    <comment ref="H8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Usuario</author>
  </authors>
  <commentList>
    <comment ref="H8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Usuario</author>
  </authors>
  <commentList>
    <comment ref="H8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Usuario</author>
  </authors>
  <commentList>
    <comment ref="H8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>
  <authors>
    <author>Usuario</author>
  </authors>
  <commentList>
    <comment ref="H8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>
  <authors>
    <author>Usuario</author>
  </authors>
  <commentList>
    <comment ref="H8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>
  <authors>
    <author>Usuario</author>
  </authors>
  <commentList>
    <comment ref="H8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>
  <authors>
    <author>Usuario</author>
  </authors>
  <commentList>
    <comment ref="H8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>
  <authors>
    <author>Usuario</author>
  </authors>
  <commentList>
    <comment ref="H8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>
  <authors>
    <author>Usuario</author>
  </authors>
  <commentList>
    <comment ref="H8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>
  <authors>
    <author>Usuario</author>
  </authors>
  <commentList>
    <comment ref="H8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>
  <authors>
    <author>Usuario</author>
  </authors>
  <commentList>
    <comment ref="H8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>
  <authors>
    <author>Usuario</author>
  </authors>
  <commentList>
    <comment ref="H84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>
  <authors>
    <author>Usuario</author>
  </authors>
  <commentList>
    <comment ref="H8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>
  <authors>
    <author>Usuario</author>
  </authors>
  <commentList>
    <comment ref="H8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0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tropa 18-19-20</t>
        </r>
      </text>
    </comment>
  </commentList>
</comments>
</file>

<file path=xl/comments21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Tropa 21-22-23</t>
        </r>
      </text>
    </comment>
  </commentList>
</comments>
</file>

<file path=xl/comments22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3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4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Tropa 24-25
</t>
        </r>
      </text>
    </comment>
  </commentList>
</comments>
</file>

<file path=xl/comments25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6.xml><?xml version="1.0" encoding="utf-8"?>
<comments xmlns="http://schemas.openxmlformats.org/spreadsheetml/2006/main">
  <authors>
    <author>Usuario</author>
  </authors>
  <commentList>
    <comment ref="I100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7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8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9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0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1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2.xml><?xml version="1.0" encoding="utf-8"?>
<comments xmlns="http://schemas.openxmlformats.org/spreadsheetml/2006/main">
  <authors>
    <author>Usuario</author>
  </authors>
  <commentList>
    <comment ref="I100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3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4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5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6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7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8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9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0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1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2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3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4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5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6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7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8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9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0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1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2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3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4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5.xml><?xml version="1.0" encoding="utf-8"?>
<comments xmlns="http://schemas.openxmlformats.org/spreadsheetml/2006/main">
  <authors>
    <author>Usuario</author>
  </authors>
  <commentList>
    <comment ref="I100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6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7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8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9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0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1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2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3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4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5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6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7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8.xml><?xml version="1.0" encoding="utf-8"?>
<comments xmlns="http://schemas.openxmlformats.org/spreadsheetml/2006/main">
  <authors>
    <author>Usuario</author>
  </authors>
  <commentList>
    <comment ref="I95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9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0.xml><?xml version="1.0" encoding="utf-8"?>
<comments xmlns="http://schemas.openxmlformats.org/spreadsheetml/2006/main">
  <authors>
    <author>Usuario</author>
  </authors>
  <commentList>
    <comment ref="I100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1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2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3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4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5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6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7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8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9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0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1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2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3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4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5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6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7.xml><?xml version="1.0" encoding="utf-8"?>
<comments xmlns="http://schemas.openxmlformats.org/spreadsheetml/2006/main">
  <authors>
    <author>Usuario</author>
  </authors>
  <commentList>
    <comment ref="I100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8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9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0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1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2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3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4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5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6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7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8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9.xml><?xml version="1.0" encoding="utf-8"?>
<comments xmlns="http://schemas.openxmlformats.org/spreadsheetml/2006/main">
  <authors>
    <author>Usuario</author>
  </authors>
  <commentList>
    <comment ref="I94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0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1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2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3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4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5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6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7.xml><?xml version="1.0" encoding="utf-8"?>
<comments xmlns="http://schemas.openxmlformats.org/spreadsheetml/2006/main">
  <authors>
    <author>Usuario</author>
  </authors>
  <commentList>
    <comment ref="I93" author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<sst xmlns="http://schemas.openxmlformats.org/spreadsheetml/2006/main" count="15084" uniqueCount="1925">
  <si>
    <t>SOBRE kg vivo de:</t>
  </si>
  <si>
    <t>SOBRE 1/2 res de:</t>
  </si>
  <si>
    <t>FECHA DE FAENA:</t>
  </si>
  <si>
    <t>TROPA Nº:</t>
  </si>
  <si>
    <t>CANTIDAD ANIMALES:</t>
  </si>
  <si>
    <t>Nº
 ANIMAL</t>
  </si>
  <si>
    <t>TIPO DE ANIMAL</t>
  </si>
  <si>
    <t>Nº CARAVANA</t>
  </si>
  <si>
    <t>NOVILLITO (NT)</t>
  </si>
  <si>
    <t>Nº 
GARRON</t>
  </si>
  <si>
    <t>KG 1/2 A</t>
  </si>
  <si>
    <t>KG 1/2 B</t>
  </si>
  <si>
    <t>MENUDENCIA</t>
  </si>
  <si>
    <t>HIGADO</t>
  </si>
  <si>
    <t>RIÑON</t>
  </si>
  <si>
    <t>CORAZON</t>
  </si>
  <si>
    <t>LENGUA</t>
  </si>
  <si>
    <t>TRIPA GORDA</t>
  </si>
  <si>
    <t>SESOS</t>
  </si>
  <si>
    <t>RABO</t>
  </si>
  <si>
    <t>TENDON</t>
  </si>
  <si>
    <t>TOTALES</t>
  </si>
  <si>
    <t>SUBPRODUCTOS</t>
  </si>
  <si>
    <t>HUESO</t>
  </si>
  <si>
    <t>CUERO</t>
  </si>
  <si>
    <t>TOTAL KG</t>
  </si>
  <si>
    <t>KG ENTRADA</t>
  </si>
  <si>
    <t xml:space="preserve">RINDE
FAENA </t>
  </si>
  <si>
    <t>RINDE</t>
  </si>
  <si>
    <t>DESPERDICIO DE FAENA</t>
  </si>
  <si>
    <t xml:space="preserve">KG </t>
  </si>
  <si>
    <t>KG</t>
  </si>
  <si>
    <t>CANTIDAD</t>
  </si>
  <si>
    <t>UN.</t>
  </si>
  <si>
    <t>GRASA FAENA</t>
  </si>
  <si>
    <t xml:space="preserve">GRASA DREASING </t>
  </si>
  <si>
    <t>PROM.</t>
  </si>
  <si>
    <t>VAQUILLONA (Vq)</t>
  </si>
  <si>
    <t xml:space="preserve">MATARIFE: </t>
  </si>
  <si>
    <t>NOVILLO (No)</t>
  </si>
  <si>
    <t>Vq</t>
  </si>
  <si>
    <t>S/C</t>
  </si>
  <si>
    <t>NT</t>
  </si>
  <si>
    <t>TORITO (MEJ)</t>
  </si>
  <si>
    <t>MEJ</t>
  </si>
  <si>
    <t>No</t>
  </si>
  <si>
    <t>Va</t>
  </si>
  <si>
    <t>To</t>
  </si>
  <si>
    <t>QUIJADA (KG)</t>
  </si>
  <si>
    <t>CARNE DE CABEZA (KG)</t>
  </si>
  <si>
    <t>VACA (Va)</t>
  </si>
  <si>
    <t>TORO (To)</t>
  </si>
  <si>
    <t>C037</t>
  </si>
  <si>
    <t>Kg Decomiso</t>
  </si>
  <si>
    <t>Unidad</t>
  </si>
  <si>
    <t>B042</t>
  </si>
  <si>
    <t>B620</t>
  </si>
  <si>
    <t>A295</t>
  </si>
  <si>
    <t>A021</t>
  </si>
  <si>
    <t>CHINCHULIN (KG)</t>
  </si>
  <si>
    <t>MOLLEJAS (KG)</t>
  </si>
  <si>
    <t>CENTRO DE ENTRAÑA</t>
  </si>
  <si>
    <t>2D - VQ</t>
  </si>
  <si>
    <t>RAZA</t>
  </si>
  <si>
    <t>Hereford</t>
  </si>
  <si>
    <t>Careta</t>
  </si>
  <si>
    <t>Holando</t>
  </si>
  <si>
    <t>HE</t>
  </si>
  <si>
    <t>CA</t>
  </si>
  <si>
    <t>HO</t>
  </si>
  <si>
    <t>BN</t>
  </si>
  <si>
    <t>Brahman</t>
  </si>
  <si>
    <t>Brangus</t>
  </si>
  <si>
    <t>BS</t>
  </si>
  <si>
    <t>Aberdeen Angus</t>
  </si>
  <si>
    <t>AA</t>
  </si>
  <si>
    <t>Braford</t>
  </si>
  <si>
    <t>C590</t>
  </si>
  <si>
    <t>BD</t>
  </si>
  <si>
    <t>A532</t>
  </si>
  <si>
    <t>CH</t>
  </si>
  <si>
    <t>2D - MEJ</t>
  </si>
  <si>
    <t>C665</t>
  </si>
  <si>
    <t>MORAGA MAXIMILIANO IVAN</t>
  </si>
  <si>
    <t>A244</t>
  </si>
  <si>
    <t>GANADERA NORTE NEUQUINO SAS</t>
  </si>
  <si>
    <t>A002</t>
  </si>
  <si>
    <t>A076</t>
  </si>
  <si>
    <t>Nº DTE:</t>
  </si>
  <si>
    <t>B609</t>
  </si>
  <si>
    <t>B000</t>
  </si>
  <si>
    <t>B095</t>
  </si>
  <si>
    <t>C080</t>
  </si>
  <si>
    <t>A423</t>
  </si>
  <si>
    <t>E416</t>
  </si>
  <si>
    <t>A343</t>
  </si>
  <si>
    <t>D816</t>
  </si>
  <si>
    <t>D177</t>
  </si>
  <si>
    <t>D775</t>
  </si>
  <si>
    <t>E449</t>
  </si>
  <si>
    <t>C115</t>
  </si>
  <si>
    <t>D766</t>
  </si>
  <si>
    <t>D845</t>
  </si>
  <si>
    <t>30942026-8</t>
  </si>
  <si>
    <t>G041</t>
  </si>
  <si>
    <t>F882</t>
  </si>
  <si>
    <t>G001</t>
  </si>
  <si>
    <t>G457</t>
  </si>
  <si>
    <t>F860</t>
  </si>
  <si>
    <t>B685</t>
  </si>
  <si>
    <t>C666</t>
  </si>
  <si>
    <t>Y741</t>
  </si>
  <si>
    <t>B028</t>
  </si>
  <si>
    <t>C521</t>
  </si>
  <si>
    <t>O651</t>
  </si>
  <si>
    <t>A945</t>
  </si>
  <si>
    <t>G377</t>
  </si>
  <si>
    <t>G009</t>
  </si>
  <si>
    <t>L902</t>
  </si>
  <si>
    <t>L714</t>
  </si>
  <si>
    <t>F799</t>
  </si>
  <si>
    <t>A107</t>
  </si>
  <si>
    <t>8D - NO</t>
  </si>
  <si>
    <t>L592</t>
  </si>
  <si>
    <t>B682</t>
  </si>
  <si>
    <t>D040</t>
  </si>
  <si>
    <t>L600</t>
  </si>
  <si>
    <t>G455</t>
  </si>
  <si>
    <t>C498</t>
  </si>
  <si>
    <t>30941539-6</t>
  </si>
  <si>
    <t>2D - NT</t>
  </si>
  <si>
    <t>G676</t>
  </si>
  <si>
    <t>D304</t>
  </si>
  <si>
    <t>4D - NT</t>
  </si>
  <si>
    <t>B644</t>
  </si>
  <si>
    <t>E928</t>
  </si>
  <si>
    <t>E359</t>
  </si>
  <si>
    <t>F383</t>
  </si>
  <si>
    <t>E627</t>
  </si>
  <si>
    <t>B927</t>
  </si>
  <si>
    <t>A665</t>
  </si>
  <si>
    <t>E613</t>
  </si>
  <si>
    <t>F281</t>
  </si>
  <si>
    <t>F725</t>
  </si>
  <si>
    <t>B880</t>
  </si>
  <si>
    <t>C708</t>
  </si>
  <si>
    <t>A664</t>
  </si>
  <si>
    <t>C659</t>
  </si>
  <si>
    <t>F417</t>
  </si>
  <si>
    <t>E794</t>
  </si>
  <si>
    <t>E915</t>
  </si>
  <si>
    <t>E616</t>
  </si>
  <si>
    <t>B279</t>
  </si>
  <si>
    <t>E995</t>
  </si>
  <si>
    <t>E929</t>
  </si>
  <si>
    <t>B843</t>
  </si>
  <si>
    <t>A256</t>
  </si>
  <si>
    <t>30943268-1</t>
  </si>
  <si>
    <t>S776</t>
  </si>
  <si>
    <t>S772</t>
  </si>
  <si>
    <t>S859</t>
  </si>
  <si>
    <t>S617</t>
  </si>
  <si>
    <t>S840</t>
  </si>
  <si>
    <t>S779</t>
  </si>
  <si>
    <t>S888</t>
  </si>
  <si>
    <t>S620</t>
  </si>
  <si>
    <t>S695</t>
  </si>
  <si>
    <t>S563</t>
  </si>
  <si>
    <t>S785</t>
  </si>
  <si>
    <t>S883</t>
  </si>
  <si>
    <t>S868</t>
  </si>
  <si>
    <t>S856</t>
  </si>
  <si>
    <t>S810</t>
  </si>
  <si>
    <t>S762</t>
  </si>
  <si>
    <t>S835</t>
  </si>
  <si>
    <t>S768</t>
  </si>
  <si>
    <t>S799</t>
  </si>
  <si>
    <t>S765</t>
  </si>
  <si>
    <t>S851</t>
  </si>
  <si>
    <t>S892</t>
  </si>
  <si>
    <t>S862</t>
  </si>
  <si>
    <t>S819</t>
  </si>
  <si>
    <t>S848</t>
  </si>
  <si>
    <t>S822</t>
  </si>
  <si>
    <t>S394</t>
  </si>
  <si>
    <t>S626</t>
  </si>
  <si>
    <t>S826</t>
  </si>
  <si>
    <t>S831</t>
  </si>
  <si>
    <t>S431</t>
  </si>
  <si>
    <t>S731</t>
  </si>
  <si>
    <t>S401</t>
  </si>
  <si>
    <t>O864</t>
  </si>
  <si>
    <t>S833</t>
  </si>
  <si>
    <t>S420</t>
  </si>
  <si>
    <t>S489</t>
  </si>
  <si>
    <t>S767</t>
  </si>
  <si>
    <t>S536</t>
  </si>
  <si>
    <t>30944307-1</t>
  </si>
  <si>
    <t>6D - NO</t>
  </si>
  <si>
    <t>B301</t>
  </si>
  <si>
    <t>E591</t>
  </si>
  <si>
    <t>A042</t>
  </si>
  <si>
    <t>A086</t>
  </si>
  <si>
    <t>A368</t>
  </si>
  <si>
    <t>E593</t>
  </si>
  <si>
    <t>E765</t>
  </si>
  <si>
    <t>B473</t>
  </si>
  <si>
    <t>F222</t>
  </si>
  <si>
    <t>A071</t>
  </si>
  <si>
    <t>B309</t>
  </si>
  <si>
    <t>A502</t>
  </si>
  <si>
    <t>E27</t>
  </si>
  <si>
    <t>A110</t>
  </si>
  <si>
    <t>E771</t>
  </si>
  <si>
    <t>A179</t>
  </si>
  <si>
    <t>B332</t>
  </si>
  <si>
    <t>A056</t>
  </si>
  <si>
    <t>A793</t>
  </si>
  <si>
    <t>B520</t>
  </si>
  <si>
    <t>B294</t>
  </si>
  <si>
    <t>A100</t>
  </si>
  <si>
    <t>E557</t>
  </si>
  <si>
    <t>A109</t>
  </si>
  <si>
    <t>D193</t>
  </si>
  <si>
    <t>C679</t>
  </si>
  <si>
    <t>B300</t>
  </si>
  <si>
    <t>D271</t>
  </si>
  <si>
    <t>E799</t>
  </si>
  <si>
    <t>DISTRIBUIDORA DE LA PATAGONIA SRL</t>
  </si>
  <si>
    <t>030944734-4</t>
  </si>
  <si>
    <t>DOS DE FIERRO SA</t>
  </si>
  <si>
    <t>DISTRIBUIDORA DE LA PATAGONIA</t>
  </si>
  <si>
    <t>30944826-5</t>
  </si>
  <si>
    <t>B623</t>
  </si>
  <si>
    <t>E764</t>
  </si>
  <si>
    <t>B322</t>
  </si>
  <si>
    <t>B639</t>
  </si>
  <si>
    <t>B610</t>
  </si>
  <si>
    <t>B648</t>
  </si>
  <si>
    <t>E510</t>
  </si>
  <si>
    <t>E583</t>
  </si>
  <si>
    <t>B278</t>
  </si>
  <si>
    <t>B712</t>
  </si>
  <si>
    <t>E893</t>
  </si>
  <si>
    <t>E527</t>
  </si>
  <si>
    <t>B617</t>
  </si>
  <si>
    <t>B646</t>
  </si>
  <si>
    <t>L978</t>
  </si>
  <si>
    <t>B638</t>
  </si>
  <si>
    <t>B79</t>
  </si>
  <si>
    <t>A955</t>
  </si>
  <si>
    <t>E240</t>
  </si>
  <si>
    <t>E271</t>
  </si>
  <si>
    <t>A389</t>
  </si>
  <si>
    <t>A370</t>
  </si>
  <si>
    <t>E228</t>
  </si>
  <si>
    <t>D147</t>
  </si>
  <si>
    <t>D409</t>
  </si>
  <si>
    <t>A391</t>
  </si>
  <si>
    <t>D768</t>
  </si>
  <si>
    <t>30956346-8</t>
  </si>
  <si>
    <t>L541</t>
  </si>
  <si>
    <t>4D - VA</t>
  </si>
  <si>
    <t>C878</t>
  </si>
  <si>
    <t>8D - VA</t>
  </si>
  <si>
    <t>D541</t>
  </si>
  <si>
    <t>B673</t>
  </si>
  <si>
    <t>A608</t>
  </si>
  <si>
    <t>B494</t>
  </si>
  <si>
    <t>A874</t>
  </si>
  <si>
    <t>A536</t>
  </si>
  <si>
    <t>D027</t>
  </si>
  <si>
    <t>L043</t>
  </si>
  <si>
    <t>B839</t>
  </si>
  <si>
    <t>A020</t>
  </si>
  <si>
    <t>B485</t>
  </si>
  <si>
    <t>B499</t>
  </si>
  <si>
    <t>BR</t>
  </si>
  <si>
    <t>A621</t>
  </si>
  <si>
    <t>B662</t>
  </si>
  <si>
    <t>A121</t>
  </si>
  <si>
    <t>C579</t>
  </si>
  <si>
    <t>L027</t>
  </si>
  <si>
    <t>A688</t>
  </si>
  <si>
    <t>A277</t>
  </si>
  <si>
    <t>A456</t>
  </si>
  <si>
    <t>B440</t>
  </si>
  <si>
    <t>E671</t>
  </si>
  <si>
    <t>L029</t>
  </si>
  <si>
    <t>A615</t>
  </si>
  <si>
    <t>L190</t>
  </si>
  <si>
    <t>B496</t>
  </si>
  <si>
    <t>E048</t>
  </si>
  <si>
    <t>L257</t>
  </si>
  <si>
    <t>D096</t>
  </si>
  <si>
    <t>C564</t>
  </si>
  <si>
    <t>MUCA S.A.S.</t>
  </si>
  <si>
    <t>30952572-8</t>
  </si>
  <si>
    <t>J101</t>
  </si>
  <si>
    <t>J160</t>
  </si>
  <si>
    <t>J110</t>
  </si>
  <si>
    <t>J156</t>
  </si>
  <si>
    <t>J159</t>
  </si>
  <si>
    <t>MUCA S.A.S</t>
  </si>
  <si>
    <t>30951710-5</t>
  </si>
  <si>
    <t>A028</t>
  </si>
  <si>
    <t>A018</t>
  </si>
  <si>
    <t>A023</t>
  </si>
  <si>
    <t>A041</t>
  </si>
  <si>
    <t>A007</t>
  </si>
  <si>
    <t>A024</t>
  </si>
  <si>
    <t>A000</t>
  </si>
  <si>
    <t>A030</t>
  </si>
  <si>
    <t>30951810-1</t>
  </si>
  <si>
    <t>C304</t>
  </si>
  <si>
    <t>C298</t>
  </si>
  <si>
    <t>A348</t>
  </si>
  <si>
    <t>C282</t>
  </si>
  <si>
    <t>A012</t>
  </si>
  <si>
    <t>C359</t>
  </si>
  <si>
    <t>B764</t>
  </si>
  <si>
    <t>A013</t>
  </si>
  <si>
    <t>C307</t>
  </si>
  <si>
    <t>C302</t>
  </si>
  <si>
    <t>C283</t>
  </si>
  <si>
    <t>C361</t>
  </si>
  <si>
    <t>C362</t>
  </si>
  <si>
    <t>C309</t>
  </si>
  <si>
    <t>C363</t>
  </si>
  <si>
    <t>A183</t>
  </si>
  <si>
    <t>C303</t>
  </si>
  <si>
    <t>A184</t>
  </si>
  <si>
    <t>C332</t>
  </si>
  <si>
    <t>C731</t>
  </si>
  <si>
    <t>FERREYRA MARTIN</t>
  </si>
  <si>
    <t>30955470-1</t>
  </si>
  <si>
    <t>C360</t>
  </si>
  <si>
    <t>C311</t>
  </si>
  <si>
    <t xml:space="preserve">FERREYRA MARTIN </t>
  </si>
  <si>
    <t>D812</t>
  </si>
  <si>
    <t>G625</t>
  </si>
  <si>
    <t>O364</t>
  </si>
  <si>
    <t>O396</t>
  </si>
  <si>
    <t>E770</t>
  </si>
  <si>
    <t>B076</t>
  </si>
  <si>
    <t>B106</t>
  </si>
  <si>
    <t>D457</t>
  </si>
  <si>
    <t>O732</t>
  </si>
  <si>
    <t>D236</t>
  </si>
  <si>
    <t>R508</t>
  </si>
  <si>
    <t>O756</t>
  </si>
  <si>
    <t>G403</t>
  </si>
  <si>
    <t>O366</t>
  </si>
  <si>
    <t>O320</t>
  </si>
  <si>
    <t>O672</t>
  </si>
  <si>
    <t>E835</t>
  </si>
  <si>
    <t>O614</t>
  </si>
  <si>
    <t>E813</t>
  </si>
  <si>
    <t>O622</t>
  </si>
  <si>
    <t>O854</t>
  </si>
  <si>
    <t>E674</t>
  </si>
  <si>
    <t>O511</t>
  </si>
  <si>
    <t>O538</t>
  </si>
  <si>
    <t>30959571-8</t>
  </si>
  <si>
    <t>A668</t>
  </si>
  <si>
    <t>A630</t>
  </si>
  <si>
    <t>A662</t>
  </si>
  <si>
    <t>A278</t>
  </si>
  <si>
    <t>A667</t>
  </si>
  <si>
    <t>A618</t>
  </si>
  <si>
    <t>A648</t>
  </si>
  <si>
    <t>A605</t>
  </si>
  <si>
    <t>A637</t>
  </si>
  <si>
    <t>A607</t>
  </si>
  <si>
    <t>A293</t>
  </si>
  <si>
    <t>A620</t>
  </si>
  <si>
    <t>A642</t>
  </si>
  <si>
    <t>A602</t>
  </si>
  <si>
    <t>A474</t>
  </si>
  <si>
    <t>A647</t>
  </si>
  <si>
    <t>A611</t>
  </si>
  <si>
    <t>A284</t>
  </si>
  <si>
    <t>A283</t>
  </si>
  <si>
    <t>A286</t>
  </si>
  <si>
    <t>A632</t>
  </si>
  <si>
    <t>A473</t>
  </si>
  <si>
    <t>A612</t>
  </si>
  <si>
    <t>A287</t>
  </si>
  <si>
    <t>A627</t>
  </si>
  <si>
    <t>A639</t>
  </si>
  <si>
    <t>A616</t>
  </si>
  <si>
    <t>A606</t>
  </si>
  <si>
    <t>A635</t>
  </si>
  <si>
    <t>A603</t>
  </si>
  <si>
    <t>A625</t>
  </si>
  <si>
    <t>30971213-7</t>
  </si>
  <si>
    <t>FRIGORIFICO DE LA PATAGONIA SRL</t>
  </si>
  <si>
    <t>B047</t>
  </si>
  <si>
    <t>A936</t>
  </si>
  <si>
    <t>A913</t>
  </si>
  <si>
    <t>A938</t>
  </si>
  <si>
    <t>A940</t>
  </si>
  <si>
    <t>A863</t>
  </si>
  <si>
    <t>B048</t>
  </si>
  <si>
    <t>A746</t>
  </si>
  <si>
    <t>A742</t>
  </si>
  <si>
    <t>B049</t>
  </si>
  <si>
    <t>A872</t>
  </si>
  <si>
    <t>A937</t>
  </si>
  <si>
    <t>A703</t>
  </si>
  <si>
    <t>A931</t>
  </si>
  <si>
    <t>A776</t>
  </si>
  <si>
    <t>A859</t>
  </si>
  <si>
    <t>A932</t>
  </si>
  <si>
    <t>B046</t>
  </si>
  <si>
    <t>A939</t>
  </si>
  <si>
    <t>A934</t>
  </si>
  <si>
    <t>A981</t>
  </si>
  <si>
    <t>A990</t>
  </si>
  <si>
    <t>A871</t>
  </si>
  <si>
    <t>B045</t>
  </si>
  <si>
    <t>A933</t>
  </si>
  <si>
    <t>B041</t>
  </si>
  <si>
    <t>A895</t>
  </si>
  <si>
    <t>A969</t>
  </si>
  <si>
    <t>A905</t>
  </si>
  <si>
    <t>A891</t>
  </si>
  <si>
    <t>A046</t>
  </si>
  <si>
    <t>A862</t>
  </si>
  <si>
    <t>A556</t>
  </si>
  <si>
    <t>A963</t>
  </si>
  <si>
    <t>A840</t>
  </si>
  <si>
    <t>A803</t>
  </si>
  <si>
    <t>6D - VA</t>
  </si>
  <si>
    <t>A804</t>
  </si>
  <si>
    <t>A870</t>
  </si>
  <si>
    <t>A898</t>
  </si>
  <si>
    <t>30976882-5</t>
  </si>
  <si>
    <t>A589</t>
  </si>
  <si>
    <t>E256</t>
  </si>
  <si>
    <t>D320</t>
  </si>
  <si>
    <t>A855</t>
  </si>
  <si>
    <t>D119</t>
  </si>
  <si>
    <t>D779</t>
  </si>
  <si>
    <t>A908</t>
  </si>
  <si>
    <t>B628</t>
  </si>
  <si>
    <t>G821</t>
  </si>
  <si>
    <t>A651</t>
  </si>
  <si>
    <t>D313</t>
  </si>
  <si>
    <t>E270</t>
  </si>
  <si>
    <t>C121</t>
  </si>
  <si>
    <t>30977602-5</t>
  </si>
  <si>
    <t>C477</t>
  </si>
  <si>
    <t>B581</t>
  </si>
  <si>
    <t>B565</t>
  </si>
  <si>
    <t>C795</t>
  </si>
  <si>
    <t>B583</t>
  </si>
  <si>
    <t>B586</t>
  </si>
  <si>
    <t>B580</t>
  </si>
  <si>
    <t>A081</t>
  </si>
  <si>
    <t>B759</t>
  </si>
  <si>
    <t>B585</t>
  </si>
  <si>
    <t>B582</t>
  </si>
  <si>
    <t>G588</t>
  </si>
  <si>
    <t>D445</t>
  </si>
  <si>
    <t>A038</t>
  </si>
  <si>
    <t>A584</t>
  </si>
  <si>
    <t>B587</t>
  </si>
  <si>
    <t>30970200-5</t>
  </si>
  <si>
    <t>JORGE ALBERTO LASAGNO</t>
  </si>
  <si>
    <t>Estab. Faenador: Solemar Alimentaria S.A.</t>
  </si>
  <si>
    <t>Nº SENASA: 3986</t>
  </si>
  <si>
    <t>Matricula: 300</t>
  </si>
  <si>
    <t>Denticion</t>
  </si>
  <si>
    <t>Clasificacion</t>
  </si>
  <si>
    <t xml:space="preserve">Usuario/Matarife: </t>
  </si>
  <si>
    <t xml:space="preserve">Matricula: </t>
  </si>
  <si>
    <t>Nº Tropa:</t>
  </si>
  <si>
    <t>Cantidad Cabeza:</t>
  </si>
  <si>
    <t>Kg Vivo entrada:</t>
  </si>
  <si>
    <t>Kg 1/2 Res</t>
  </si>
  <si>
    <t>Rinde:</t>
  </si>
  <si>
    <t>Promedio:</t>
  </si>
  <si>
    <t>VQ</t>
  </si>
  <si>
    <t>NO</t>
  </si>
  <si>
    <t>TO</t>
  </si>
  <si>
    <t>VA</t>
  </si>
  <si>
    <t>Productor:</t>
  </si>
  <si>
    <t>Cuartos</t>
  </si>
  <si>
    <t>Kg</t>
  </si>
  <si>
    <t>Nº Guia:</t>
  </si>
  <si>
    <t>Cantidades</t>
  </si>
  <si>
    <t>Kg Dec.</t>
  </si>
  <si>
    <t>S</t>
  </si>
  <si>
    <t>B881</t>
  </si>
  <si>
    <t>B886</t>
  </si>
  <si>
    <t>A280</t>
  </si>
  <si>
    <t>j384</t>
  </si>
  <si>
    <t>L732</t>
  </si>
  <si>
    <t>A460</t>
  </si>
  <si>
    <t>B264</t>
  </si>
  <si>
    <t>A453</t>
  </si>
  <si>
    <t>A526</t>
  </si>
  <si>
    <t>L769</t>
  </si>
  <si>
    <t>A851</t>
  </si>
  <si>
    <t>C044</t>
  </si>
  <si>
    <t>B477</t>
  </si>
  <si>
    <t>C014</t>
  </si>
  <si>
    <t>A750</t>
  </si>
  <si>
    <t>B008</t>
  </si>
  <si>
    <t>A546</t>
  </si>
  <si>
    <t>B780</t>
  </si>
  <si>
    <t>A273</t>
  </si>
  <si>
    <t>B692</t>
  </si>
  <si>
    <t>A450</t>
  </si>
  <si>
    <t>A405</t>
  </si>
  <si>
    <t>B267</t>
  </si>
  <si>
    <t>A080</t>
  </si>
  <si>
    <t>B346</t>
  </si>
  <si>
    <t>L680</t>
  </si>
  <si>
    <t>B794</t>
  </si>
  <si>
    <t>A262</t>
  </si>
  <si>
    <t>A090</t>
  </si>
  <si>
    <t>A520</t>
  </si>
  <si>
    <t>A011</t>
  </si>
  <si>
    <t>A542</t>
  </si>
  <si>
    <t>2D</t>
  </si>
  <si>
    <t>4D</t>
  </si>
  <si>
    <t>30985076-9</t>
  </si>
  <si>
    <t>GANADERSA NORTE NEUQUINO SAS</t>
  </si>
  <si>
    <t>SCHINDLER MARTIN</t>
  </si>
  <si>
    <t>G-CHO26-00132</t>
  </si>
  <si>
    <t>D303</t>
  </si>
  <si>
    <t>G685</t>
  </si>
  <si>
    <t>E969</t>
  </si>
  <si>
    <t>A672</t>
  </si>
  <si>
    <t>A212</t>
  </si>
  <si>
    <t>G662</t>
  </si>
  <si>
    <t>F932</t>
  </si>
  <si>
    <t>A213</t>
  </si>
  <si>
    <t>F271</t>
  </si>
  <si>
    <t>F094</t>
  </si>
  <si>
    <t>F249</t>
  </si>
  <si>
    <t>C937</t>
  </si>
  <si>
    <t>C123</t>
  </si>
  <si>
    <t>D161</t>
  </si>
  <si>
    <t>A222</t>
  </si>
  <si>
    <t>C985</t>
  </si>
  <si>
    <t>G698</t>
  </si>
  <si>
    <t>E985</t>
  </si>
  <si>
    <t>A693</t>
  </si>
  <si>
    <t>K349</t>
  </si>
  <si>
    <t>C368</t>
  </si>
  <si>
    <t>C130</t>
  </si>
  <si>
    <t>C314</t>
  </si>
  <si>
    <t>C367</t>
  </si>
  <si>
    <t>C365</t>
  </si>
  <si>
    <t>C729</t>
  </si>
  <si>
    <t>C370</t>
  </si>
  <si>
    <t>C319</t>
  </si>
  <si>
    <t>C369</t>
  </si>
  <si>
    <t>E085</t>
  </si>
  <si>
    <t>C261</t>
  </si>
  <si>
    <t>LOGINPET SRL</t>
  </si>
  <si>
    <t>030977307-1</t>
  </si>
  <si>
    <t>G-CHO026-00091</t>
  </si>
  <si>
    <t>FERREYRA MARTIN RUBEN</t>
  </si>
  <si>
    <t>LASTRA PATRICIO RODENDO</t>
  </si>
  <si>
    <t>030982157-2</t>
  </si>
  <si>
    <t>Fecha Faena:</t>
  </si>
  <si>
    <t>B897</t>
  </si>
  <si>
    <t>J965</t>
  </si>
  <si>
    <t>J158</t>
  </si>
  <si>
    <t>C774</t>
  </si>
  <si>
    <t>H</t>
  </si>
  <si>
    <t>G447</t>
  </si>
  <si>
    <t>G654</t>
  </si>
  <si>
    <t>D008</t>
  </si>
  <si>
    <t>DOLORES PARRA S.A.</t>
  </si>
  <si>
    <t>30984118-2</t>
  </si>
  <si>
    <t>26-00014</t>
  </si>
  <si>
    <t>C875</t>
  </si>
  <si>
    <t>E562</t>
  </si>
  <si>
    <t>E570</t>
  </si>
  <si>
    <t>A289</t>
  </si>
  <si>
    <t>C</t>
  </si>
  <si>
    <t>G601</t>
  </si>
  <si>
    <t>D353</t>
  </si>
  <si>
    <t>AGROPECUARIA DON MANUEL S.A.</t>
  </si>
  <si>
    <t>30983983-8</t>
  </si>
  <si>
    <t>26-00013</t>
  </si>
  <si>
    <t>8D</t>
  </si>
  <si>
    <t>G550</t>
  </si>
  <si>
    <t>30984276-6</t>
  </si>
  <si>
    <t>C160</t>
  </si>
  <si>
    <t>A329</t>
  </si>
  <si>
    <t>E634</t>
  </si>
  <si>
    <t>B665</t>
  </si>
  <si>
    <t>C144</t>
  </si>
  <si>
    <t>C393</t>
  </si>
  <si>
    <t>C100</t>
  </si>
  <si>
    <t>P660</t>
  </si>
  <si>
    <t>C767</t>
  </si>
  <si>
    <t>A373</t>
  </si>
  <si>
    <t>A130</t>
  </si>
  <si>
    <t>B352</t>
  </si>
  <si>
    <t>B200</t>
  </si>
  <si>
    <t>C716</t>
  </si>
  <si>
    <t>A919</t>
  </si>
  <si>
    <t>B386</t>
  </si>
  <si>
    <t>D489</t>
  </si>
  <si>
    <t>A929</t>
  </si>
  <si>
    <t>A075</t>
  </si>
  <si>
    <t>C655</t>
  </si>
  <si>
    <t>C076</t>
  </si>
  <si>
    <t>A255</t>
  </si>
  <si>
    <t>C159</t>
  </si>
  <si>
    <t xml:space="preserve">2D </t>
  </si>
  <si>
    <t>SARASOLA ESMIR ANTONIO</t>
  </si>
  <si>
    <t>31004413-5</t>
  </si>
  <si>
    <t>C074</t>
  </si>
  <si>
    <t>Y565</t>
  </si>
  <si>
    <t>B601</t>
  </si>
  <si>
    <t>C166</t>
  </si>
  <si>
    <t>A220</t>
  </si>
  <si>
    <t>FERREYRA RUBEN ALBERTO</t>
  </si>
  <si>
    <t>RUFFINI GABRIEL HORACIO</t>
  </si>
  <si>
    <t>31004669-8</t>
  </si>
  <si>
    <t>26-00203</t>
  </si>
  <si>
    <t>C212</t>
  </si>
  <si>
    <t>B248</t>
  </si>
  <si>
    <t>B979</t>
  </si>
  <si>
    <t>B656</t>
  </si>
  <si>
    <t>B951</t>
  </si>
  <si>
    <t>B653</t>
  </si>
  <si>
    <t>B793</t>
  </si>
  <si>
    <t>C017</t>
  </si>
  <si>
    <t>B111</t>
  </si>
  <si>
    <t>C026</t>
  </si>
  <si>
    <t>C265</t>
  </si>
  <si>
    <t>B937</t>
  </si>
  <si>
    <t>B697</t>
  </si>
  <si>
    <t>B946</t>
  </si>
  <si>
    <t>C064</t>
  </si>
  <si>
    <t>B827</t>
  </si>
  <si>
    <t>E759</t>
  </si>
  <si>
    <t>C184</t>
  </si>
  <si>
    <t>C031</t>
  </si>
  <si>
    <t>B553</t>
  </si>
  <si>
    <t>B578</t>
  </si>
  <si>
    <t>B857</t>
  </si>
  <si>
    <t>B938</t>
  </si>
  <si>
    <t>B790</t>
  </si>
  <si>
    <t>B567</t>
  </si>
  <si>
    <t>B554</t>
  </si>
  <si>
    <t>C011</t>
  </si>
  <si>
    <t>B112</t>
  </si>
  <si>
    <t>B980</t>
  </si>
  <si>
    <t>D799</t>
  </si>
  <si>
    <t>C025</t>
  </si>
  <si>
    <t>C070</t>
  </si>
  <si>
    <t>B847</t>
  </si>
  <si>
    <t>B635</t>
  </si>
  <si>
    <t>C157</t>
  </si>
  <si>
    <t>B660</t>
  </si>
  <si>
    <t>B104</t>
  </si>
  <si>
    <t>B705</t>
  </si>
  <si>
    <t>B923</t>
  </si>
  <si>
    <t>B593</t>
  </si>
  <si>
    <t>B998</t>
  </si>
  <si>
    <t>B297</t>
  </si>
  <si>
    <t>B269</t>
  </si>
  <si>
    <t>B724</t>
  </si>
  <si>
    <t>B570</t>
  </si>
  <si>
    <t>B882</t>
  </si>
  <si>
    <t>A927</t>
  </si>
  <si>
    <t xml:space="preserve">4D </t>
  </si>
  <si>
    <t>FRIGORIFICO DE LA PATAGONIA S.R.L.</t>
  </si>
  <si>
    <t>YAMINUHE SRL</t>
  </si>
  <si>
    <t>31018505-1</t>
  </si>
  <si>
    <t>L341</t>
  </si>
  <si>
    <t>S954</t>
  </si>
  <si>
    <t>K252</t>
  </si>
  <si>
    <t>A617</t>
  </si>
  <si>
    <t>D759</t>
  </si>
  <si>
    <t>K950</t>
  </si>
  <si>
    <t>G624</t>
  </si>
  <si>
    <t>A836</t>
  </si>
  <si>
    <t>B618</t>
  </si>
  <si>
    <t>O552</t>
  </si>
  <si>
    <t>A641</t>
  </si>
  <si>
    <t>G787</t>
  </si>
  <si>
    <t>L383</t>
  </si>
  <si>
    <t>L400</t>
  </si>
  <si>
    <t>O634</t>
  </si>
  <si>
    <t>G617</t>
  </si>
  <si>
    <t>L397</t>
  </si>
  <si>
    <t>O319</t>
  </si>
  <si>
    <t>G763</t>
  </si>
  <si>
    <t>O359</t>
  </si>
  <si>
    <t>P159</t>
  </si>
  <si>
    <t>A219</t>
  </si>
  <si>
    <t>O544</t>
  </si>
  <si>
    <t>K383</t>
  </si>
  <si>
    <t>DO95</t>
  </si>
  <si>
    <t>S956</t>
  </si>
  <si>
    <t>L426</t>
  </si>
  <si>
    <t>G806</t>
  </si>
  <si>
    <t>O608</t>
  </si>
  <si>
    <t>LA TAPERITAS S.A.</t>
  </si>
  <si>
    <t>31014054-6</t>
  </si>
  <si>
    <t>B547</t>
  </si>
  <si>
    <t>E540</t>
  </si>
  <si>
    <t>E643</t>
  </si>
  <si>
    <t>V642</t>
  </si>
  <si>
    <t>P832</t>
  </si>
  <si>
    <t>B388</t>
  </si>
  <si>
    <t>B845</t>
  </si>
  <si>
    <t>A257</t>
  </si>
  <si>
    <t>E654</t>
  </si>
  <si>
    <t>A543</t>
  </si>
  <si>
    <t>D204</t>
  </si>
  <si>
    <t>G547</t>
  </si>
  <si>
    <t>A104</t>
  </si>
  <si>
    <t>F012</t>
  </si>
  <si>
    <t>N692</t>
  </si>
  <si>
    <t>B324</t>
  </si>
  <si>
    <t>E927</t>
  </si>
  <si>
    <t>E754</t>
  </si>
  <si>
    <t>D294</t>
  </si>
  <si>
    <t>E584</t>
  </si>
  <si>
    <t>F090</t>
  </si>
  <si>
    <t>E973</t>
  </si>
  <si>
    <t>31011515-0</t>
  </si>
  <si>
    <t>C335</t>
  </si>
  <si>
    <t>C390</t>
  </si>
  <si>
    <t>A187</t>
  </si>
  <si>
    <t>C392</t>
  </si>
  <si>
    <t>C306</t>
  </si>
  <si>
    <t>C391</t>
  </si>
  <si>
    <t>AH</t>
  </si>
  <si>
    <t>C288</t>
  </si>
  <si>
    <t>C313</t>
  </si>
  <si>
    <t>C318</t>
  </si>
  <si>
    <t>C389</t>
  </si>
  <si>
    <t>C340</t>
  </si>
  <si>
    <t>C312</t>
  </si>
  <si>
    <t>A216</t>
  </si>
  <si>
    <t>LASTRA PATRICIO ROSENDO</t>
  </si>
  <si>
    <t>31017049-6</t>
  </si>
  <si>
    <t>6D</t>
  </si>
  <si>
    <t>KREITZ JUAN EDUARDO</t>
  </si>
  <si>
    <t>31024047-8</t>
  </si>
  <si>
    <t>A880</t>
  </si>
  <si>
    <t>H749</t>
  </si>
  <si>
    <t>B220</t>
  </si>
  <si>
    <t>A360</t>
  </si>
  <si>
    <t>A593</t>
  </si>
  <si>
    <t>A802</t>
  </si>
  <si>
    <t>C448</t>
  </si>
  <si>
    <t>A298</t>
  </si>
  <si>
    <t>B498</t>
  </si>
  <si>
    <t>A387</t>
  </si>
  <si>
    <t>C529</t>
  </si>
  <si>
    <t>A699</t>
  </si>
  <si>
    <t>D478</t>
  </si>
  <si>
    <t>F284</t>
  </si>
  <si>
    <t>B942</t>
  </si>
  <si>
    <t>D493</t>
  </si>
  <si>
    <t>D450</t>
  </si>
  <si>
    <t>B698</t>
  </si>
  <si>
    <t>E190</t>
  </si>
  <si>
    <t>B438</t>
  </si>
  <si>
    <t>D914</t>
  </si>
  <si>
    <t>B487</t>
  </si>
  <si>
    <t>A119</t>
  </si>
  <si>
    <t>B466</t>
  </si>
  <si>
    <t>A211</t>
  </si>
  <si>
    <t>B841</t>
  </si>
  <si>
    <t>C616</t>
  </si>
  <si>
    <t>E274</t>
  </si>
  <si>
    <t>A12</t>
  </si>
  <si>
    <t>D856</t>
  </si>
  <si>
    <t>A306</t>
  </si>
  <si>
    <t>B490</t>
  </si>
  <si>
    <t>B165</t>
  </si>
  <si>
    <t>A305</t>
  </si>
  <si>
    <t>B510</t>
  </si>
  <si>
    <t>A422</t>
  </si>
  <si>
    <t>A418</t>
  </si>
  <si>
    <t>A275</t>
  </si>
  <si>
    <t>L309</t>
  </si>
  <si>
    <t>F667</t>
  </si>
  <si>
    <t>E712</t>
  </si>
  <si>
    <t>A551</t>
  </si>
  <si>
    <t>A051</t>
  </si>
  <si>
    <t>D947</t>
  </si>
  <si>
    <t>B489</t>
  </si>
  <si>
    <t>F076</t>
  </si>
  <si>
    <t>C164</t>
  </si>
  <si>
    <t>E806</t>
  </si>
  <si>
    <t>F092</t>
  </si>
  <si>
    <t>B676</t>
  </si>
  <si>
    <t>E407</t>
  </si>
  <si>
    <t>F004</t>
  </si>
  <si>
    <t>A503</t>
  </si>
  <si>
    <t>C165</t>
  </si>
  <si>
    <t>A431</t>
  </si>
  <si>
    <t>E405</t>
  </si>
  <si>
    <t>A215</t>
  </si>
  <si>
    <t>D924</t>
  </si>
  <si>
    <t>A443</t>
  </si>
  <si>
    <t>E295</t>
  </si>
  <si>
    <t>A326</t>
  </si>
  <si>
    <t>BOSQUE AMADO S.R.L</t>
  </si>
  <si>
    <t>31029966-9</t>
  </si>
  <si>
    <t>A604</t>
  </si>
  <si>
    <t>FERRERYRA RUBEN ALBERTO</t>
  </si>
  <si>
    <t>MONEDERO ARMANDO DANIEL</t>
  </si>
  <si>
    <t>31041997-4</t>
  </si>
  <si>
    <t>26-00339</t>
  </si>
  <si>
    <t>C386</t>
  </si>
  <si>
    <t>A103</t>
  </si>
  <si>
    <t>B919</t>
  </si>
  <si>
    <t>C866</t>
  </si>
  <si>
    <t>A535</t>
  </si>
  <si>
    <t>C611</t>
  </si>
  <si>
    <t>C605</t>
  </si>
  <si>
    <t>B518</t>
  </si>
  <si>
    <t>BC96</t>
  </si>
  <si>
    <t>C132</t>
  </si>
  <si>
    <t>31043527-9</t>
  </si>
  <si>
    <t>26-00343</t>
  </si>
  <si>
    <t>E136</t>
  </si>
  <si>
    <t>B796</t>
  </si>
  <si>
    <t>A032</t>
  </si>
  <si>
    <t>C091</t>
  </si>
  <si>
    <t>E393</t>
  </si>
  <si>
    <t>E003</t>
  </si>
  <si>
    <t>E219</t>
  </si>
  <si>
    <t>E384</t>
  </si>
  <si>
    <t>E007</t>
  </si>
  <si>
    <t>E239</t>
  </si>
  <si>
    <t>E414</t>
  </si>
  <si>
    <t>E012</t>
  </si>
  <si>
    <t>B792</t>
  </si>
  <si>
    <t>FRIGORIFICO DE LA PATAGONIA S. R. L.</t>
  </si>
  <si>
    <t>RODRIGUEZ MARIO ISAIAS</t>
  </si>
  <si>
    <t>G-CHO26-00307</t>
  </si>
  <si>
    <t>031034435-4</t>
  </si>
  <si>
    <t>K291</t>
  </si>
  <si>
    <t>K213</t>
  </si>
  <si>
    <t>K235</t>
  </si>
  <si>
    <t>K257</t>
  </si>
  <si>
    <t>K321</t>
  </si>
  <si>
    <t>K158</t>
  </si>
  <si>
    <t>K277</t>
  </si>
  <si>
    <t>K351</t>
  </si>
  <si>
    <t>K359</t>
  </si>
  <si>
    <t>R116</t>
  </si>
  <si>
    <t>K302</t>
  </si>
  <si>
    <t>K211</t>
  </si>
  <si>
    <t>K236</t>
  </si>
  <si>
    <t>E315</t>
  </si>
  <si>
    <t>Y078</t>
  </si>
  <si>
    <t>F474</t>
  </si>
  <si>
    <t>G499</t>
  </si>
  <si>
    <t>D250</t>
  </si>
  <si>
    <t>D703</t>
  </si>
  <si>
    <t>D316</t>
  </si>
  <si>
    <t>Y915</t>
  </si>
  <si>
    <t>D324</t>
  </si>
  <si>
    <t>D279</t>
  </si>
  <si>
    <t>E115</t>
  </si>
  <si>
    <t>A240</t>
  </si>
  <si>
    <t>H374</t>
  </si>
  <si>
    <t>D362</t>
  </si>
  <si>
    <t>BERTIL GRAHN SOCIEDAD ANONIMA AGROP</t>
  </si>
  <si>
    <t>31031235-5</t>
  </si>
  <si>
    <t>31050127-1</t>
  </si>
  <si>
    <t>31066774-9</t>
  </si>
  <si>
    <t>F495</t>
  </si>
  <si>
    <t>G702</t>
  </si>
  <si>
    <t>A008</t>
  </si>
  <si>
    <t>F246</t>
  </si>
  <si>
    <t>B150</t>
  </si>
  <si>
    <t>F604</t>
  </si>
  <si>
    <t>F517</t>
  </si>
  <si>
    <t>F718</t>
  </si>
  <si>
    <t>A029</t>
  </si>
  <si>
    <t>A096</t>
  </si>
  <si>
    <t>D128</t>
  </si>
  <si>
    <t>O115</t>
  </si>
  <si>
    <t>E548</t>
  </si>
  <si>
    <t>C672</t>
  </si>
  <si>
    <t>G517</t>
  </si>
  <si>
    <t>L686</t>
  </si>
  <si>
    <t>F485</t>
  </si>
  <si>
    <t>A085</t>
  </si>
  <si>
    <t>F557</t>
  </si>
  <si>
    <t>E582</t>
  </si>
  <si>
    <t>F250</t>
  </si>
  <si>
    <t>F396</t>
  </si>
  <si>
    <t>A210</t>
  </si>
  <si>
    <t>B397</t>
  </si>
  <si>
    <t>C396</t>
  </si>
  <si>
    <t>C344</t>
  </si>
  <si>
    <t>A191</t>
  </si>
  <si>
    <t>C398</t>
  </si>
  <si>
    <t>C395</t>
  </si>
  <si>
    <t>C399</t>
  </si>
  <si>
    <t>C317</t>
  </si>
  <si>
    <t>C308</t>
  </si>
  <si>
    <t>A523</t>
  </si>
  <si>
    <t>C286</t>
  </si>
  <si>
    <t>A003</t>
  </si>
  <si>
    <t>C394</t>
  </si>
  <si>
    <t>31063994-5</t>
  </si>
  <si>
    <t>B658</t>
  </si>
  <si>
    <t>A350</t>
  </si>
  <si>
    <t>A177</t>
  </si>
  <si>
    <t>A334</t>
  </si>
  <si>
    <t>A441</t>
  </si>
  <si>
    <t>B799</t>
  </si>
  <si>
    <t>C169</t>
  </si>
  <si>
    <t>C176</t>
  </si>
  <si>
    <t>A445</t>
  </si>
  <si>
    <t>E789</t>
  </si>
  <si>
    <t>A134</t>
  </si>
  <si>
    <t>C168</t>
  </si>
  <si>
    <t>B674</t>
  </si>
  <si>
    <t>31071773-8</t>
  </si>
  <si>
    <t>L164</t>
  </si>
  <si>
    <t>A386</t>
  </si>
  <si>
    <t>A141</t>
  </si>
  <si>
    <t>M167</t>
  </si>
  <si>
    <t>L827</t>
  </si>
  <si>
    <t>A093</t>
  </si>
  <si>
    <t>M166</t>
  </si>
  <si>
    <t>M183</t>
  </si>
  <si>
    <t>A675</t>
  </si>
  <si>
    <t>M168</t>
  </si>
  <si>
    <t>L811</t>
  </si>
  <si>
    <t>A747</t>
  </si>
  <si>
    <t>A180</t>
  </si>
  <si>
    <t>M162</t>
  </si>
  <si>
    <t>A466</t>
  </si>
  <si>
    <t>M169</t>
  </si>
  <si>
    <t>L833</t>
  </si>
  <si>
    <t>M160</t>
  </si>
  <si>
    <t>A960</t>
  </si>
  <si>
    <t>M165</t>
  </si>
  <si>
    <t>M181</t>
  </si>
  <si>
    <t>A972</t>
  </si>
  <si>
    <t>L849</t>
  </si>
  <si>
    <t>A411</t>
  </si>
  <si>
    <t>A379</t>
  </si>
  <si>
    <t>Y414</t>
  </si>
  <si>
    <t>A091</t>
  </si>
  <si>
    <t>A163</t>
  </si>
  <si>
    <t>BRA</t>
  </si>
  <si>
    <t>L848</t>
  </si>
  <si>
    <t>A681</t>
  </si>
  <si>
    <t>A944</t>
  </si>
  <si>
    <t>A966</t>
  </si>
  <si>
    <t>A978</t>
  </si>
  <si>
    <t>A914</t>
  </si>
  <si>
    <t>E208</t>
  </si>
  <si>
    <t>L835</t>
  </si>
  <si>
    <t>L842</t>
  </si>
  <si>
    <t>A285</t>
  </si>
  <si>
    <t>L830</t>
  </si>
  <si>
    <t>L847</t>
  </si>
  <si>
    <t>ARANEDA MARIO ALEJANDRO</t>
  </si>
  <si>
    <t>31059026-6</t>
  </si>
  <si>
    <t>31059085-1</t>
  </si>
  <si>
    <t>A527</t>
  </si>
  <si>
    <t>A492</t>
  </si>
  <si>
    <t>A539</t>
  </si>
  <si>
    <t>A499</t>
  </si>
  <si>
    <t>A538</t>
  </si>
  <si>
    <t>A533</t>
  </si>
  <si>
    <t>A494</t>
  </si>
  <si>
    <t>A529</t>
  </si>
  <si>
    <t>A497</t>
  </si>
  <si>
    <t>A176</t>
  </si>
  <si>
    <t xml:space="preserve">FERREYRA MARTIN RUBEN </t>
  </si>
  <si>
    <t xml:space="preserve">LEDESMA ARIEL ALEJANDRO </t>
  </si>
  <si>
    <t>31081494-6</t>
  </si>
  <si>
    <t>A498</t>
  </si>
  <si>
    <t>A491</t>
  </si>
  <si>
    <t>A481</t>
  </si>
  <si>
    <t>A495</t>
  </si>
  <si>
    <t>A478</t>
  </si>
  <si>
    <t>A490</t>
  </si>
  <si>
    <t>A479</t>
  </si>
  <si>
    <t>A484</t>
  </si>
  <si>
    <t xml:space="preserve">LAMAS MIGUEL </t>
  </si>
  <si>
    <t>31082662-6</t>
  </si>
  <si>
    <t>26-00470</t>
  </si>
  <si>
    <t>A340</t>
  </si>
  <si>
    <t>A548</t>
  </si>
  <si>
    <t>A345</t>
  </si>
  <si>
    <t>A572</t>
  </si>
  <si>
    <t>A590</t>
  </si>
  <si>
    <t>A397</t>
  </si>
  <si>
    <t>VICWNTY JORGE ALBERTO</t>
  </si>
  <si>
    <t>31081181-5</t>
  </si>
  <si>
    <t xml:space="preserve">FRIGORIFICO DE LA PATAGONIA </t>
  </si>
  <si>
    <t>SEIRA HECTOR</t>
  </si>
  <si>
    <t>31092158-0</t>
  </si>
  <si>
    <t>26-00520</t>
  </si>
  <si>
    <t>D386</t>
  </si>
  <si>
    <t>D417</t>
  </si>
  <si>
    <t>D509</t>
  </si>
  <si>
    <t>D328</t>
  </si>
  <si>
    <t>D487</t>
  </si>
  <si>
    <t>D434</t>
  </si>
  <si>
    <t>D497</t>
  </si>
  <si>
    <t>D459</t>
  </si>
  <si>
    <t>D477</t>
  </si>
  <si>
    <t>D470</t>
  </si>
  <si>
    <t>D413</t>
  </si>
  <si>
    <t>D420</t>
  </si>
  <si>
    <t>D483</t>
  </si>
  <si>
    <t>D472</t>
  </si>
  <si>
    <t>D482</t>
  </si>
  <si>
    <t>D405</t>
  </si>
  <si>
    <t>D364</t>
  </si>
  <si>
    <t>D500</t>
  </si>
  <si>
    <t>D507</t>
  </si>
  <si>
    <t>D432</t>
  </si>
  <si>
    <t>D439</t>
  </si>
  <si>
    <t>O376</t>
  </si>
  <si>
    <t>D300</t>
  </si>
  <si>
    <t>A253</t>
  </si>
  <si>
    <t>E970</t>
  </si>
  <si>
    <t>B252</t>
  </si>
  <si>
    <t>A724</t>
  </si>
  <si>
    <t>F360</t>
  </si>
  <si>
    <t>E116</t>
  </si>
  <si>
    <t>O374</t>
  </si>
  <si>
    <t>F349</t>
  </si>
  <si>
    <t>C663</t>
  </si>
  <si>
    <t>A553</t>
  </si>
  <si>
    <t>A631</t>
  </si>
  <si>
    <t>B955</t>
  </si>
  <si>
    <t>A132</t>
  </si>
  <si>
    <t>A682</t>
  </si>
  <si>
    <t>F439</t>
  </si>
  <si>
    <t>31097327-0</t>
  </si>
  <si>
    <t>K271</t>
  </si>
  <si>
    <t>K005</t>
  </si>
  <si>
    <t>M046</t>
  </si>
  <si>
    <t>Q176</t>
  </si>
  <si>
    <t>D963</t>
  </si>
  <si>
    <t>T959</t>
  </si>
  <si>
    <t>D992</t>
  </si>
  <si>
    <t>Q873</t>
  </si>
  <si>
    <t>Q071</t>
  </si>
  <si>
    <t>Q887</t>
  </si>
  <si>
    <t>BERTIL GRAHN SOCIEDAD ANINIMA AGROP</t>
  </si>
  <si>
    <t>31081190-4</t>
  </si>
  <si>
    <t>Y918</t>
  </si>
  <si>
    <t>Y806</t>
  </si>
  <si>
    <t>P331</t>
  </si>
  <si>
    <t>Y935</t>
  </si>
  <si>
    <t>Y697</t>
  </si>
  <si>
    <t>AGROPECUARIA DON MANUEL</t>
  </si>
  <si>
    <t>31092172-6</t>
  </si>
  <si>
    <t>26-00010</t>
  </si>
  <si>
    <t>A468</t>
  </si>
  <si>
    <t>D249</t>
  </si>
  <si>
    <t>F633</t>
  </si>
  <si>
    <t>B511</t>
  </si>
  <si>
    <t>31102710-7</t>
  </si>
  <si>
    <t>26-00011</t>
  </si>
  <si>
    <t>B739</t>
  </si>
  <si>
    <t>D879</t>
  </si>
  <si>
    <t>TRANSPORTE DOLORES PARRA SA</t>
  </si>
  <si>
    <t>31102715-8</t>
  </si>
  <si>
    <t>26-00012</t>
  </si>
  <si>
    <t>A822</t>
  </si>
  <si>
    <t>A821</t>
  </si>
  <si>
    <t>A852</t>
  </si>
  <si>
    <t>A844</t>
  </si>
  <si>
    <t>A847</t>
  </si>
  <si>
    <t>A875</t>
  </si>
  <si>
    <t>A818</t>
  </si>
  <si>
    <t>A861</t>
  </si>
  <si>
    <t>A856</t>
  </si>
  <si>
    <t>A820</t>
  </si>
  <si>
    <t>A824</t>
  </si>
  <si>
    <t>A899</t>
  </si>
  <si>
    <t>A857</t>
  </si>
  <si>
    <t>A849</t>
  </si>
  <si>
    <t>A814</t>
  </si>
  <si>
    <t>A812</t>
  </si>
  <si>
    <t>Dietzel facundo Roberto</t>
  </si>
  <si>
    <t>031105816-9</t>
  </si>
  <si>
    <t>G-CHI26-00013</t>
  </si>
  <si>
    <t>C914</t>
  </si>
  <si>
    <t>G023</t>
  </si>
  <si>
    <t>D171</t>
  </si>
  <si>
    <t>G003</t>
  </si>
  <si>
    <t>D240</t>
  </si>
  <si>
    <t>L316</t>
  </si>
  <si>
    <t>F975</t>
  </si>
  <si>
    <t>F059</t>
  </si>
  <si>
    <t>D143</t>
  </si>
  <si>
    <t>C586</t>
  </si>
  <si>
    <t>A748</t>
  </si>
  <si>
    <t>A200</t>
  </si>
  <si>
    <t>L089</t>
  </si>
  <si>
    <t>D463</t>
  </si>
  <si>
    <t>P827</t>
  </si>
  <si>
    <t>F047</t>
  </si>
  <si>
    <t>A917</t>
  </si>
  <si>
    <t>D745</t>
  </si>
  <si>
    <t>A923</t>
  </si>
  <si>
    <t>C828</t>
  </si>
  <si>
    <t>B863</t>
  </si>
  <si>
    <t>D125</t>
  </si>
  <si>
    <t>L924</t>
  </si>
  <si>
    <t>L764</t>
  </si>
  <si>
    <t>M227</t>
  </si>
  <si>
    <t>D141</t>
  </si>
  <si>
    <t>D149</t>
  </si>
  <si>
    <t>E073</t>
  </si>
  <si>
    <t>B878</t>
  </si>
  <si>
    <t>B889</t>
  </si>
  <si>
    <t>B862</t>
  </si>
  <si>
    <t>C905</t>
  </si>
  <si>
    <t>D148</t>
  </si>
  <si>
    <t>L766</t>
  </si>
  <si>
    <t>D124</t>
  </si>
  <si>
    <t>D023</t>
  </si>
  <si>
    <t>C292</t>
  </si>
  <si>
    <t>C259</t>
  </si>
  <si>
    <t>B866</t>
  </si>
  <si>
    <t>Ganadera Norte Neuquino S.a.s</t>
  </si>
  <si>
    <t>La Manada S.A</t>
  </si>
  <si>
    <t>031105637-9</t>
  </si>
  <si>
    <t>G-CHO26-00542</t>
  </si>
  <si>
    <t>BOSQUES AMADOS SRL</t>
  </si>
  <si>
    <t>B751</t>
  </si>
  <si>
    <t>D162</t>
  </si>
  <si>
    <t>D163</t>
  </si>
  <si>
    <t>C492</t>
  </si>
  <si>
    <t>B239</t>
  </si>
  <si>
    <t>G167</t>
  </si>
  <si>
    <t>B392</t>
  </si>
  <si>
    <t>C591</t>
  </si>
  <si>
    <t>D166</t>
  </si>
  <si>
    <t>D380</t>
  </si>
  <si>
    <t>D165</t>
  </si>
  <si>
    <t>B831</t>
  </si>
  <si>
    <t>E705</t>
  </si>
  <si>
    <t>D168</t>
  </si>
  <si>
    <t>A270</t>
  </si>
  <si>
    <t>D847</t>
  </si>
  <si>
    <t>D172</t>
  </si>
  <si>
    <t>E640</t>
  </si>
  <si>
    <t>D150</t>
  </si>
  <si>
    <t>B664</t>
  </si>
  <si>
    <t>D155</t>
  </si>
  <si>
    <t>D160</t>
  </si>
  <si>
    <t>D156</t>
  </si>
  <si>
    <t>C537</t>
  </si>
  <si>
    <t>D152</t>
  </si>
  <si>
    <t>A062</t>
  </si>
  <si>
    <t>D159</t>
  </si>
  <si>
    <t>A027</t>
  </si>
  <si>
    <t>A268</t>
  </si>
  <si>
    <t>B395</t>
  </si>
  <si>
    <t>D921</t>
  </si>
  <si>
    <t>Y392</t>
  </si>
  <si>
    <t>D151</t>
  </si>
  <si>
    <t>B302</t>
  </si>
  <si>
    <t>D164</t>
  </si>
  <si>
    <t>C619</t>
  </si>
  <si>
    <t>D157</t>
  </si>
  <si>
    <t>D813</t>
  </si>
  <si>
    <t>A043</t>
  </si>
  <si>
    <t>A281</t>
  </si>
  <si>
    <t>A159</t>
  </si>
  <si>
    <t>D829</t>
  </si>
  <si>
    <t>Y053</t>
  </si>
  <si>
    <t>31113886-3</t>
  </si>
  <si>
    <t>Q481</t>
  </si>
  <si>
    <t>B800</t>
  </si>
  <si>
    <t>B103</t>
  </si>
  <si>
    <t>A236</t>
  </si>
  <si>
    <t>A248</t>
  </si>
  <si>
    <t>D817</t>
  </si>
  <si>
    <t>C858</t>
  </si>
  <si>
    <t>E403</t>
  </si>
  <si>
    <t>E093</t>
  </si>
  <si>
    <t>E804</t>
  </si>
  <si>
    <t>C173</t>
  </si>
  <si>
    <t>D857</t>
  </si>
  <si>
    <t>B691</t>
  </si>
  <si>
    <t>E400</t>
  </si>
  <si>
    <t>C172</t>
  </si>
  <si>
    <t>A407</t>
  </si>
  <si>
    <t>A554</t>
  </si>
  <si>
    <t>31098416-7</t>
  </si>
  <si>
    <t>G-CHO26-00525</t>
  </si>
  <si>
    <t>Moraga Maximiliano</t>
  </si>
  <si>
    <t>Monedero Leandro</t>
  </si>
  <si>
    <t>31117396-0</t>
  </si>
  <si>
    <t>G-CHO26-00580</t>
  </si>
  <si>
    <t>A172</t>
  </si>
  <si>
    <t>A169</t>
  </si>
  <si>
    <t>A168</t>
  </si>
  <si>
    <t>A314</t>
  </si>
  <si>
    <t>A317</t>
  </si>
  <si>
    <t>Ruffini Gabriel H</t>
  </si>
  <si>
    <t>31125177-5</t>
  </si>
  <si>
    <t>G-CHO00608</t>
  </si>
  <si>
    <t>Ferreyra Ruben Alberto</t>
  </si>
  <si>
    <t>A261</t>
  </si>
  <si>
    <t>C495</t>
  </si>
  <si>
    <t>B147</t>
  </si>
  <si>
    <t>A519</t>
  </si>
  <si>
    <t>C936</t>
  </si>
  <si>
    <t>B158</t>
  </si>
  <si>
    <t>B224</t>
  </si>
  <si>
    <t>E282</t>
  </si>
  <si>
    <t>A694</t>
  </si>
  <si>
    <t>A087</t>
  </si>
  <si>
    <t>ARMINDA SRL</t>
  </si>
  <si>
    <t>31125312-3</t>
  </si>
  <si>
    <t>G-CHO26-00609</t>
  </si>
  <si>
    <t>B376</t>
  </si>
  <si>
    <t>B384</t>
  </si>
  <si>
    <t>B419</t>
  </si>
  <si>
    <t>B323</t>
  </si>
  <si>
    <t>B372</t>
  </si>
  <si>
    <t>B380</t>
  </si>
  <si>
    <t>B375</t>
  </si>
  <si>
    <t>B396</t>
  </si>
  <si>
    <t>B370</t>
  </si>
  <si>
    <t>BONADE MARIO ANTONIO</t>
  </si>
  <si>
    <t>31126475-3</t>
  </si>
  <si>
    <t>G-CHO26-00619</t>
  </si>
  <si>
    <t>Frigorifico de la Patagonia srl</t>
  </si>
  <si>
    <t>Bellocchio Juan Ignacio</t>
  </si>
  <si>
    <t>31135397-7</t>
  </si>
  <si>
    <t>G-CHO26-00658</t>
  </si>
  <si>
    <t>A033</t>
  </si>
  <si>
    <t>A036</t>
  </si>
  <si>
    <t>D905</t>
  </si>
  <si>
    <t>E023</t>
  </si>
  <si>
    <t>E588</t>
  </si>
  <si>
    <t>A004</t>
  </si>
  <si>
    <t>B287</t>
  </si>
  <si>
    <t>R579</t>
  </si>
  <si>
    <t>D657</t>
  </si>
  <si>
    <t>S983</t>
  </si>
  <si>
    <t>E024</t>
  </si>
  <si>
    <t>L503</t>
  </si>
  <si>
    <t>D969</t>
  </si>
  <si>
    <t>D973</t>
  </si>
  <si>
    <t>E016</t>
  </si>
  <si>
    <t>a011</t>
  </si>
  <si>
    <t>KEDINGE ELSA OTILIA</t>
  </si>
  <si>
    <t>031134465-5</t>
  </si>
  <si>
    <t>G-CHO26-00647</t>
  </si>
  <si>
    <t>A671</t>
  </si>
  <si>
    <t>B734</t>
  </si>
  <si>
    <t>D288</t>
  </si>
  <si>
    <t>F422</t>
  </si>
  <si>
    <t>F252</t>
  </si>
  <si>
    <t>D991</t>
  </si>
  <si>
    <t>M916</t>
  </si>
  <si>
    <t>F582</t>
  </si>
  <si>
    <t>C720</t>
  </si>
  <si>
    <t>O425</t>
  </si>
  <si>
    <t>B102</t>
  </si>
  <si>
    <t>E309</t>
  </si>
  <si>
    <t>F394</t>
  </si>
  <si>
    <t>G708</t>
  </si>
  <si>
    <t>D561</t>
  </si>
  <si>
    <t>D134</t>
  </si>
  <si>
    <t>G398</t>
  </si>
  <si>
    <t>A778</t>
  </si>
  <si>
    <t>MAIZALES DE LA PATAGONIA S.R.L</t>
  </si>
  <si>
    <t>G-CHO26-00676</t>
  </si>
  <si>
    <t>031148564-4</t>
  </si>
  <si>
    <t>G-CHO26-00689</t>
  </si>
  <si>
    <t>C945</t>
  </si>
  <si>
    <t>A010</t>
  </si>
  <si>
    <t>A019</t>
  </si>
  <si>
    <t>C330</t>
  </si>
  <si>
    <t>C323</t>
  </si>
  <si>
    <t>C347</t>
  </si>
  <si>
    <t>31147150-3</t>
  </si>
  <si>
    <t>BONADE MARCELO JAVIER</t>
  </si>
  <si>
    <t>31149250-0</t>
  </si>
  <si>
    <t>A196</t>
  </si>
  <si>
    <t>C034</t>
  </si>
  <si>
    <t>31147201-1</t>
  </si>
  <si>
    <t>C726</t>
  </si>
  <si>
    <t>C320</t>
  </si>
  <si>
    <t>A182</t>
  </si>
  <si>
    <t>31143632-5</t>
  </si>
  <si>
    <t>26-00675</t>
  </si>
  <si>
    <t>DOS DE FIERRO S.A.</t>
  </si>
  <si>
    <t>O455</t>
  </si>
  <si>
    <t>N589</t>
  </si>
  <si>
    <t>E547</t>
  </si>
  <si>
    <t>N762</t>
  </si>
  <si>
    <t>E545</t>
  </si>
  <si>
    <t>N639</t>
  </si>
  <si>
    <t>B640</t>
  </si>
  <si>
    <t>A357</t>
  </si>
  <si>
    <t>E370</t>
  </si>
  <si>
    <t>E536</t>
  </si>
  <si>
    <t>E379</t>
  </si>
  <si>
    <t>F552</t>
  </si>
  <si>
    <t>D122</t>
  </si>
  <si>
    <t>E968</t>
  </si>
  <si>
    <t>B351</t>
  </si>
  <si>
    <t>B398</t>
  </si>
  <si>
    <t>D197</t>
  </si>
  <si>
    <t>F794</t>
  </si>
  <si>
    <t>C116</t>
  </si>
  <si>
    <t>ZUAIN FRANCISCO RODOLFO Y ZUAIN</t>
  </si>
  <si>
    <t>31149593-3</t>
  </si>
  <si>
    <t>26-00692</t>
  </si>
  <si>
    <t>A980</t>
  </si>
  <si>
    <t>A676</t>
  </si>
  <si>
    <t>A970</t>
  </si>
  <si>
    <t>A971</t>
  </si>
  <si>
    <t>A892</t>
  </si>
  <si>
    <t>A977</t>
  </si>
  <si>
    <t>A979</t>
  </si>
  <si>
    <t>A975</t>
  </si>
  <si>
    <t>A926</t>
  </si>
  <si>
    <t>A982</t>
  </si>
  <si>
    <t>A997</t>
  </si>
  <si>
    <t>A893</t>
  </si>
  <si>
    <t>A985</t>
  </si>
  <si>
    <t>A988</t>
  </si>
  <si>
    <t>A930</t>
  </si>
  <si>
    <t>A947</t>
  </si>
  <si>
    <t>A946</t>
  </si>
  <si>
    <t>A722</t>
  </si>
  <si>
    <t>A942</t>
  </si>
  <si>
    <t>A775</t>
  </si>
  <si>
    <t>A991</t>
  </si>
  <si>
    <t>A720</t>
  </si>
  <si>
    <t>A948</t>
  </si>
  <si>
    <t>A943</t>
  </si>
  <si>
    <t>A989</t>
  </si>
  <si>
    <t>A941</t>
  </si>
  <si>
    <t>A749</t>
  </si>
  <si>
    <t>BOSQUE AMADO SRL</t>
  </si>
  <si>
    <t>31151320-6</t>
  </si>
  <si>
    <t>26-00704</t>
  </si>
  <si>
    <t>E504</t>
  </si>
  <si>
    <t>D877</t>
  </si>
  <si>
    <t>E406</t>
  </si>
  <si>
    <t>B848</t>
  </si>
  <si>
    <t>A552</t>
  </si>
  <si>
    <t>A402</t>
  </si>
  <si>
    <t>B901</t>
  </si>
  <si>
    <t>E245</t>
  </si>
  <si>
    <t>B686</t>
  </si>
  <si>
    <t>E080</t>
  </si>
  <si>
    <t>A133</t>
  </si>
  <si>
    <t>B774</t>
  </si>
  <si>
    <t>E786</t>
  </si>
  <si>
    <t>E946</t>
  </si>
  <si>
    <t>E885</t>
  </si>
  <si>
    <t>E994</t>
  </si>
  <si>
    <t>B891</t>
  </si>
  <si>
    <t>E343</t>
  </si>
  <si>
    <t>L162</t>
  </si>
  <si>
    <t>C050</t>
  </si>
  <si>
    <t>E318</t>
  </si>
  <si>
    <t>A301</t>
  </si>
  <si>
    <t>J157</t>
  </si>
  <si>
    <t>D399</t>
  </si>
  <si>
    <t>B225</t>
  </si>
  <si>
    <t>A462</t>
  </si>
  <si>
    <t>A088</t>
  </si>
  <si>
    <t>D375</t>
  </si>
  <si>
    <t>J049</t>
  </si>
  <si>
    <t>A214</t>
  </si>
  <si>
    <t>A454</t>
  </si>
  <si>
    <t>C798</t>
  </si>
  <si>
    <t>E564</t>
  </si>
  <si>
    <t>E453</t>
  </si>
  <si>
    <t>C507</t>
  </si>
  <si>
    <t>A459</t>
  </si>
  <si>
    <t>A767</t>
  </si>
  <si>
    <t>B655</t>
  </si>
  <si>
    <t>K940</t>
  </si>
  <si>
    <t>B652</t>
  </si>
  <si>
    <t>A073</t>
  </si>
  <si>
    <t>B420</t>
  </si>
  <si>
    <t>B873</t>
  </si>
  <si>
    <t>Y880</t>
  </si>
  <si>
    <t>D169</t>
  </si>
  <si>
    <t>A114</t>
  </si>
  <si>
    <t>C572</t>
  </si>
  <si>
    <t>B407</t>
  </si>
  <si>
    <t>E708</t>
  </si>
  <si>
    <t>B824</t>
  </si>
  <si>
    <t>B463</t>
  </si>
  <si>
    <t>A678</t>
  </si>
  <si>
    <t>31148588-1</t>
  </si>
  <si>
    <t>A600</t>
  </si>
  <si>
    <t>A126</t>
  </si>
  <si>
    <t>RUFFINI GABRIEL</t>
  </si>
  <si>
    <t>31170053-7</t>
  </si>
  <si>
    <t>31177712-2</t>
  </si>
  <si>
    <t>D454</t>
  </si>
  <si>
    <t>D378</t>
  </si>
  <si>
    <t>D444</t>
  </si>
  <si>
    <t>D495</t>
  </si>
  <si>
    <t>D524</t>
  </si>
  <si>
    <t>D425</t>
  </si>
  <si>
    <t>D419</t>
  </si>
  <si>
    <t>D484</t>
  </si>
  <si>
    <t>D424</t>
  </si>
  <si>
    <t>D520</t>
  </si>
  <si>
    <t>D452</t>
  </si>
  <si>
    <t>D365</t>
  </si>
  <si>
    <t>D469</t>
  </si>
  <si>
    <t>D453</t>
  </si>
  <si>
    <t>D464</t>
  </si>
  <si>
    <t>D492</t>
  </si>
  <si>
    <t>D475</t>
  </si>
  <si>
    <t>D529</t>
  </si>
  <si>
    <t>D511</t>
  </si>
  <si>
    <t>D466</t>
  </si>
  <si>
    <t>D473</t>
  </si>
  <si>
    <t>D536</t>
  </si>
  <si>
    <t xml:space="preserve">COLLICO GABRIEL DARIO </t>
  </si>
  <si>
    <t>31175023-2</t>
  </si>
  <si>
    <t>A331</t>
  </si>
  <si>
    <t>A252</t>
  </si>
  <si>
    <t>A333</t>
  </si>
  <si>
    <t>A264</t>
  </si>
  <si>
    <t>A258</t>
  </si>
  <si>
    <t>A695</t>
  </si>
  <si>
    <t>A194</t>
  </si>
  <si>
    <t>B304</t>
  </si>
  <si>
    <t>A226</t>
  </si>
  <si>
    <t>A488</t>
  </si>
  <si>
    <t>A259</t>
  </si>
  <si>
    <t>A063</t>
  </si>
  <si>
    <t>A437</t>
  </si>
  <si>
    <t>A457</t>
  </si>
  <si>
    <t>D850</t>
  </si>
  <si>
    <t>D769</t>
  </si>
  <si>
    <t>A302</t>
  </si>
  <si>
    <t>A363</t>
  </si>
  <si>
    <t>D738</t>
  </si>
  <si>
    <t>D762</t>
  </si>
  <si>
    <t>D771</t>
  </si>
  <si>
    <t>A728</t>
  </si>
  <si>
    <t>OSORIO ANDREA CECILIA</t>
  </si>
  <si>
    <t>31180429-4</t>
  </si>
  <si>
    <t>AN</t>
  </si>
  <si>
    <t>E884</t>
  </si>
  <si>
    <t>E871</t>
  </si>
  <si>
    <t>A372</t>
  </si>
  <si>
    <t>A427</t>
  </si>
  <si>
    <t>A131</t>
  </si>
  <si>
    <t>B659</t>
  </si>
  <si>
    <t>A328</t>
  </si>
  <si>
    <t>B654</t>
  </si>
  <si>
    <t>F087</t>
  </si>
  <si>
    <t>A413</t>
  </si>
  <si>
    <t>A430</t>
  </si>
  <si>
    <t>A138</t>
  </si>
  <si>
    <t>B253</t>
  </si>
  <si>
    <t>31199386-0</t>
  </si>
  <si>
    <t>G-CHO26-00870</t>
  </si>
  <si>
    <t>C725</t>
  </si>
  <si>
    <t>C326</t>
  </si>
  <si>
    <t>A006</t>
  </si>
  <si>
    <t>C342</t>
  </si>
  <si>
    <t>A225</t>
  </si>
  <si>
    <t>C321</t>
  </si>
  <si>
    <t>A165</t>
  </si>
  <si>
    <t>A185</t>
  </si>
  <si>
    <t>A016</t>
  </si>
  <si>
    <t>C300</t>
  </si>
  <si>
    <t>31195315-5</t>
  </si>
  <si>
    <t>A227</t>
  </si>
  <si>
    <t>A274</t>
  </si>
  <si>
    <t>C328</t>
  </si>
  <si>
    <t>31195259-5</t>
  </si>
  <si>
    <t>D530</t>
  </si>
  <si>
    <t>D436</t>
  </si>
  <si>
    <t>D488</t>
  </si>
  <si>
    <t>C246</t>
  </si>
  <si>
    <t>C243</t>
  </si>
  <si>
    <t>D446</t>
  </si>
  <si>
    <t>D517</t>
  </si>
  <si>
    <t>D456</t>
  </si>
  <si>
    <t>D479</t>
  </si>
  <si>
    <t>D465</t>
  </si>
  <si>
    <t>D490</t>
  </si>
  <si>
    <t>D471</t>
  </si>
  <si>
    <t>D421</t>
  </si>
  <si>
    <t>D442</t>
  </si>
  <si>
    <t>31206258-5</t>
  </si>
  <si>
    <t>G-CHO26-00874</t>
  </si>
  <si>
    <t>A842</t>
  </si>
  <si>
    <t>A166</t>
  </si>
  <si>
    <t>A173</t>
  </si>
  <si>
    <t>A308</t>
  </si>
  <si>
    <t>A549</t>
  </si>
  <si>
    <t>A155</t>
  </si>
  <si>
    <t>31209738-9</t>
  </si>
  <si>
    <t>G-CHO26-00888</t>
  </si>
  <si>
    <t>Q623</t>
  </si>
  <si>
    <t>Q570</t>
  </si>
  <si>
    <t>Q547</t>
  </si>
  <si>
    <t>Q449</t>
  </si>
  <si>
    <t>Q461</t>
  </si>
  <si>
    <t>Q902</t>
  </si>
  <si>
    <t>Q516</t>
  </si>
  <si>
    <t>Q546</t>
  </si>
  <si>
    <t>Q679</t>
  </si>
  <si>
    <t>Q673</t>
  </si>
  <si>
    <t>P922</t>
  </si>
  <si>
    <t>A392</t>
  </si>
  <si>
    <t>Q722</t>
  </si>
  <si>
    <t>A403</t>
  </si>
  <si>
    <t>Q384</t>
  </si>
  <si>
    <t>Q920</t>
  </si>
  <si>
    <t>Q657</t>
  </si>
  <si>
    <t>Q485</t>
  </si>
  <si>
    <t>Q585</t>
  </si>
  <si>
    <t>31212687-7</t>
  </si>
  <si>
    <t>C595</t>
  </si>
  <si>
    <t>C075</t>
  </si>
  <si>
    <t>C338</t>
  </si>
  <si>
    <t>A400</t>
  </si>
  <si>
    <t>C090</t>
  </si>
  <si>
    <t>E284</t>
  </si>
  <si>
    <t>A464</t>
  </si>
  <si>
    <t>D793</t>
  </si>
  <si>
    <t>Y143</t>
  </si>
  <si>
    <t>31210344-3</t>
  </si>
  <si>
    <t>G-CHO26-00889</t>
  </si>
  <si>
    <t>B502</t>
  </si>
  <si>
    <t>A009</t>
  </si>
  <si>
    <t>A528</t>
  </si>
  <si>
    <t>B137</t>
  </si>
  <si>
    <t>A830</t>
  </si>
  <si>
    <t>A137</t>
  </si>
  <si>
    <t>B148</t>
  </si>
  <si>
    <t>A762</t>
  </si>
  <si>
    <t>MAIZALES DE LA PATAGONIA SRL</t>
  </si>
  <si>
    <t>QUIROGA JULIO HUGO</t>
  </si>
  <si>
    <t>31220057-0</t>
  </si>
  <si>
    <t>G-GRO26-00127</t>
  </si>
  <si>
    <t>E356</t>
  </si>
  <si>
    <t>E201</t>
  </si>
  <si>
    <t>E644</t>
  </si>
  <si>
    <t>E303</t>
  </si>
  <si>
    <t>E143</t>
  </si>
  <si>
    <t>E146</t>
  </si>
  <si>
    <t>E488</t>
  </si>
  <si>
    <t>F452</t>
  </si>
  <si>
    <t>E215</t>
  </si>
  <si>
    <t>E287</t>
  </si>
  <si>
    <t>E194</t>
  </si>
  <si>
    <t>E669</t>
  </si>
  <si>
    <t>D809</t>
  </si>
  <si>
    <t>31220508-4</t>
  </si>
  <si>
    <t>G-GRO26-00128</t>
  </si>
  <si>
    <t>ESTANCIA CHELFORO S.A</t>
  </si>
  <si>
    <t>31213709-7</t>
  </si>
  <si>
    <t>G-CHO26-00900</t>
  </si>
  <si>
    <t>B649</t>
  </si>
  <si>
    <t>B969</t>
  </si>
  <si>
    <t>C252</t>
  </si>
  <si>
    <t>C893</t>
  </si>
  <si>
    <t>C193</t>
  </si>
  <si>
    <t>C181</t>
  </si>
  <si>
    <t>B940</t>
  </si>
  <si>
    <t>B888</t>
  </si>
  <si>
    <t>D952</t>
  </si>
  <si>
    <t>C238</t>
  </si>
  <si>
    <t>C047</t>
  </si>
  <si>
    <t>C251</t>
  </si>
  <si>
    <t>C183</t>
  </si>
  <si>
    <t>B997</t>
  </si>
  <si>
    <t>C254</t>
  </si>
  <si>
    <t xml:space="preserve">DOS DE FIERRO S.A </t>
  </si>
  <si>
    <t>31208306-5</t>
  </si>
  <si>
    <t>G-CHO26-00898</t>
  </si>
  <si>
    <t>G715</t>
  </si>
  <si>
    <t>A026</t>
  </si>
  <si>
    <t>F013</t>
  </si>
  <si>
    <t>E930</t>
  </si>
  <si>
    <t>A487</t>
  </si>
  <si>
    <t>B015</t>
  </si>
  <si>
    <t>A531</t>
  </si>
  <si>
    <t>E606</t>
  </si>
  <si>
    <t>B718</t>
  </si>
  <si>
    <t>G686</t>
  </si>
  <si>
    <t>G734</t>
  </si>
  <si>
    <t>D018</t>
  </si>
  <si>
    <t>G392</t>
  </si>
  <si>
    <t>E525</t>
  </si>
  <si>
    <t>31225182-5</t>
  </si>
  <si>
    <t>ANSOLA CARLOS NORBERTO</t>
  </si>
  <si>
    <t>G-GRO26-00134</t>
  </si>
  <si>
    <t>C337</t>
  </si>
  <si>
    <t>A070</t>
  </si>
  <si>
    <t>G498</t>
  </si>
  <si>
    <t>A371</t>
  </si>
  <si>
    <t>C237</t>
  </si>
  <si>
    <t>A320</t>
  </si>
  <si>
    <t>A347</t>
  </si>
  <si>
    <t>A303</t>
  </si>
  <si>
    <t>C140</t>
  </si>
  <si>
    <t>A332</t>
  </si>
  <si>
    <t>C128</t>
  </si>
  <si>
    <t>A361</t>
  </si>
  <si>
    <t>A364</t>
  </si>
  <si>
    <t>A353</t>
  </si>
  <si>
    <t xml:space="preserve">kg </t>
  </si>
  <si>
    <t>medias</t>
  </si>
  <si>
    <t>B562</t>
  </si>
  <si>
    <t>B599</t>
  </si>
  <si>
    <t>B468</t>
  </si>
  <si>
    <t>B497</t>
  </si>
  <si>
    <t>B555</t>
  </si>
  <si>
    <t>A585</t>
  </si>
  <si>
    <t>B515</t>
  </si>
  <si>
    <t>B469</t>
  </si>
  <si>
    <t>A550</t>
  </si>
  <si>
    <t>B501</t>
  </si>
  <si>
    <t>B521</t>
  </si>
  <si>
    <t>A524</t>
  </si>
  <si>
    <t>B532</t>
  </si>
  <si>
    <t>A060</t>
  </si>
  <si>
    <t>B534</t>
  </si>
  <si>
    <t>A574</t>
  </si>
  <si>
    <t>A597</t>
  </si>
  <si>
    <t>A058</t>
  </si>
  <si>
    <t>B559</t>
  </si>
  <si>
    <t>B544</t>
  </si>
  <si>
    <t>B486</t>
  </si>
  <si>
    <t>B493</t>
  </si>
  <si>
    <t>B483</t>
  </si>
  <si>
    <t>A059</t>
  </si>
  <si>
    <t>B546</t>
  </si>
  <si>
    <t>B573</t>
  </si>
  <si>
    <t>B557</t>
  </si>
  <si>
    <t>B549</t>
  </si>
  <si>
    <t>B594</t>
  </si>
  <si>
    <t>A351</t>
  </si>
  <si>
    <t>B530</t>
  </si>
  <si>
    <t>B474</t>
  </si>
  <si>
    <t>B522</t>
  </si>
  <si>
    <t>B513</t>
  </si>
  <si>
    <t>B476</t>
  </si>
  <si>
    <t>B551</t>
  </si>
  <si>
    <t>B550</t>
  </si>
  <si>
    <t>B484</t>
  </si>
  <si>
    <t>B500</t>
  </si>
  <si>
    <t>BENENTECHRISTIAN ALBERTO</t>
  </si>
  <si>
    <t>31225657-6</t>
  </si>
  <si>
    <t>A147</t>
  </si>
  <si>
    <t>B693</t>
  </si>
  <si>
    <t>A410</t>
  </si>
  <si>
    <t>E998</t>
  </si>
  <si>
    <t>A434</t>
  </si>
  <si>
    <t>B695</t>
  </si>
  <si>
    <t>A547</t>
  </si>
  <si>
    <t>B250</t>
  </si>
  <si>
    <t>E276</t>
  </si>
  <si>
    <t>D977</t>
  </si>
  <si>
    <t>A962</t>
  </si>
  <si>
    <t>31230217-9</t>
  </si>
  <si>
    <t>G-CHO26-00958</t>
  </si>
  <si>
    <t>B242</t>
  </si>
  <si>
    <t>A832</t>
  </si>
  <si>
    <t>A823</t>
  </si>
  <si>
    <t>A501</t>
  </si>
  <si>
    <t>31250946-6</t>
  </si>
  <si>
    <t>G-CHO26-01047</t>
  </si>
  <si>
    <t>A040</t>
  </si>
  <si>
    <t>A047</t>
  </si>
  <si>
    <t>A039</t>
  </si>
  <si>
    <t>A044</t>
  </si>
  <si>
    <t>A045</t>
  </si>
  <si>
    <t xml:space="preserve">VINCENTY PEDRO JORGE </t>
  </si>
  <si>
    <t>31254545-4</t>
  </si>
  <si>
    <t>G-CHO26-01071</t>
  </si>
  <si>
    <t>C451</t>
  </si>
  <si>
    <t>D485</t>
  </si>
  <si>
    <t>A337</t>
  </si>
  <si>
    <t>A890</t>
  </si>
  <si>
    <t>A001</t>
  </si>
  <si>
    <t>C102</t>
  </si>
  <si>
    <t>31254590-5</t>
  </si>
  <si>
    <t>G-CHO26-01069</t>
  </si>
  <si>
    <t>A896</t>
  </si>
  <si>
    <t>A399</t>
  </si>
  <si>
    <t>Y222</t>
  </si>
  <si>
    <t>E044</t>
  </si>
  <si>
    <t>Y043</t>
  </si>
  <si>
    <t>B835</t>
  </si>
  <si>
    <t>E394</t>
  </si>
  <si>
    <t>B840</t>
  </si>
  <si>
    <t>A882</t>
  </si>
  <si>
    <t>31254444-5</t>
  </si>
  <si>
    <t>G-CHO26-01072</t>
  </si>
  <si>
    <t>31276521-7</t>
  </si>
  <si>
    <t>G-CHO26-01150</t>
  </si>
  <si>
    <t>ME</t>
  </si>
  <si>
    <t>C233</t>
  </si>
  <si>
    <t>C249</t>
  </si>
  <si>
    <t>C231</t>
  </si>
  <si>
    <t>C209</t>
  </si>
  <si>
    <t>C210</t>
  </si>
  <si>
    <t>C196</t>
  </si>
  <si>
    <t>C247</t>
  </si>
  <si>
    <t>C242</t>
  </si>
  <si>
    <t>C200</t>
  </si>
  <si>
    <t>C223</t>
  </si>
  <si>
    <t>BURTRE CRISTIAN BASILIO</t>
  </si>
  <si>
    <t>31272072-8</t>
  </si>
  <si>
    <t>G-RCO26-00558</t>
  </si>
  <si>
    <t>D082</t>
  </si>
  <si>
    <t>B488</t>
  </si>
  <si>
    <t>C917</t>
  </si>
  <si>
    <t>D438</t>
  </si>
  <si>
    <t>D100</t>
  </si>
  <si>
    <t>D055</t>
  </si>
  <si>
    <t>D041</t>
  </si>
  <si>
    <t>C714</t>
  </si>
  <si>
    <t>D287</t>
  </si>
  <si>
    <t>B389</t>
  </si>
  <si>
    <t>D070</t>
  </si>
  <si>
    <t>B383</t>
  </si>
  <si>
    <t>C926</t>
  </si>
  <si>
    <t>E369</t>
  </si>
  <si>
    <t>AGRO SERVICE S.A</t>
  </si>
  <si>
    <t>31278190-5</t>
  </si>
  <si>
    <t>G-CHO26-01154</t>
  </si>
  <si>
    <t>C496</t>
  </si>
  <si>
    <t>C397</t>
  </si>
  <si>
    <t>D504</t>
  </si>
  <si>
    <t>C494</t>
  </si>
  <si>
    <t>C380</t>
  </si>
  <si>
    <t>BOSQUE ANDINO S.A</t>
  </si>
  <si>
    <t>31278316-9</t>
  </si>
  <si>
    <t>G055</t>
  </si>
  <si>
    <t>A</t>
  </si>
  <si>
    <t>B525</t>
  </si>
  <si>
    <t>F969</t>
  </si>
  <si>
    <t>B453</t>
  </si>
  <si>
    <t>G039</t>
  </si>
  <si>
    <t>B514</t>
  </si>
  <si>
    <t>B504</t>
  </si>
  <si>
    <t>FV AGROPECUARIA SRL</t>
  </si>
  <si>
    <t>31274097-4</t>
  </si>
  <si>
    <t>G-CHO26-01144</t>
  </si>
  <si>
    <t>D135</t>
  </si>
  <si>
    <t>C803</t>
  </si>
  <si>
    <t>C805</t>
  </si>
  <si>
    <t>C835</t>
  </si>
  <si>
    <t>C802</t>
  </si>
  <si>
    <t>C806</t>
  </si>
  <si>
    <t>C832</t>
  </si>
  <si>
    <t>D132</t>
  </si>
  <si>
    <t>D131</t>
  </si>
  <si>
    <t>C833</t>
  </si>
  <si>
    <t>C804</t>
  </si>
  <si>
    <t>C836</t>
  </si>
  <si>
    <t>D126</t>
  </si>
  <si>
    <t>C801</t>
  </si>
  <si>
    <t>D199</t>
  </si>
  <si>
    <t>D127</t>
  </si>
  <si>
    <t>D136</t>
  </si>
  <si>
    <t>C834</t>
  </si>
  <si>
    <t>D130</t>
  </si>
  <si>
    <t>VILLA NORBERTO FABIAN</t>
  </si>
  <si>
    <t>31290609-0</t>
  </si>
  <si>
    <t>G-CHO26-01184</t>
  </si>
  <si>
    <t>GANADERA NORTE NEUQUINO S.A.S</t>
  </si>
  <si>
    <t>31284731-0</t>
  </si>
  <si>
    <t>G-CHO26-01170</t>
  </si>
  <si>
    <t>A300</t>
  </si>
  <si>
    <t>F867</t>
  </si>
  <si>
    <t>L907</t>
  </si>
  <si>
    <t>C856</t>
  </si>
  <si>
    <t>L796</t>
  </si>
  <si>
    <t>L968</t>
  </si>
  <si>
    <t>C456</t>
  </si>
  <si>
    <t>D614</t>
  </si>
  <si>
    <t>A055</t>
  </si>
  <si>
    <t>A420</t>
  </si>
  <si>
    <t>F944</t>
  </si>
  <si>
    <t>A511</t>
  </si>
  <si>
    <t>A518</t>
  </si>
  <si>
    <t>L965</t>
  </si>
  <si>
    <t>B786</t>
  </si>
  <si>
    <t>L671</t>
  </si>
  <si>
    <t>L727</t>
  </si>
  <si>
    <t>L773</t>
  </si>
  <si>
    <t>L721</t>
  </si>
  <si>
    <t>G421</t>
  </si>
  <si>
    <t>D519</t>
  </si>
  <si>
    <t>A461</t>
  </si>
  <si>
    <t>B861</t>
  </si>
  <si>
    <t>L723</t>
  </si>
  <si>
    <t>L785</t>
  </si>
  <si>
    <t>A544</t>
  </si>
  <si>
    <t>D343</t>
  </si>
  <si>
    <t>L909</t>
  </si>
  <si>
    <t>B160</t>
  </si>
  <si>
    <t>F232</t>
  </si>
  <si>
    <t>A421</t>
  </si>
  <si>
    <t>P956</t>
  </si>
  <si>
    <t>B512</t>
  </si>
  <si>
    <t>3D</t>
  </si>
  <si>
    <t>F257</t>
  </si>
  <si>
    <t>A513</t>
  </si>
  <si>
    <t>N729</t>
  </si>
  <si>
    <t>G636</t>
  </si>
  <si>
    <t>B680</t>
  </si>
  <si>
    <t>D713</t>
  </si>
  <si>
    <t>F724</t>
  </si>
  <si>
    <t>A717</t>
  </si>
  <si>
    <t>G472</t>
  </si>
  <si>
    <t>G684</t>
  </si>
  <si>
    <t>F469</t>
  </si>
  <si>
    <t>DOS DE FIERRO S.A</t>
  </si>
  <si>
    <t>31274511-9</t>
  </si>
  <si>
    <t>G-CHO26-01148</t>
  </si>
  <si>
    <t>-</t>
  </si>
  <si>
    <t>A878</t>
  </si>
  <si>
    <t>A558</t>
  </si>
  <si>
    <t>A406</t>
  </si>
  <si>
    <t>G193</t>
  </si>
  <si>
    <t>A781</t>
  </si>
  <si>
    <t>B090</t>
  </si>
  <si>
    <t>A113</t>
  </si>
  <si>
    <t>E890</t>
  </si>
  <si>
    <t>B714</t>
  </si>
  <si>
    <t>B058</t>
  </si>
  <si>
    <t>B663</t>
  </si>
  <si>
    <t>F006</t>
  </si>
  <si>
    <t>31290951-0</t>
  </si>
  <si>
    <t>G-CHO26-01194</t>
  </si>
  <si>
    <t>B948</t>
  </si>
  <si>
    <t>A826</t>
  </si>
  <si>
    <t>A316</t>
  </si>
  <si>
    <t>B953</t>
  </si>
  <si>
    <t>A809</t>
  </si>
  <si>
    <t>A537</t>
  </si>
  <si>
    <t>T633</t>
  </si>
  <si>
    <t>A290</t>
  </si>
  <si>
    <t>B595</t>
  </si>
  <si>
    <t>B636</t>
  </si>
  <si>
    <t>A271</t>
  </si>
  <si>
    <t>A233</t>
  </si>
  <si>
    <t>A816</t>
  </si>
  <si>
    <t>A845</t>
  </si>
  <si>
    <t>A850</t>
  </si>
  <si>
    <t>A853</t>
  </si>
  <si>
    <t>A843</t>
  </si>
  <si>
    <t>A813</t>
  </si>
  <si>
    <t>A858</t>
  </si>
  <si>
    <t>A860</t>
  </si>
  <si>
    <t>A876</t>
  </si>
  <si>
    <t>A034</t>
  </si>
  <si>
    <t>A249</t>
  </si>
  <si>
    <t>A068</t>
  </si>
  <si>
    <t>D297</t>
  </si>
  <si>
    <t>A810</t>
  </si>
  <si>
    <t>F445</t>
  </si>
  <si>
    <t>A737</t>
  </si>
  <si>
    <t>B010</t>
  </si>
  <si>
    <t>A108</t>
  </si>
  <si>
    <t>A973</t>
  </si>
  <si>
    <t>C429</t>
  </si>
  <si>
    <t>B984</t>
  </si>
  <si>
    <t>M218</t>
  </si>
  <si>
    <t>31208462-0</t>
  </si>
  <si>
    <t>G-CHO26-01237</t>
  </si>
  <si>
    <t>31311674-3</t>
  </si>
  <si>
    <t>G-CHO26-01252</t>
  </si>
  <si>
    <t>DIETZELFACUNDO ROBERTO</t>
  </si>
  <si>
    <t>31302315-5</t>
  </si>
  <si>
    <t>G-CHI26-00029</t>
  </si>
  <si>
    <t>31311631-5</t>
  </si>
  <si>
    <t>A451</t>
  </si>
  <si>
    <t>B319</t>
  </si>
  <si>
    <t>A247</t>
  </si>
  <si>
    <t>A697</t>
  </si>
  <si>
    <t>A193</t>
  </si>
  <si>
    <t>S/P</t>
  </si>
  <si>
    <t>B167</t>
  </si>
  <si>
    <t>A467</t>
  </si>
  <si>
    <t>A223</t>
  </si>
  <si>
    <t>C998</t>
  </si>
  <si>
    <t>A142</t>
  </si>
  <si>
    <t>B412</t>
  </si>
  <si>
    <t>A201</t>
  </si>
  <si>
    <t>C848</t>
  </si>
  <si>
    <t>C841</t>
  </si>
  <si>
    <t>B410</t>
  </si>
  <si>
    <t>C351</t>
  </si>
  <si>
    <t>A025</t>
  </si>
  <si>
    <t>C744</t>
  </si>
  <si>
    <t>B464</t>
  </si>
  <si>
    <t>PETERSEN AGUSTIN ALEJANDRO</t>
  </si>
  <si>
    <t>LA MASCOTA SRL</t>
  </si>
  <si>
    <t>31315845-4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</si>
</sst>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3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5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2" fontId="1" fillId="0" borderId="2" xfId="0" applyNumberFormat="1" applyFont="1" applyBorder="1"/>
    <xf numFmtId="0" fontId="1" fillId="0" borderId="3" xfId="0" applyFont="1" applyBorder="1"/>
    <xf numFmtId="0" fontId="1" fillId="0" borderId="4" xfId="0" applyFont="1" applyBorder="1"/>
    <xf numFmtId="0" fontId="3" fillId="0" borderId="5" xfId="0" applyFont="1" applyBorder="1" applyAlignment="1">
      <alignment vertical="center"/>
    </xf>
    <xf numFmtId="2" fontId="3" fillId="0" borderId="6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7" xfId="0" applyFont="1" applyBorder="1"/>
    <xf numFmtId="14" fontId="3" fillId="0" borderId="8" xfId="0" applyNumberFormat="1" applyFont="1" applyBorder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2" xfId="0" applyBorder="1" applyAlignment="1">
      <alignment horizontal="center"/>
    </xf>
    <xf numFmtId="1" fontId="0" fillId="0" borderId="8" xfId="1" applyNumberFormat="1" applyFont="1" applyBorder="1" applyAlignment="1">
      <alignment horizontal="center" vertical="center"/>
    </xf>
    <xf numFmtId="2" fontId="1" fillId="0" borderId="8" xfId="0" applyNumberFormat="1" applyFont="1" applyBorder="1"/>
    <xf numFmtId="0" fontId="0" fillId="0" borderId="12" xfId="0" applyBorder="1"/>
    <xf numFmtId="2" fontId="1" fillId="0" borderId="6" xfId="0" applyNumberFormat="1" applyFont="1" applyBorder="1"/>
    <xf numFmtId="0" fontId="4" fillId="0" borderId="0" xfId="0" applyFont="1"/>
    <xf numFmtId="2" fontId="4" fillId="0" borderId="0" xfId="0" applyNumberFormat="1" applyFont="1"/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13" xfId="0" applyFont="1" applyBorder="1" applyAlignment="1">
      <alignment horizontal="center" vertical="center" wrapText="1"/>
    </xf>
    <xf numFmtId="2" fontId="4" fillId="0" borderId="13" xfId="0" applyNumberFormat="1" applyFont="1" applyBorder="1" applyAlignment="1">
      <alignment horizontal="center" vertical="center" wrapText="1"/>
    </xf>
    <xf numFmtId="0" fontId="1" fillId="0" borderId="11" xfId="0" applyFont="1" applyBorder="1"/>
    <xf numFmtId="0" fontId="1" fillId="0" borderId="12" xfId="0" applyFont="1" applyBorder="1"/>
    <xf numFmtId="0" fontId="5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/>
    </xf>
    <xf numFmtId="10" fontId="1" fillId="0" borderId="12" xfId="1" applyNumberFormat="1" applyFont="1" applyBorder="1" applyAlignment="1">
      <alignment horizontal="center"/>
    </xf>
    <xf numFmtId="0" fontId="1" fillId="0" borderId="5" xfId="0" applyFont="1" applyBorder="1"/>
    <xf numFmtId="10" fontId="1" fillId="0" borderId="5" xfId="1" applyNumberFormat="1" applyFont="1" applyBorder="1" applyAlignment="1">
      <alignment horizontal="center"/>
    </xf>
    <xf numFmtId="0" fontId="1" fillId="0" borderId="15" xfId="0" applyFont="1" applyBorder="1"/>
    <xf numFmtId="0" fontId="1" fillId="0" borderId="16" xfId="0" applyFont="1" applyBorder="1"/>
    <xf numFmtId="2" fontId="1" fillId="0" borderId="16" xfId="0" applyNumberFormat="1" applyFont="1" applyBorder="1"/>
    <xf numFmtId="0" fontId="1" fillId="0" borderId="17" xfId="0" applyFont="1" applyBorder="1"/>
    <xf numFmtId="2" fontId="0" fillId="0" borderId="6" xfId="0" applyNumberForma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10" fontId="3" fillId="0" borderId="9" xfId="1" applyNumberFormat="1" applyFont="1" applyBorder="1" applyAlignment="1">
      <alignment horizontal="center" vertical="center"/>
    </xf>
    <xf numFmtId="1" fontId="3" fillId="0" borderId="9" xfId="0" applyNumberFormat="1" applyFont="1" applyBorder="1" applyAlignment="1">
      <alignment vertical="center"/>
    </xf>
    <xf numFmtId="10" fontId="1" fillId="0" borderId="0" xfId="0" applyNumberFormat="1" applyFont="1"/>
    <xf numFmtId="0" fontId="2" fillId="0" borderId="6" xfId="0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 wrapText="1"/>
    </xf>
    <xf numFmtId="4" fontId="0" fillId="0" borderId="12" xfId="1" applyNumberFormat="1" applyFont="1" applyBorder="1" applyAlignment="1">
      <alignment horizontal="center" vertical="center"/>
    </xf>
    <xf numFmtId="4" fontId="1" fillId="0" borderId="13" xfId="0" applyNumberFormat="1" applyFont="1" applyBorder="1"/>
    <xf numFmtId="4" fontId="0" fillId="0" borderId="12" xfId="0" applyNumberFormat="1" applyBorder="1" applyAlignment="1">
      <alignment horizontal="center"/>
    </xf>
    <xf numFmtId="4" fontId="1" fillId="0" borderId="8" xfId="0" applyNumberFormat="1" applyFont="1" applyBorder="1"/>
    <xf numFmtId="4" fontId="0" fillId="0" borderId="6" xfId="0" applyNumberFormat="1" applyBorder="1"/>
    <xf numFmtId="4" fontId="0" fillId="0" borderId="5" xfId="0" applyNumberForma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center"/>
    </xf>
    <xf numFmtId="1" fontId="9" fillId="0" borderId="13" xfId="1" applyNumberFormat="1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/>
    </xf>
    <xf numFmtId="1" fontId="9" fillId="0" borderId="8" xfId="1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right"/>
    </xf>
    <xf numFmtId="1" fontId="10" fillId="0" borderId="6" xfId="0" applyNumberFormat="1" applyFont="1" applyBorder="1" applyAlignment="1">
      <alignment vertical="center"/>
    </xf>
    <xf numFmtId="0" fontId="0" fillId="0" borderId="11" xfId="0" applyBorder="1" applyAlignment="1">
      <alignment horizontal="center"/>
    </xf>
    <xf numFmtId="0" fontId="0" fillId="0" borderId="12" xfId="1" applyNumberFormat="1" applyFont="1" applyBorder="1" applyAlignment="1">
      <alignment horizontal="center" vertical="center"/>
    </xf>
    <xf numFmtId="0" fontId="0" fillId="0" borderId="12" xfId="1" applyNumberFormat="1" applyFont="1" applyFill="1" applyBorder="1" applyAlignment="1">
      <alignment horizontal="center" vertical="center"/>
    </xf>
    <xf numFmtId="1" fontId="0" fillId="0" borderId="6" xfId="1" applyNumberFormat="1" applyFont="1" applyBorder="1" applyAlignment="1">
      <alignment horizontal="center" vertical="center"/>
    </xf>
    <xf numFmtId="4" fontId="0" fillId="0" borderId="5" xfId="1" applyNumberFormat="1" applyFont="1" applyBorder="1" applyAlignment="1">
      <alignment horizontal="center" vertical="center"/>
    </xf>
    <xf numFmtId="4" fontId="0" fillId="0" borderId="8" xfId="0" applyNumberFormat="1" applyBorder="1" applyAlignment="1">
      <alignment horizontal="center"/>
    </xf>
    <xf numFmtId="4" fontId="1" fillId="0" borderId="6" xfId="0" applyNumberFormat="1" applyFont="1" applyBorder="1"/>
    <xf numFmtId="10" fontId="2" fillId="0" borderId="8" xfId="1" applyNumberFormat="1" applyFont="1" applyBorder="1" applyAlignment="1">
      <alignment horizontal="right"/>
    </xf>
    <xf numFmtId="10" fontId="2" fillId="0" borderId="6" xfId="1" applyNumberFormat="1" applyFont="1" applyBorder="1"/>
    <xf numFmtId="0" fontId="0" fillId="0" borderId="6" xfId="0" applyBorder="1" applyAlignment="1">
      <alignment horizontal="center"/>
    </xf>
    <xf numFmtId="0" fontId="1" fillId="0" borderId="8" xfId="0" applyFont="1" applyBorder="1"/>
    <xf numFmtId="0" fontId="1" fillId="0" borderId="0" xfId="0" applyFon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8" xfId="1" applyNumberFormat="1" applyFont="1" applyBorder="1" applyAlignment="1">
      <alignment horizontal="center" vertical="center"/>
    </xf>
    <xf numFmtId="0" fontId="1" fillId="0" borderId="6" xfId="0" applyFont="1" applyBorder="1"/>
    <xf numFmtId="2" fontId="0" fillId="0" borderId="8" xfId="0" applyNumberFormat="1" applyBorder="1" applyAlignment="1">
      <alignment horizontal="center"/>
    </xf>
    <xf numFmtId="2" fontId="1" fillId="0" borderId="12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2" fontId="0" fillId="0" borderId="8" xfId="0" applyNumberFormat="1" applyBorder="1"/>
    <xf numFmtId="0" fontId="0" fillId="0" borderId="8" xfId="0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0" fontId="0" fillId="0" borderId="8" xfId="1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" fontId="9" fillId="0" borderId="13" xfId="0" applyNumberFormat="1" applyFont="1" applyBorder="1" applyAlignment="1">
      <alignment horizontal="center"/>
    </xf>
    <xf numFmtId="4" fontId="9" fillId="0" borderId="8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0" fontId="1" fillId="0" borderId="13" xfId="0" applyFont="1" applyBorder="1"/>
    <xf numFmtId="4" fontId="1" fillId="0" borderId="8" xfId="0" applyNumberFormat="1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11" fillId="0" borderId="0" xfId="0" applyFont="1"/>
    <xf numFmtId="0" fontId="3" fillId="0" borderId="0" xfId="0" applyFont="1" applyBorder="1" applyAlignment="1">
      <alignment vertical="center"/>
    </xf>
    <xf numFmtId="1" fontId="3" fillId="0" borderId="0" xfId="0" applyNumberFormat="1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10" fontId="2" fillId="0" borderId="8" xfId="1" applyNumberFormat="1" applyFont="1" applyFill="1" applyBorder="1" applyAlignment="1">
      <alignment horizontal="right"/>
    </xf>
    <xf numFmtId="0" fontId="0" fillId="0" borderId="5" xfId="0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1" applyNumberFormat="1" applyFont="1" applyBorder="1" applyAlignment="1">
      <alignment horizontal="center" vertical="center"/>
    </xf>
    <xf numFmtId="164" fontId="0" fillId="0" borderId="12" xfId="0" applyNumberFormat="1" applyBorder="1" applyAlignment="1">
      <alignment horizontal="center"/>
    </xf>
    <xf numFmtId="164" fontId="0" fillId="0" borderId="12" xfId="1" applyNumberFormat="1" applyFont="1" applyFill="1" applyBorder="1" applyAlignment="1">
      <alignment horizontal="center" vertical="center"/>
    </xf>
    <xf numFmtId="4" fontId="9" fillId="0" borderId="8" xfId="0" applyNumberFormat="1" applyFont="1" applyFill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3" xfId="1" applyNumberFormat="1" applyFont="1" applyFill="1" applyBorder="1" applyAlignment="1">
      <alignment horizontal="center" vertical="center"/>
    </xf>
    <xf numFmtId="1" fontId="9" fillId="0" borderId="13" xfId="0" applyNumberFormat="1" applyFont="1" applyBorder="1" applyAlignment="1">
      <alignment horizontal="center"/>
    </xf>
    <xf numFmtId="0" fontId="9" fillId="0" borderId="8" xfId="1" applyNumberFormat="1" applyFont="1" applyFill="1" applyBorder="1" applyAlignment="1">
      <alignment horizontal="center" vertical="center"/>
    </xf>
    <xf numFmtId="1" fontId="9" fillId="0" borderId="8" xfId="0" applyNumberFormat="1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13" fillId="0" borderId="0" xfId="0" applyFont="1"/>
    <xf numFmtId="2" fontId="13" fillId="0" borderId="0" xfId="0" applyNumberFormat="1" applyFont="1"/>
    <xf numFmtId="0" fontId="13" fillId="0" borderId="0" xfId="0" applyFont="1" applyBorder="1"/>
    <xf numFmtId="2" fontId="13" fillId="0" borderId="0" xfId="0" applyNumberFormat="1" applyFont="1" applyBorder="1"/>
    <xf numFmtId="0" fontId="13" fillId="0" borderId="4" xfId="0" applyFont="1" applyBorder="1"/>
    <xf numFmtId="0" fontId="13" fillId="0" borderId="7" xfId="0" applyFont="1" applyBorder="1"/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1" fontId="14" fillId="0" borderId="0" xfId="0" applyNumberFormat="1" applyFont="1" applyBorder="1" applyAlignment="1">
      <alignment vertical="center"/>
    </xf>
    <xf numFmtId="0" fontId="13" fillId="0" borderId="0" xfId="0" applyFont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15" xfId="0" applyFont="1" applyBorder="1"/>
    <xf numFmtId="0" fontId="13" fillId="0" borderId="16" xfId="0" applyFont="1" applyBorder="1"/>
    <xf numFmtId="2" fontId="13" fillId="0" borderId="16" xfId="0" applyNumberFormat="1" applyFont="1" applyBorder="1"/>
    <xf numFmtId="0" fontId="13" fillId="0" borderId="17" xfId="0" applyFont="1" applyBorder="1"/>
    <xf numFmtId="0" fontId="13" fillId="0" borderId="2" xfId="0" applyFont="1" applyBorder="1"/>
    <xf numFmtId="2" fontId="13" fillId="0" borderId="2" xfId="0" applyNumberFormat="1" applyFont="1" applyBorder="1"/>
    <xf numFmtId="0" fontId="13" fillId="0" borderId="1" xfId="0" applyFont="1" applyBorder="1"/>
    <xf numFmtId="0" fontId="13" fillId="0" borderId="3" xfId="0" applyFont="1" applyBorder="1"/>
    <xf numFmtId="0" fontId="17" fillId="0" borderId="0" xfId="0" applyFont="1"/>
    <xf numFmtId="2" fontId="17" fillId="0" borderId="0" xfId="0" applyNumberFormat="1" applyFont="1"/>
    <xf numFmtId="10" fontId="13" fillId="0" borderId="0" xfId="0" applyNumberFormat="1" applyFont="1"/>
    <xf numFmtId="0" fontId="13" fillId="0" borderId="0" xfId="0" applyFont="1" applyAlignment="1">
      <alignment horizontal="center"/>
    </xf>
    <xf numFmtId="2" fontId="13" fillId="0" borderId="16" xfId="0" applyNumberFormat="1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13" fillId="0" borderId="16" xfId="0" applyFont="1" applyBorder="1" applyAlignment="1">
      <alignment horizontal="right"/>
    </xf>
    <xf numFmtId="0" fontId="14" fillId="0" borderId="16" xfId="0" applyFont="1" applyBorder="1" applyAlignment="1">
      <alignment vertical="center"/>
    </xf>
    <xf numFmtId="1" fontId="14" fillId="0" borderId="16" xfId="0" applyNumberFormat="1" applyFont="1" applyBorder="1" applyAlignment="1">
      <alignment vertical="center"/>
    </xf>
    <xf numFmtId="0" fontId="13" fillId="0" borderId="4" xfId="0" applyFont="1" applyBorder="1" applyAlignment="1">
      <alignment horizontal="right"/>
    </xf>
    <xf numFmtId="0" fontId="20" fillId="0" borderId="19" xfId="0" applyFont="1" applyBorder="1" applyAlignment="1">
      <alignment horizontal="center"/>
    </xf>
    <xf numFmtId="4" fontId="18" fillId="0" borderId="19" xfId="0" applyNumberFormat="1" applyFont="1" applyBorder="1"/>
    <xf numFmtId="1" fontId="18" fillId="0" borderId="19" xfId="1" applyNumberFormat="1" applyFont="1" applyBorder="1" applyAlignment="1">
      <alignment horizontal="center" vertical="center"/>
    </xf>
    <xf numFmtId="4" fontId="18" fillId="0" borderId="19" xfId="0" applyNumberFormat="1" applyFont="1" applyBorder="1" applyAlignment="1">
      <alignment horizontal="center"/>
    </xf>
    <xf numFmtId="4" fontId="18" fillId="0" borderId="19" xfId="1" applyNumberFormat="1" applyFont="1" applyBorder="1" applyAlignment="1">
      <alignment horizontal="center" vertical="center"/>
    </xf>
    <xf numFmtId="0" fontId="18" fillId="0" borderId="23" xfId="0" applyFont="1" applyBorder="1" applyAlignment="1">
      <alignment horizontal="center"/>
    </xf>
    <xf numFmtId="0" fontId="20" fillId="0" borderId="23" xfId="0" applyFont="1" applyBorder="1" applyAlignment="1">
      <alignment horizontal="center"/>
    </xf>
    <xf numFmtId="1" fontId="20" fillId="0" borderId="23" xfId="1" applyNumberFormat="1" applyFont="1" applyFill="1" applyBorder="1" applyAlignment="1">
      <alignment horizontal="center" vertical="center"/>
    </xf>
    <xf numFmtId="4" fontId="20" fillId="0" borderId="23" xfId="0" applyNumberFormat="1" applyFont="1" applyBorder="1" applyAlignment="1">
      <alignment horizontal="center"/>
    </xf>
    <xf numFmtId="0" fontId="18" fillId="0" borderId="23" xfId="1" applyNumberFormat="1" applyFont="1" applyBorder="1" applyAlignment="1">
      <alignment horizontal="center" vertical="center"/>
    </xf>
    <xf numFmtId="4" fontId="18" fillId="0" borderId="23" xfId="0" applyNumberFormat="1" applyFont="1" applyBorder="1"/>
    <xf numFmtId="10" fontId="19" fillId="0" borderId="23" xfId="1" applyNumberFormat="1" applyFont="1" applyBorder="1" applyAlignment="1">
      <alignment horizontal="right"/>
    </xf>
    <xf numFmtId="0" fontId="18" fillId="0" borderId="24" xfId="0" applyFont="1" applyBorder="1" applyAlignment="1">
      <alignment horizontal="center"/>
    </xf>
    <xf numFmtId="0" fontId="20" fillId="0" borderId="24" xfId="0" applyFont="1" applyBorder="1" applyAlignment="1">
      <alignment horizontal="center"/>
    </xf>
    <xf numFmtId="1" fontId="20" fillId="0" borderId="24" xfId="1" applyNumberFormat="1" applyFont="1" applyFill="1" applyBorder="1" applyAlignment="1">
      <alignment horizontal="center" vertical="center"/>
    </xf>
    <xf numFmtId="4" fontId="20" fillId="0" borderId="24" xfId="0" applyNumberFormat="1" applyFont="1" applyBorder="1" applyAlignment="1">
      <alignment horizontal="center"/>
    </xf>
    <xf numFmtId="0" fontId="18" fillId="0" borderId="24" xfId="1" applyNumberFormat="1" applyFont="1" applyBorder="1" applyAlignment="1">
      <alignment horizontal="center" vertical="center"/>
    </xf>
    <xf numFmtId="4" fontId="18" fillId="0" borderId="24" xfId="0" applyNumberFormat="1" applyFont="1" applyBorder="1"/>
    <xf numFmtId="10" fontId="19" fillId="0" borderId="24" xfId="1" applyNumberFormat="1" applyFont="1" applyBorder="1" applyAlignment="1">
      <alignment horizontal="right"/>
    </xf>
    <xf numFmtId="0" fontId="18" fillId="0" borderId="24" xfId="1" applyNumberFormat="1" applyFont="1" applyFill="1" applyBorder="1" applyAlignment="1">
      <alignment horizontal="center" vertical="center"/>
    </xf>
    <xf numFmtId="10" fontId="19" fillId="0" borderId="24" xfId="1" applyNumberFormat="1" applyFont="1" applyFill="1" applyBorder="1" applyAlignment="1">
      <alignment horizontal="right"/>
    </xf>
    <xf numFmtId="1" fontId="18" fillId="0" borderId="24" xfId="1" applyNumberFormat="1" applyFont="1" applyBorder="1" applyAlignment="1">
      <alignment horizontal="center" vertical="center"/>
    </xf>
    <xf numFmtId="4" fontId="18" fillId="0" borderId="24" xfId="0" applyNumberFormat="1" applyFont="1" applyBorder="1" applyAlignment="1">
      <alignment horizontal="center"/>
    </xf>
    <xf numFmtId="0" fontId="18" fillId="0" borderId="24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/>
    </xf>
    <xf numFmtId="0" fontId="18" fillId="0" borderId="25" xfId="0" applyFont="1" applyBorder="1" applyAlignment="1">
      <alignment horizontal="center" vertical="center"/>
    </xf>
    <xf numFmtId="1" fontId="18" fillId="0" borderId="25" xfId="1" applyNumberFormat="1" applyFont="1" applyBorder="1" applyAlignment="1">
      <alignment horizontal="center" vertical="center"/>
    </xf>
    <xf numFmtId="4" fontId="18" fillId="0" borderId="25" xfId="0" applyNumberFormat="1" applyFont="1" applyBorder="1" applyAlignment="1">
      <alignment horizontal="center"/>
    </xf>
    <xf numFmtId="4" fontId="18" fillId="0" borderId="25" xfId="0" applyNumberFormat="1" applyFont="1" applyBorder="1"/>
    <xf numFmtId="10" fontId="19" fillId="0" borderId="25" xfId="1" applyNumberFormat="1" applyFont="1" applyBorder="1" applyAlignment="1">
      <alignment horizontal="right"/>
    </xf>
    <xf numFmtId="10" fontId="19" fillId="0" borderId="19" xfId="1" applyNumberFormat="1" applyFont="1" applyBorder="1"/>
    <xf numFmtId="0" fontId="18" fillId="0" borderId="27" xfId="0" applyFont="1" applyBorder="1" applyAlignment="1">
      <alignment horizontal="center"/>
    </xf>
    <xf numFmtId="2" fontId="17" fillId="0" borderId="19" xfId="0" applyNumberFormat="1" applyFont="1" applyBorder="1" applyAlignment="1">
      <alignment horizontal="center" vertical="center" wrapText="1"/>
    </xf>
    <xf numFmtId="0" fontId="13" fillId="0" borderId="24" xfId="0" applyFont="1" applyBorder="1"/>
    <xf numFmtId="2" fontId="13" fillId="0" borderId="19" xfId="0" applyNumberFormat="1" applyFont="1" applyBorder="1"/>
    <xf numFmtId="2" fontId="17" fillId="0" borderId="30" xfId="0" applyNumberFormat="1" applyFont="1" applyBorder="1" applyAlignment="1">
      <alignment horizontal="center" vertical="center" wrapText="1"/>
    </xf>
    <xf numFmtId="2" fontId="13" fillId="0" borderId="30" xfId="0" applyNumberFormat="1" applyFont="1" applyBorder="1"/>
    <xf numFmtId="2" fontId="13" fillId="0" borderId="31" xfId="0" applyNumberFormat="1" applyFont="1" applyBorder="1"/>
    <xf numFmtId="2" fontId="13" fillId="0" borderId="28" xfId="0" applyNumberFormat="1" applyFont="1" applyBorder="1"/>
    <xf numFmtId="0" fontId="13" fillId="0" borderId="19" xfId="0" applyFont="1" applyBorder="1"/>
    <xf numFmtId="0" fontId="17" fillId="0" borderId="19" xfId="0" applyFont="1" applyBorder="1" applyAlignment="1">
      <alignment horizontal="center" vertical="center" wrapText="1"/>
    </xf>
    <xf numFmtId="10" fontId="13" fillId="0" borderId="19" xfId="1" applyNumberFormat="1" applyFont="1" applyBorder="1" applyAlignment="1">
      <alignment horizontal="center"/>
    </xf>
    <xf numFmtId="10" fontId="13" fillId="0" borderId="23" xfId="1" applyNumberFormat="1" applyFont="1" applyBorder="1" applyAlignment="1">
      <alignment horizontal="center"/>
    </xf>
    <xf numFmtId="2" fontId="13" fillId="0" borderId="23" xfId="0" applyNumberFormat="1" applyFont="1" applyBorder="1"/>
    <xf numFmtId="0" fontId="13" fillId="0" borderId="24" xfId="0" applyFont="1" applyBorder="1" applyAlignment="1">
      <alignment horizontal="center"/>
    </xf>
    <xf numFmtId="2" fontId="13" fillId="0" borderId="24" xfId="0" applyNumberFormat="1" applyFont="1" applyBorder="1"/>
    <xf numFmtId="10" fontId="13" fillId="0" borderId="24" xfId="1" applyNumberFormat="1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2" fontId="13" fillId="0" borderId="25" xfId="0" applyNumberFormat="1" applyFont="1" applyBorder="1"/>
    <xf numFmtId="0" fontId="13" fillId="0" borderId="0" xfId="0" applyFont="1" applyBorder="1" applyAlignment="1">
      <alignment horizontal="right"/>
    </xf>
    <xf numFmtId="0" fontId="18" fillId="0" borderId="19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13" fillId="0" borderId="19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4" fillId="0" borderId="2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4" fillId="0" borderId="32" xfId="0" applyFont="1" applyBorder="1" applyAlignment="1">
      <alignment horizontal="center" vertical="center"/>
    </xf>
    <xf numFmtId="1" fontId="18" fillId="0" borderId="24" xfId="0" applyNumberFormat="1" applyFont="1" applyBorder="1" applyAlignment="1">
      <alignment horizontal="center" vertical="center"/>
    </xf>
    <xf numFmtId="0" fontId="18" fillId="0" borderId="25" xfId="1" applyNumberFormat="1" applyFont="1" applyBorder="1" applyAlignment="1">
      <alignment horizontal="center" vertical="center"/>
    </xf>
    <xf numFmtId="10" fontId="14" fillId="0" borderId="32" xfId="0" applyNumberFormat="1" applyFont="1" applyBorder="1" applyAlignment="1">
      <alignment vertical="center"/>
    </xf>
    <xf numFmtId="2" fontId="14" fillId="0" borderId="32" xfId="0" applyNumberFormat="1" applyFont="1" applyBorder="1" applyAlignment="1">
      <alignment vertical="center"/>
    </xf>
    <xf numFmtId="2" fontId="14" fillId="0" borderId="0" xfId="0" applyNumberFormat="1" applyFont="1" applyBorder="1" applyAlignment="1"/>
    <xf numFmtId="0" fontId="14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3" fillId="0" borderId="0" xfId="0" applyFont="1" applyBorder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13" fillId="0" borderId="0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13" fillId="0" borderId="0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13" fillId="0" borderId="0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13" fillId="0" borderId="0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13" fillId="0" borderId="0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3" fillId="0" borderId="0" xfId="0" applyFont="1" applyBorder="1" applyAlignment="1">
      <alignment horizontal="right"/>
    </xf>
    <xf numFmtId="0" fontId="13" fillId="0" borderId="0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3" fillId="0" borderId="0" xfId="0" applyFont="1" applyBorder="1" applyAlignment="1">
      <alignment horizontal="right"/>
    </xf>
    <xf numFmtId="2" fontId="18" fillId="0" borderId="24" xfId="1" applyNumberFormat="1" applyFont="1" applyBorder="1" applyAlignment="1">
      <alignment horizontal="center" vertical="center"/>
    </xf>
    <xf numFmtId="2" fontId="18" fillId="0" borderId="24" xfId="0" applyNumberFormat="1" applyFont="1" applyBorder="1" applyAlignment="1">
      <alignment horizontal="center"/>
    </xf>
    <xf numFmtId="2" fontId="20" fillId="0" borderId="24" xfId="1" applyNumberFormat="1" applyFont="1" applyFill="1" applyBorder="1" applyAlignment="1">
      <alignment horizontal="center" vertical="center"/>
    </xf>
    <xf numFmtId="10" fontId="20" fillId="0" borderId="24" xfId="0" applyNumberFormat="1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3" fillId="0" borderId="0" xfId="0" applyFont="1" applyBorder="1" applyAlignment="1">
      <alignment horizontal="right"/>
    </xf>
    <xf numFmtId="0" fontId="18" fillId="2" borderId="24" xfId="0" applyFont="1" applyFill="1" applyBorder="1" applyAlignment="1">
      <alignment horizontal="center"/>
    </xf>
    <xf numFmtId="0" fontId="18" fillId="2" borderId="24" xfId="1" applyNumberFormat="1" applyFont="1" applyFill="1" applyBorder="1" applyAlignment="1">
      <alignment horizontal="center" vertical="center"/>
    </xf>
    <xf numFmtId="0" fontId="13" fillId="0" borderId="0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3" fillId="0" borderId="0" xfId="0" applyFont="1" applyBorder="1" applyAlignment="1">
      <alignment horizontal="right"/>
    </xf>
    <xf numFmtId="0" fontId="13" fillId="0" borderId="0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13" fillId="0" borderId="0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13" fillId="0" borderId="0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3" fillId="0" borderId="0" xfId="0" applyFont="1" applyBorder="1" applyAlignment="1">
      <alignment horizontal="right"/>
    </xf>
    <xf numFmtId="0" fontId="18" fillId="0" borderId="19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3" fillId="0" borderId="0" xfId="0" applyFont="1" applyBorder="1" applyAlignment="1">
      <alignment horizontal="right"/>
    </xf>
    <xf numFmtId="0" fontId="13" fillId="0" borderId="0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13" fillId="0" borderId="0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3" fillId="0" borderId="0" xfId="0" applyFont="1" applyBorder="1" applyAlignment="1">
      <alignment horizontal="right"/>
    </xf>
    <xf numFmtId="0" fontId="18" fillId="0" borderId="19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3" fillId="0" borderId="0" xfId="0" applyFont="1" applyBorder="1" applyAlignment="1">
      <alignment horizontal="right"/>
    </xf>
    <xf numFmtId="0" fontId="18" fillId="0" borderId="19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3" fillId="0" borderId="0" xfId="0" applyFont="1" applyBorder="1" applyAlignment="1">
      <alignment horizontal="right"/>
    </xf>
    <xf numFmtId="0" fontId="18" fillId="0" borderId="19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3" fillId="0" borderId="0" xfId="0" applyFont="1" applyBorder="1" applyAlignment="1">
      <alignment horizontal="right"/>
    </xf>
    <xf numFmtId="0" fontId="13" fillId="0" borderId="0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3" fillId="0" borderId="0" xfId="0" applyFont="1" applyBorder="1" applyAlignment="1">
      <alignment horizontal="right"/>
    </xf>
    <xf numFmtId="0" fontId="13" fillId="0" borderId="0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13" fillId="0" borderId="0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13" fillId="0" borderId="0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13" fillId="0" borderId="0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8" fillId="0" borderId="19" xfId="0" applyFont="1" applyBorder="1" applyAlignment="1">
      <alignment horizontal="center"/>
    </xf>
    <xf numFmtId="0" fontId="8" fillId="0" borderId="1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4" fontId="13" fillId="0" borderId="0" xfId="0" applyNumberFormat="1" applyFont="1" applyAlignment="1">
      <alignment horizontal="center"/>
    </xf>
    <xf numFmtId="0" fontId="13" fillId="0" borderId="0" xfId="0" applyFont="1" applyBorder="1" applyAlignment="1">
      <alignment horizontal="right"/>
    </xf>
    <xf numFmtId="0" fontId="14" fillId="0" borderId="0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2" fontId="14" fillId="0" borderId="0" xfId="0" applyNumberFormat="1" applyFont="1" applyBorder="1" applyAlignment="1">
      <alignment horizontal="center"/>
    </xf>
    <xf numFmtId="2" fontId="13" fillId="0" borderId="0" xfId="0" applyNumberFormat="1" applyFont="1" applyBorder="1" applyAlignment="1">
      <alignment horizontal="right"/>
    </xf>
    <xf numFmtId="0" fontId="13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4" fontId="14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center"/>
    </xf>
    <xf numFmtId="0" fontId="18" fillId="0" borderId="26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2" fontId="18" fillId="0" borderId="23" xfId="0" applyNumberFormat="1" applyFont="1" applyBorder="1" applyAlignment="1">
      <alignment horizontal="center" vertical="center" wrapText="1"/>
    </xf>
    <xf numFmtId="2" fontId="18" fillId="0" borderId="25" xfId="0" applyNumberFormat="1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left"/>
    </xf>
    <xf numFmtId="0" fontId="13" fillId="0" borderId="21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13" fillId="0" borderId="2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6" fillId="0" borderId="20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left"/>
    </xf>
    <xf numFmtId="0" fontId="13" fillId="0" borderId="25" xfId="0" applyFont="1" applyBorder="1" applyAlignment="1">
      <alignment horizontal="left"/>
    </xf>
    <xf numFmtId="0" fontId="13" fillId="0" borderId="19" xfId="0" applyFont="1" applyBorder="1" applyAlignment="1">
      <alignment horizontal="center"/>
    </xf>
    <xf numFmtId="2" fontId="14" fillId="0" borderId="0" xfId="0" applyNumberFormat="1" applyFont="1" applyBorder="1" applyAlignment="1">
      <alignment horizontal="left"/>
    </xf>
    <xf numFmtId="14" fontId="14" fillId="0" borderId="0" xfId="0" applyNumberFormat="1" applyFont="1" applyAlignment="1">
      <alignment horizontal="center"/>
    </xf>
    <xf numFmtId="14" fontId="21" fillId="0" borderId="0" xfId="0" applyNumberFormat="1" applyFont="1" applyAlignment="1">
      <alignment horizontal="center"/>
    </xf>
    <xf numFmtId="14" fontId="15" fillId="0" borderId="0" xfId="0" applyNumberFormat="1" applyFont="1" applyAlignment="1">
      <alignment horizontal="center"/>
    </xf>
  </cellXfs>
  <cellStyles count="2">
    <cellStyle name="Normal" xfId="0" builtinId="0"/>
    <cellStyle name="Porcentaje" xfId="1" builtinId="5"/>
  </cellStyles>
  <dxfs count="10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102" Type="http://schemas.openxmlformats.org/officeDocument/2006/relationships/worksheet" Target="worksheets/sheet102.xml"/><Relationship Id="rId110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theme" Target="theme/theme1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5" name="Immagine 1">
          <a:extLst>
            <a:ext uri="{FF2B5EF4-FFF2-40B4-BE49-F238E27FC236}">
              <a16:creationId xmlns:a16="http://schemas.microsoft.com/office/drawing/2014/main" xmlns="" id="{00000000-0008-0000-6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6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5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33375"/>
          <a:ext cx="25431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47625</xdr:colOff>
      <xdr:row>1</xdr:row>
      <xdr:rowOff>133350</xdr:rowOff>
    </xdr:from>
    <xdr:to>
      <xdr:col>12</xdr:col>
      <xdr:colOff>66675</xdr:colOff>
      <xdr:row>5</xdr:row>
      <xdr:rowOff>76200</xdr:rowOff>
    </xdr:to>
    <xdr:pic>
      <xdr:nvPicPr>
        <xdr:cNvPr id="4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323850"/>
          <a:ext cx="2543175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5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208" y="251884"/>
          <a:ext cx="2541058" cy="10011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1</xdr:row>
      <xdr:rowOff>40217</xdr:rowOff>
    </xdr:from>
    <xdr:to>
      <xdr:col>5</xdr:col>
      <xdr:colOff>630766</xdr:colOff>
      <xdr:row>5</xdr:row>
      <xdr:rowOff>162983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xmlns="" id="{00000000-0008-0000-6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9767"/>
          <a:ext cx="2545291" cy="989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1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32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Relationship Id="rId4" Type="http://schemas.openxmlformats.org/officeDocument/2006/relationships/comments" Target="../comments33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Relationship Id="rId4" Type="http://schemas.openxmlformats.org/officeDocument/2006/relationships/comments" Target="../comments34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Relationship Id="rId4" Type="http://schemas.openxmlformats.org/officeDocument/2006/relationships/comments" Target="../comments35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6.vml"/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Relationship Id="rId4" Type="http://schemas.openxmlformats.org/officeDocument/2006/relationships/comments" Target="../comments36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7.vml"/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Relationship Id="rId4" Type="http://schemas.openxmlformats.org/officeDocument/2006/relationships/comments" Target="../comments37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8.vml"/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Relationship Id="rId4" Type="http://schemas.openxmlformats.org/officeDocument/2006/relationships/comments" Target="../comments38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9.vml"/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Relationship Id="rId4" Type="http://schemas.openxmlformats.org/officeDocument/2006/relationships/comments" Target="../comments39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0.vml"/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Relationship Id="rId4" Type="http://schemas.openxmlformats.org/officeDocument/2006/relationships/comments" Target="../comments40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1.vml"/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Relationship Id="rId4" Type="http://schemas.openxmlformats.org/officeDocument/2006/relationships/comments" Target="../comments41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2.vml"/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Relationship Id="rId4" Type="http://schemas.openxmlformats.org/officeDocument/2006/relationships/comments" Target="../comments42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3.vml"/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Relationship Id="rId4" Type="http://schemas.openxmlformats.org/officeDocument/2006/relationships/comments" Target="../comments43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4.vml"/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Relationship Id="rId4" Type="http://schemas.openxmlformats.org/officeDocument/2006/relationships/comments" Target="../comments44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5.vml"/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Relationship Id="rId4" Type="http://schemas.openxmlformats.org/officeDocument/2006/relationships/comments" Target="../comments45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6.vml"/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Relationship Id="rId4" Type="http://schemas.openxmlformats.org/officeDocument/2006/relationships/comments" Target="../comments46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7.vml"/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Relationship Id="rId4" Type="http://schemas.openxmlformats.org/officeDocument/2006/relationships/comments" Target="../comments47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8.vml"/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Relationship Id="rId4" Type="http://schemas.openxmlformats.org/officeDocument/2006/relationships/comments" Target="../comments48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9.vml"/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Relationship Id="rId4" Type="http://schemas.openxmlformats.org/officeDocument/2006/relationships/comments" Target="../comments49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0.vml"/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Relationship Id="rId4" Type="http://schemas.openxmlformats.org/officeDocument/2006/relationships/comments" Target="../comments50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1.vml"/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Relationship Id="rId4" Type="http://schemas.openxmlformats.org/officeDocument/2006/relationships/comments" Target="../comments51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2.vml"/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Relationship Id="rId4" Type="http://schemas.openxmlformats.org/officeDocument/2006/relationships/comments" Target="../comments52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3.vml"/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Relationship Id="rId4" Type="http://schemas.openxmlformats.org/officeDocument/2006/relationships/comments" Target="../comments53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4.vml"/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Relationship Id="rId4" Type="http://schemas.openxmlformats.org/officeDocument/2006/relationships/comments" Target="../comments54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5.vml"/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Relationship Id="rId4" Type="http://schemas.openxmlformats.org/officeDocument/2006/relationships/comments" Target="../comments55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6.vml"/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Relationship Id="rId4" Type="http://schemas.openxmlformats.org/officeDocument/2006/relationships/comments" Target="../comments56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7.vml"/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Relationship Id="rId4" Type="http://schemas.openxmlformats.org/officeDocument/2006/relationships/comments" Target="../comments57.x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8.vml"/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Relationship Id="rId4" Type="http://schemas.openxmlformats.org/officeDocument/2006/relationships/comments" Target="../comments58.x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9.vml"/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Relationship Id="rId4" Type="http://schemas.openxmlformats.org/officeDocument/2006/relationships/comments" Target="../comments59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0.vml"/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Relationship Id="rId4" Type="http://schemas.openxmlformats.org/officeDocument/2006/relationships/comments" Target="../comments60.x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1.vml"/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Relationship Id="rId4" Type="http://schemas.openxmlformats.org/officeDocument/2006/relationships/comments" Target="../comments61.xm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2.vml"/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Relationship Id="rId4" Type="http://schemas.openxmlformats.org/officeDocument/2006/relationships/comments" Target="../comments62.x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3.vml"/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Relationship Id="rId4" Type="http://schemas.openxmlformats.org/officeDocument/2006/relationships/comments" Target="../comments63.xm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4.vml"/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Relationship Id="rId4" Type="http://schemas.openxmlformats.org/officeDocument/2006/relationships/comments" Target="../comments64.xm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5.vml"/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Relationship Id="rId4" Type="http://schemas.openxmlformats.org/officeDocument/2006/relationships/comments" Target="../comments65.x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6.vml"/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Relationship Id="rId4" Type="http://schemas.openxmlformats.org/officeDocument/2006/relationships/comments" Target="../comments66.xml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7.vml"/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Relationship Id="rId4" Type="http://schemas.openxmlformats.org/officeDocument/2006/relationships/comments" Target="../comments67.x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8.vml"/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Relationship Id="rId4" Type="http://schemas.openxmlformats.org/officeDocument/2006/relationships/comments" Target="../comments68.x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9.vml"/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Relationship Id="rId4" Type="http://schemas.openxmlformats.org/officeDocument/2006/relationships/comments" Target="../comments69.xml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0.vml"/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Relationship Id="rId4" Type="http://schemas.openxmlformats.org/officeDocument/2006/relationships/comments" Target="../comments70.xml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1.vml"/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Relationship Id="rId4" Type="http://schemas.openxmlformats.org/officeDocument/2006/relationships/comments" Target="../comments71.x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2.vml"/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Relationship Id="rId4" Type="http://schemas.openxmlformats.org/officeDocument/2006/relationships/comments" Target="../comments72.xml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3.vml"/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Relationship Id="rId4" Type="http://schemas.openxmlformats.org/officeDocument/2006/relationships/comments" Target="../comments73.xml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4.vml"/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Relationship Id="rId4" Type="http://schemas.openxmlformats.org/officeDocument/2006/relationships/comments" Target="../comments74.xm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5.vml"/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Relationship Id="rId4" Type="http://schemas.openxmlformats.org/officeDocument/2006/relationships/comments" Target="../comments75.xml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6.vml"/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Relationship Id="rId4" Type="http://schemas.openxmlformats.org/officeDocument/2006/relationships/comments" Target="../comments76.xml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7.vml"/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Relationship Id="rId4" Type="http://schemas.openxmlformats.org/officeDocument/2006/relationships/comments" Target="../comments77.xml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8.vml"/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Relationship Id="rId4" Type="http://schemas.openxmlformats.org/officeDocument/2006/relationships/comments" Target="../comments78.xml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9.vml"/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Relationship Id="rId4" Type="http://schemas.openxmlformats.org/officeDocument/2006/relationships/comments" Target="../comments79.xml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0.vml"/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Relationship Id="rId4" Type="http://schemas.openxmlformats.org/officeDocument/2006/relationships/comments" Target="../comments80.xml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1.vml"/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Relationship Id="rId4" Type="http://schemas.openxmlformats.org/officeDocument/2006/relationships/comments" Target="../comments81.xml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2.vml"/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Relationship Id="rId4" Type="http://schemas.openxmlformats.org/officeDocument/2006/relationships/comments" Target="../comments82.xml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3.vml"/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Relationship Id="rId4" Type="http://schemas.openxmlformats.org/officeDocument/2006/relationships/comments" Target="../comments83.xml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4.vml"/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Relationship Id="rId4" Type="http://schemas.openxmlformats.org/officeDocument/2006/relationships/comments" Target="../comments84.xml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5.vml"/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Relationship Id="rId4" Type="http://schemas.openxmlformats.org/officeDocument/2006/relationships/comments" Target="../comments85.xml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6.vml"/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Relationship Id="rId4" Type="http://schemas.openxmlformats.org/officeDocument/2006/relationships/comments" Target="../comments86.xml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7.vml"/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Relationship Id="rId4" Type="http://schemas.openxmlformats.org/officeDocument/2006/relationships/comments" Target="../comments87.xml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8.vml"/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Relationship Id="rId4" Type="http://schemas.openxmlformats.org/officeDocument/2006/relationships/comments" Target="../comments88.xml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9.vml"/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Relationship Id="rId4" Type="http://schemas.openxmlformats.org/officeDocument/2006/relationships/comments" Target="../comments89.xml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0.vml"/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Relationship Id="rId4" Type="http://schemas.openxmlformats.org/officeDocument/2006/relationships/comments" Target="../comments90.xml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1.vml"/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Relationship Id="rId4" Type="http://schemas.openxmlformats.org/officeDocument/2006/relationships/comments" Target="../comments91.xml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2.vml"/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Relationship Id="rId4" Type="http://schemas.openxmlformats.org/officeDocument/2006/relationships/comments" Target="../comments92.xml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3.vml"/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Relationship Id="rId4" Type="http://schemas.openxmlformats.org/officeDocument/2006/relationships/comments" Target="../comments93.xml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4.vml"/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Relationship Id="rId4" Type="http://schemas.openxmlformats.org/officeDocument/2006/relationships/comments" Target="../comments94.xml"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5.vml"/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Relationship Id="rId4" Type="http://schemas.openxmlformats.org/officeDocument/2006/relationships/comments" Target="../comments95.xml"/></Relationships>
</file>

<file path=xl/worksheets/_rels/sheet9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6.vml"/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Relationship Id="rId4" Type="http://schemas.openxmlformats.org/officeDocument/2006/relationships/comments" Target="../comments96.xml"/></Relationships>
</file>

<file path=xl/worksheets/_rels/sheet9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7.vml"/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Relationship Id="rId4" Type="http://schemas.openxmlformats.org/officeDocument/2006/relationships/comments" Target="../comments97.xml"/></Relationships>
</file>

<file path=xl/worksheets/_rels/sheet9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8.vml"/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Relationship Id="rId4" Type="http://schemas.openxmlformats.org/officeDocument/2006/relationships/comments" Target="../comments98.xml"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9.vml"/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Relationship Id="rId4" Type="http://schemas.openxmlformats.org/officeDocument/2006/relationships/comments" Target="../comments99.xml"/></Relationships>
</file>

<file path=xl/worksheets/_rels/sheet10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0.vml"/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Relationship Id="rId4" Type="http://schemas.openxmlformats.org/officeDocument/2006/relationships/comments" Target="../comments100.xml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1.vml"/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Relationship Id="rId4" Type="http://schemas.openxmlformats.org/officeDocument/2006/relationships/comments" Target="../comments101.xml"/></Relationships>
</file>

<file path=xl/worksheets/_rels/sheet10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2.vml"/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Relationship Id="rId4" Type="http://schemas.openxmlformats.org/officeDocument/2006/relationships/comments" Target="../comments102.xml"/></Relationships>
</file>

<file path=xl/worksheets/_rels/sheet10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3.vml"/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Relationship Id="rId4" Type="http://schemas.openxmlformats.org/officeDocument/2006/relationships/comments" Target="../comments103.xml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4.vml"/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Relationship Id="rId4" Type="http://schemas.openxmlformats.org/officeDocument/2006/relationships/comments" Target="../comments104.xml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5.vml"/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Relationship Id="rId4" Type="http://schemas.openxmlformats.org/officeDocument/2006/relationships/comments" Target="../comments105.xml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6.vml"/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Relationship Id="rId4" Type="http://schemas.openxmlformats.org/officeDocument/2006/relationships/comments" Target="../comments106.xml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7.vml"/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Relationship Id="rId4" Type="http://schemas.openxmlformats.org/officeDocument/2006/relationships/comments" Target="../comments10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>
    <tabColor theme="3" tint="0.39997558519241921"/>
  </sheetPr>
  <dimension ref="B1:P85"/>
  <sheetViews>
    <sheetView topLeftCell="F65" zoomScaleNormal="100" workbookViewId="0">
      <selection activeCell="D18" sqref="D18"/>
    </sheetView>
  </sheetViews>
  <sheetFormatPr baseColWidth="10" defaultColWidth="12.42578125" defaultRowHeight="15" x14ac:dyDescent="0.25"/>
  <cols>
    <col min="1" max="1" width="4" style="1" customWidth="1"/>
    <col min="2" max="2" width="3.7109375" style="1" customWidth="1"/>
    <col min="3" max="3" width="8.5703125" style="1" bestFit="1" customWidth="1"/>
    <col min="4" max="4" width="9" style="1" customWidth="1"/>
    <col min="5" max="5" width="5.7109375" style="1" bestFit="1" customWidth="1"/>
    <col min="6" max="6" width="29.85546875" style="1" bestFit="1" customWidth="1"/>
    <col min="7" max="7" width="17.42578125" style="2" customWidth="1"/>
    <col min="8" max="8" width="12.7109375" style="1" customWidth="1"/>
    <col min="9" max="9" width="12.7109375" style="2" customWidth="1"/>
    <col min="10" max="11" width="12.7109375" style="1" customWidth="1"/>
    <col min="12" max="12" width="12.42578125" style="1"/>
    <col min="13" max="13" width="3.7109375" style="1" customWidth="1"/>
    <col min="14" max="14" width="12.42578125" style="1"/>
    <col min="15" max="15" width="2" style="1" bestFit="1" customWidth="1"/>
    <col min="16" max="16" width="17.140625" style="1" bestFit="1" customWidth="1"/>
    <col min="17" max="16384" width="12.42578125" style="1"/>
  </cols>
  <sheetData>
    <row r="1" spans="2:16" ht="15.75" thickBot="1" x14ac:dyDescent="0.3"/>
    <row r="2" spans="2:16" ht="16.5" thickTop="1" thickBot="1" x14ac:dyDescent="0.3">
      <c r="B2" s="3"/>
      <c r="C2" s="4"/>
      <c r="D2" s="4"/>
      <c r="E2" s="4"/>
      <c r="F2" s="4"/>
      <c r="G2" s="5"/>
      <c r="H2" s="4"/>
      <c r="I2" s="5"/>
      <c r="J2" s="4"/>
      <c r="K2" s="4"/>
      <c r="L2" s="4"/>
      <c r="M2" s="6"/>
    </row>
    <row r="3" spans="2:16" ht="21.75" thickBot="1" x14ac:dyDescent="0.3">
      <c r="B3" s="7"/>
      <c r="F3" s="8" t="s">
        <v>0</v>
      </c>
      <c r="G3" s="9">
        <f>+H56</f>
        <v>5052</v>
      </c>
      <c r="H3" s="10"/>
      <c r="I3" s="46" t="s">
        <v>28</v>
      </c>
      <c r="M3" s="11"/>
    </row>
    <row r="4" spans="2:16" ht="21.75" thickBot="1" x14ac:dyDescent="0.3">
      <c r="B4" s="7"/>
      <c r="F4" s="8" t="s">
        <v>1</v>
      </c>
      <c r="G4" s="9">
        <f>+K56</f>
        <v>2940.3000000000006</v>
      </c>
      <c r="H4" s="10"/>
      <c r="I4" s="47">
        <f>+L56</f>
        <v>0.58200712589073644</v>
      </c>
      <c r="M4" s="11"/>
    </row>
    <row r="5" spans="2:16" ht="21.75" thickBot="1" x14ac:dyDescent="0.3">
      <c r="B5" s="7"/>
      <c r="F5" s="8" t="s">
        <v>2</v>
      </c>
      <c r="G5" s="12">
        <v>46024</v>
      </c>
      <c r="H5" s="10"/>
      <c r="I5" s="58" t="s">
        <v>36</v>
      </c>
      <c r="M5" s="11"/>
    </row>
    <row r="6" spans="2:16" ht="21.75" thickBot="1" x14ac:dyDescent="0.3">
      <c r="B6" s="7"/>
      <c r="F6" s="8" t="s">
        <v>3</v>
      </c>
      <c r="G6" s="65">
        <v>1</v>
      </c>
      <c r="H6" s="10"/>
      <c r="I6" s="63">
        <f>+K56/G7</f>
        <v>196.02000000000004</v>
      </c>
      <c r="M6" s="11"/>
    </row>
    <row r="7" spans="2:16" ht="21.75" thickBot="1" x14ac:dyDescent="0.3">
      <c r="B7" s="7"/>
      <c r="F7" s="8" t="s">
        <v>4</v>
      </c>
      <c r="G7" s="48">
        <f>+D56</f>
        <v>15</v>
      </c>
      <c r="H7" s="10"/>
      <c r="I7" s="103" t="s">
        <v>38</v>
      </c>
      <c r="J7" s="338" t="s">
        <v>83</v>
      </c>
      <c r="K7" s="338"/>
      <c r="L7" s="339"/>
      <c r="M7" s="11"/>
    </row>
    <row r="8" spans="2:16" ht="21.75" thickBot="1" x14ac:dyDescent="0.3">
      <c r="B8" s="7"/>
      <c r="F8" s="101"/>
      <c r="G8" s="102"/>
      <c r="H8" s="10"/>
      <c r="I8" s="103" t="s">
        <v>88</v>
      </c>
      <c r="J8" s="338" t="s">
        <v>103</v>
      </c>
      <c r="K8" s="338"/>
      <c r="L8" s="339"/>
      <c r="M8" s="11"/>
    </row>
    <row r="9" spans="2:16" ht="15.75" thickBot="1" x14ac:dyDescent="0.3">
      <c r="B9" s="7"/>
      <c r="M9" s="11"/>
    </row>
    <row r="10" spans="2:16" s="18" customFormat="1" ht="45.75" thickBot="1" x14ac:dyDescent="0.3">
      <c r="B10" s="13"/>
      <c r="C10" s="27" t="s">
        <v>9</v>
      </c>
      <c r="D10" s="26" t="s">
        <v>5</v>
      </c>
      <c r="E10" s="99" t="s">
        <v>63</v>
      </c>
      <c r="F10" s="14" t="s">
        <v>6</v>
      </c>
      <c r="G10" s="16" t="s">
        <v>7</v>
      </c>
      <c r="H10" s="45" t="s">
        <v>26</v>
      </c>
      <c r="I10" s="15" t="s">
        <v>10</v>
      </c>
      <c r="J10" s="27" t="s">
        <v>11</v>
      </c>
      <c r="K10" s="45" t="s">
        <v>25</v>
      </c>
      <c r="L10" s="50" t="s">
        <v>27</v>
      </c>
      <c r="M10" s="17"/>
    </row>
    <row r="11" spans="2:16" x14ac:dyDescent="0.25">
      <c r="B11" s="7"/>
      <c r="C11" s="28">
        <v>2</v>
      </c>
      <c r="D11" s="28">
        <v>1</v>
      </c>
      <c r="E11" s="19" t="s">
        <v>75</v>
      </c>
      <c r="F11" s="59" t="s">
        <v>62</v>
      </c>
      <c r="G11" s="60" t="s">
        <v>91</v>
      </c>
      <c r="H11" s="94">
        <v>341</v>
      </c>
      <c r="I11" s="66">
        <v>98.9</v>
      </c>
      <c r="J11" s="67">
        <v>97.4</v>
      </c>
      <c r="K11" s="53">
        <f t="shared" ref="K11:K55" si="0">+I11+J11</f>
        <v>196.3</v>
      </c>
      <c r="L11" s="73">
        <f t="shared" ref="L11:L56" si="1">+K11/H11</f>
        <v>0.57565982404692084</v>
      </c>
      <c r="M11" s="11"/>
      <c r="N11" s="64" t="s">
        <v>42</v>
      </c>
      <c r="O11" s="1">
        <f>+COUNTIF($F$11:$F$55,"NOVILLITO (NT)")</f>
        <v>0</v>
      </c>
      <c r="P11" s="59" t="s">
        <v>8</v>
      </c>
    </row>
    <row r="12" spans="2:16" x14ac:dyDescent="0.25">
      <c r="B12" s="7"/>
      <c r="C12" s="29">
        <v>3</v>
      </c>
      <c r="D12" s="29">
        <v>2</v>
      </c>
      <c r="E12" s="19" t="s">
        <v>68</v>
      </c>
      <c r="F12" s="59" t="s">
        <v>62</v>
      </c>
      <c r="G12" s="62" t="s">
        <v>92</v>
      </c>
      <c r="H12" s="95">
        <v>342</v>
      </c>
      <c r="I12" s="19">
        <v>98.7</v>
      </c>
      <c r="J12" s="67">
        <v>99.4</v>
      </c>
      <c r="K12" s="55">
        <f t="shared" si="0"/>
        <v>198.10000000000002</v>
      </c>
      <c r="L12" s="73">
        <f t="shared" si="1"/>
        <v>0.57923976608187144</v>
      </c>
      <c r="M12" s="11"/>
      <c r="N12" s="64" t="s">
        <v>40</v>
      </c>
      <c r="O12" s="1">
        <f>+COUNTIF($F$11:$F$56,"VAQUILLONA (Vq)")</f>
        <v>0</v>
      </c>
      <c r="P12" s="59" t="s">
        <v>37</v>
      </c>
    </row>
    <row r="13" spans="2:16" x14ac:dyDescent="0.25">
      <c r="B13" s="7"/>
      <c r="C13" s="29">
        <v>13</v>
      </c>
      <c r="D13" s="29">
        <v>3</v>
      </c>
      <c r="E13" s="19" t="s">
        <v>75</v>
      </c>
      <c r="F13" s="59" t="s">
        <v>62</v>
      </c>
      <c r="G13" s="62" t="s">
        <v>93</v>
      </c>
      <c r="H13" s="95">
        <v>335</v>
      </c>
      <c r="I13" s="19">
        <v>95.1</v>
      </c>
      <c r="J13" s="67">
        <v>95.5</v>
      </c>
      <c r="K13" s="55">
        <f t="shared" si="0"/>
        <v>190.6</v>
      </c>
      <c r="L13" s="73">
        <f t="shared" si="1"/>
        <v>0.56895522388059705</v>
      </c>
      <c r="M13" s="11"/>
      <c r="N13" s="64" t="s">
        <v>44</v>
      </c>
      <c r="O13" s="1">
        <f>+COUNTIF($F$11:$F$56,"TORITO (MEJ)")</f>
        <v>0</v>
      </c>
      <c r="P13" s="59" t="s">
        <v>43</v>
      </c>
    </row>
    <row r="14" spans="2:16" x14ac:dyDescent="0.25">
      <c r="B14" s="7"/>
      <c r="C14" s="29">
        <v>15</v>
      </c>
      <c r="D14" s="29">
        <v>4</v>
      </c>
      <c r="E14" s="19" t="s">
        <v>68</v>
      </c>
      <c r="F14" s="59" t="s">
        <v>62</v>
      </c>
      <c r="G14" s="62" t="s">
        <v>57</v>
      </c>
      <c r="H14" s="95">
        <v>319</v>
      </c>
      <c r="I14" s="19">
        <v>93.7</v>
      </c>
      <c r="J14" s="67">
        <v>93.9</v>
      </c>
      <c r="K14" s="55">
        <f t="shared" si="0"/>
        <v>187.60000000000002</v>
      </c>
      <c r="L14" s="73">
        <f t="shared" si="1"/>
        <v>0.58808777429467096</v>
      </c>
      <c r="M14" s="11"/>
      <c r="N14" s="78" t="s">
        <v>45</v>
      </c>
      <c r="O14" s="1">
        <f>+COUNTIF($F$11:$F$56,"NOVILLO (No)")</f>
        <v>0</v>
      </c>
      <c r="P14" s="19" t="s">
        <v>39</v>
      </c>
    </row>
    <row r="15" spans="2:16" x14ac:dyDescent="0.25">
      <c r="B15" s="7"/>
      <c r="C15" s="29">
        <v>1</v>
      </c>
      <c r="D15" s="29">
        <v>5</v>
      </c>
      <c r="E15" s="19" t="s">
        <v>68</v>
      </c>
      <c r="F15" s="59" t="s">
        <v>62</v>
      </c>
      <c r="G15" s="62" t="s">
        <v>84</v>
      </c>
      <c r="H15" s="95">
        <v>344</v>
      </c>
      <c r="I15" s="19">
        <v>103.3</v>
      </c>
      <c r="J15" s="67">
        <v>104.6</v>
      </c>
      <c r="K15" s="55">
        <f t="shared" si="0"/>
        <v>207.89999999999998</v>
      </c>
      <c r="L15" s="73">
        <f t="shared" si="1"/>
        <v>0.60436046511627906</v>
      </c>
      <c r="M15" s="11"/>
      <c r="N15" s="78" t="s">
        <v>46</v>
      </c>
      <c r="O15" s="1">
        <f>+COUNTIF($F$11:$F$56,"VACA (Va)")</f>
        <v>0</v>
      </c>
      <c r="P15" s="83" t="s">
        <v>50</v>
      </c>
    </row>
    <row r="16" spans="2:16" x14ac:dyDescent="0.25">
      <c r="B16" s="7"/>
      <c r="C16" s="29">
        <v>11</v>
      </c>
      <c r="D16" s="29">
        <v>6</v>
      </c>
      <c r="E16" s="19" t="s">
        <v>68</v>
      </c>
      <c r="F16" s="59" t="s">
        <v>62</v>
      </c>
      <c r="G16" s="62" t="s">
        <v>94</v>
      </c>
      <c r="H16" s="95">
        <v>335</v>
      </c>
      <c r="I16" s="19">
        <v>98.7</v>
      </c>
      <c r="J16" s="67">
        <v>97.2</v>
      </c>
      <c r="K16" s="55">
        <f t="shared" si="0"/>
        <v>195.9</v>
      </c>
      <c r="L16" s="73">
        <f t="shared" si="1"/>
        <v>0.58477611940298513</v>
      </c>
      <c r="M16" s="11"/>
      <c r="N16" s="64" t="s">
        <v>47</v>
      </c>
      <c r="O16" s="1">
        <f>+COUNTIF($F$11:$F$56,"TORO (To)")</f>
        <v>0</v>
      </c>
      <c r="P16" s="83" t="s">
        <v>51</v>
      </c>
    </row>
    <row r="17" spans="2:16" x14ac:dyDescent="0.25">
      <c r="B17" s="7"/>
      <c r="C17" s="29">
        <v>7</v>
      </c>
      <c r="D17" s="29">
        <v>7</v>
      </c>
      <c r="E17" s="19" t="s">
        <v>67</v>
      </c>
      <c r="F17" s="59" t="s">
        <v>62</v>
      </c>
      <c r="G17" s="62" t="s">
        <v>95</v>
      </c>
      <c r="H17" s="95">
        <v>346</v>
      </c>
      <c r="I17" s="19">
        <v>102.8</v>
      </c>
      <c r="J17" s="67">
        <v>102.8</v>
      </c>
      <c r="K17" s="55">
        <f t="shared" si="0"/>
        <v>205.6</v>
      </c>
      <c r="L17" s="73">
        <f t="shared" si="1"/>
        <v>0.59421965317919079</v>
      </c>
      <c r="M17" s="11"/>
      <c r="N17" s="77"/>
      <c r="O17" s="1">
        <f>SUM(O11:O16)</f>
        <v>0</v>
      </c>
    </row>
    <row r="18" spans="2:16" x14ac:dyDescent="0.25">
      <c r="B18" s="7"/>
      <c r="C18" s="29">
        <v>5</v>
      </c>
      <c r="D18" s="29">
        <v>8</v>
      </c>
      <c r="E18" s="19" t="s">
        <v>67</v>
      </c>
      <c r="F18" s="59" t="s">
        <v>62</v>
      </c>
      <c r="G18" s="62" t="s">
        <v>96</v>
      </c>
      <c r="H18" s="95">
        <v>346</v>
      </c>
      <c r="I18" s="19">
        <v>97.5</v>
      </c>
      <c r="J18" s="67">
        <v>96.9</v>
      </c>
      <c r="K18" s="55">
        <f t="shared" si="0"/>
        <v>194.4</v>
      </c>
      <c r="L18" s="73">
        <f t="shared" si="1"/>
        <v>0.56184971098265901</v>
      </c>
      <c r="M18" s="11"/>
    </row>
    <row r="19" spans="2:16" x14ac:dyDescent="0.25">
      <c r="B19" s="7"/>
      <c r="C19" s="61">
        <v>9</v>
      </c>
      <c r="D19" s="61">
        <v>9</v>
      </c>
      <c r="E19" s="59" t="s">
        <v>68</v>
      </c>
      <c r="F19" s="59" t="s">
        <v>62</v>
      </c>
      <c r="G19" s="62" t="s">
        <v>97</v>
      </c>
      <c r="H19" s="95">
        <v>332</v>
      </c>
      <c r="I19" s="19">
        <v>97.6</v>
      </c>
      <c r="J19" s="67">
        <v>97.7</v>
      </c>
      <c r="K19" s="55">
        <f t="shared" si="0"/>
        <v>195.3</v>
      </c>
      <c r="L19" s="73">
        <f t="shared" si="1"/>
        <v>0.5882530120481928</v>
      </c>
      <c r="M19" s="11"/>
      <c r="P19" s="100" t="s">
        <v>63</v>
      </c>
    </row>
    <row r="20" spans="2:16" x14ac:dyDescent="0.25">
      <c r="B20" s="7"/>
      <c r="C20" s="61">
        <v>8</v>
      </c>
      <c r="D20" s="61">
        <v>10</v>
      </c>
      <c r="E20" s="59" t="s">
        <v>67</v>
      </c>
      <c r="F20" s="59" t="s">
        <v>62</v>
      </c>
      <c r="G20" s="62" t="s">
        <v>98</v>
      </c>
      <c r="H20" s="95">
        <v>366</v>
      </c>
      <c r="I20" s="19">
        <v>110.7</v>
      </c>
      <c r="J20" s="67">
        <v>110.7</v>
      </c>
      <c r="K20" s="55">
        <f t="shared" si="0"/>
        <v>221.4</v>
      </c>
      <c r="L20" s="73">
        <f t="shared" si="1"/>
        <v>0.60491803278688527</v>
      </c>
      <c r="M20" s="11"/>
      <c r="N20" s="64" t="s">
        <v>67</v>
      </c>
      <c r="P20" s="1" t="s">
        <v>64</v>
      </c>
    </row>
    <row r="21" spans="2:16" x14ac:dyDescent="0.25">
      <c r="B21" s="7"/>
      <c r="C21" s="19">
        <v>10</v>
      </c>
      <c r="D21" s="29">
        <v>11</v>
      </c>
      <c r="E21" s="19" t="s">
        <v>68</v>
      </c>
      <c r="F21" s="59" t="s">
        <v>62</v>
      </c>
      <c r="G21" s="62" t="s">
        <v>41</v>
      </c>
      <c r="H21" s="95">
        <v>332</v>
      </c>
      <c r="I21" s="19">
        <v>95.4</v>
      </c>
      <c r="J21" s="67">
        <v>96.7</v>
      </c>
      <c r="K21" s="55">
        <f t="shared" si="0"/>
        <v>192.10000000000002</v>
      </c>
      <c r="L21" s="73">
        <f t="shared" si="1"/>
        <v>0.57861445783132537</v>
      </c>
      <c r="M21" s="11"/>
      <c r="N21" s="64" t="s">
        <v>68</v>
      </c>
      <c r="P21" t="s">
        <v>65</v>
      </c>
    </row>
    <row r="22" spans="2:16" x14ac:dyDescent="0.25">
      <c r="B22" s="7"/>
      <c r="C22" s="19">
        <v>14</v>
      </c>
      <c r="D22" s="29">
        <v>12</v>
      </c>
      <c r="E22" s="19" t="s">
        <v>67</v>
      </c>
      <c r="F22" s="59" t="s">
        <v>62</v>
      </c>
      <c r="G22" s="62" t="s">
        <v>99</v>
      </c>
      <c r="H22" s="95">
        <v>326</v>
      </c>
      <c r="I22" s="19">
        <v>92.5</v>
      </c>
      <c r="J22" s="67">
        <v>92.8</v>
      </c>
      <c r="K22" s="55">
        <f t="shared" si="0"/>
        <v>185.3</v>
      </c>
      <c r="L22" s="73">
        <f t="shared" si="1"/>
        <v>0.56840490797546017</v>
      </c>
      <c r="M22" s="11"/>
      <c r="N22" s="64" t="s">
        <v>75</v>
      </c>
      <c r="P22" t="s">
        <v>74</v>
      </c>
    </row>
    <row r="23" spans="2:16" x14ac:dyDescent="0.25">
      <c r="B23" s="7"/>
      <c r="C23" s="59">
        <v>4</v>
      </c>
      <c r="D23" s="61">
        <v>13</v>
      </c>
      <c r="E23" s="59" t="s">
        <v>67</v>
      </c>
      <c r="F23" s="59" t="s">
        <v>62</v>
      </c>
      <c r="G23" s="62" t="s">
        <v>100</v>
      </c>
      <c r="H23" s="95">
        <v>341</v>
      </c>
      <c r="I23" s="19">
        <v>96.6</v>
      </c>
      <c r="J23" s="67">
        <v>96.2</v>
      </c>
      <c r="K23" s="55">
        <f t="shared" si="0"/>
        <v>192.8</v>
      </c>
      <c r="L23" s="73">
        <f t="shared" si="1"/>
        <v>0.56539589442815252</v>
      </c>
      <c r="M23" s="11"/>
      <c r="N23" s="64" t="s">
        <v>69</v>
      </c>
      <c r="P23" t="s">
        <v>66</v>
      </c>
    </row>
    <row r="24" spans="2:16" x14ac:dyDescent="0.25">
      <c r="B24" s="7"/>
      <c r="C24" s="19">
        <v>6</v>
      </c>
      <c r="D24" s="29">
        <v>14</v>
      </c>
      <c r="E24" s="19" t="s">
        <v>68</v>
      </c>
      <c r="F24" s="59" t="s">
        <v>62</v>
      </c>
      <c r="G24" s="62" t="s">
        <v>101</v>
      </c>
      <c r="H24" s="95">
        <v>312</v>
      </c>
      <c r="I24" s="19">
        <v>93</v>
      </c>
      <c r="J24" s="68">
        <v>92.7</v>
      </c>
      <c r="K24" s="55">
        <f t="shared" si="0"/>
        <v>185.7</v>
      </c>
      <c r="L24" s="104">
        <f t="shared" si="1"/>
        <v>0.59519230769230769</v>
      </c>
      <c r="M24" s="11"/>
      <c r="N24" s="64" t="s">
        <v>70</v>
      </c>
      <c r="P24" t="s">
        <v>71</v>
      </c>
    </row>
    <row r="25" spans="2:16" x14ac:dyDescent="0.25">
      <c r="B25" s="7"/>
      <c r="C25" s="19">
        <v>12</v>
      </c>
      <c r="D25" s="29">
        <v>15</v>
      </c>
      <c r="E25" s="19" t="s">
        <v>68</v>
      </c>
      <c r="F25" s="59" t="s">
        <v>62</v>
      </c>
      <c r="G25" s="62" t="s">
        <v>102</v>
      </c>
      <c r="H25" s="95">
        <v>335</v>
      </c>
      <c r="I25" s="19">
        <v>95.4</v>
      </c>
      <c r="J25" s="67">
        <v>95.9</v>
      </c>
      <c r="K25" s="55">
        <f t="shared" si="0"/>
        <v>191.3</v>
      </c>
      <c r="L25" s="73">
        <f t="shared" si="1"/>
        <v>0.57104477611940296</v>
      </c>
      <c r="M25" s="11"/>
      <c r="N25" s="64" t="s">
        <v>73</v>
      </c>
      <c r="P25" t="s">
        <v>72</v>
      </c>
    </row>
    <row r="26" spans="2:16" x14ac:dyDescent="0.25">
      <c r="B26" s="7"/>
      <c r="C26" s="19"/>
      <c r="D26" s="29"/>
      <c r="E26" s="19"/>
      <c r="F26" s="59"/>
      <c r="G26" s="62"/>
      <c r="H26" s="95"/>
      <c r="I26" s="19"/>
      <c r="J26" s="67"/>
      <c r="K26" s="55">
        <f t="shared" si="0"/>
        <v>0</v>
      </c>
      <c r="L26" s="73" t="e">
        <f t="shared" si="1"/>
        <v>#DIV/0!</v>
      </c>
      <c r="M26" s="11"/>
      <c r="N26" s="64" t="s">
        <v>78</v>
      </c>
      <c r="P26" t="s">
        <v>76</v>
      </c>
    </row>
    <row r="27" spans="2:16" x14ac:dyDescent="0.25">
      <c r="B27" s="7"/>
      <c r="C27" s="19"/>
      <c r="D27" s="29"/>
      <c r="E27" s="19"/>
      <c r="F27" s="59"/>
      <c r="G27" s="62"/>
      <c r="H27" s="95"/>
      <c r="I27" s="19"/>
      <c r="J27" s="67"/>
      <c r="K27" s="55">
        <f t="shared" si="0"/>
        <v>0</v>
      </c>
      <c r="L27" s="73" t="e">
        <f t="shared" si="1"/>
        <v>#DIV/0!</v>
      </c>
      <c r="M27" s="11"/>
    </row>
    <row r="28" spans="2:16" x14ac:dyDescent="0.25">
      <c r="B28" s="7"/>
      <c r="C28" s="19"/>
      <c r="D28" s="29"/>
      <c r="E28" s="19"/>
      <c r="F28" s="19"/>
      <c r="G28" s="20"/>
      <c r="H28" s="71"/>
      <c r="I28" s="54"/>
      <c r="J28" s="52"/>
      <c r="K28" s="55">
        <f t="shared" si="0"/>
        <v>0</v>
      </c>
      <c r="L28" s="73" t="e">
        <f t="shared" si="1"/>
        <v>#DIV/0!</v>
      </c>
      <c r="M28" s="11"/>
    </row>
    <row r="29" spans="2:16" x14ac:dyDescent="0.25">
      <c r="B29" s="7"/>
      <c r="C29" s="19"/>
      <c r="D29" s="29"/>
      <c r="E29" s="19"/>
      <c r="F29" s="59"/>
      <c r="G29" s="62"/>
      <c r="H29" s="95"/>
      <c r="I29" s="19"/>
      <c r="J29" s="67"/>
      <c r="K29" s="55">
        <f t="shared" si="0"/>
        <v>0</v>
      </c>
      <c r="L29" s="73" t="e">
        <f t="shared" si="1"/>
        <v>#DIV/0!</v>
      </c>
      <c r="M29" s="11"/>
    </row>
    <row r="30" spans="2:16" x14ac:dyDescent="0.25">
      <c r="B30" s="7"/>
      <c r="C30" s="19"/>
      <c r="D30" s="29"/>
      <c r="E30" s="19"/>
      <c r="F30" s="59"/>
      <c r="G30" s="62"/>
      <c r="H30" s="95"/>
      <c r="I30" s="19"/>
      <c r="J30" s="67"/>
      <c r="K30" s="55">
        <f t="shared" si="0"/>
        <v>0</v>
      </c>
      <c r="L30" s="73" t="e">
        <f t="shared" si="1"/>
        <v>#DIV/0!</v>
      </c>
      <c r="M30" s="11"/>
    </row>
    <row r="31" spans="2:16" x14ac:dyDescent="0.25">
      <c r="B31" s="7"/>
      <c r="C31" s="19"/>
      <c r="D31" s="29"/>
      <c r="E31" s="19"/>
      <c r="F31" s="59"/>
      <c r="G31" s="62"/>
      <c r="H31" s="95"/>
      <c r="I31" s="19"/>
      <c r="J31" s="67"/>
      <c r="K31" s="55">
        <f t="shared" si="0"/>
        <v>0</v>
      </c>
      <c r="L31" s="73" t="e">
        <f t="shared" si="1"/>
        <v>#DIV/0!</v>
      </c>
      <c r="M31" s="11"/>
    </row>
    <row r="32" spans="2:16" x14ac:dyDescent="0.25">
      <c r="B32" s="7"/>
      <c r="C32" s="59"/>
      <c r="D32" s="61"/>
      <c r="E32" s="59"/>
      <c r="F32" s="59"/>
      <c r="G32" s="62"/>
      <c r="H32" s="95"/>
      <c r="I32" s="19"/>
      <c r="J32" s="67"/>
      <c r="K32" s="55">
        <f t="shared" si="0"/>
        <v>0</v>
      </c>
      <c r="L32" s="73" t="e">
        <f t="shared" si="1"/>
        <v>#DIV/0!</v>
      </c>
      <c r="M32" s="11"/>
    </row>
    <row r="33" spans="2:13" x14ac:dyDescent="0.25">
      <c r="B33" s="7"/>
      <c r="C33" s="19"/>
      <c r="D33" s="29"/>
      <c r="E33" s="19"/>
      <c r="F33" s="59"/>
      <c r="G33" s="62"/>
      <c r="H33" s="95"/>
      <c r="I33" s="19"/>
      <c r="J33" s="67"/>
      <c r="K33" s="55">
        <f t="shared" si="0"/>
        <v>0</v>
      </c>
      <c r="L33" s="73" t="e">
        <f t="shared" si="1"/>
        <v>#DIV/0!</v>
      </c>
      <c r="M33" s="11"/>
    </row>
    <row r="34" spans="2:13" x14ac:dyDescent="0.25">
      <c r="B34" s="7"/>
      <c r="C34" s="59"/>
      <c r="D34" s="61"/>
      <c r="E34" s="59"/>
      <c r="F34" s="59"/>
      <c r="G34" s="62"/>
      <c r="H34" s="95"/>
      <c r="I34" s="19"/>
      <c r="J34" s="67"/>
      <c r="K34" s="55">
        <f t="shared" si="0"/>
        <v>0</v>
      </c>
      <c r="L34" s="73" t="e">
        <f t="shared" si="1"/>
        <v>#DIV/0!</v>
      </c>
      <c r="M34" s="11"/>
    </row>
    <row r="35" spans="2:13" x14ac:dyDescent="0.25">
      <c r="B35" s="7"/>
      <c r="C35" s="59"/>
      <c r="D35" s="61"/>
      <c r="E35" s="59"/>
      <c r="F35" s="59"/>
      <c r="G35" s="62"/>
      <c r="H35" s="95"/>
      <c r="I35" s="19"/>
      <c r="J35" s="67"/>
      <c r="K35" s="55">
        <f t="shared" si="0"/>
        <v>0</v>
      </c>
      <c r="L35" s="73" t="e">
        <f t="shared" si="1"/>
        <v>#DIV/0!</v>
      </c>
      <c r="M35" s="11"/>
    </row>
    <row r="36" spans="2:13" x14ac:dyDescent="0.25">
      <c r="B36" s="7"/>
      <c r="C36" s="59"/>
      <c r="D36" s="61"/>
      <c r="E36" s="59"/>
      <c r="F36" s="59"/>
      <c r="G36" s="62"/>
      <c r="H36" s="95"/>
      <c r="I36" s="19"/>
      <c r="J36" s="67"/>
      <c r="K36" s="55">
        <f t="shared" si="0"/>
        <v>0</v>
      </c>
      <c r="L36" s="73" t="e">
        <f t="shared" si="1"/>
        <v>#DIV/0!</v>
      </c>
      <c r="M36" s="11"/>
    </row>
    <row r="37" spans="2:13" x14ac:dyDescent="0.25">
      <c r="B37" s="7"/>
      <c r="C37" s="59"/>
      <c r="D37" s="61"/>
      <c r="E37" s="59"/>
      <c r="F37" s="59"/>
      <c r="G37" s="62"/>
      <c r="H37" s="95"/>
      <c r="I37" s="19"/>
      <c r="J37" s="67"/>
      <c r="K37" s="55">
        <f t="shared" si="0"/>
        <v>0</v>
      </c>
      <c r="L37" s="73" t="e">
        <f t="shared" si="1"/>
        <v>#DIV/0!</v>
      </c>
      <c r="M37" s="11"/>
    </row>
    <row r="38" spans="2:13" x14ac:dyDescent="0.25">
      <c r="B38" s="7"/>
      <c r="C38" s="59"/>
      <c r="D38" s="61"/>
      <c r="E38" s="59"/>
      <c r="F38" s="59"/>
      <c r="G38" s="62"/>
      <c r="H38" s="95"/>
      <c r="I38" s="19"/>
      <c r="J38" s="67"/>
      <c r="K38" s="55">
        <f t="shared" si="0"/>
        <v>0</v>
      </c>
      <c r="L38" s="73" t="e">
        <f t="shared" si="1"/>
        <v>#DIV/0!</v>
      </c>
      <c r="M38" s="11"/>
    </row>
    <row r="39" spans="2:13" x14ac:dyDescent="0.25">
      <c r="B39" s="7"/>
      <c r="C39" s="59"/>
      <c r="D39" s="61"/>
      <c r="E39" s="59"/>
      <c r="F39" s="59"/>
      <c r="G39" s="62"/>
      <c r="H39" s="95"/>
      <c r="I39" s="19"/>
      <c r="J39" s="67"/>
      <c r="K39" s="55">
        <f t="shared" si="0"/>
        <v>0</v>
      </c>
      <c r="L39" s="73" t="e">
        <f t="shared" si="1"/>
        <v>#DIV/0!</v>
      </c>
      <c r="M39" s="11"/>
    </row>
    <row r="40" spans="2:13" x14ac:dyDescent="0.25">
      <c r="B40" s="7"/>
      <c r="C40" s="19"/>
      <c r="D40" s="29"/>
      <c r="E40" s="19"/>
      <c r="F40" s="59"/>
      <c r="G40" s="62"/>
      <c r="H40" s="95"/>
      <c r="I40" s="19"/>
      <c r="J40" s="67"/>
      <c r="K40" s="55">
        <f t="shared" si="0"/>
        <v>0</v>
      </c>
      <c r="L40" s="73" t="e">
        <f t="shared" si="1"/>
        <v>#DIV/0!</v>
      </c>
      <c r="M40" s="11"/>
    </row>
    <row r="41" spans="2:13" x14ac:dyDescent="0.25">
      <c r="B41" s="7"/>
      <c r="C41" s="19"/>
      <c r="D41" s="29"/>
      <c r="E41" s="19"/>
      <c r="F41" s="59"/>
      <c r="G41" s="20"/>
      <c r="H41" s="71"/>
      <c r="I41" s="19"/>
      <c r="J41" s="67"/>
      <c r="K41" s="55">
        <f t="shared" si="0"/>
        <v>0</v>
      </c>
      <c r="L41" s="73" t="e">
        <f t="shared" si="1"/>
        <v>#DIV/0!</v>
      </c>
      <c r="M41" s="11"/>
    </row>
    <row r="42" spans="2:13" x14ac:dyDescent="0.25">
      <c r="B42" s="7"/>
      <c r="C42" s="19"/>
      <c r="D42" s="61"/>
      <c r="E42" s="59"/>
      <c r="F42" s="59"/>
      <c r="G42" s="20"/>
      <c r="H42" s="71"/>
      <c r="I42" s="19"/>
      <c r="J42" s="67"/>
      <c r="K42" s="55">
        <f t="shared" si="0"/>
        <v>0</v>
      </c>
      <c r="L42" s="73" t="e">
        <f t="shared" si="1"/>
        <v>#DIV/0!</v>
      </c>
      <c r="M42" s="11"/>
    </row>
    <row r="43" spans="2:13" x14ac:dyDescent="0.25">
      <c r="B43" s="7"/>
      <c r="C43" s="19"/>
      <c r="D43" s="61"/>
      <c r="E43" s="59"/>
      <c r="F43" s="59"/>
      <c r="G43" s="20"/>
      <c r="H43" s="71"/>
      <c r="I43" s="19"/>
      <c r="J43" s="67"/>
      <c r="K43" s="55">
        <f t="shared" si="0"/>
        <v>0</v>
      </c>
      <c r="L43" s="73" t="e">
        <f t="shared" si="1"/>
        <v>#DIV/0!</v>
      </c>
      <c r="M43" s="11"/>
    </row>
    <row r="44" spans="2:13" x14ac:dyDescent="0.25">
      <c r="B44" s="7"/>
      <c r="C44" s="19"/>
      <c r="D44" s="61"/>
      <c r="E44" s="59"/>
      <c r="F44" s="59"/>
      <c r="G44" s="20"/>
      <c r="H44" s="71"/>
      <c r="I44" s="19"/>
      <c r="J44" s="67"/>
      <c r="K44" s="55">
        <f t="shared" si="0"/>
        <v>0</v>
      </c>
      <c r="L44" s="73" t="e">
        <f t="shared" si="1"/>
        <v>#DIV/0!</v>
      </c>
      <c r="M44" s="11"/>
    </row>
    <row r="45" spans="2:13" x14ac:dyDescent="0.25">
      <c r="B45" s="7"/>
      <c r="C45" s="19"/>
      <c r="D45" s="61"/>
      <c r="E45" s="59"/>
      <c r="F45" s="59"/>
      <c r="G45" s="20"/>
      <c r="H45" s="71"/>
      <c r="I45" s="19"/>
      <c r="J45" s="67"/>
      <c r="K45" s="55">
        <f t="shared" si="0"/>
        <v>0</v>
      </c>
      <c r="L45" s="73" t="e">
        <f t="shared" si="1"/>
        <v>#DIV/0!</v>
      </c>
      <c r="M45" s="11"/>
    </row>
    <row r="46" spans="2:13" x14ac:dyDescent="0.25">
      <c r="B46" s="7"/>
      <c r="C46" s="19"/>
      <c r="D46" s="61"/>
      <c r="E46" s="59"/>
      <c r="F46" s="59"/>
      <c r="G46" s="20"/>
      <c r="H46" s="71"/>
      <c r="I46" s="19"/>
      <c r="J46" s="67"/>
      <c r="K46" s="55">
        <f t="shared" si="0"/>
        <v>0</v>
      </c>
      <c r="L46" s="73" t="e">
        <f t="shared" si="1"/>
        <v>#DIV/0!</v>
      </c>
      <c r="M46" s="11"/>
    </row>
    <row r="47" spans="2:13" x14ac:dyDescent="0.25">
      <c r="B47" s="7"/>
      <c r="C47" s="19"/>
      <c r="D47" s="29"/>
      <c r="E47" s="19"/>
      <c r="F47" s="59"/>
      <c r="G47" s="20"/>
      <c r="H47" s="71"/>
      <c r="I47" s="19"/>
      <c r="J47" s="67"/>
      <c r="K47" s="55">
        <f t="shared" si="0"/>
        <v>0</v>
      </c>
      <c r="L47" s="73" t="e">
        <f t="shared" si="1"/>
        <v>#DIV/0!</v>
      </c>
      <c r="M47" s="11"/>
    </row>
    <row r="48" spans="2:13" x14ac:dyDescent="0.25">
      <c r="B48" s="7"/>
      <c r="C48" s="19"/>
      <c r="D48" s="29"/>
      <c r="E48" s="19"/>
      <c r="F48" s="59"/>
      <c r="G48" s="20"/>
      <c r="H48" s="71"/>
      <c r="I48" s="19"/>
      <c r="J48" s="67"/>
      <c r="K48" s="55">
        <f t="shared" si="0"/>
        <v>0</v>
      </c>
      <c r="L48" s="73" t="e">
        <f t="shared" si="1"/>
        <v>#DIV/0!</v>
      </c>
      <c r="M48" s="11"/>
    </row>
    <row r="49" spans="2:13" x14ac:dyDescent="0.25">
      <c r="B49" s="7"/>
      <c r="C49" s="19"/>
      <c r="D49" s="85"/>
      <c r="E49" s="89"/>
      <c r="F49" s="86"/>
      <c r="G49" s="20"/>
      <c r="H49" s="71"/>
      <c r="I49" s="19"/>
      <c r="J49" s="67"/>
      <c r="K49" s="55">
        <f t="shared" si="0"/>
        <v>0</v>
      </c>
      <c r="L49" s="73" t="e">
        <f t="shared" si="1"/>
        <v>#DIV/0!</v>
      </c>
      <c r="M49" s="11"/>
    </row>
    <row r="50" spans="2:13" x14ac:dyDescent="0.25">
      <c r="B50" s="7"/>
      <c r="C50" s="19"/>
      <c r="D50" s="85"/>
      <c r="E50" s="89"/>
      <c r="F50" s="86"/>
      <c r="G50" s="20"/>
      <c r="H50" s="71"/>
      <c r="I50" s="19"/>
      <c r="J50" s="67"/>
      <c r="K50" s="55">
        <f t="shared" si="0"/>
        <v>0</v>
      </c>
      <c r="L50" s="73" t="e">
        <f t="shared" si="1"/>
        <v>#DIV/0!</v>
      </c>
      <c r="M50" s="11"/>
    </row>
    <row r="51" spans="2:13" x14ac:dyDescent="0.25">
      <c r="B51" s="7"/>
      <c r="C51" s="29"/>
      <c r="D51" s="85"/>
      <c r="E51" s="85"/>
      <c r="F51" s="87"/>
      <c r="G51" s="20"/>
      <c r="H51" s="71"/>
      <c r="I51" s="29"/>
      <c r="J51" s="79"/>
      <c r="K51" s="55">
        <f t="shared" si="0"/>
        <v>0</v>
      </c>
      <c r="L51" s="73" t="e">
        <f t="shared" si="1"/>
        <v>#DIV/0!</v>
      </c>
      <c r="M51" s="11"/>
    </row>
    <row r="52" spans="2:13" x14ac:dyDescent="0.25">
      <c r="B52" s="7"/>
      <c r="C52" s="19"/>
      <c r="D52" s="85"/>
      <c r="E52" s="89"/>
      <c r="F52" s="89"/>
      <c r="G52" s="88"/>
      <c r="H52" s="81"/>
      <c r="I52" s="54"/>
      <c r="J52" s="54"/>
      <c r="K52" s="55">
        <f t="shared" si="0"/>
        <v>0</v>
      </c>
      <c r="L52" s="73" t="e">
        <f t="shared" si="1"/>
        <v>#DIV/0!</v>
      </c>
      <c r="M52" s="11"/>
    </row>
    <row r="53" spans="2:13" x14ac:dyDescent="0.25">
      <c r="B53" s="7"/>
      <c r="C53" s="19"/>
      <c r="D53" s="90"/>
      <c r="E53" s="91"/>
      <c r="F53" s="91"/>
      <c r="G53" s="92"/>
      <c r="H53" s="96"/>
      <c r="I53" s="82"/>
      <c r="J53" s="37"/>
      <c r="K53" s="55">
        <f t="shared" si="0"/>
        <v>0</v>
      </c>
      <c r="L53" s="73" t="e">
        <f t="shared" si="1"/>
        <v>#DIV/0!</v>
      </c>
      <c r="M53" s="11"/>
    </row>
    <row r="54" spans="2:13" x14ac:dyDescent="0.25">
      <c r="B54" s="7"/>
      <c r="C54" s="19"/>
      <c r="D54" s="85"/>
      <c r="E54" s="89"/>
      <c r="F54" s="89"/>
      <c r="G54" s="20"/>
      <c r="H54" s="81"/>
      <c r="I54" s="54"/>
      <c r="J54" s="52"/>
      <c r="K54" s="55">
        <f t="shared" si="0"/>
        <v>0</v>
      </c>
      <c r="L54" s="73" t="e">
        <f t="shared" si="1"/>
        <v>#DIV/0!</v>
      </c>
      <c r="M54" s="11"/>
    </row>
    <row r="55" spans="2:13" ht="15.75" thickBot="1" x14ac:dyDescent="0.3">
      <c r="B55" s="7"/>
      <c r="C55" s="19"/>
      <c r="D55" s="85"/>
      <c r="E55" s="89"/>
      <c r="F55" s="89"/>
      <c r="G55" s="20"/>
      <c r="H55" s="71"/>
      <c r="I55" s="54"/>
      <c r="J55" s="52"/>
      <c r="K55" s="55">
        <f t="shared" si="0"/>
        <v>0</v>
      </c>
      <c r="L55" s="73" t="e">
        <f t="shared" si="1"/>
        <v>#DIV/0!</v>
      </c>
      <c r="M55" s="11"/>
    </row>
    <row r="56" spans="2:13" ht="15.75" thickBot="1" x14ac:dyDescent="0.3">
      <c r="B56" s="7"/>
      <c r="C56" s="105"/>
      <c r="D56" s="75">
        <f>+COUNT($D$11:$D$55)</f>
        <v>15</v>
      </c>
      <c r="E56" s="105"/>
      <c r="F56" s="105"/>
      <c r="G56" s="69"/>
      <c r="H56" s="56">
        <f>SUM($H$11:$H$55)</f>
        <v>5052</v>
      </c>
      <c r="I56" s="57">
        <f>SUM($I$11:$I$55)</f>
        <v>1469.9</v>
      </c>
      <c r="J56" s="70">
        <f>SUM($J$11:$J$55)</f>
        <v>1470.4000000000003</v>
      </c>
      <c r="K56" s="72">
        <f>SUM($K$11:$K$55)</f>
        <v>2940.3000000000006</v>
      </c>
      <c r="L56" s="74">
        <f t="shared" si="1"/>
        <v>0.58200712589073644</v>
      </c>
      <c r="M56" s="11"/>
    </row>
    <row r="57" spans="2:13" ht="15.75" thickBot="1" x14ac:dyDescent="0.3">
      <c r="B57" s="41"/>
      <c r="C57" s="42"/>
      <c r="D57" s="42"/>
      <c r="E57" s="42"/>
      <c r="F57" s="42"/>
      <c r="G57" s="43"/>
      <c r="H57" s="42"/>
      <c r="I57" s="43"/>
      <c r="J57" s="42"/>
      <c r="K57" s="42"/>
      <c r="L57" s="42"/>
      <c r="M57" s="44"/>
    </row>
    <row r="58" spans="2:13" ht="16.5" thickTop="1" thickBot="1" x14ac:dyDescent="0.3">
      <c r="B58" s="4"/>
      <c r="C58" s="4"/>
      <c r="D58" s="4"/>
      <c r="E58" s="4"/>
      <c r="F58" s="4"/>
      <c r="G58" s="5"/>
      <c r="H58" s="4"/>
      <c r="I58" s="5"/>
      <c r="J58" s="4"/>
      <c r="K58" s="4"/>
      <c r="L58" s="4"/>
      <c r="M58" s="4"/>
    </row>
    <row r="59" spans="2:13" ht="16.5" thickTop="1" thickBot="1" x14ac:dyDescent="0.3">
      <c r="B59" s="3"/>
      <c r="C59" s="4"/>
      <c r="D59" s="4"/>
      <c r="E59" s="4"/>
      <c r="F59" s="4"/>
      <c r="G59" s="5"/>
      <c r="H59" s="4"/>
      <c r="I59" s="5"/>
      <c r="J59" s="4"/>
      <c r="K59" s="4"/>
      <c r="L59" s="4"/>
      <c r="M59" s="6"/>
    </row>
    <row r="60" spans="2:13" ht="15.75" thickBot="1" x14ac:dyDescent="0.3">
      <c r="B60" s="7"/>
      <c r="F60" s="30" t="s">
        <v>12</v>
      </c>
      <c r="G60" s="31" t="s">
        <v>32</v>
      </c>
      <c r="H60" s="51" t="s">
        <v>30</v>
      </c>
      <c r="I60" s="75" t="s">
        <v>54</v>
      </c>
      <c r="J60" s="75" t="s">
        <v>53</v>
      </c>
      <c r="M60" s="11"/>
    </row>
    <row r="61" spans="2:13" x14ac:dyDescent="0.25">
      <c r="B61" s="7"/>
      <c r="F61" s="32" t="s">
        <v>59</v>
      </c>
      <c r="G61" s="97">
        <v>34.979999999999997</v>
      </c>
      <c r="H61" s="97">
        <v>33.46</v>
      </c>
      <c r="I61" s="76"/>
      <c r="J61" s="84"/>
      <c r="M61" s="11"/>
    </row>
    <row r="62" spans="2:13" x14ac:dyDescent="0.25">
      <c r="B62" s="7"/>
      <c r="F62" s="33" t="s">
        <v>15</v>
      </c>
      <c r="G62" s="76">
        <v>15</v>
      </c>
      <c r="H62" s="76">
        <v>20.02</v>
      </c>
      <c r="I62" s="76"/>
      <c r="J62" s="21"/>
      <c r="M62" s="11"/>
    </row>
    <row r="63" spans="2:13" x14ac:dyDescent="0.25">
      <c r="B63" s="7"/>
      <c r="F63" s="22" t="s">
        <v>13</v>
      </c>
      <c r="G63" s="76">
        <v>13</v>
      </c>
      <c r="H63" s="76">
        <v>50.4</v>
      </c>
      <c r="I63" s="76">
        <v>2</v>
      </c>
      <c r="J63" s="21">
        <v>9.9600000000000009</v>
      </c>
      <c r="M63" s="11"/>
    </row>
    <row r="64" spans="2:13" x14ac:dyDescent="0.25">
      <c r="B64" s="7"/>
      <c r="F64" s="22" t="s">
        <v>16</v>
      </c>
      <c r="G64" s="76">
        <v>15</v>
      </c>
      <c r="H64" s="76">
        <v>15.84</v>
      </c>
      <c r="I64" s="76"/>
      <c r="J64" s="21"/>
      <c r="M64" s="11"/>
    </row>
    <row r="65" spans="2:13" x14ac:dyDescent="0.25">
      <c r="B65" s="7"/>
      <c r="F65" s="33" t="s">
        <v>60</v>
      </c>
      <c r="G65" s="76">
        <v>9.7799999999999994</v>
      </c>
      <c r="H65" s="76">
        <v>9.36</v>
      </c>
      <c r="I65" s="76"/>
      <c r="J65" s="21"/>
      <c r="M65" s="11"/>
    </row>
    <row r="66" spans="2:13" x14ac:dyDescent="0.25">
      <c r="B66" s="7"/>
      <c r="F66" s="33" t="s">
        <v>14</v>
      </c>
      <c r="G66" s="76">
        <v>30</v>
      </c>
      <c r="H66" s="76">
        <v>11.38</v>
      </c>
      <c r="I66" s="76"/>
      <c r="J66" s="21"/>
      <c r="M66" s="11"/>
    </row>
    <row r="67" spans="2:13" x14ac:dyDescent="0.25">
      <c r="B67" s="7"/>
      <c r="F67" s="22" t="s">
        <v>20</v>
      </c>
      <c r="G67" s="76">
        <v>30</v>
      </c>
      <c r="H67" s="76">
        <v>8.68</v>
      </c>
      <c r="I67" s="76"/>
      <c r="J67" s="21"/>
      <c r="M67" s="11"/>
    </row>
    <row r="68" spans="2:13" x14ac:dyDescent="0.25">
      <c r="B68" s="7"/>
      <c r="F68" s="33" t="s">
        <v>17</v>
      </c>
      <c r="G68" s="76">
        <v>15</v>
      </c>
      <c r="H68" s="76">
        <v>9.18</v>
      </c>
      <c r="I68" s="76"/>
      <c r="J68" s="21"/>
      <c r="M68" s="11"/>
    </row>
    <row r="69" spans="2:13" x14ac:dyDescent="0.25">
      <c r="B69" s="7"/>
      <c r="F69" s="33" t="s">
        <v>61</v>
      </c>
      <c r="G69" s="76">
        <v>15</v>
      </c>
      <c r="H69" s="76">
        <v>10.26</v>
      </c>
      <c r="I69" s="76"/>
      <c r="J69" s="21"/>
      <c r="M69" s="11"/>
    </row>
    <row r="70" spans="2:13" x14ac:dyDescent="0.25">
      <c r="B70" s="7"/>
      <c r="F70" s="33" t="s">
        <v>48</v>
      </c>
      <c r="G70" s="76">
        <v>17.940000000000001</v>
      </c>
      <c r="H70" s="76">
        <v>17.14</v>
      </c>
      <c r="I70" s="76"/>
      <c r="J70" s="21"/>
      <c r="M70" s="11"/>
    </row>
    <row r="71" spans="2:13" x14ac:dyDescent="0.25">
      <c r="B71" s="7"/>
      <c r="F71" s="22" t="s">
        <v>19</v>
      </c>
      <c r="G71" s="76">
        <v>15</v>
      </c>
      <c r="H71" s="76">
        <v>13.28</v>
      </c>
      <c r="I71" s="76"/>
      <c r="J71" s="21"/>
      <c r="M71" s="11"/>
    </row>
    <row r="72" spans="2:13" x14ac:dyDescent="0.25">
      <c r="B72" s="7"/>
      <c r="F72" s="22" t="s">
        <v>18</v>
      </c>
      <c r="G72" s="76">
        <v>15</v>
      </c>
      <c r="H72" s="76">
        <v>4.82</v>
      </c>
      <c r="I72" s="76"/>
      <c r="J72" s="21"/>
      <c r="M72" s="11"/>
    </row>
    <row r="73" spans="2:13" ht="15.75" thickBot="1" x14ac:dyDescent="0.3">
      <c r="B73" s="7"/>
      <c r="F73" s="33" t="s">
        <v>49</v>
      </c>
      <c r="G73" s="76">
        <v>5.74</v>
      </c>
      <c r="H73" s="76">
        <v>5.28</v>
      </c>
      <c r="I73" s="76"/>
      <c r="J73" s="21"/>
      <c r="M73" s="11"/>
    </row>
    <row r="74" spans="2:13" ht="15.75" thickBot="1" x14ac:dyDescent="0.3">
      <c r="B74" s="7"/>
      <c r="F74" s="39" t="s">
        <v>21</v>
      </c>
      <c r="G74" s="23"/>
      <c r="H74" s="23">
        <f>SUM(H61:H73)</f>
        <v>209.09999999999997</v>
      </c>
      <c r="I74" s="80">
        <f>SUM(I61:I73)</f>
        <v>2</v>
      </c>
      <c r="J74" s="23">
        <f>SUM(J61:J73)</f>
        <v>9.9600000000000009</v>
      </c>
      <c r="M74" s="11"/>
    </row>
    <row r="75" spans="2:13" ht="15.75" thickBot="1" x14ac:dyDescent="0.3">
      <c r="B75" s="41"/>
      <c r="C75" s="42"/>
      <c r="D75" s="42"/>
      <c r="E75" s="42"/>
      <c r="F75" s="42"/>
      <c r="G75" s="43"/>
      <c r="H75" s="42"/>
      <c r="I75" s="43"/>
      <c r="J75" s="42"/>
      <c r="K75" s="42"/>
      <c r="L75" s="42"/>
      <c r="M75" s="44"/>
    </row>
    <row r="76" spans="2:13" ht="16.5" thickTop="1" thickBot="1" x14ac:dyDescent="0.3">
      <c r="B76" s="7"/>
      <c r="F76" s="24"/>
      <c r="G76" s="25"/>
      <c r="H76" s="24"/>
      <c r="I76" s="25"/>
      <c r="M76" s="11"/>
    </row>
    <row r="77" spans="2:13" ht="15.75" thickBot="1" x14ac:dyDescent="0.3">
      <c r="B77" s="7"/>
      <c r="F77" s="34" t="s">
        <v>22</v>
      </c>
      <c r="G77" s="35" t="s">
        <v>33</v>
      </c>
      <c r="H77" s="36" t="s">
        <v>31</v>
      </c>
      <c r="M77" s="11"/>
    </row>
    <row r="78" spans="2:13" x14ac:dyDescent="0.25">
      <c r="B78" s="7"/>
      <c r="F78" s="33" t="s">
        <v>23</v>
      </c>
      <c r="G78" s="38"/>
      <c r="H78" s="21"/>
      <c r="M78" s="11"/>
    </row>
    <row r="79" spans="2:13" x14ac:dyDescent="0.25">
      <c r="B79" s="7"/>
      <c r="F79" s="33" t="s">
        <v>24</v>
      </c>
      <c r="G79" s="37">
        <f>+D56</f>
        <v>15</v>
      </c>
      <c r="H79" s="21"/>
      <c r="M79" s="11"/>
    </row>
    <row r="80" spans="2:13" x14ac:dyDescent="0.25">
      <c r="B80" s="7"/>
      <c r="F80" s="22" t="s">
        <v>34</v>
      </c>
      <c r="G80" s="38"/>
      <c r="H80" s="21"/>
      <c r="M80" s="11"/>
    </row>
    <row r="81" spans="2:13" x14ac:dyDescent="0.25">
      <c r="B81" s="7"/>
      <c r="F81" s="22" t="s">
        <v>35</v>
      </c>
      <c r="G81" s="38"/>
      <c r="H81" s="21"/>
      <c r="M81" s="11"/>
    </row>
    <row r="82" spans="2:13" ht="15.75" thickBot="1" x14ac:dyDescent="0.3">
      <c r="B82" s="7"/>
      <c r="F82" s="22" t="s">
        <v>29</v>
      </c>
      <c r="G82" s="37"/>
      <c r="H82" s="21"/>
      <c r="M82" s="11"/>
    </row>
    <row r="83" spans="2:13" ht="15.75" thickBot="1" x14ac:dyDescent="0.3">
      <c r="B83" s="7"/>
      <c r="F83" s="39" t="s">
        <v>21</v>
      </c>
      <c r="G83" s="40"/>
      <c r="H83" s="23">
        <f>SUM(H78:H82)</f>
        <v>0</v>
      </c>
      <c r="M83" s="11"/>
    </row>
    <row r="84" spans="2:13" ht="15.75" thickBot="1" x14ac:dyDescent="0.3">
      <c r="B84" s="41"/>
      <c r="C84" s="42"/>
      <c r="D84" s="42"/>
      <c r="E84" s="42"/>
      <c r="F84" s="42"/>
      <c r="G84" s="43"/>
      <c r="H84" s="42"/>
      <c r="I84" s="43"/>
      <c r="J84" s="42"/>
      <c r="K84" s="42"/>
      <c r="L84" s="42"/>
      <c r="M84" s="44"/>
    </row>
    <row r="85" spans="2:13" ht="15.75" thickTop="1" x14ac:dyDescent="0.25">
      <c r="H85" s="49"/>
    </row>
  </sheetData>
  <sortState ref="C10:K19">
    <sortCondition ref="D10"/>
  </sortState>
  <mergeCells count="2">
    <mergeCell ref="J7:L7"/>
    <mergeCell ref="J8:L8"/>
  </mergeCells>
  <conditionalFormatting sqref="L11:L55">
    <cfRule type="cellIs" dxfId="106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">
    <tabColor rgb="FF0070C0"/>
  </sheetPr>
  <dimension ref="B1:P85"/>
  <sheetViews>
    <sheetView topLeftCell="F65" zoomScaleNormal="100" workbookViewId="0">
      <selection activeCell="N80" sqref="N80"/>
    </sheetView>
  </sheetViews>
  <sheetFormatPr baseColWidth="10" defaultColWidth="12.42578125" defaultRowHeight="15" x14ac:dyDescent="0.25"/>
  <cols>
    <col min="1" max="1" width="4" style="1" customWidth="1"/>
    <col min="2" max="2" width="3.7109375" style="1" customWidth="1"/>
    <col min="3" max="3" width="8.5703125" style="1" bestFit="1" customWidth="1"/>
    <col min="4" max="4" width="9" style="1" customWidth="1"/>
    <col min="5" max="5" width="5.7109375" style="1" bestFit="1" customWidth="1"/>
    <col min="6" max="6" width="29.85546875" style="1" bestFit="1" customWidth="1"/>
    <col min="7" max="7" width="17.42578125" style="2" customWidth="1"/>
    <col min="8" max="8" width="12.7109375" style="1" customWidth="1"/>
    <col min="9" max="9" width="12.7109375" style="2" customWidth="1"/>
    <col min="10" max="11" width="12.7109375" style="1" customWidth="1"/>
    <col min="12" max="12" width="12.42578125" style="1"/>
    <col min="13" max="13" width="3.7109375" style="1" customWidth="1"/>
    <col min="14" max="14" width="12.42578125" style="1"/>
    <col min="15" max="15" width="2" style="1" bestFit="1" customWidth="1"/>
    <col min="16" max="16" width="17.140625" style="1" bestFit="1" customWidth="1"/>
    <col min="17" max="16384" width="12.42578125" style="1"/>
  </cols>
  <sheetData>
    <row r="1" spans="2:16" ht="15.75" thickBot="1" x14ac:dyDescent="0.3"/>
    <row r="2" spans="2:16" ht="16.5" thickTop="1" thickBot="1" x14ac:dyDescent="0.3">
      <c r="B2" s="3"/>
      <c r="C2" s="4"/>
      <c r="D2" s="4"/>
      <c r="E2" s="4"/>
      <c r="F2" s="4"/>
      <c r="G2" s="5"/>
      <c r="H2" s="4"/>
      <c r="I2" s="5"/>
      <c r="J2" s="4"/>
      <c r="K2" s="4"/>
      <c r="L2" s="4"/>
      <c r="M2" s="6"/>
    </row>
    <row r="3" spans="2:16" ht="21.75" thickBot="1" x14ac:dyDescent="0.3">
      <c r="B3" s="7"/>
      <c r="F3" s="8" t="s">
        <v>0</v>
      </c>
      <c r="G3" s="9">
        <f>+H56</f>
        <v>16831</v>
      </c>
      <c r="H3" s="10"/>
      <c r="I3" s="46" t="s">
        <v>28</v>
      </c>
      <c r="M3" s="11"/>
    </row>
    <row r="4" spans="2:16" ht="21.75" thickBot="1" x14ac:dyDescent="0.3">
      <c r="B4" s="7"/>
      <c r="F4" s="8" t="s">
        <v>1</v>
      </c>
      <c r="G4" s="9">
        <f>+K56</f>
        <v>9891.8000000000011</v>
      </c>
      <c r="H4" s="10"/>
      <c r="I4" s="47">
        <f>+L56</f>
        <v>0.58771314835719812</v>
      </c>
      <c r="M4" s="11"/>
    </row>
    <row r="5" spans="2:16" ht="21.75" thickBot="1" x14ac:dyDescent="0.3">
      <c r="B5" s="7"/>
      <c r="F5" s="8" t="s">
        <v>2</v>
      </c>
      <c r="G5" s="12">
        <v>46024</v>
      </c>
      <c r="H5" s="10"/>
      <c r="I5" s="58" t="s">
        <v>36</v>
      </c>
      <c r="M5" s="11"/>
    </row>
    <row r="6" spans="2:16" ht="21.75" thickBot="1" x14ac:dyDescent="0.3">
      <c r="B6" s="7"/>
      <c r="F6" s="8" t="s">
        <v>3</v>
      </c>
      <c r="G6" s="65">
        <v>2</v>
      </c>
      <c r="H6" s="10"/>
      <c r="I6" s="63">
        <f>+K56/G7</f>
        <v>230.04186046511632</v>
      </c>
      <c r="M6" s="11"/>
    </row>
    <row r="7" spans="2:16" ht="21.75" thickBot="1" x14ac:dyDescent="0.3">
      <c r="B7" s="7"/>
      <c r="F7" s="8" t="s">
        <v>4</v>
      </c>
      <c r="G7" s="48">
        <f>+D56</f>
        <v>43</v>
      </c>
      <c r="H7" s="10"/>
      <c r="I7" s="103" t="s">
        <v>38</v>
      </c>
      <c r="J7" s="338" t="s">
        <v>85</v>
      </c>
      <c r="K7" s="338"/>
      <c r="L7" s="339"/>
      <c r="M7" s="11"/>
    </row>
    <row r="8" spans="2:16" ht="21.75" thickBot="1" x14ac:dyDescent="0.3">
      <c r="B8" s="7"/>
      <c r="F8" s="101"/>
      <c r="G8" s="102"/>
      <c r="H8" s="10"/>
      <c r="I8" s="103" t="s">
        <v>88</v>
      </c>
      <c r="J8" s="338" t="s">
        <v>129</v>
      </c>
      <c r="K8" s="338"/>
      <c r="L8" s="339"/>
      <c r="M8" s="11"/>
    </row>
    <row r="9" spans="2:16" ht="15.75" thickBot="1" x14ac:dyDescent="0.3">
      <c r="B9" s="7"/>
      <c r="M9" s="11"/>
    </row>
    <row r="10" spans="2:16" s="18" customFormat="1" ht="45.75" thickBot="1" x14ac:dyDescent="0.3">
      <c r="B10" s="13"/>
      <c r="C10" s="27" t="s">
        <v>9</v>
      </c>
      <c r="D10" s="26" t="s">
        <v>5</v>
      </c>
      <c r="E10" s="99" t="s">
        <v>63</v>
      </c>
      <c r="F10" s="14" t="s">
        <v>6</v>
      </c>
      <c r="G10" s="16" t="s">
        <v>7</v>
      </c>
      <c r="H10" s="45" t="s">
        <v>26</v>
      </c>
      <c r="I10" s="15" t="s">
        <v>10</v>
      </c>
      <c r="J10" s="27" t="s">
        <v>11</v>
      </c>
      <c r="K10" s="45" t="s">
        <v>25</v>
      </c>
      <c r="L10" s="50" t="s">
        <v>27</v>
      </c>
      <c r="M10" s="17"/>
    </row>
    <row r="11" spans="2:16" x14ac:dyDescent="0.25">
      <c r="B11" s="7"/>
      <c r="C11" s="28">
        <v>30</v>
      </c>
      <c r="D11" s="28">
        <v>1</v>
      </c>
      <c r="E11" s="19" t="s">
        <v>67</v>
      </c>
      <c r="F11" s="59" t="s">
        <v>81</v>
      </c>
      <c r="G11" s="60" t="s">
        <v>104</v>
      </c>
      <c r="H11" s="94">
        <v>364</v>
      </c>
      <c r="I11" s="66">
        <v>103.7</v>
      </c>
      <c r="J11" s="67">
        <v>103.5</v>
      </c>
      <c r="K11" s="53">
        <f t="shared" ref="K11:K55" si="0">+I11+J11</f>
        <v>207.2</v>
      </c>
      <c r="L11" s="73">
        <f t="shared" ref="L11:L56" si="1">+K11/H11</f>
        <v>0.56923076923076921</v>
      </c>
      <c r="M11" s="11"/>
      <c r="N11" s="64" t="s">
        <v>42</v>
      </c>
      <c r="O11" s="1">
        <f>+COUNTIF($F$11:$F$55,"NOVILLITO (NT)")</f>
        <v>0</v>
      </c>
      <c r="P11" s="59" t="s">
        <v>8</v>
      </c>
    </row>
    <row r="12" spans="2:16" x14ac:dyDescent="0.25">
      <c r="B12" s="7"/>
      <c r="C12" s="29">
        <v>31</v>
      </c>
      <c r="D12" s="29">
        <v>2</v>
      </c>
      <c r="E12" s="19" t="s">
        <v>68</v>
      </c>
      <c r="F12" s="59" t="s">
        <v>62</v>
      </c>
      <c r="G12" s="62" t="s">
        <v>105</v>
      </c>
      <c r="H12" s="95">
        <v>298</v>
      </c>
      <c r="I12" s="19">
        <v>86.2</v>
      </c>
      <c r="J12" s="67">
        <v>85.2</v>
      </c>
      <c r="K12" s="55">
        <f t="shared" si="0"/>
        <v>171.4</v>
      </c>
      <c r="L12" s="73">
        <f t="shared" si="1"/>
        <v>0.57516778523489931</v>
      </c>
      <c r="M12" s="11"/>
      <c r="N12" s="64" t="s">
        <v>40</v>
      </c>
      <c r="O12" s="1">
        <f>+COUNTIF($F$11:$F$56,"VAQUILLONA (Vq)")</f>
        <v>0</v>
      </c>
      <c r="P12" s="59" t="s">
        <v>37</v>
      </c>
    </row>
    <row r="13" spans="2:16" x14ac:dyDescent="0.25">
      <c r="B13" s="7"/>
      <c r="C13" s="29">
        <v>39</v>
      </c>
      <c r="D13" s="29">
        <v>3</v>
      </c>
      <c r="E13" s="19" t="s">
        <v>68</v>
      </c>
      <c r="F13" s="59" t="s">
        <v>62</v>
      </c>
      <c r="G13" s="62" t="s">
        <v>106</v>
      </c>
      <c r="H13" s="95">
        <v>292</v>
      </c>
      <c r="I13" s="19">
        <v>81.5</v>
      </c>
      <c r="J13" s="67">
        <v>82.1</v>
      </c>
      <c r="K13" s="55">
        <f t="shared" si="0"/>
        <v>163.6</v>
      </c>
      <c r="L13" s="73">
        <f t="shared" si="1"/>
        <v>0.5602739726027397</v>
      </c>
      <c r="M13" s="11"/>
      <c r="N13" s="64" t="s">
        <v>44</v>
      </c>
      <c r="O13" s="1">
        <f>+COUNTIF($F$11:$F$56,"TORITO (MEJ)")</f>
        <v>0</v>
      </c>
      <c r="P13" s="59" t="s">
        <v>43</v>
      </c>
    </row>
    <row r="14" spans="2:16" x14ac:dyDescent="0.25">
      <c r="B14" s="7"/>
      <c r="C14" s="29">
        <v>26</v>
      </c>
      <c r="D14" s="29">
        <v>4</v>
      </c>
      <c r="E14" s="19" t="s">
        <v>68</v>
      </c>
      <c r="F14" s="59" t="s">
        <v>81</v>
      </c>
      <c r="G14" s="62" t="s">
        <v>79</v>
      </c>
      <c r="H14" s="95">
        <v>321</v>
      </c>
      <c r="I14" s="19">
        <v>94.7</v>
      </c>
      <c r="J14" s="67">
        <v>97.1</v>
      </c>
      <c r="K14" s="55">
        <f t="shared" si="0"/>
        <v>191.8</v>
      </c>
      <c r="L14" s="73">
        <f t="shared" si="1"/>
        <v>0.59750778816199379</v>
      </c>
      <c r="M14" s="11"/>
      <c r="N14" s="78" t="s">
        <v>45</v>
      </c>
      <c r="O14" s="1">
        <f>+COUNTIF($F$11:$F$56,"NOVILLO (No)")</f>
        <v>0</v>
      </c>
      <c r="P14" s="19" t="s">
        <v>39</v>
      </c>
    </row>
    <row r="15" spans="2:16" x14ac:dyDescent="0.25">
      <c r="B15" s="7"/>
      <c r="C15" s="29">
        <v>27</v>
      </c>
      <c r="D15" s="29">
        <v>5</v>
      </c>
      <c r="E15" s="19" t="s">
        <v>68</v>
      </c>
      <c r="F15" s="59" t="s">
        <v>62</v>
      </c>
      <c r="G15" s="62" t="s">
        <v>107</v>
      </c>
      <c r="H15" s="95">
        <v>325</v>
      </c>
      <c r="I15" s="19">
        <v>98.4</v>
      </c>
      <c r="J15" s="67">
        <v>98.3</v>
      </c>
      <c r="K15" s="55">
        <f t="shared" si="0"/>
        <v>196.7</v>
      </c>
      <c r="L15" s="73">
        <f t="shared" si="1"/>
        <v>0.60523076923076924</v>
      </c>
      <c r="M15" s="11"/>
      <c r="N15" s="78" t="s">
        <v>46</v>
      </c>
      <c r="O15" s="1">
        <f>+COUNTIF($F$11:$F$56,"VACA (Va)")</f>
        <v>0</v>
      </c>
      <c r="P15" s="83" t="s">
        <v>50</v>
      </c>
    </row>
    <row r="16" spans="2:16" x14ac:dyDescent="0.25">
      <c r="B16" s="7"/>
      <c r="C16" s="29">
        <v>35</v>
      </c>
      <c r="D16" s="29">
        <v>6</v>
      </c>
      <c r="E16" s="19" t="s">
        <v>68</v>
      </c>
      <c r="F16" s="59" t="s">
        <v>81</v>
      </c>
      <c r="G16" s="62" t="s">
        <v>56</v>
      </c>
      <c r="H16" s="95">
        <v>321</v>
      </c>
      <c r="I16" s="19">
        <v>91.7</v>
      </c>
      <c r="J16" s="67">
        <v>93.6</v>
      </c>
      <c r="K16" s="55">
        <f t="shared" si="0"/>
        <v>185.3</v>
      </c>
      <c r="L16" s="73">
        <f t="shared" si="1"/>
        <v>0.57725856697819322</v>
      </c>
      <c r="M16" s="11"/>
      <c r="N16" s="64" t="s">
        <v>47</v>
      </c>
      <c r="O16" s="1">
        <f>+COUNTIF($F$11:$F$56,"TORO (To)")</f>
        <v>0</v>
      </c>
      <c r="P16" s="83" t="s">
        <v>51</v>
      </c>
    </row>
    <row r="17" spans="2:16" x14ac:dyDescent="0.25">
      <c r="B17" s="7"/>
      <c r="C17" s="29">
        <v>43</v>
      </c>
      <c r="D17" s="29">
        <v>7</v>
      </c>
      <c r="E17" s="19" t="s">
        <v>68</v>
      </c>
      <c r="F17" s="59" t="s">
        <v>62</v>
      </c>
      <c r="G17" s="62" t="s">
        <v>108</v>
      </c>
      <c r="H17" s="95">
        <v>315</v>
      </c>
      <c r="I17" s="19">
        <v>85.6</v>
      </c>
      <c r="J17" s="67">
        <v>86.4</v>
      </c>
      <c r="K17" s="55">
        <f t="shared" si="0"/>
        <v>172</v>
      </c>
      <c r="L17" s="73">
        <f t="shared" si="1"/>
        <v>0.54603174603174598</v>
      </c>
      <c r="M17" s="11"/>
      <c r="N17" s="77"/>
      <c r="O17" s="1">
        <f>SUM(O11:O16)</f>
        <v>0</v>
      </c>
    </row>
    <row r="18" spans="2:16" x14ac:dyDescent="0.25">
      <c r="B18" s="7"/>
      <c r="C18" s="29">
        <v>20</v>
      </c>
      <c r="D18" s="29">
        <v>8</v>
      </c>
      <c r="E18" s="19" t="s">
        <v>67</v>
      </c>
      <c r="F18" s="59" t="s">
        <v>81</v>
      </c>
      <c r="G18" s="62" t="s">
        <v>77</v>
      </c>
      <c r="H18" s="95">
        <v>427</v>
      </c>
      <c r="I18" s="19">
        <v>122.6</v>
      </c>
      <c r="J18" s="67">
        <v>123.5</v>
      </c>
      <c r="K18" s="55">
        <f t="shared" si="0"/>
        <v>246.1</v>
      </c>
      <c r="L18" s="73">
        <f t="shared" si="1"/>
        <v>0.57634660421545669</v>
      </c>
      <c r="M18" s="11"/>
    </row>
    <row r="19" spans="2:16" x14ac:dyDescent="0.25">
      <c r="B19" s="7"/>
      <c r="C19" s="61">
        <v>29</v>
      </c>
      <c r="D19" s="61">
        <v>9</v>
      </c>
      <c r="E19" s="59" t="s">
        <v>67</v>
      </c>
      <c r="F19" s="59" t="s">
        <v>81</v>
      </c>
      <c r="G19" s="62" t="s">
        <v>109</v>
      </c>
      <c r="H19" s="95">
        <v>359</v>
      </c>
      <c r="I19" s="19">
        <v>105.1</v>
      </c>
      <c r="J19" s="67">
        <v>105</v>
      </c>
      <c r="K19" s="55">
        <f t="shared" si="0"/>
        <v>210.1</v>
      </c>
      <c r="L19" s="73">
        <f t="shared" si="1"/>
        <v>0.58523676880222841</v>
      </c>
      <c r="M19" s="11"/>
      <c r="P19" s="100" t="s">
        <v>63</v>
      </c>
    </row>
    <row r="20" spans="2:16" x14ac:dyDescent="0.25">
      <c r="B20" s="7"/>
      <c r="C20" s="61">
        <v>42</v>
      </c>
      <c r="D20" s="61">
        <v>10</v>
      </c>
      <c r="E20" s="59" t="s">
        <v>67</v>
      </c>
      <c r="F20" s="59" t="s">
        <v>81</v>
      </c>
      <c r="G20" s="62" t="s">
        <v>52</v>
      </c>
      <c r="H20" s="95">
        <v>333</v>
      </c>
      <c r="I20" s="19">
        <v>99.4</v>
      </c>
      <c r="J20" s="67">
        <v>99.5</v>
      </c>
      <c r="K20" s="55">
        <f t="shared" si="0"/>
        <v>198.9</v>
      </c>
      <c r="L20" s="73">
        <f t="shared" si="1"/>
        <v>0.5972972972972973</v>
      </c>
      <c r="M20" s="11"/>
      <c r="N20" s="64" t="s">
        <v>67</v>
      </c>
      <c r="P20" s="1" t="s">
        <v>64</v>
      </c>
    </row>
    <row r="21" spans="2:16" x14ac:dyDescent="0.25">
      <c r="B21" s="7"/>
      <c r="C21" s="19">
        <v>32</v>
      </c>
      <c r="D21" s="29">
        <v>11</v>
      </c>
      <c r="E21" s="19" t="s">
        <v>67</v>
      </c>
      <c r="F21" s="59" t="s">
        <v>62</v>
      </c>
      <c r="G21" s="62" t="s">
        <v>41</v>
      </c>
      <c r="H21" s="95">
        <v>367</v>
      </c>
      <c r="I21" s="19">
        <v>106.4</v>
      </c>
      <c r="J21" s="67">
        <v>107.7</v>
      </c>
      <c r="K21" s="55">
        <f t="shared" si="0"/>
        <v>214.10000000000002</v>
      </c>
      <c r="L21" s="73">
        <f t="shared" si="1"/>
        <v>0.58337874659400546</v>
      </c>
      <c r="M21" s="11"/>
      <c r="N21" s="64" t="s">
        <v>68</v>
      </c>
      <c r="P21" t="s">
        <v>65</v>
      </c>
    </row>
    <row r="22" spans="2:16" x14ac:dyDescent="0.25">
      <c r="B22" s="7"/>
      <c r="C22" s="19">
        <v>21</v>
      </c>
      <c r="D22" s="29">
        <v>12</v>
      </c>
      <c r="E22" s="19" t="s">
        <v>67</v>
      </c>
      <c r="F22" s="59" t="s">
        <v>81</v>
      </c>
      <c r="G22" s="62" t="s">
        <v>110</v>
      </c>
      <c r="H22" s="95">
        <v>399</v>
      </c>
      <c r="I22" s="19">
        <v>114.2</v>
      </c>
      <c r="J22" s="67">
        <v>114.4</v>
      </c>
      <c r="K22" s="55">
        <f t="shared" si="0"/>
        <v>228.60000000000002</v>
      </c>
      <c r="L22" s="73">
        <f t="shared" si="1"/>
        <v>0.57293233082706774</v>
      </c>
      <c r="M22" s="11"/>
      <c r="N22" s="64" t="s">
        <v>75</v>
      </c>
      <c r="P22" t="s">
        <v>74</v>
      </c>
    </row>
    <row r="23" spans="2:16" x14ac:dyDescent="0.25">
      <c r="B23" s="7"/>
      <c r="C23" s="59">
        <v>17</v>
      </c>
      <c r="D23" s="61">
        <v>13</v>
      </c>
      <c r="E23" s="59" t="s">
        <v>75</v>
      </c>
      <c r="F23" s="59" t="s">
        <v>81</v>
      </c>
      <c r="G23" s="62" t="s">
        <v>111</v>
      </c>
      <c r="H23" s="95">
        <v>361</v>
      </c>
      <c r="I23" s="19">
        <v>107.7</v>
      </c>
      <c r="J23" s="67">
        <v>108.3</v>
      </c>
      <c r="K23" s="55">
        <f t="shared" si="0"/>
        <v>216</v>
      </c>
      <c r="L23" s="73">
        <f t="shared" si="1"/>
        <v>0.5983379501385041</v>
      </c>
      <c r="M23" s="11"/>
      <c r="N23" s="64" t="s">
        <v>69</v>
      </c>
      <c r="P23" t="s">
        <v>66</v>
      </c>
    </row>
    <row r="24" spans="2:16" x14ac:dyDescent="0.25">
      <c r="B24" s="7"/>
      <c r="C24" s="19">
        <v>34</v>
      </c>
      <c r="D24" s="29">
        <v>14</v>
      </c>
      <c r="E24" s="19" t="s">
        <v>67</v>
      </c>
      <c r="F24" s="59" t="s">
        <v>81</v>
      </c>
      <c r="G24" s="62" t="s">
        <v>82</v>
      </c>
      <c r="H24" s="95">
        <v>394</v>
      </c>
      <c r="I24" s="19">
        <v>112.7</v>
      </c>
      <c r="J24" s="68">
        <v>112.5</v>
      </c>
      <c r="K24" s="55">
        <f t="shared" si="0"/>
        <v>225.2</v>
      </c>
      <c r="L24" s="104">
        <f t="shared" si="1"/>
        <v>0.57157360406091373</v>
      </c>
      <c r="M24" s="11"/>
      <c r="N24" s="64" t="s">
        <v>70</v>
      </c>
      <c r="P24" t="s">
        <v>71</v>
      </c>
    </row>
    <row r="25" spans="2:16" x14ac:dyDescent="0.25">
      <c r="B25" s="7"/>
      <c r="C25" s="19">
        <v>18</v>
      </c>
      <c r="D25" s="29">
        <v>15</v>
      </c>
      <c r="E25" s="19" t="s">
        <v>67</v>
      </c>
      <c r="F25" s="59" t="s">
        <v>81</v>
      </c>
      <c r="G25" s="62" t="s">
        <v>86</v>
      </c>
      <c r="H25" s="95">
        <v>369</v>
      </c>
      <c r="I25" s="19">
        <v>107.9</v>
      </c>
      <c r="J25" s="67">
        <v>108.7</v>
      </c>
      <c r="K25" s="55">
        <f t="shared" si="0"/>
        <v>216.60000000000002</v>
      </c>
      <c r="L25" s="73">
        <f t="shared" si="1"/>
        <v>0.58699186991869923</v>
      </c>
      <c r="M25" s="11"/>
      <c r="N25" s="64" t="s">
        <v>73</v>
      </c>
      <c r="P25" t="s">
        <v>72</v>
      </c>
    </row>
    <row r="26" spans="2:16" x14ac:dyDescent="0.25">
      <c r="B26" s="7"/>
      <c r="C26" s="19">
        <v>22</v>
      </c>
      <c r="D26" s="29">
        <v>16</v>
      </c>
      <c r="E26" s="19" t="s">
        <v>68</v>
      </c>
      <c r="F26" s="59" t="s">
        <v>62</v>
      </c>
      <c r="G26" s="62" t="s">
        <v>112</v>
      </c>
      <c r="H26" s="95">
        <v>335</v>
      </c>
      <c r="I26" s="19">
        <v>98.6</v>
      </c>
      <c r="J26" s="67">
        <v>99.1</v>
      </c>
      <c r="K26" s="55">
        <f t="shared" si="0"/>
        <v>197.7</v>
      </c>
      <c r="L26" s="73">
        <f t="shared" si="1"/>
        <v>0.5901492537313433</v>
      </c>
      <c r="M26" s="11"/>
      <c r="N26" s="64" t="s">
        <v>78</v>
      </c>
      <c r="P26" t="s">
        <v>76</v>
      </c>
    </row>
    <row r="27" spans="2:16" x14ac:dyDescent="0.25">
      <c r="B27" s="7"/>
      <c r="C27" s="19">
        <v>40</v>
      </c>
      <c r="D27" s="29">
        <v>17</v>
      </c>
      <c r="E27" s="19" t="s">
        <v>67</v>
      </c>
      <c r="F27" s="59" t="s">
        <v>62</v>
      </c>
      <c r="G27" s="62" t="s">
        <v>90</v>
      </c>
      <c r="H27" s="95">
        <v>311</v>
      </c>
      <c r="I27" s="19">
        <v>85</v>
      </c>
      <c r="J27" s="67">
        <v>85.5</v>
      </c>
      <c r="K27" s="55">
        <f t="shared" si="0"/>
        <v>170.5</v>
      </c>
      <c r="L27" s="73">
        <f t="shared" si="1"/>
        <v>0.54823151125401925</v>
      </c>
      <c r="M27" s="11"/>
    </row>
    <row r="28" spans="2:16" x14ac:dyDescent="0.25">
      <c r="B28" s="7"/>
      <c r="C28" s="19">
        <v>19</v>
      </c>
      <c r="D28" s="29">
        <v>18</v>
      </c>
      <c r="E28" s="19" t="s">
        <v>67</v>
      </c>
      <c r="F28" s="19" t="s">
        <v>81</v>
      </c>
      <c r="G28" s="20" t="s">
        <v>113</v>
      </c>
      <c r="H28" s="71">
        <v>343</v>
      </c>
      <c r="I28" s="19">
        <v>97.7</v>
      </c>
      <c r="J28" s="67">
        <v>96.9</v>
      </c>
      <c r="K28" s="55">
        <f t="shared" si="0"/>
        <v>194.60000000000002</v>
      </c>
      <c r="L28" s="73">
        <f t="shared" si="1"/>
        <v>0.56734693877551023</v>
      </c>
      <c r="M28" s="11"/>
    </row>
    <row r="29" spans="2:16" x14ac:dyDescent="0.25">
      <c r="B29" s="7"/>
      <c r="C29" s="19">
        <v>37</v>
      </c>
      <c r="D29" s="29">
        <v>19</v>
      </c>
      <c r="E29" s="19" t="s">
        <v>67</v>
      </c>
      <c r="F29" s="59" t="s">
        <v>81</v>
      </c>
      <c r="G29" s="62" t="s">
        <v>41</v>
      </c>
      <c r="H29" s="95">
        <v>357</v>
      </c>
      <c r="I29" s="19">
        <v>105.8</v>
      </c>
      <c r="J29" s="67">
        <v>106.9</v>
      </c>
      <c r="K29" s="55">
        <f t="shared" si="0"/>
        <v>212.7</v>
      </c>
      <c r="L29" s="73">
        <f t="shared" si="1"/>
        <v>0.59579831932773109</v>
      </c>
      <c r="M29" s="11"/>
    </row>
    <row r="30" spans="2:16" x14ac:dyDescent="0.25">
      <c r="B30" s="7"/>
      <c r="C30" s="19">
        <v>36</v>
      </c>
      <c r="D30" s="29">
        <v>20</v>
      </c>
      <c r="E30" s="19" t="s">
        <v>67</v>
      </c>
      <c r="F30" s="59" t="s">
        <v>81</v>
      </c>
      <c r="G30" s="62" t="s">
        <v>41</v>
      </c>
      <c r="H30" s="95">
        <v>375</v>
      </c>
      <c r="I30" s="19">
        <v>98.9</v>
      </c>
      <c r="J30" s="67">
        <v>99</v>
      </c>
      <c r="K30" s="55">
        <f t="shared" si="0"/>
        <v>197.9</v>
      </c>
      <c r="L30" s="73">
        <f t="shared" si="1"/>
        <v>0.52773333333333339</v>
      </c>
      <c r="M30" s="11"/>
    </row>
    <row r="31" spans="2:16" x14ac:dyDescent="0.25">
      <c r="B31" s="7"/>
      <c r="C31" s="19">
        <v>25</v>
      </c>
      <c r="D31" s="29">
        <v>21</v>
      </c>
      <c r="E31" s="19" t="s">
        <v>68</v>
      </c>
      <c r="F31" s="59" t="s">
        <v>81</v>
      </c>
      <c r="G31" s="62" t="s">
        <v>114</v>
      </c>
      <c r="H31" s="95">
        <v>437</v>
      </c>
      <c r="I31" s="19">
        <v>120.6</v>
      </c>
      <c r="J31" s="67">
        <v>121.1</v>
      </c>
      <c r="K31" s="55">
        <f t="shared" si="0"/>
        <v>241.7</v>
      </c>
      <c r="L31" s="73">
        <f t="shared" si="1"/>
        <v>0.55308924485125854</v>
      </c>
      <c r="M31" s="11"/>
    </row>
    <row r="32" spans="2:16" x14ac:dyDescent="0.25">
      <c r="B32" s="7"/>
      <c r="C32" s="59">
        <v>38</v>
      </c>
      <c r="D32" s="61">
        <v>22</v>
      </c>
      <c r="E32" s="59" t="s">
        <v>75</v>
      </c>
      <c r="F32" s="59" t="s">
        <v>81</v>
      </c>
      <c r="G32" s="62" t="s">
        <v>115</v>
      </c>
      <c r="H32" s="95">
        <v>434</v>
      </c>
      <c r="I32" s="19">
        <v>126.4</v>
      </c>
      <c r="J32" s="67">
        <v>127.9</v>
      </c>
      <c r="K32" s="55">
        <f t="shared" si="0"/>
        <v>254.3</v>
      </c>
      <c r="L32" s="73">
        <f t="shared" si="1"/>
        <v>0.58594470046082947</v>
      </c>
      <c r="M32" s="11"/>
    </row>
    <row r="33" spans="2:13" x14ac:dyDescent="0.25">
      <c r="B33" s="7"/>
      <c r="C33" s="19">
        <v>41</v>
      </c>
      <c r="D33" s="29">
        <v>23</v>
      </c>
      <c r="E33" s="19" t="s">
        <v>67</v>
      </c>
      <c r="F33" s="59" t="s">
        <v>81</v>
      </c>
      <c r="G33" s="62" t="s">
        <v>58</v>
      </c>
      <c r="H33" s="95">
        <v>313</v>
      </c>
      <c r="I33" s="19">
        <v>87.2</v>
      </c>
      <c r="J33" s="67">
        <v>86.3</v>
      </c>
      <c r="K33" s="55">
        <f t="shared" si="0"/>
        <v>173.5</v>
      </c>
      <c r="L33" s="73">
        <f t="shared" si="1"/>
        <v>0.55431309904153359</v>
      </c>
      <c r="M33" s="11"/>
    </row>
    <row r="34" spans="2:13" x14ac:dyDescent="0.25">
      <c r="B34" s="7"/>
      <c r="C34" s="59">
        <v>33</v>
      </c>
      <c r="D34" s="61">
        <v>24</v>
      </c>
      <c r="E34" s="59" t="s">
        <v>68</v>
      </c>
      <c r="F34" s="59" t="s">
        <v>62</v>
      </c>
      <c r="G34" s="62" t="s">
        <v>116</v>
      </c>
      <c r="H34" s="95">
        <v>351</v>
      </c>
      <c r="I34" s="19">
        <v>102.7</v>
      </c>
      <c r="J34" s="67">
        <v>103.8</v>
      </c>
      <c r="K34" s="55">
        <f t="shared" si="0"/>
        <v>206.5</v>
      </c>
      <c r="L34" s="73">
        <f t="shared" si="1"/>
        <v>0.5883190883190883</v>
      </c>
      <c r="M34" s="11"/>
    </row>
    <row r="35" spans="2:13" x14ac:dyDescent="0.25">
      <c r="B35" s="7"/>
      <c r="C35" s="59">
        <v>28</v>
      </c>
      <c r="D35" s="61">
        <v>25</v>
      </c>
      <c r="E35" s="59" t="s">
        <v>67</v>
      </c>
      <c r="F35" s="59" t="s">
        <v>62</v>
      </c>
      <c r="G35" s="62" t="s">
        <v>117</v>
      </c>
      <c r="H35" s="95">
        <v>379</v>
      </c>
      <c r="I35" s="19">
        <v>101.9</v>
      </c>
      <c r="J35" s="67">
        <v>130.6</v>
      </c>
      <c r="K35" s="55">
        <f t="shared" si="0"/>
        <v>232.5</v>
      </c>
      <c r="L35" s="73">
        <f t="shared" si="1"/>
        <v>0.61345646437994727</v>
      </c>
      <c r="M35" s="11"/>
    </row>
    <row r="36" spans="2:13" x14ac:dyDescent="0.25">
      <c r="B36" s="7"/>
      <c r="C36" s="59">
        <v>23</v>
      </c>
      <c r="D36" s="61">
        <v>26</v>
      </c>
      <c r="E36" s="59" t="s">
        <v>68</v>
      </c>
      <c r="F36" s="59" t="s">
        <v>62</v>
      </c>
      <c r="G36" s="62" t="s">
        <v>118</v>
      </c>
      <c r="H36" s="95">
        <v>475</v>
      </c>
      <c r="I36" s="19">
        <v>134.69999999999999</v>
      </c>
      <c r="J36" s="67">
        <v>136.9</v>
      </c>
      <c r="K36" s="55">
        <f t="shared" si="0"/>
        <v>271.60000000000002</v>
      </c>
      <c r="L36" s="73">
        <f t="shared" si="1"/>
        <v>0.57178947368421063</v>
      </c>
      <c r="M36" s="11"/>
    </row>
    <row r="37" spans="2:13" x14ac:dyDescent="0.25">
      <c r="B37" s="7"/>
      <c r="C37" s="59">
        <v>16</v>
      </c>
      <c r="D37" s="61">
        <v>27</v>
      </c>
      <c r="E37" s="59" t="s">
        <v>67</v>
      </c>
      <c r="F37" s="59" t="s">
        <v>81</v>
      </c>
      <c r="G37" s="62" t="s">
        <v>119</v>
      </c>
      <c r="H37" s="95">
        <v>359</v>
      </c>
      <c r="I37" s="19">
        <v>104.5</v>
      </c>
      <c r="J37" s="67">
        <v>104.9</v>
      </c>
      <c r="K37" s="55">
        <f t="shared" si="0"/>
        <v>209.4</v>
      </c>
      <c r="L37" s="73">
        <f t="shared" si="1"/>
        <v>0.58328690807799444</v>
      </c>
      <c r="M37" s="11"/>
    </row>
    <row r="38" spans="2:13" x14ac:dyDescent="0.25">
      <c r="B38" s="7"/>
      <c r="C38" s="59">
        <v>24</v>
      </c>
      <c r="D38" s="61">
        <v>28</v>
      </c>
      <c r="E38" s="59" t="s">
        <v>67</v>
      </c>
      <c r="F38" s="59" t="s">
        <v>62</v>
      </c>
      <c r="G38" s="62" t="s">
        <v>120</v>
      </c>
      <c r="H38" s="95">
        <v>297</v>
      </c>
      <c r="I38" s="19">
        <v>84</v>
      </c>
      <c r="J38" s="67">
        <v>83.6</v>
      </c>
      <c r="K38" s="55">
        <f t="shared" si="0"/>
        <v>167.6</v>
      </c>
      <c r="L38" s="73">
        <f t="shared" si="1"/>
        <v>0.56430976430976432</v>
      </c>
      <c r="M38" s="11"/>
    </row>
    <row r="39" spans="2:13" x14ac:dyDescent="0.25">
      <c r="B39" s="7"/>
      <c r="C39" s="59">
        <v>44</v>
      </c>
      <c r="D39" s="61">
        <v>29</v>
      </c>
      <c r="E39" s="59" t="s">
        <v>68</v>
      </c>
      <c r="F39" s="59" t="s">
        <v>81</v>
      </c>
      <c r="G39" s="62" t="s">
        <v>121</v>
      </c>
      <c r="H39" s="95">
        <v>306</v>
      </c>
      <c r="I39" s="19">
        <v>89.6</v>
      </c>
      <c r="J39" s="67">
        <v>91.1</v>
      </c>
      <c r="K39" s="55">
        <f t="shared" si="0"/>
        <v>180.7</v>
      </c>
      <c r="L39" s="73">
        <f t="shared" si="1"/>
        <v>0.59052287581699348</v>
      </c>
      <c r="M39" s="11"/>
    </row>
    <row r="40" spans="2:13" x14ac:dyDescent="0.25">
      <c r="B40" s="7"/>
      <c r="C40" s="19">
        <v>46</v>
      </c>
      <c r="D40" s="29">
        <v>30</v>
      </c>
      <c r="E40" s="19" t="s">
        <v>67</v>
      </c>
      <c r="F40" s="59" t="s">
        <v>122</v>
      </c>
      <c r="G40" s="62" t="s">
        <v>41</v>
      </c>
      <c r="H40" s="95">
        <v>319</v>
      </c>
      <c r="I40" s="19">
        <v>92.1</v>
      </c>
      <c r="J40" s="67">
        <v>93.1</v>
      </c>
      <c r="K40" s="55">
        <f t="shared" si="0"/>
        <v>185.2</v>
      </c>
      <c r="L40" s="73">
        <f t="shared" si="1"/>
        <v>0.58056426332288402</v>
      </c>
      <c r="M40" s="11"/>
    </row>
    <row r="41" spans="2:13" x14ac:dyDescent="0.25">
      <c r="B41" s="7"/>
      <c r="C41" s="19">
        <v>51</v>
      </c>
      <c r="D41" s="29">
        <v>31</v>
      </c>
      <c r="E41" s="19" t="s">
        <v>67</v>
      </c>
      <c r="F41" s="59" t="s">
        <v>81</v>
      </c>
      <c r="G41" s="20" t="s">
        <v>89</v>
      </c>
      <c r="H41" s="71">
        <v>720</v>
      </c>
      <c r="I41" s="19">
        <v>231.9</v>
      </c>
      <c r="J41" s="67">
        <v>233.9</v>
      </c>
      <c r="K41" s="55">
        <f t="shared" si="0"/>
        <v>465.8</v>
      </c>
      <c r="L41" s="73">
        <f t="shared" si="1"/>
        <v>0.64694444444444443</v>
      </c>
      <c r="M41" s="11"/>
    </row>
    <row r="42" spans="2:13" x14ac:dyDescent="0.25">
      <c r="B42" s="7"/>
      <c r="C42" s="19">
        <v>50</v>
      </c>
      <c r="D42" s="61">
        <v>32</v>
      </c>
      <c r="E42" s="59" t="s">
        <v>67</v>
      </c>
      <c r="F42" s="59" t="s">
        <v>122</v>
      </c>
      <c r="G42" s="20" t="s">
        <v>56</v>
      </c>
      <c r="H42" s="71">
        <v>830</v>
      </c>
      <c r="I42" s="19">
        <v>265.5</v>
      </c>
      <c r="J42" s="67">
        <v>267</v>
      </c>
      <c r="K42" s="55">
        <f t="shared" si="0"/>
        <v>532.5</v>
      </c>
      <c r="L42" s="73">
        <f t="shared" si="1"/>
        <v>0.64156626506024095</v>
      </c>
      <c r="M42" s="11"/>
    </row>
    <row r="43" spans="2:13" x14ac:dyDescent="0.25">
      <c r="B43" s="7"/>
      <c r="C43" s="19">
        <v>54</v>
      </c>
      <c r="D43" s="61">
        <v>33</v>
      </c>
      <c r="E43" s="59" t="s">
        <v>67</v>
      </c>
      <c r="F43" s="59" t="s">
        <v>122</v>
      </c>
      <c r="G43" s="20" t="s">
        <v>123</v>
      </c>
      <c r="H43" s="71">
        <v>1016</v>
      </c>
      <c r="I43" s="19">
        <v>320.3</v>
      </c>
      <c r="J43" s="67">
        <v>321.8</v>
      </c>
      <c r="K43" s="55">
        <f t="shared" si="0"/>
        <v>642.1</v>
      </c>
      <c r="L43" s="73">
        <f t="shared" si="1"/>
        <v>0.63198818897637798</v>
      </c>
      <c r="M43" s="11"/>
    </row>
    <row r="44" spans="2:13" x14ac:dyDescent="0.25">
      <c r="B44" s="7"/>
      <c r="C44" s="19">
        <v>53</v>
      </c>
      <c r="D44" s="61">
        <v>34</v>
      </c>
      <c r="E44" s="59" t="s">
        <v>67</v>
      </c>
      <c r="F44" s="59" t="s">
        <v>62</v>
      </c>
      <c r="G44" s="20" t="s">
        <v>55</v>
      </c>
      <c r="H44" s="71">
        <v>281</v>
      </c>
      <c r="I44" s="19">
        <v>80</v>
      </c>
      <c r="J44" s="67">
        <v>81.2</v>
      </c>
      <c r="K44" s="55">
        <f t="shared" si="0"/>
        <v>161.19999999999999</v>
      </c>
      <c r="L44" s="73">
        <f t="shared" si="1"/>
        <v>0.57366548042704624</v>
      </c>
      <c r="M44" s="11"/>
    </row>
    <row r="45" spans="2:13" x14ac:dyDescent="0.25">
      <c r="B45" s="7"/>
      <c r="C45" s="19">
        <v>47</v>
      </c>
      <c r="D45" s="61">
        <v>35</v>
      </c>
      <c r="E45" s="59" t="s">
        <v>67</v>
      </c>
      <c r="F45" s="59" t="s">
        <v>62</v>
      </c>
      <c r="G45" s="20" t="s">
        <v>41</v>
      </c>
      <c r="H45" s="71">
        <v>309</v>
      </c>
      <c r="I45" s="19">
        <v>83.9</v>
      </c>
      <c r="J45" s="67">
        <v>84</v>
      </c>
      <c r="K45" s="55">
        <f t="shared" si="0"/>
        <v>167.9</v>
      </c>
      <c r="L45" s="73">
        <f t="shared" si="1"/>
        <v>0.5433656957928803</v>
      </c>
      <c r="M45" s="11"/>
    </row>
    <row r="46" spans="2:13" x14ac:dyDescent="0.25">
      <c r="B46" s="7"/>
      <c r="C46" s="19">
        <v>52</v>
      </c>
      <c r="D46" s="61">
        <v>36</v>
      </c>
      <c r="E46" s="59" t="s">
        <v>80</v>
      </c>
      <c r="F46" s="59" t="s">
        <v>62</v>
      </c>
      <c r="G46" s="20" t="s">
        <v>124</v>
      </c>
      <c r="H46" s="71">
        <v>310</v>
      </c>
      <c r="I46" s="19">
        <v>87.7</v>
      </c>
      <c r="J46" s="67">
        <v>89</v>
      </c>
      <c r="K46" s="55">
        <f t="shared" si="0"/>
        <v>176.7</v>
      </c>
      <c r="L46" s="73">
        <f t="shared" si="1"/>
        <v>0.56999999999999995</v>
      </c>
      <c r="M46" s="11"/>
    </row>
    <row r="47" spans="2:13" x14ac:dyDescent="0.25">
      <c r="B47" s="7"/>
      <c r="C47" s="19">
        <v>58</v>
      </c>
      <c r="D47" s="29">
        <v>37</v>
      </c>
      <c r="E47" s="19" t="s">
        <v>67</v>
      </c>
      <c r="F47" s="59" t="s">
        <v>62</v>
      </c>
      <c r="G47" s="20" t="s">
        <v>125</v>
      </c>
      <c r="H47" s="71">
        <v>362</v>
      </c>
      <c r="I47" s="19">
        <v>102.5</v>
      </c>
      <c r="J47" s="67">
        <v>104.5</v>
      </c>
      <c r="K47" s="55">
        <f t="shared" si="0"/>
        <v>207</v>
      </c>
      <c r="L47" s="73">
        <f t="shared" si="1"/>
        <v>0.57182320441988954</v>
      </c>
      <c r="M47" s="11"/>
    </row>
    <row r="48" spans="2:13" x14ac:dyDescent="0.25">
      <c r="B48" s="7"/>
      <c r="C48" s="19">
        <v>55</v>
      </c>
      <c r="D48" s="29">
        <v>38</v>
      </c>
      <c r="E48" s="19" t="s">
        <v>67</v>
      </c>
      <c r="F48" s="59" t="s">
        <v>122</v>
      </c>
      <c r="G48" s="20" t="s">
        <v>126</v>
      </c>
      <c r="H48" s="71">
        <v>724</v>
      </c>
      <c r="I48" s="19">
        <v>227.8</v>
      </c>
      <c r="J48" s="67">
        <v>228.3</v>
      </c>
      <c r="K48" s="55">
        <f t="shared" si="0"/>
        <v>456.1</v>
      </c>
      <c r="L48" s="73">
        <f t="shared" si="1"/>
        <v>0.62997237569060771</v>
      </c>
      <c r="M48" s="11"/>
    </row>
    <row r="49" spans="2:13" x14ac:dyDescent="0.25">
      <c r="B49" s="7"/>
      <c r="C49" s="19">
        <v>56</v>
      </c>
      <c r="D49" s="85">
        <v>39</v>
      </c>
      <c r="E49" s="89" t="s">
        <v>67</v>
      </c>
      <c r="F49" s="86" t="s">
        <v>62</v>
      </c>
      <c r="G49" s="20" t="s">
        <v>124</v>
      </c>
      <c r="H49" s="71">
        <v>325</v>
      </c>
      <c r="I49" s="19">
        <v>90.9</v>
      </c>
      <c r="J49" s="67">
        <v>92.2</v>
      </c>
      <c r="K49" s="55">
        <f t="shared" si="0"/>
        <v>183.10000000000002</v>
      </c>
      <c r="L49" s="73">
        <f t="shared" si="1"/>
        <v>0.56338461538461548</v>
      </c>
      <c r="M49" s="11"/>
    </row>
    <row r="50" spans="2:13" x14ac:dyDescent="0.25">
      <c r="B50" s="7"/>
      <c r="C50" s="19">
        <v>49</v>
      </c>
      <c r="D50" s="85">
        <v>40</v>
      </c>
      <c r="E50" s="89" t="s">
        <v>75</v>
      </c>
      <c r="F50" s="86" t="s">
        <v>62</v>
      </c>
      <c r="G50" s="20" t="s">
        <v>127</v>
      </c>
      <c r="H50" s="71">
        <v>343</v>
      </c>
      <c r="I50" s="19">
        <v>101.7</v>
      </c>
      <c r="J50" s="67">
        <v>101.9</v>
      </c>
      <c r="K50" s="55">
        <f t="shared" si="0"/>
        <v>203.60000000000002</v>
      </c>
      <c r="L50" s="73">
        <f t="shared" si="1"/>
        <v>0.59358600583090382</v>
      </c>
      <c r="M50" s="11"/>
    </row>
    <row r="51" spans="2:13" x14ac:dyDescent="0.25">
      <c r="B51" s="7"/>
      <c r="C51" s="29">
        <v>48</v>
      </c>
      <c r="D51" s="85">
        <v>41</v>
      </c>
      <c r="E51" s="85" t="s">
        <v>67</v>
      </c>
      <c r="F51" s="87" t="s">
        <v>81</v>
      </c>
      <c r="G51" s="20" t="s">
        <v>87</v>
      </c>
      <c r="H51" s="71">
        <v>336</v>
      </c>
      <c r="I51" s="29">
        <v>95.8</v>
      </c>
      <c r="J51" s="79">
        <v>96.4</v>
      </c>
      <c r="K51" s="55">
        <f t="shared" si="0"/>
        <v>192.2</v>
      </c>
      <c r="L51" s="73">
        <f t="shared" si="1"/>
        <v>0.57202380952380949</v>
      </c>
      <c r="M51" s="11"/>
    </row>
    <row r="52" spans="2:13" x14ac:dyDescent="0.25">
      <c r="B52" s="7"/>
      <c r="C52" s="19">
        <v>45</v>
      </c>
      <c r="D52" s="85">
        <v>42</v>
      </c>
      <c r="E52" s="89" t="s">
        <v>67</v>
      </c>
      <c r="F52" s="89" t="s">
        <v>62</v>
      </c>
      <c r="G52" s="20" t="s">
        <v>41</v>
      </c>
      <c r="H52" s="71">
        <v>321</v>
      </c>
      <c r="I52" s="19">
        <v>90.6</v>
      </c>
      <c r="J52" s="19">
        <v>91.8</v>
      </c>
      <c r="K52" s="55">
        <f t="shared" si="0"/>
        <v>182.39999999999998</v>
      </c>
      <c r="L52" s="73">
        <f t="shared" si="1"/>
        <v>0.56822429906542049</v>
      </c>
      <c r="M52" s="11"/>
    </row>
    <row r="53" spans="2:13" x14ac:dyDescent="0.25">
      <c r="B53" s="7"/>
      <c r="C53" s="19">
        <v>57</v>
      </c>
      <c r="D53" s="90">
        <v>43</v>
      </c>
      <c r="E53" s="91" t="s">
        <v>68</v>
      </c>
      <c r="F53" s="91" t="s">
        <v>62</v>
      </c>
      <c r="G53" s="93" t="s">
        <v>128</v>
      </c>
      <c r="H53" s="98">
        <v>318</v>
      </c>
      <c r="I53" s="37">
        <v>91.1</v>
      </c>
      <c r="J53" s="37">
        <v>90.1</v>
      </c>
      <c r="K53" s="55">
        <f t="shared" si="0"/>
        <v>181.2</v>
      </c>
      <c r="L53" s="73">
        <f t="shared" si="1"/>
        <v>0.56981132075471697</v>
      </c>
      <c r="M53" s="11"/>
    </row>
    <row r="54" spans="2:13" x14ac:dyDescent="0.25">
      <c r="B54" s="7"/>
      <c r="C54" s="19"/>
      <c r="D54" s="85"/>
      <c r="E54" s="89"/>
      <c r="F54" s="89"/>
      <c r="G54" s="20"/>
      <c r="H54" s="81"/>
      <c r="I54" s="54"/>
      <c r="J54" s="52"/>
      <c r="K54" s="55">
        <f t="shared" si="0"/>
        <v>0</v>
      </c>
      <c r="L54" s="73" t="e">
        <f t="shared" si="1"/>
        <v>#DIV/0!</v>
      </c>
      <c r="M54" s="11"/>
    </row>
    <row r="55" spans="2:13" ht="15.75" thickBot="1" x14ac:dyDescent="0.3">
      <c r="B55" s="7"/>
      <c r="C55" s="19"/>
      <c r="D55" s="85"/>
      <c r="E55" s="89"/>
      <c r="F55" s="89"/>
      <c r="G55" s="20"/>
      <c r="H55" s="71"/>
      <c r="I55" s="54"/>
      <c r="J55" s="52"/>
      <c r="K55" s="55">
        <f t="shared" si="0"/>
        <v>0</v>
      </c>
      <c r="L55" s="73" t="e">
        <f t="shared" si="1"/>
        <v>#DIV/0!</v>
      </c>
      <c r="M55" s="11"/>
    </row>
    <row r="56" spans="2:13" ht="15.75" thickBot="1" x14ac:dyDescent="0.3">
      <c r="B56" s="7"/>
      <c r="C56" s="105"/>
      <c r="D56" s="75">
        <f>+COUNT($D$11:$D$55)</f>
        <v>43</v>
      </c>
      <c r="E56" s="105"/>
      <c r="F56" s="105"/>
      <c r="G56" s="69"/>
      <c r="H56" s="56">
        <f>SUM($H$11:$H$55)</f>
        <v>16831</v>
      </c>
      <c r="I56" s="57">
        <f>SUM($I$11:$I$55)</f>
        <v>4917.2000000000007</v>
      </c>
      <c r="J56" s="70">
        <f>SUM($J$11:$J$55)</f>
        <v>4974.6000000000004</v>
      </c>
      <c r="K56" s="72">
        <f>SUM($K$11:$K$55)</f>
        <v>9891.8000000000011</v>
      </c>
      <c r="L56" s="74">
        <f t="shared" si="1"/>
        <v>0.58771314835719812</v>
      </c>
      <c r="M56" s="11"/>
    </row>
    <row r="57" spans="2:13" ht="15.75" thickBot="1" x14ac:dyDescent="0.3">
      <c r="B57" s="41"/>
      <c r="C57" s="42"/>
      <c r="D57" s="42"/>
      <c r="E57" s="42"/>
      <c r="F57" s="42"/>
      <c r="G57" s="43"/>
      <c r="H57" s="42"/>
      <c r="I57" s="43"/>
      <c r="J57" s="42"/>
      <c r="K57" s="42"/>
      <c r="L57" s="42"/>
      <c r="M57" s="44"/>
    </row>
    <row r="58" spans="2:13" ht="16.5" thickTop="1" thickBot="1" x14ac:dyDescent="0.3">
      <c r="B58" s="4"/>
      <c r="C58" s="4"/>
      <c r="D58" s="4"/>
      <c r="E58" s="4"/>
      <c r="F58" s="4"/>
      <c r="G58" s="5"/>
      <c r="H58" s="4"/>
      <c r="I58" s="5"/>
      <c r="J58" s="4"/>
      <c r="K58" s="4"/>
      <c r="L58" s="4"/>
      <c r="M58" s="4"/>
    </row>
    <row r="59" spans="2:13" ht="16.5" thickTop="1" thickBot="1" x14ac:dyDescent="0.3">
      <c r="B59" s="3"/>
      <c r="C59" s="4"/>
      <c r="D59" s="4"/>
      <c r="E59" s="4"/>
      <c r="F59" s="4"/>
      <c r="G59" s="5"/>
      <c r="H59" s="4"/>
      <c r="I59" s="5"/>
      <c r="J59" s="4"/>
      <c r="K59" s="4"/>
      <c r="L59" s="4"/>
      <c r="M59" s="6"/>
    </row>
    <row r="60" spans="2:13" ht="15.75" thickBot="1" x14ac:dyDescent="0.3">
      <c r="B60" s="7"/>
      <c r="F60" s="30" t="s">
        <v>12</v>
      </c>
      <c r="G60" s="31" t="s">
        <v>32</v>
      </c>
      <c r="H60" s="51" t="s">
        <v>30</v>
      </c>
      <c r="I60" s="75" t="s">
        <v>54</v>
      </c>
      <c r="J60" s="75" t="s">
        <v>53</v>
      </c>
      <c r="M60" s="11"/>
    </row>
    <row r="61" spans="2:13" x14ac:dyDescent="0.25">
      <c r="B61" s="7"/>
      <c r="F61" s="32" t="s">
        <v>59</v>
      </c>
      <c r="G61" s="97">
        <v>93.64</v>
      </c>
      <c r="H61" s="97">
        <v>91.4</v>
      </c>
      <c r="I61" s="76"/>
      <c r="J61" s="84"/>
      <c r="M61" s="11"/>
    </row>
    <row r="62" spans="2:13" x14ac:dyDescent="0.25">
      <c r="B62" s="7"/>
      <c r="F62" s="33" t="s">
        <v>15</v>
      </c>
      <c r="G62" s="76">
        <v>43</v>
      </c>
      <c r="H62" s="76">
        <v>66.38</v>
      </c>
      <c r="I62" s="76"/>
      <c r="J62" s="21"/>
      <c r="M62" s="11"/>
    </row>
    <row r="63" spans="2:13" x14ac:dyDescent="0.25">
      <c r="B63" s="7"/>
      <c r="F63" s="22" t="s">
        <v>13</v>
      </c>
      <c r="G63" s="76">
        <v>42</v>
      </c>
      <c r="H63" s="76">
        <v>190.51999999999998</v>
      </c>
      <c r="I63" s="76">
        <v>1</v>
      </c>
      <c r="J63" s="21">
        <v>1.64</v>
      </c>
      <c r="M63" s="11"/>
    </row>
    <row r="64" spans="2:13" x14ac:dyDescent="0.25">
      <c r="B64" s="7"/>
      <c r="F64" s="22" t="s">
        <v>16</v>
      </c>
      <c r="G64" s="76">
        <v>43</v>
      </c>
      <c r="H64" s="76">
        <v>49.42</v>
      </c>
      <c r="I64" s="76"/>
      <c r="J64" s="21"/>
      <c r="M64" s="11"/>
    </row>
    <row r="65" spans="2:13" x14ac:dyDescent="0.25">
      <c r="B65" s="7"/>
      <c r="F65" s="33" t="s">
        <v>60</v>
      </c>
      <c r="G65" s="76">
        <v>28.12</v>
      </c>
      <c r="H65" s="76">
        <v>27.86</v>
      </c>
      <c r="I65" s="76"/>
      <c r="J65" s="21"/>
      <c r="M65" s="11"/>
    </row>
    <row r="66" spans="2:13" x14ac:dyDescent="0.25">
      <c r="B66" s="7"/>
      <c r="F66" s="33" t="s">
        <v>14</v>
      </c>
      <c r="G66" s="76">
        <v>86</v>
      </c>
      <c r="H66" s="76">
        <v>35.28</v>
      </c>
      <c r="I66" s="76"/>
      <c r="J66" s="21"/>
      <c r="M66" s="11"/>
    </row>
    <row r="67" spans="2:13" x14ac:dyDescent="0.25">
      <c r="B67" s="7"/>
      <c r="F67" s="22" t="s">
        <v>20</v>
      </c>
      <c r="G67" s="76">
        <v>172</v>
      </c>
      <c r="H67" s="76">
        <v>26.8</v>
      </c>
      <c r="I67" s="76"/>
      <c r="J67" s="21"/>
      <c r="M67" s="11"/>
    </row>
    <row r="68" spans="2:13" x14ac:dyDescent="0.25">
      <c r="B68" s="7"/>
      <c r="F68" s="33" t="s">
        <v>17</v>
      </c>
      <c r="G68" s="76">
        <v>43</v>
      </c>
      <c r="H68" s="76">
        <v>30.26</v>
      </c>
      <c r="I68" s="76"/>
      <c r="J68" s="21"/>
      <c r="M68" s="11"/>
    </row>
    <row r="69" spans="2:13" x14ac:dyDescent="0.25">
      <c r="B69" s="7"/>
      <c r="F69" s="33" t="s">
        <v>61</v>
      </c>
      <c r="G69" s="76">
        <v>43</v>
      </c>
      <c r="H69" s="76">
        <v>32.4</v>
      </c>
      <c r="I69" s="76"/>
      <c r="J69" s="21"/>
      <c r="M69" s="11"/>
    </row>
    <row r="70" spans="2:13" x14ac:dyDescent="0.25">
      <c r="B70" s="7"/>
      <c r="F70" s="33" t="s">
        <v>48</v>
      </c>
      <c r="G70" s="76">
        <v>58.319999999999993</v>
      </c>
      <c r="H70" s="76">
        <v>55.599999999999994</v>
      </c>
      <c r="I70" s="76"/>
      <c r="J70" s="21"/>
      <c r="M70" s="11"/>
    </row>
    <row r="71" spans="2:13" x14ac:dyDescent="0.25">
      <c r="B71" s="7"/>
      <c r="F71" s="22" t="s">
        <v>19</v>
      </c>
      <c r="G71" s="76">
        <v>43</v>
      </c>
      <c r="H71" s="76">
        <v>40.82</v>
      </c>
      <c r="I71" s="76"/>
      <c r="J71" s="21"/>
      <c r="M71" s="11"/>
    </row>
    <row r="72" spans="2:13" x14ac:dyDescent="0.25">
      <c r="B72" s="7"/>
      <c r="F72" s="22" t="s">
        <v>18</v>
      </c>
      <c r="G72" s="76">
        <v>43</v>
      </c>
      <c r="H72" s="76">
        <v>13.5</v>
      </c>
      <c r="I72" s="76"/>
      <c r="J72" s="21"/>
      <c r="M72" s="11"/>
    </row>
    <row r="73" spans="2:13" ht="15.75" thickBot="1" x14ac:dyDescent="0.3">
      <c r="B73" s="7"/>
      <c r="F73" s="33" t="s">
        <v>49</v>
      </c>
      <c r="G73" s="76">
        <v>19.52</v>
      </c>
      <c r="H73" s="76">
        <v>17.64</v>
      </c>
      <c r="I73" s="76"/>
      <c r="J73" s="21"/>
      <c r="M73" s="11"/>
    </row>
    <row r="74" spans="2:13" ht="15.75" thickBot="1" x14ac:dyDescent="0.3">
      <c r="B74" s="7"/>
      <c r="F74" s="39" t="s">
        <v>21</v>
      </c>
      <c r="G74" s="23"/>
      <c r="H74" s="23">
        <f>SUM(H61:H73)</f>
        <v>677.88000000000011</v>
      </c>
      <c r="I74" s="80">
        <f>SUM(I61:I73)</f>
        <v>1</v>
      </c>
      <c r="J74" s="23">
        <f>SUM(J61:J73)</f>
        <v>1.64</v>
      </c>
      <c r="M74" s="11"/>
    </row>
    <row r="75" spans="2:13" ht="15.75" thickBot="1" x14ac:dyDescent="0.3">
      <c r="B75" s="41"/>
      <c r="C75" s="42"/>
      <c r="D75" s="42"/>
      <c r="E75" s="42"/>
      <c r="F75" s="42"/>
      <c r="G75" s="43"/>
      <c r="H75" s="42"/>
      <c r="I75" s="43"/>
      <c r="J75" s="42"/>
      <c r="K75" s="42"/>
      <c r="L75" s="42"/>
      <c r="M75" s="44"/>
    </row>
    <row r="76" spans="2:13" ht="16.5" thickTop="1" thickBot="1" x14ac:dyDescent="0.3">
      <c r="B76" s="7"/>
      <c r="F76" s="24"/>
      <c r="G76" s="25"/>
      <c r="H76" s="24"/>
      <c r="I76" s="25"/>
      <c r="M76" s="11"/>
    </row>
    <row r="77" spans="2:13" ht="15.75" thickBot="1" x14ac:dyDescent="0.3">
      <c r="B77" s="7"/>
      <c r="F77" s="34" t="s">
        <v>22</v>
      </c>
      <c r="G77" s="35" t="s">
        <v>33</v>
      </c>
      <c r="H77" s="36" t="s">
        <v>31</v>
      </c>
      <c r="M77" s="11"/>
    </row>
    <row r="78" spans="2:13" x14ac:dyDescent="0.25">
      <c r="B78" s="7"/>
      <c r="F78" s="33" t="s">
        <v>23</v>
      </c>
      <c r="G78" s="38"/>
      <c r="H78" s="21">
        <v>900</v>
      </c>
      <c r="M78" s="11"/>
    </row>
    <row r="79" spans="2:13" x14ac:dyDescent="0.25">
      <c r="B79" s="7"/>
      <c r="F79" s="33" t="s">
        <v>24</v>
      </c>
      <c r="G79" s="37">
        <f>+D56</f>
        <v>43</v>
      </c>
      <c r="H79" s="21"/>
      <c r="M79" s="11"/>
    </row>
    <row r="80" spans="2:13" x14ac:dyDescent="0.25">
      <c r="B80" s="7"/>
      <c r="F80" s="22" t="s">
        <v>34</v>
      </c>
      <c r="G80" s="38"/>
      <c r="H80" s="21">
        <v>560</v>
      </c>
      <c r="M80" s="11"/>
    </row>
    <row r="81" spans="2:13" x14ac:dyDescent="0.25">
      <c r="B81" s="7"/>
      <c r="F81" s="22" t="s">
        <v>35</v>
      </c>
      <c r="G81" s="38"/>
      <c r="H81" s="21"/>
      <c r="M81" s="11"/>
    </row>
    <row r="82" spans="2:13" ht="15.75" thickBot="1" x14ac:dyDescent="0.3">
      <c r="B82" s="7"/>
      <c r="F82" s="22" t="s">
        <v>29</v>
      </c>
      <c r="G82" s="37"/>
      <c r="H82" s="21">
        <v>2260</v>
      </c>
      <c r="M82" s="11"/>
    </row>
    <row r="83" spans="2:13" ht="15.75" thickBot="1" x14ac:dyDescent="0.3">
      <c r="B83" s="7"/>
      <c r="F83" s="39" t="s">
        <v>21</v>
      </c>
      <c r="G83" s="40"/>
      <c r="H83" s="23">
        <f>SUM(H78:H82)</f>
        <v>3720</v>
      </c>
      <c r="M83" s="11"/>
    </row>
    <row r="84" spans="2:13" ht="15.75" thickBot="1" x14ac:dyDescent="0.3">
      <c r="B84" s="41"/>
      <c r="C84" s="42"/>
      <c r="D84" s="42"/>
      <c r="E84" s="42"/>
      <c r="F84" s="42"/>
      <c r="G84" s="43"/>
      <c r="H84" s="42"/>
      <c r="I84" s="43"/>
      <c r="J84" s="42"/>
      <c r="K84" s="42"/>
      <c r="L84" s="42"/>
      <c r="M84" s="44"/>
    </row>
    <row r="85" spans="2:13" ht="15.75" thickTop="1" x14ac:dyDescent="0.25">
      <c r="H85" s="49"/>
    </row>
  </sheetData>
  <sortState ref="C10:K23">
    <sortCondition ref="C10"/>
  </sortState>
  <mergeCells count="2">
    <mergeCell ref="J7:L7"/>
    <mergeCell ref="J8:L8"/>
  </mergeCells>
  <conditionalFormatting sqref="L11:L55">
    <cfRule type="cellIs" dxfId="105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P85"/>
  <sheetViews>
    <sheetView topLeftCell="F64" zoomScaleNormal="100" workbookViewId="0">
      <selection activeCell="C10" sqref="C10"/>
    </sheetView>
  </sheetViews>
  <sheetFormatPr baseColWidth="10" defaultColWidth="12.42578125" defaultRowHeight="15" x14ac:dyDescent="0.25"/>
  <cols>
    <col min="1" max="1" width="4" style="1" customWidth="1"/>
    <col min="2" max="2" width="3.7109375" style="1" customWidth="1"/>
    <col min="3" max="3" width="8.5703125" style="1" bestFit="1" customWidth="1"/>
    <col min="4" max="4" width="9" style="1" customWidth="1"/>
    <col min="5" max="5" width="5.7109375" style="1" bestFit="1" customWidth="1"/>
    <col min="6" max="6" width="29.85546875" style="1" bestFit="1" customWidth="1"/>
    <col min="7" max="7" width="17.42578125" style="2" customWidth="1"/>
    <col min="8" max="8" width="12.7109375" style="1" customWidth="1"/>
    <col min="9" max="9" width="12.7109375" style="2" customWidth="1"/>
    <col min="10" max="11" width="12.7109375" style="1" customWidth="1"/>
    <col min="12" max="12" width="12.42578125" style="1"/>
    <col min="13" max="13" width="3.7109375" style="1" customWidth="1"/>
    <col min="14" max="14" width="12.42578125" style="1"/>
    <col min="15" max="15" width="2" style="1" bestFit="1" customWidth="1"/>
    <col min="16" max="16" width="17.140625" style="1" bestFit="1" customWidth="1"/>
    <col min="17" max="16384" width="12.42578125" style="1"/>
  </cols>
  <sheetData>
    <row r="1" spans="2:16" ht="15.75" thickBot="1" x14ac:dyDescent="0.3"/>
    <row r="2" spans="2:16" ht="16.5" thickTop="1" thickBot="1" x14ac:dyDescent="0.3">
      <c r="B2" s="3"/>
      <c r="C2" s="4"/>
      <c r="D2" s="4"/>
      <c r="E2" s="4"/>
      <c r="F2" s="4"/>
      <c r="G2" s="5"/>
      <c r="H2" s="4"/>
      <c r="I2" s="5"/>
      <c r="J2" s="4"/>
      <c r="K2" s="4"/>
      <c r="L2" s="4"/>
      <c r="M2" s="6"/>
    </row>
    <row r="3" spans="2:16" ht="21.75" thickBot="1" x14ac:dyDescent="0.3">
      <c r="B3" s="7"/>
      <c r="F3" s="8" t="s">
        <v>0</v>
      </c>
      <c r="G3" s="9">
        <f>+H56</f>
        <v>14972</v>
      </c>
      <c r="H3" s="10"/>
      <c r="I3" s="46" t="s">
        <v>28</v>
      </c>
      <c r="M3" s="11"/>
    </row>
    <row r="4" spans="2:16" ht="21.75" thickBot="1" x14ac:dyDescent="0.3">
      <c r="B4" s="7"/>
      <c r="F4" s="8" t="s">
        <v>1</v>
      </c>
      <c r="G4" s="9">
        <f>+K56</f>
        <v>8567.7999999999993</v>
      </c>
      <c r="H4" s="10"/>
      <c r="I4" s="47">
        <f>+L56</f>
        <v>0.57225487576810041</v>
      </c>
      <c r="M4" s="11"/>
    </row>
    <row r="5" spans="2:16" ht="21.75" thickBot="1" x14ac:dyDescent="0.3">
      <c r="B5" s="7"/>
      <c r="F5" s="8" t="s">
        <v>2</v>
      </c>
      <c r="G5" s="12">
        <v>46027</v>
      </c>
      <c r="H5" s="10"/>
      <c r="I5" s="58" t="s">
        <v>36</v>
      </c>
      <c r="M5" s="11"/>
    </row>
    <row r="6" spans="2:16" ht="21.75" thickBot="1" x14ac:dyDescent="0.3">
      <c r="B6" s="7"/>
      <c r="F6" s="8" t="s">
        <v>3</v>
      </c>
      <c r="G6" s="65">
        <v>3</v>
      </c>
      <c r="H6" s="10"/>
      <c r="I6" s="63">
        <f>+K56/G7</f>
        <v>214.19499999999999</v>
      </c>
      <c r="M6" s="11"/>
    </row>
    <row r="7" spans="2:16" ht="21.75" thickBot="1" x14ac:dyDescent="0.3">
      <c r="B7" s="7"/>
      <c r="F7" s="8" t="s">
        <v>4</v>
      </c>
      <c r="G7" s="48">
        <f>+D56</f>
        <v>40</v>
      </c>
      <c r="H7" s="10"/>
      <c r="I7" s="103" t="s">
        <v>38</v>
      </c>
      <c r="J7" s="338" t="s">
        <v>85</v>
      </c>
      <c r="K7" s="338"/>
      <c r="L7" s="339"/>
      <c r="M7" s="11"/>
    </row>
    <row r="8" spans="2:16" ht="21.75" thickBot="1" x14ac:dyDescent="0.3">
      <c r="B8" s="7"/>
      <c r="F8" s="101"/>
      <c r="G8" s="102"/>
      <c r="H8" s="10"/>
      <c r="I8" s="103" t="s">
        <v>88</v>
      </c>
      <c r="J8" s="338" t="s">
        <v>197</v>
      </c>
      <c r="K8" s="338"/>
      <c r="L8" s="339"/>
      <c r="M8" s="11"/>
    </row>
    <row r="9" spans="2:16" ht="15.75" thickBot="1" x14ac:dyDescent="0.3">
      <c r="B9" s="7"/>
      <c r="M9" s="11"/>
    </row>
    <row r="10" spans="2:16" s="18" customFormat="1" ht="45.75" thickBot="1" x14ac:dyDescent="0.3">
      <c r="B10" s="13"/>
      <c r="C10" s="27" t="s">
        <v>9</v>
      </c>
      <c r="D10" s="26" t="s">
        <v>5</v>
      </c>
      <c r="E10" s="99" t="s">
        <v>63</v>
      </c>
      <c r="F10" s="14" t="s">
        <v>6</v>
      </c>
      <c r="G10" s="16" t="s">
        <v>7</v>
      </c>
      <c r="H10" s="45" t="s">
        <v>26</v>
      </c>
      <c r="I10" s="15" t="s">
        <v>10</v>
      </c>
      <c r="J10" s="27" t="s">
        <v>11</v>
      </c>
      <c r="K10" s="45" t="s">
        <v>25</v>
      </c>
      <c r="L10" s="50" t="s">
        <v>27</v>
      </c>
      <c r="M10" s="17"/>
    </row>
    <row r="11" spans="2:16" x14ac:dyDescent="0.25">
      <c r="B11" s="7"/>
      <c r="C11" s="111">
        <v>26</v>
      </c>
      <c r="D11" s="111">
        <v>13</v>
      </c>
      <c r="E11" s="59" t="s">
        <v>67</v>
      </c>
      <c r="F11" s="59" t="s">
        <v>130</v>
      </c>
      <c r="G11" s="60" t="s">
        <v>170</v>
      </c>
      <c r="H11" s="94">
        <v>356</v>
      </c>
      <c r="I11" s="66">
        <v>97.5</v>
      </c>
      <c r="J11" s="67">
        <v>97.7</v>
      </c>
      <c r="K11" s="53">
        <f t="shared" ref="K11:K55" si="0">+I11+J11</f>
        <v>195.2</v>
      </c>
      <c r="L11" s="73">
        <f t="shared" ref="L11:L56" si="1">+K11/H11</f>
        <v>0.54831460674157295</v>
      </c>
      <c r="M11" s="11"/>
      <c r="N11" s="64" t="s">
        <v>42</v>
      </c>
      <c r="O11" s="1">
        <f>+COUNTIF($F$11:$F$55,"NOVILLITO (NT)")</f>
        <v>0</v>
      </c>
      <c r="P11" s="59" t="s">
        <v>8</v>
      </c>
    </row>
    <row r="12" spans="2:16" x14ac:dyDescent="0.25">
      <c r="B12" s="7"/>
      <c r="C12" s="29">
        <v>27</v>
      </c>
      <c r="D12" s="29">
        <v>12</v>
      </c>
      <c r="E12" s="19" t="s">
        <v>67</v>
      </c>
      <c r="F12" s="59" t="s">
        <v>130</v>
      </c>
      <c r="G12" s="62" t="s">
        <v>169</v>
      </c>
      <c r="H12" s="95">
        <v>362</v>
      </c>
      <c r="I12" s="19">
        <v>99.7</v>
      </c>
      <c r="J12" s="67">
        <v>100.4</v>
      </c>
      <c r="K12" s="55">
        <f t="shared" si="0"/>
        <v>200.10000000000002</v>
      </c>
      <c r="L12" s="73">
        <f t="shared" si="1"/>
        <v>0.55276243093922661</v>
      </c>
      <c r="M12" s="11"/>
      <c r="N12" s="64" t="s">
        <v>40</v>
      </c>
      <c r="O12" s="1">
        <f>+COUNTIF($F$11:$F$56,"VAQUILLONA (Vq)")</f>
        <v>0</v>
      </c>
      <c r="P12" s="59" t="s">
        <v>37</v>
      </c>
    </row>
    <row r="13" spans="2:16" x14ac:dyDescent="0.25">
      <c r="B13" s="7"/>
      <c r="C13" s="29">
        <v>28</v>
      </c>
      <c r="D13" s="29">
        <v>16</v>
      </c>
      <c r="E13" s="19" t="s">
        <v>67</v>
      </c>
      <c r="F13" s="59" t="s">
        <v>130</v>
      </c>
      <c r="G13" s="62" t="s">
        <v>173</v>
      </c>
      <c r="H13" s="95">
        <v>388</v>
      </c>
      <c r="I13" s="19">
        <v>112.6</v>
      </c>
      <c r="J13" s="67">
        <v>113.6</v>
      </c>
      <c r="K13" s="55">
        <f t="shared" si="0"/>
        <v>226.2</v>
      </c>
      <c r="L13" s="73">
        <f t="shared" si="1"/>
        <v>0.58298969072164941</v>
      </c>
      <c r="M13" s="11"/>
      <c r="N13" s="64" t="s">
        <v>44</v>
      </c>
      <c r="O13" s="1">
        <f>+COUNTIF($F$11:$F$56,"TORITO (MEJ)")</f>
        <v>0</v>
      </c>
      <c r="P13" s="59" t="s">
        <v>43</v>
      </c>
    </row>
    <row r="14" spans="2:16" x14ac:dyDescent="0.25">
      <c r="B14" s="7"/>
      <c r="C14" s="29">
        <v>29</v>
      </c>
      <c r="D14" s="29">
        <v>15</v>
      </c>
      <c r="E14" s="19" t="s">
        <v>67</v>
      </c>
      <c r="F14" s="59" t="s">
        <v>130</v>
      </c>
      <c r="G14" s="62" t="s">
        <v>172</v>
      </c>
      <c r="H14" s="95">
        <v>356</v>
      </c>
      <c r="I14" s="19">
        <v>102.5</v>
      </c>
      <c r="J14" s="67">
        <v>104.6</v>
      </c>
      <c r="K14" s="55">
        <f t="shared" si="0"/>
        <v>207.1</v>
      </c>
      <c r="L14" s="73">
        <f t="shared" si="1"/>
        <v>0.58174157303370788</v>
      </c>
      <c r="M14" s="11"/>
      <c r="N14" s="78" t="s">
        <v>45</v>
      </c>
      <c r="O14" s="1">
        <f>+COUNTIF($F$11:$F$56,"NOVILLO (No)")</f>
        <v>0</v>
      </c>
      <c r="P14" s="19" t="s">
        <v>39</v>
      </c>
    </row>
    <row r="15" spans="2:16" x14ac:dyDescent="0.25">
      <c r="B15" s="7"/>
      <c r="C15" s="29">
        <v>30</v>
      </c>
      <c r="D15" s="29">
        <v>3</v>
      </c>
      <c r="E15" s="19" t="s">
        <v>67</v>
      </c>
      <c r="F15" s="59" t="s">
        <v>130</v>
      </c>
      <c r="G15" s="62" t="s">
        <v>160</v>
      </c>
      <c r="H15" s="95">
        <v>378</v>
      </c>
      <c r="I15" s="19">
        <v>110.9</v>
      </c>
      <c r="J15" s="67">
        <v>112.4</v>
      </c>
      <c r="K15" s="55">
        <f t="shared" si="0"/>
        <v>223.3</v>
      </c>
      <c r="L15" s="73">
        <f t="shared" si="1"/>
        <v>0.59074074074074079</v>
      </c>
      <c r="M15" s="11"/>
      <c r="N15" s="78" t="s">
        <v>46</v>
      </c>
      <c r="O15" s="1">
        <f>+COUNTIF($F$11:$F$56,"VACA (Va)")</f>
        <v>0</v>
      </c>
      <c r="P15" s="83" t="s">
        <v>50</v>
      </c>
    </row>
    <row r="16" spans="2:16" x14ac:dyDescent="0.25">
      <c r="B16" s="7"/>
      <c r="C16" s="29">
        <v>31</v>
      </c>
      <c r="D16" s="29">
        <v>11</v>
      </c>
      <c r="E16" s="19" t="s">
        <v>67</v>
      </c>
      <c r="F16" s="59" t="s">
        <v>130</v>
      </c>
      <c r="G16" s="62" t="s">
        <v>168</v>
      </c>
      <c r="H16" s="95">
        <v>394</v>
      </c>
      <c r="I16" s="19">
        <v>110.5</v>
      </c>
      <c r="J16" s="67">
        <v>114.2</v>
      </c>
      <c r="K16" s="55">
        <f t="shared" si="0"/>
        <v>224.7</v>
      </c>
      <c r="L16" s="73">
        <f t="shared" si="1"/>
        <v>0.57030456852791878</v>
      </c>
      <c r="M16" s="11"/>
      <c r="N16" s="64" t="s">
        <v>47</v>
      </c>
      <c r="O16" s="1">
        <f>+COUNTIF($F$11:$F$56,"TORO (To)")</f>
        <v>0</v>
      </c>
      <c r="P16" s="83" t="s">
        <v>51</v>
      </c>
    </row>
    <row r="17" spans="2:16" x14ac:dyDescent="0.25">
      <c r="B17" s="7"/>
      <c r="C17" s="29">
        <v>32</v>
      </c>
      <c r="D17" s="29">
        <v>4</v>
      </c>
      <c r="E17" s="19" t="s">
        <v>67</v>
      </c>
      <c r="F17" s="59" t="s">
        <v>130</v>
      </c>
      <c r="G17" s="62" t="s">
        <v>161</v>
      </c>
      <c r="H17" s="95">
        <v>333</v>
      </c>
      <c r="I17" s="19">
        <v>96.1</v>
      </c>
      <c r="J17" s="67">
        <v>97.7</v>
      </c>
      <c r="K17" s="55">
        <f t="shared" si="0"/>
        <v>193.8</v>
      </c>
      <c r="L17" s="73">
        <f t="shared" si="1"/>
        <v>0.58198198198198203</v>
      </c>
      <c r="M17" s="11"/>
      <c r="N17" s="77"/>
      <c r="O17" s="1">
        <f>SUM(O11:O16)</f>
        <v>0</v>
      </c>
    </row>
    <row r="18" spans="2:16" x14ac:dyDescent="0.25">
      <c r="B18" s="7"/>
      <c r="C18" s="29">
        <v>33</v>
      </c>
      <c r="D18" s="29">
        <v>17</v>
      </c>
      <c r="E18" s="19" t="s">
        <v>67</v>
      </c>
      <c r="F18" s="59" t="s">
        <v>130</v>
      </c>
      <c r="G18" s="62" t="s">
        <v>158</v>
      </c>
      <c r="H18" s="95">
        <v>390</v>
      </c>
      <c r="I18" s="19">
        <v>113.8</v>
      </c>
      <c r="J18" s="67">
        <v>115.3</v>
      </c>
      <c r="K18" s="55">
        <f t="shared" si="0"/>
        <v>229.1</v>
      </c>
      <c r="L18" s="73">
        <f t="shared" si="1"/>
        <v>0.58743589743589741</v>
      </c>
      <c r="M18" s="11"/>
    </row>
    <row r="19" spans="2:16" x14ac:dyDescent="0.25">
      <c r="B19" s="7"/>
      <c r="C19" s="29">
        <v>34</v>
      </c>
      <c r="D19" s="29">
        <v>6</v>
      </c>
      <c r="E19" s="19" t="s">
        <v>67</v>
      </c>
      <c r="F19" s="59" t="s">
        <v>130</v>
      </c>
      <c r="G19" s="62" t="s">
        <v>163</v>
      </c>
      <c r="H19" s="95">
        <v>395</v>
      </c>
      <c r="I19" s="19">
        <v>113.1</v>
      </c>
      <c r="J19" s="67">
        <v>116.6</v>
      </c>
      <c r="K19" s="55">
        <f t="shared" si="0"/>
        <v>229.7</v>
      </c>
      <c r="L19" s="73">
        <f t="shared" si="1"/>
        <v>0.5815189873417721</v>
      </c>
      <c r="M19" s="11"/>
      <c r="P19" s="100" t="s">
        <v>63</v>
      </c>
    </row>
    <row r="20" spans="2:16" x14ac:dyDescent="0.25">
      <c r="B20" s="7"/>
      <c r="C20" s="29">
        <v>35</v>
      </c>
      <c r="D20" s="29">
        <v>14</v>
      </c>
      <c r="E20" s="19" t="s">
        <v>67</v>
      </c>
      <c r="F20" s="59" t="s">
        <v>130</v>
      </c>
      <c r="G20" s="62" t="s">
        <v>171</v>
      </c>
      <c r="H20" s="95">
        <v>372</v>
      </c>
      <c r="I20" s="19">
        <v>108.5</v>
      </c>
      <c r="J20" s="68">
        <v>109.2</v>
      </c>
      <c r="K20" s="55">
        <f t="shared" si="0"/>
        <v>217.7</v>
      </c>
      <c r="L20" s="104">
        <f t="shared" si="1"/>
        <v>0.58521505376344085</v>
      </c>
      <c r="M20" s="11"/>
      <c r="N20" s="64" t="s">
        <v>67</v>
      </c>
      <c r="P20" s="1" t="s">
        <v>64</v>
      </c>
    </row>
    <row r="21" spans="2:16" x14ac:dyDescent="0.25">
      <c r="B21" s="7"/>
      <c r="C21" s="19">
        <v>36</v>
      </c>
      <c r="D21" s="29">
        <v>2</v>
      </c>
      <c r="E21" s="19" t="s">
        <v>67</v>
      </c>
      <c r="F21" s="59" t="s">
        <v>130</v>
      </c>
      <c r="G21" s="62" t="s">
        <v>159</v>
      </c>
      <c r="H21" s="95">
        <v>390</v>
      </c>
      <c r="I21" s="19">
        <v>111.7</v>
      </c>
      <c r="J21" s="67">
        <v>113.7</v>
      </c>
      <c r="K21" s="55">
        <f t="shared" si="0"/>
        <v>225.4</v>
      </c>
      <c r="L21" s="73">
        <f t="shared" si="1"/>
        <v>0.57794871794871794</v>
      </c>
      <c r="M21" s="11"/>
      <c r="N21" s="64" t="s">
        <v>68</v>
      </c>
      <c r="P21" t="s">
        <v>65</v>
      </c>
    </row>
    <row r="22" spans="2:16" x14ac:dyDescent="0.25">
      <c r="B22" s="7"/>
      <c r="C22" s="59">
        <v>37</v>
      </c>
      <c r="D22" s="61">
        <v>10</v>
      </c>
      <c r="E22" s="59" t="s">
        <v>67</v>
      </c>
      <c r="F22" s="59" t="s">
        <v>130</v>
      </c>
      <c r="G22" s="62" t="s">
        <v>167</v>
      </c>
      <c r="H22" s="95">
        <v>360</v>
      </c>
      <c r="I22" s="19">
        <v>102.6</v>
      </c>
      <c r="J22" s="67">
        <v>104</v>
      </c>
      <c r="K22" s="55">
        <f t="shared" si="0"/>
        <v>206.6</v>
      </c>
      <c r="L22" s="73">
        <f t="shared" si="1"/>
        <v>0.57388888888888889</v>
      </c>
      <c r="M22" s="11"/>
      <c r="N22" s="64" t="s">
        <v>75</v>
      </c>
      <c r="P22" t="s">
        <v>74</v>
      </c>
    </row>
    <row r="23" spans="2:16" x14ac:dyDescent="0.25">
      <c r="B23" s="7"/>
      <c r="C23" s="59">
        <v>38</v>
      </c>
      <c r="D23" s="61">
        <v>9</v>
      </c>
      <c r="E23" s="59" t="s">
        <v>67</v>
      </c>
      <c r="F23" s="59" t="s">
        <v>130</v>
      </c>
      <c r="G23" s="62" t="s">
        <v>166</v>
      </c>
      <c r="H23" s="95">
        <v>359</v>
      </c>
      <c r="I23" s="19">
        <v>103.5</v>
      </c>
      <c r="J23" s="67">
        <v>105.2</v>
      </c>
      <c r="K23" s="55">
        <f t="shared" si="0"/>
        <v>208.7</v>
      </c>
      <c r="L23" s="73">
        <f t="shared" si="1"/>
        <v>0.58133704735376046</v>
      </c>
      <c r="M23" s="11"/>
      <c r="N23" s="64" t="s">
        <v>69</v>
      </c>
      <c r="P23" t="s">
        <v>66</v>
      </c>
    </row>
    <row r="24" spans="2:16" x14ac:dyDescent="0.25">
      <c r="B24" s="7"/>
      <c r="C24" s="19">
        <v>39</v>
      </c>
      <c r="D24" s="29">
        <v>5</v>
      </c>
      <c r="E24" s="19" t="s">
        <v>67</v>
      </c>
      <c r="F24" s="59" t="s">
        <v>130</v>
      </c>
      <c r="G24" s="62" t="s">
        <v>162</v>
      </c>
      <c r="H24" s="95">
        <v>377</v>
      </c>
      <c r="I24" s="19">
        <v>104.8</v>
      </c>
      <c r="J24" s="67">
        <v>107</v>
      </c>
      <c r="K24" s="55">
        <f t="shared" si="0"/>
        <v>211.8</v>
      </c>
      <c r="L24" s="73">
        <f t="shared" si="1"/>
        <v>0.56180371352785152</v>
      </c>
      <c r="M24" s="11"/>
      <c r="N24" s="64" t="s">
        <v>70</v>
      </c>
      <c r="P24" t="s">
        <v>71</v>
      </c>
    </row>
    <row r="25" spans="2:16" x14ac:dyDescent="0.25">
      <c r="B25" s="7"/>
      <c r="C25" s="19">
        <v>40</v>
      </c>
      <c r="D25" s="29">
        <v>1</v>
      </c>
      <c r="E25" s="19" t="s">
        <v>67</v>
      </c>
      <c r="F25" s="59" t="s">
        <v>130</v>
      </c>
      <c r="G25" s="62" t="s">
        <v>158</v>
      </c>
      <c r="H25" s="95">
        <v>348</v>
      </c>
      <c r="I25" s="19">
        <v>94</v>
      </c>
      <c r="J25" s="67">
        <v>94.7</v>
      </c>
      <c r="K25" s="55">
        <f t="shared" si="0"/>
        <v>188.7</v>
      </c>
      <c r="L25" s="73">
        <f t="shared" si="1"/>
        <v>0.54224137931034477</v>
      </c>
      <c r="M25" s="11"/>
      <c r="N25" s="64" t="s">
        <v>73</v>
      </c>
      <c r="P25" t="s">
        <v>72</v>
      </c>
    </row>
    <row r="26" spans="2:16" x14ac:dyDescent="0.25">
      <c r="B26" s="7"/>
      <c r="C26" s="19">
        <v>41</v>
      </c>
      <c r="D26" s="29">
        <v>18</v>
      </c>
      <c r="E26" s="19" t="s">
        <v>67</v>
      </c>
      <c r="F26" s="19" t="s">
        <v>130</v>
      </c>
      <c r="G26" s="20" t="s">
        <v>174</v>
      </c>
      <c r="H26" s="71">
        <v>364</v>
      </c>
      <c r="I26" s="19">
        <v>106.5</v>
      </c>
      <c r="J26" s="67">
        <v>106.3</v>
      </c>
      <c r="K26" s="55">
        <f t="shared" si="0"/>
        <v>212.8</v>
      </c>
      <c r="L26" s="73">
        <f t="shared" si="1"/>
        <v>0.58461538461538465</v>
      </c>
      <c r="M26" s="11"/>
      <c r="N26" s="64" t="s">
        <v>78</v>
      </c>
      <c r="P26" t="s">
        <v>76</v>
      </c>
    </row>
    <row r="27" spans="2:16" x14ac:dyDescent="0.25">
      <c r="B27" s="7"/>
      <c r="C27" s="19">
        <v>42</v>
      </c>
      <c r="D27" s="61">
        <v>34</v>
      </c>
      <c r="E27" s="59" t="s">
        <v>67</v>
      </c>
      <c r="F27" s="59" t="s">
        <v>130</v>
      </c>
      <c r="G27" s="20" t="s">
        <v>190</v>
      </c>
      <c r="H27" s="71">
        <v>390</v>
      </c>
      <c r="I27" s="19">
        <v>112.3</v>
      </c>
      <c r="J27" s="67">
        <v>112.9</v>
      </c>
      <c r="K27" s="55">
        <f t="shared" si="0"/>
        <v>225.2</v>
      </c>
      <c r="L27" s="73">
        <f t="shared" si="1"/>
        <v>0.57743589743589741</v>
      </c>
      <c r="M27" s="11"/>
    </row>
    <row r="28" spans="2:16" x14ac:dyDescent="0.25">
      <c r="B28" s="7"/>
      <c r="C28" s="19">
        <v>43</v>
      </c>
      <c r="D28" s="61">
        <v>36</v>
      </c>
      <c r="E28" s="59" t="s">
        <v>67</v>
      </c>
      <c r="F28" s="59" t="s">
        <v>130</v>
      </c>
      <c r="G28" s="20" t="s">
        <v>192</v>
      </c>
      <c r="H28" s="71">
        <v>412</v>
      </c>
      <c r="I28" s="19">
        <v>123.2</v>
      </c>
      <c r="J28" s="67">
        <v>123.3</v>
      </c>
      <c r="K28" s="55">
        <f t="shared" si="0"/>
        <v>246.5</v>
      </c>
      <c r="L28" s="73">
        <f t="shared" si="1"/>
        <v>0.59830097087378642</v>
      </c>
      <c r="M28" s="11"/>
    </row>
    <row r="29" spans="2:16" x14ac:dyDescent="0.25">
      <c r="B29" s="7"/>
      <c r="C29" s="19">
        <v>44</v>
      </c>
      <c r="D29" s="29">
        <v>30</v>
      </c>
      <c r="E29" s="19" t="s">
        <v>67</v>
      </c>
      <c r="F29" s="59" t="s">
        <v>130</v>
      </c>
      <c r="G29" s="62" t="s">
        <v>186</v>
      </c>
      <c r="H29" s="95">
        <v>353</v>
      </c>
      <c r="I29" s="19">
        <v>101.6</v>
      </c>
      <c r="J29" s="67">
        <v>101.9</v>
      </c>
      <c r="K29" s="55">
        <f t="shared" si="0"/>
        <v>203.5</v>
      </c>
      <c r="L29" s="73">
        <f t="shared" si="1"/>
        <v>0.57648725212464591</v>
      </c>
      <c r="M29" s="11"/>
    </row>
    <row r="30" spans="2:16" x14ac:dyDescent="0.25">
      <c r="B30" s="7"/>
      <c r="C30" s="19">
        <v>45</v>
      </c>
      <c r="D30" s="85">
        <v>40</v>
      </c>
      <c r="E30" s="89" t="s">
        <v>68</v>
      </c>
      <c r="F30" s="86" t="s">
        <v>130</v>
      </c>
      <c r="G30" s="20" t="s">
        <v>196</v>
      </c>
      <c r="H30" s="71">
        <v>421</v>
      </c>
      <c r="I30" s="19">
        <v>125.7</v>
      </c>
      <c r="J30" s="67">
        <v>129.6</v>
      </c>
      <c r="K30" s="55">
        <f t="shared" si="0"/>
        <v>255.3</v>
      </c>
      <c r="L30" s="73">
        <f t="shared" si="1"/>
        <v>0.6064133016627079</v>
      </c>
      <c r="M30" s="11"/>
    </row>
    <row r="31" spans="2:16" x14ac:dyDescent="0.25">
      <c r="B31" s="7"/>
      <c r="C31" s="19">
        <v>46</v>
      </c>
      <c r="D31" s="29">
        <v>7</v>
      </c>
      <c r="E31" s="19" t="s">
        <v>67</v>
      </c>
      <c r="F31" s="59" t="s">
        <v>130</v>
      </c>
      <c r="G31" s="62" t="s">
        <v>164</v>
      </c>
      <c r="H31" s="95">
        <v>378</v>
      </c>
      <c r="I31" s="19">
        <v>111.6</v>
      </c>
      <c r="J31" s="67">
        <v>112.2</v>
      </c>
      <c r="K31" s="55">
        <f t="shared" si="0"/>
        <v>223.8</v>
      </c>
      <c r="L31" s="73">
        <f t="shared" si="1"/>
        <v>0.59206349206349207</v>
      </c>
      <c r="M31" s="11"/>
    </row>
    <row r="32" spans="2:16" x14ac:dyDescent="0.25">
      <c r="B32" s="7"/>
      <c r="C32" s="19">
        <v>47</v>
      </c>
      <c r="D32" s="29">
        <v>8</v>
      </c>
      <c r="E32" s="19" t="s">
        <v>67</v>
      </c>
      <c r="F32" s="59" t="s">
        <v>130</v>
      </c>
      <c r="G32" s="62" t="s">
        <v>165</v>
      </c>
      <c r="H32" s="95">
        <v>366</v>
      </c>
      <c r="I32" s="19">
        <v>100</v>
      </c>
      <c r="J32" s="67">
        <v>99.5</v>
      </c>
      <c r="K32" s="55">
        <f t="shared" si="0"/>
        <v>199.5</v>
      </c>
      <c r="L32" s="73">
        <f t="shared" si="1"/>
        <v>0.54508196721311475</v>
      </c>
      <c r="M32" s="11"/>
    </row>
    <row r="33" spans="2:13" x14ac:dyDescent="0.25">
      <c r="B33" s="7"/>
      <c r="C33" s="19">
        <v>48</v>
      </c>
      <c r="D33" s="29">
        <v>19</v>
      </c>
      <c r="E33" s="19" t="s">
        <v>67</v>
      </c>
      <c r="F33" s="59" t="s">
        <v>130</v>
      </c>
      <c r="G33" s="62" t="s">
        <v>175</v>
      </c>
      <c r="H33" s="95">
        <v>368</v>
      </c>
      <c r="I33" s="19">
        <v>104.2</v>
      </c>
      <c r="J33" s="67">
        <v>104.2</v>
      </c>
      <c r="K33" s="55">
        <f t="shared" si="0"/>
        <v>208.4</v>
      </c>
      <c r="L33" s="73">
        <f t="shared" si="1"/>
        <v>0.56630434782608696</v>
      </c>
      <c r="M33" s="11"/>
    </row>
    <row r="34" spans="2:13" x14ac:dyDescent="0.25">
      <c r="B34" s="7"/>
      <c r="C34" s="19">
        <v>49</v>
      </c>
      <c r="D34" s="85">
        <v>39</v>
      </c>
      <c r="E34" s="89" t="s">
        <v>67</v>
      </c>
      <c r="F34" s="86" t="s">
        <v>130</v>
      </c>
      <c r="G34" s="20" t="s">
        <v>195</v>
      </c>
      <c r="H34" s="71">
        <v>366</v>
      </c>
      <c r="I34" s="19">
        <v>105.5</v>
      </c>
      <c r="J34" s="67">
        <v>105.4</v>
      </c>
      <c r="K34" s="55">
        <f t="shared" si="0"/>
        <v>210.9</v>
      </c>
      <c r="L34" s="73">
        <f t="shared" si="1"/>
        <v>0.57622950819672136</v>
      </c>
      <c r="M34" s="11"/>
    </row>
    <row r="35" spans="2:13" x14ac:dyDescent="0.25">
      <c r="B35" s="7"/>
      <c r="C35" s="59">
        <v>50</v>
      </c>
      <c r="D35" s="61">
        <v>27</v>
      </c>
      <c r="E35" s="59" t="s">
        <v>67</v>
      </c>
      <c r="F35" s="59" t="s">
        <v>130</v>
      </c>
      <c r="G35" s="62" t="s">
        <v>183</v>
      </c>
      <c r="H35" s="95">
        <v>369</v>
      </c>
      <c r="I35" s="19">
        <v>106.3</v>
      </c>
      <c r="J35" s="67">
        <v>107.6</v>
      </c>
      <c r="K35" s="55">
        <f t="shared" si="0"/>
        <v>213.89999999999998</v>
      </c>
      <c r="L35" s="73">
        <f t="shared" si="1"/>
        <v>0.5796747967479674</v>
      </c>
      <c r="M35" s="11"/>
    </row>
    <row r="36" spans="2:13" x14ac:dyDescent="0.25">
      <c r="B36" s="7"/>
      <c r="C36" s="19">
        <v>51</v>
      </c>
      <c r="D36" s="29">
        <v>23</v>
      </c>
      <c r="E36" s="19" t="s">
        <v>67</v>
      </c>
      <c r="F36" s="59" t="s">
        <v>130</v>
      </c>
      <c r="G36" s="62" t="s">
        <v>179</v>
      </c>
      <c r="H36" s="95">
        <v>369</v>
      </c>
      <c r="I36" s="19">
        <v>106.4</v>
      </c>
      <c r="J36" s="67">
        <v>107.7</v>
      </c>
      <c r="K36" s="55">
        <f t="shared" si="0"/>
        <v>214.10000000000002</v>
      </c>
      <c r="L36" s="73">
        <f t="shared" si="1"/>
        <v>0.58021680216802174</v>
      </c>
      <c r="M36" s="11"/>
    </row>
    <row r="37" spans="2:13" x14ac:dyDescent="0.25">
      <c r="B37" s="7"/>
      <c r="C37" s="19">
        <v>52</v>
      </c>
      <c r="D37" s="29">
        <v>20</v>
      </c>
      <c r="E37" s="19" t="s">
        <v>67</v>
      </c>
      <c r="F37" s="59" t="s">
        <v>130</v>
      </c>
      <c r="G37" s="62" t="s">
        <v>176</v>
      </c>
      <c r="H37" s="95">
        <v>390</v>
      </c>
      <c r="I37" s="19">
        <v>114.4</v>
      </c>
      <c r="J37" s="67">
        <v>116.6</v>
      </c>
      <c r="K37" s="55">
        <f t="shared" si="0"/>
        <v>231</v>
      </c>
      <c r="L37" s="73">
        <f t="shared" si="1"/>
        <v>0.59230769230769231</v>
      </c>
      <c r="M37" s="11"/>
    </row>
    <row r="38" spans="2:13" x14ac:dyDescent="0.25">
      <c r="B38" s="7"/>
      <c r="C38" s="59">
        <v>53</v>
      </c>
      <c r="D38" s="61">
        <v>28</v>
      </c>
      <c r="E38" s="59" t="s">
        <v>67</v>
      </c>
      <c r="F38" s="59" t="s">
        <v>130</v>
      </c>
      <c r="G38" s="62" t="s">
        <v>184</v>
      </c>
      <c r="H38" s="95">
        <v>402</v>
      </c>
      <c r="I38" s="19">
        <v>115.5</v>
      </c>
      <c r="J38" s="67">
        <v>118.6</v>
      </c>
      <c r="K38" s="55">
        <f t="shared" si="0"/>
        <v>234.1</v>
      </c>
      <c r="L38" s="73">
        <f t="shared" si="1"/>
        <v>0.5823383084577114</v>
      </c>
      <c r="M38" s="11"/>
    </row>
    <row r="39" spans="2:13" x14ac:dyDescent="0.25">
      <c r="B39" s="7"/>
      <c r="C39" s="59">
        <v>54</v>
      </c>
      <c r="D39" s="61">
        <v>29</v>
      </c>
      <c r="E39" s="59" t="s">
        <v>68</v>
      </c>
      <c r="F39" s="59" t="s">
        <v>130</v>
      </c>
      <c r="G39" s="62" t="s">
        <v>185</v>
      </c>
      <c r="H39" s="95">
        <v>367</v>
      </c>
      <c r="I39" s="19">
        <v>103.5</v>
      </c>
      <c r="J39" s="67">
        <v>105</v>
      </c>
      <c r="K39" s="55">
        <f t="shared" si="0"/>
        <v>208.5</v>
      </c>
      <c r="L39" s="73">
        <f t="shared" si="1"/>
        <v>0.56811989100817439</v>
      </c>
      <c r="M39" s="11"/>
    </row>
    <row r="40" spans="2:13" x14ac:dyDescent="0.25">
      <c r="B40" s="7"/>
      <c r="C40" s="19">
        <v>55</v>
      </c>
      <c r="D40" s="29">
        <v>38</v>
      </c>
      <c r="E40" s="19" t="s">
        <v>67</v>
      </c>
      <c r="F40" s="59" t="s">
        <v>130</v>
      </c>
      <c r="G40" s="20" t="s">
        <v>194</v>
      </c>
      <c r="H40" s="71">
        <v>403</v>
      </c>
      <c r="I40" s="19">
        <v>115.9</v>
      </c>
      <c r="J40" s="67">
        <v>115.8</v>
      </c>
      <c r="K40" s="55">
        <f t="shared" si="0"/>
        <v>231.7</v>
      </c>
      <c r="L40" s="73">
        <f t="shared" si="1"/>
        <v>0.57493796526054586</v>
      </c>
      <c r="M40" s="11"/>
    </row>
    <row r="41" spans="2:13" x14ac:dyDescent="0.25">
      <c r="B41" s="7"/>
      <c r="C41" s="59">
        <v>56</v>
      </c>
      <c r="D41" s="61">
        <v>25</v>
      </c>
      <c r="E41" s="59" t="s">
        <v>67</v>
      </c>
      <c r="F41" s="59" t="s">
        <v>130</v>
      </c>
      <c r="G41" s="62" t="s">
        <v>181</v>
      </c>
      <c r="H41" s="95">
        <v>356</v>
      </c>
      <c r="I41" s="19">
        <v>99.1</v>
      </c>
      <c r="J41" s="67">
        <v>99</v>
      </c>
      <c r="K41" s="55">
        <f t="shared" si="0"/>
        <v>198.1</v>
      </c>
      <c r="L41" s="73">
        <f t="shared" si="1"/>
        <v>0.55646067415730338</v>
      </c>
      <c r="M41" s="11"/>
    </row>
    <row r="42" spans="2:13" x14ac:dyDescent="0.25">
      <c r="B42" s="7"/>
      <c r="C42" s="59">
        <v>57</v>
      </c>
      <c r="D42" s="61">
        <v>24</v>
      </c>
      <c r="E42" s="59" t="s">
        <v>67</v>
      </c>
      <c r="F42" s="59" t="s">
        <v>130</v>
      </c>
      <c r="G42" s="62" t="s">
        <v>180</v>
      </c>
      <c r="H42" s="95">
        <v>383</v>
      </c>
      <c r="I42" s="19">
        <v>108.1</v>
      </c>
      <c r="J42" s="67">
        <v>109.6</v>
      </c>
      <c r="K42" s="55">
        <f t="shared" si="0"/>
        <v>217.7</v>
      </c>
      <c r="L42" s="73">
        <f t="shared" si="1"/>
        <v>0.56840731070496076</v>
      </c>
      <c r="M42" s="11"/>
    </row>
    <row r="43" spans="2:13" x14ac:dyDescent="0.25">
      <c r="B43" s="7"/>
      <c r="C43" s="59">
        <v>58</v>
      </c>
      <c r="D43" s="61">
        <v>26</v>
      </c>
      <c r="E43" s="59" t="s">
        <v>67</v>
      </c>
      <c r="F43" s="59" t="s">
        <v>130</v>
      </c>
      <c r="G43" s="62" t="s">
        <v>182</v>
      </c>
      <c r="H43" s="95">
        <v>385</v>
      </c>
      <c r="I43" s="19">
        <v>111</v>
      </c>
      <c r="J43" s="67">
        <v>113.3</v>
      </c>
      <c r="K43" s="55">
        <f t="shared" si="0"/>
        <v>224.3</v>
      </c>
      <c r="L43" s="73">
        <f t="shared" si="1"/>
        <v>0.58259740259740267</v>
      </c>
      <c r="M43" s="11"/>
    </row>
    <row r="44" spans="2:13" x14ac:dyDescent="0.25">
      <c r="B44" s="7"/>
      <c r="C44" s="59">
        <v>59</v>
      </c>
      <c r="D44" s="61">
        <v>22</v>
      </c>
      <c r="E44" s="59" t="s">
        <v>67</v>
      </c>
      <c r="F44" s="59" t="s">
        <v>130</v>
      </c>
      <c r="G44" s="62" t="s">
        <v>178</v>
      </c>
      <c r="H44" s="95">
        <v>376</v>
      </c>
      <c r="I44" s="19">
        <v>102.6</v>
      </c>
      <c r="J44" s="67">
        <v>104</v>
      </c>
      <c r="K44" s="55">
        <f t="shared" si="0"/>
        <v>206.6</v>
      </c>
      <c r="L44" s="73">
        <f t="shared" si="1"/>
        <v>0.54946808510638301</v>
      </c>
      <c r="M44" s="11"/>
    </row>
    <row r="45" spans="2:13" x14ac:dyDescent="0.25">
      <c r="B45" s="7"/>
      <c r="C45" s="19">
        <v>60</v>
      </c>
      <c r="D45" s="61">
        <v>35</v>
      </c>
      <c r="E45" s="59" t="s">
        <v>67</v>
      </c>
      <c r="F45" s="59" t="s">
        <v>130</v>
      </c>
      <c r="G45" s="20" t="s">
        <v>191</v>
      </c>
      <c r="H45" s="71">
        <v>346</v>
      </c>
      <c r="I45" s="19">
        <v>95.5</v>
      </c>
      <c r="J45" s="67">
        <v>97.4</v>
      </c>
      <c r="K45" s="55">
        <f t="shared" si="0"/>
        <v>192.9</v>
      </c>
      <c r="L45" s="73">
        <f t="shared" si="1"/>
        <v>0.55751445086705209</v>
      </c>
      <c r="M45" s="11"/>
    </row>
    <row r="46" spans="2:13" x14ac:dyDescent="0.25">
      <c r="B46" s="7"/>
      <c r="C46" s="19">
        <v>61</v>
      </c>
      <c r="D46" s="61">
        <v>33</v>
      </c>
      <c r="E46" s="59" t="s">
        <v>67</v>
      </c>
      <c r="F46" s="59" t="s">
        <v>130</v>
      </c>
      <c r="G46" s="20" t="s">
        <v>189</v>
      </c>
      <c r="H46" s="71">
        <v>358</v>
      </c>
      <c r="I46" s="19">
        <v>97.6</v>
      </c>
      <c r="J46" s="67">
        <v>101.9</v>
      </c>
      <c r="K46" s="55">
        <f t="shared" si="0"/>
        <v>199.5</v>
      </c>
      <c r="L46" s="73">
        <f t="shared" si="1"/>
        <v>0.55726256983240219</v>
      </c>
      <c r="M46" s="11"/>
    </row>
    <row r="47" spans="2:13" x14ac:dyDescent="0.25">
      <c r="B47" s="7"/>
      <c r="C47" s="19">
        <v>62</v>
      </c>
      <c r="D47" s="29">
        <v>21</v>
      </c>
      <c r="E47" s="19" t="s">
        <v>67</v>
      </c>
      <c r="F47" s="59" t="s">
        <v>130</v>
      </c>
      <c r="G47" s="62" t="s">
        <v>177</v>
      </c>
      <c r="H47" s="95">
        <v>374</v>
      </c>
      <c r="I47" s="19">
        <v>100.8</v>
      </c>
      <c r="J47" s="67">
        <v>104</v>
      </c>
      <c r="K47" s="55">
        <f t="shared" si="0"/>
        <v>204.8</v>
      </c>
      <c r="L47" s="73">
        <f t="shared" si="1"/>
        <v>0.54759358288770055</v>
      </c>
      <c r="M47" s="11"/>
    </row>
    <row r="48" spans="2:13" x14ac:dyDescent="0.25">
      <c r="B48" s="7"/>
      <c r="C48" s="19">
        <v>63</v>
      </c>
      <c r="D48" s="29">
        <v>31</v>
      </c>
      <c r="E48" s="19" t="s">
        <v>67</v>
      </c>
      <c r="F48" s="59" t="s">
        <v>130</v>
      </c>
      <c r="G48" s="20" t="s">
        <v>187</v>
      </c>
      <c r="H48" s="71">
        <v>400</v>
      </c>
      <c r="I48" s="19">
        <v>109.7</v>
      </c>
      <c r="J48" s="67">
        <v>108.7</v>
      </c>
      <c r="K48" s="55">
        <f t="shared" si="0"/>
        <v>218.4</v>
      </c>
      <c r="L48" s="73">
        <f t="shared" si="1"/>
        <v>0.54600000000000004</v>
      </c>
      <c r="M48" s="11"/>
    </row>
    <row r="49" spans="2:13" x14ac:dyDescent="0.25">
      <c r="B49" s="7"/>
      <c r="C49" s="19">
        <v>64</v>
      </c>
      <c r="D49" s="61">
        <v>32</v>
      </c>
      <c r="E49" s="59" t="s">
        <v>67</v>
      </c>
      <c r="F49" s="59" t="s">
        <v>130</v>
      </c>
      <c r="G49" s="20" t="s">
        <v>188</v>
      </c>
      <c r="H49" s="71">
        <v>369</v>
      </c>
      <c r="I49" s="19">
        <v>101.2</v>
      </c>
      <c r="J49" s="67">
        <v>101.4</v>
      </c>
      <c r="K49" s="55">
        <f t="shared" si="0"/>
        <v>202.60000000000002</v>
      </c>
      <c r="L49" s="73">
        <f t="shared" si="1"/>
        <v>0.5490514905149052</v>
      </c>
      <c r="M49" s="11"/>
    </row>
    <row r="50" spans="2:13" x14ac:dyDescent="0.25">
      <c r="B50" s="7"/>
      <c r="C50" s="19">
        <v>65</v>
      </c>
      <c r="D50" s="29">
        <v>37</v>
      </c>
      <c r="E50" s="19" t="s">
        <v>68</v>
      </c>
      <c r="F50" s="59" t="s">
        <v>130</v>
      </c>
      <c r="G50" s="20" t="s">
        <v>193</v>
      </c>
      <c r="H50" s="71">
        <v>349</v>
      </c>
      <c r="I50" s="19">
        <v>97.6</v>
      </c>
      <c r="J50" s="67">
        <v>98</v>
      </c>
      <c r="K50" s="55">
        <f t="shared" si="0"/>
        <v>195.6</v>
      </c>
      <c r="L50" s="73">
        <f t="shared" si="1"/>
        <v>0.56045845272206307</v>
      </c>
      <c r="M50" s="11"/>
    </row>
    <row r="51" spans="2:13" x14ac:dyDescent="0.25">
      <c r="B51" s="7"/>
      <c r="C51" s="29"/>
      <c r="D51" s="85"/>
      <c r="E51" s="85"/>
      <c r="F51" s="87"/>
      <c r="G51" s="20"/>
      <c r="H51" s="71"/>
      <c r="I51" s="29"/>
      <c r="J51" s="79"/>
      <c r="K51" s="55">
        <f t="shared" si="0"/>
        <v>0</v>
      </c>
      <c r="L51" s="73" t="e">
        <f t="shared" si="1"/>
        <v>#DIV/0!</v>
      </c>
      <c r="M51" s="11"/>
    </row>
    <row r="52" spans="2:13" x14ac:dyDescent="0.25">
      <c r="B52" s="7"/>
      <c r="C52" s="19"/>
      <c r="D52" s="85"/>
      <c r="E52" s="89"/>
      <c r="F52" s="89"/>
      <c r="G52" s="88"/>
      <c r="H52" s="81"/>
      <c r="I52" s="54"/>
      <c r="J52" s="54"/>
      <c r="K52" s="55">
        <f t="shared" si="0"/>
        <v>0</v>
      </c>
      <c r="L52" s="73" t="e">
        <f t="shared" si="1"/>
        <v>#DIV/0!</v>
      </c>
      <c r="M52" s="11"/>
    </row>
    <row r="53" spans="2:13" x14ac:dyDescent="0.25">
      <c r="B53" s="7"/>
      <c r="C53" s="19"/>
      <c r="D53" s="90"/>
      <c r="E53" s="91"/>
      <c r="F53" s="91"/>
      <c r="G53" s="92"/>
      <c r="H53" s="96"/>
      <c r="I53" s="82"/>
      <c r="J53" s="37"/>
      <c r="K53" s="55">
        <f t="shared" si="0"/>
        <v>0</v>
      </c>
      <c r="L53" s="73" t="e">
        <f t="shared" si="1"/>
        <v>#DIV/0!</v>
      </c>
      <c r="M53" s="11"/>
    </row>
    <row r="54" spans="2:13" x14ac:dyDescent="0.25">
      <c r="B54" s="7"/>
      <c r="C54" s="19"/>
      <c r="D54" s="85"/>
      <c r="E54" s="89"/>
      <c r="F54" s="89"/>
      <c r="G54" s="20"/>
      <c r="H54" s="81"/>
      <c r="I54" s="54"/>
      <c r="J54" s="52"/>
      <c r="K54" s="55">
        <f t="shared" si="0"/>
        <v>0</v>
      </c>
      <c r="L54" s="73" t="e">
        <f t="shared" si="1"/>
        <v>#DIV/0!</v>
      </c>
      <c r="M54" s="11"/>
    </row>
    <row r="55" spans="2:13" ht="15.75" thickBot="1" x14ac:dyDescent="0.3">
      <c r="B55" s="7"/>
      <c r="C55" s="19"/>
      <c r="D55" s="85"/>
      <c r="E55" s="89"/>
      <c r="F55" s="89"/>
      <c r="G55" s="20"/>
      <c r="H55" s="71"/>
      <c r="I55" s="54"/>
      <c r="J55" s="52"/>
      <c r="K55" s="55">
        <f t="shared" si="0"/>
        <v>0</v>
      </c>
      <c r="L55" s="73" t="e">
        <f t="shared" si="1"/>
        <v>#DIV/0!</v>
      </c>
      <c r="M55" s="11"/>
    </row>
    <row r="56" spans="2:13" ht="15.75" thickBot="1" x14ac:dyDescent="0.3">
      <c r="B56" s="7"/>
      <c r="C56" s="105"/>
      <c r="D56" s="75">
        <f>+COUNT($D$11:$D$55)</f>
        <v>40</v>
      </c>
      <c r="E56" s="105"/>
      <c r="F56" s="105"/>
      <c r="G56" s="69"/>
      <c r="H56" s="56">
        <f>SUM($H$11:$H$55)</f>
        <v>14972</v>
      </c>
      <c r="I56" s="57">
        <f>SUM($I$11:$I$55)</f>
        <v>4257.5999999999995</v>
      </c>
      <c r="J56" s="70">
        <f>SUM($J$11:$J$55)</f>
        <v>4310.2</v>
      </c>
      <c r="K56" s="72">
        <f>SUM($K$11:$K$55)</f>
        <v>8567.7999999999993</v>
      </c>
      <c r="L56" s="74">
        <f t="shared" si="1"/>
        <v>0.57225487576810041</v>
      </c>
      <c r="M56" s="11"/>
    </row>
    <row r="57" spans="2:13" ht="15.75" thickBot="1" x14ac:dyDescent="0.3">
      <c r="B57" s="41"/>
      <c r="C57" s="42"/>
      <c r="D57" s="42"/>
      <c r="E57" s="42"/>
      <c r="F57" s="42"/>
      <c r="G57" s="43"/>
      <c r="H57" s="42"/>
      <c r="I57" s="43"/>
      <c r="J57" s="42"/>
      <c r="K57" s="42"/>
      <c r="L57" s="42"/>
      <c r="M57" s="44"/>
    </row>
    <row r="58" spans="2:13" ht="16.5" thickTop="1" thickBot="1" x14ac:dyDescent="0.3">
      <c r="B58" s="4"/>
      <c r="C58" s="4"/>
      <c r="D58" s="4"/>
      <c r="E58" s="4"/>
      <c r="F58" s="4"/>
      <c r="G58" s="5"/>
      <c r="H58" s="4"/>
      <c r="I58" s="5"/>
      <c r="J58" s="4"/>
      <c r="K58" s="4"/>
      <c r="L58" s="4"/>
      <c r="M58" s="4"/>
    </row>
    <row r="59" spans="2:13" ht="16.5" thickTop="1" thickBot="1" x14ac:dyDescent="0.3">
      <c r="B59" s="3"/>
      <c r="C59" s="4"/>
      <c r="D59" s="4"/>
      <c r="E59" s="4"/>
      <c r="F59" s="4"/>
      <c r="G59" s="5"/>
      <c r="H59" s="4"/>
      <c r="I59" s="5"/>
      <c r="J59" s="4"/>
      <c r="K59" s="4"/>
      <c r="L59" s="4"/>
      <c r="M59" s="6"/>
    </row>
    <row r="60" spans="2:13" ht="15.75" thickBot="1" x14ac:dyDescent="0.3">
      <c r="B60" s="7"/>
      <c r="F60" s="30" t="s">
        <v>12</v>
      </c>
      <c r="G60" s="31" t="s">
        <v>32</v>
      </c>
      <c r="H60" s="51" t="s">
        <v>30</v>
      </c>
      <c r="I60" s="75" t="s">
        <v>54</v>
      </c>
      <c r="J60" s="75" t="s">
        <v>53</v>
      </c>
      <c r="M60" s="11"/>
    </row>
    <row r="61" spans="2:13" x14ac:dyDescent="0.25">
      <c r="B61" s="7"/>
      <c r="F61" s="32" t="s">
        <v>59</v>
      </c>
      <c r="G61" s="97">
        <v>98.199999999999989</v>
      </c>
      <c r="H61" s="97">
        <v>94.8</v>
      </c>
      <c r="I61" s="76"/>
      <c r="J61" s="84"/>
      <c r="M61" s="11"/>
    </row>
    <row r="62" spans="2:13" x14ac:dyDescent="0.25">
      <c r="B62" s="7"/>
      <c r="F62" s="33" t="s">
        <v>15</v>
      </c>
      <c r="G62" s="76">
        <v>40</v>
      </c>
      <c r="H62" s="76">
        <v>58.260000000000005</v>
      </c>
      <c r="I62" s="76"/>
      <c r="J62" s="21"/>
      <c r="M62" s="11"/>
    </row>
    <row r="63" spans="2:13" x14ac:dyDescent="0.25">
      <c r="B63" s="7"/>
      <c r="F63" s="22" t="s">
        <v>13</v>
      </c>
      <c r="G63" s="76">
        <v>28</v>
      </c>
      <c r="H63" s="76">
        <v>118.78</v>
      </c>
      <c r="I63" s="76">
        <v>12</v>
      </c>
      <c r="J63" s="21">
        <v>59.08</v>
      </c>
      <c r="M63" s="11"/>
    </row>
    <row r="64" spans="2:13" x14ac:dyDescent="0.25">
      <c r="B64" s="7"/>
      <c r="F64" s="22" t="s">
        <v>16</v>
      </c>
      <c r="G64" s="76">
        <v>40</v>
      </c>
      <c r="H64" s="76">
        <v>43.64</v>
      </c>
      <c r="I64" s="76"/>
      <c r="J64" s="21"/>
      <c r="M64" s="11"/>
    </row>
    <row r="65" spans="2:13" x14ac:dyDescent="0.25">
      <c r="B65" s="7"/>
      <c r="F65" s="33" t="s">
        <v>60</v>
      </c>
      <c r="G65" s="76">
        <v>32.82</v>
      </c>
      <c r="H65" s="76">
        <v>31.84</v>
      </c>
      <c r="I65" s="76"/>
      <c r="J65" s="21"/>
      <c r="M65" s="11"/>
    </row>
    <row r="66" spans="2:13" x14ac:dyDescent="0.25">
      <c r="B66" s="7"/>
      <c r="F66" s="33" t="s">
        <v>14</v>
      </c>
      <c r="G66" s="76">
        <v>80</v>
      </c>
      <c r="H66" s="76">
        <v>34.120000000000005</v>
      </c>
      <c r="I66" s="76"/>
      <c r="J66" s="21"/>
      <c r="M66" s="11"/>
    </row>
    <row r="67" spans="2:13" x14ac:dyDescent="0.25">
      <c r="B67" s="7"/>
      <c r="F67" s="22" t="s">
        <v>20</v>
      </c>
      <c r="G67" s="76">
        <v>160</v>
      </c>
      <c r="H67" s="76">
        <v>16.82</v>
      </c>
      <c r="I67" s="76"/>
      <c r="J67" s="21"/>
      <c r="M67" s="11"/>
    </row>
    <row r="68" spans="2:13" x14ac:dyDescent="0.25">
      <c r="B68" s="7"/>
      <c r="F68" s="33" t="s">
        <v>17</v>
      </c>
      <c r="G68" s="76">
        <v>40</v>
      </c>
      <c r="H68" s="76">
        <v>27.68</v>
      </c>
      <c r="I68" s="76"/>
      <c r="J68" s="21"/>
      <c r="M68" s="11"/>
    </row>
    <row r="69" spans="2:13" x14ac:dyDescent="0.25">
      <c r="B69" s="7"/>
      <c r="F69" s="33" t="s">
        <v>61</v>
      </c>
      <c r="G69" s="76">
        <v>40</v>
      </c>
      <c r="H69" s="76">
        <v>28.880000000000003</v>
      </c>
      <c r="I69" s="76"/>
      <c r="J69" s="21"/>
      <c r="M69" s="11"/>
    </row>
    <row r="70" spans="2:13" x14ac:dyDescent="0.25">
      <c r="B70" s="7"/>
      <c r="F70" s="33" t="s">
        <v>48</v>
      </c>
      <c r="G70" s="76">
        <v>49.94</v>
      </c>
      <c r="H70" s="76">
        <v>47.64</v>
      </c>
      <c r="I70" s="76"/>
      <c r="J70" s="21"/>
      <c r="M70" s="11"/>
    </row>
    <row r="71" spans="2:13" x14ac:dyDescent="0.25">
      <c r="B71" s="7"/>
      <c r="F71" s="22" t="s">
        <v>19</v>
      </c>
      <c r="G71" s="76">
        <v>40</v>
      </c>
      <c r="H71" s="76">
        <v>33.68</v>
      </c>
      <c r="I71" s="76"/>
      <c r="J71" s="21"/>
      <c r="M71" s="11"/>
    </row>
    <row r="72" spans="2:13" x14ac:dyDescent="0.25">
      <c r="B72" s="7"/>
      <c r="F72" s="22" t="s">
        <v>18</v>
      </c>
      <c r="G72" s="76">
        <v>40</v>
      </c>
      <c r="H72" s="76">
        <v>13.36</v>
      </c>
      <c r="I72" s="76"/>
      <c r="J72" s="21"/>
      <c r="M72" s="11"/>
    </row>
    <row r="73" spans="2:13" ht="15.75" thickBot="1" x14ac:dyDescent="0.3">
      <c r="B73" s="7"/>
      <c r="F73" s="33" t="s">
        <v>49</v>
      </c>
      <c r="G73" s="76">
        <v>13.44</v>
      </c>
      <c r="H73" s="76">
        <v>12.64</v>
      </c>
      <c r="I73" s="76"/>
      <c r="J73" s="21"/>
      <c r="M73" s="11"/>
    </row>
    <row r="74" spans="2:13" ht="15.75" thickBot="1" x14ac:dyDescent="0.3">
      <c r="B74" s="7"/>
      <c r="F74" s="39" t="s">
        <v>21</v>
      </c>
      <c r="G74" s="23"/>
      <c r="H74" s="23">
        <f>SUM(H61:H73)</f>
        <v>562.14</v>
      </c>
      <c r="I74" s="80">
        <f>SUM(I61:I73)</f>
        <v>12</v>
      </c>
      <c r="J74" s="23">
        <f>SUM(J61:J73)</f>
        <v>59.08</v>
      </c>
      <c r="M74" s="11"/>
    </row>
    <row r="75" spans="2:13" ht="15.75" thickBot="1" x14ac:dyDescent="0.3">
      <c r="B75" s="41"/>
      <c r="C75" s="42"/>
      <c r="D75" s="42"/>
      <c r="E75" s="42"/>
      <c r="F75" s="42"/>
      <c r="G75" s="43"/>
      <c r="H75" s="42"/>
      <c r="I75" s="43"/>
      <c r="J75" s="42"/>
      <c r="K75" s="42"/>
      <c r="L75" s="42"/>
      <c r="M75" s="44"/>
    </row>
    <row r="76" spans="2:13" ht="16.5" thickTop="1" thickBot="1" x14ac:dyDescent="0.3">
      <c r="B76" s="7"/>
      <c r="F76" s="24"/>
      <c r="G76" s="25"/>
      <c r="H76" s="24"/>
      <c r="I76" s="25"/>
      <c r="M76" s="11"/>
    </row>
    <row r="77" spans="2:13" ht="15.75" thickBot="1" x14ac:dyDescent="0.3">
      <c r="B77" s="7"/>
      <c r="F77" s="34" t="s">
        <v>22</v>
      </c>
      <c r="G77" s="35" t="s">
        <v>33</v>
      </c>
      <c r="H77" s="36" t="s">
        <v>31</v>
      </c>
      <c r="M77" s="11"/>
    </row>
    <row r="78" spans="2:13" x14ac:dyDescent="0.25">
      <c r="B78" s="7"/>
      <c r="F78" s="33" t="s">
        <v>23</v>
      </c>
      <c r="G78" s="38"/>
      <c r="H78" s="21">
        <v>1420</v>
      </c>
      <c r="M78" s="11"/>
    </row>
    <row r="79" spans="2:13" x14ac:dyDescent="0.25">
      <c r="B79" s="7"/>
      <c r="F79" s="33" t="s">
        <v>24</v>
      </c>
      <c r="G79" s="37">
        <f>+D56</f>
        <v>40</v>
      </c>
      <c r="H79" s="21"/>
      <c r="M79" s="11"/>
    </row>
    <row r="80" spans="2:13" x14ac:dyDescent="0.25">
      <c r="B80" s="7"/>
      <c r="F80" s="22" t="s">
        <v>34</v>
      </c>
      <c r="G80" s="38"/>
      <c r="H80" s="21">
        <v>880</v>
      </c>
      <c r="M80" s="11"/>
    </row>
    <row r="81" spans="2:13" x14ac:dyDescent="0.25">
      <c r="B81" s="7"/>
      <c r="F81" s="22" t="s">
        <v>35</v>
      </c>
      <c r="G81" s="38"/>
      <c r="H81" s="21"/>
      <c r="M81" s="11"/>
    </row>
    <row r="82" spans="2:13" ht="15.75" thickBot="1" x14ac:dyDescent="0.3">
      <c r="B82" s="7"/>
      <c r="F82" s="22" t="s">
        <v>29</v>
      </c>
      <c r="G82" s="37"/>
      <c r="H82" s="21">
        <v>2620</v>
      </c>
      <c r="M82" s="11"/>
    </row>
    <row r="83" spans="2:13" ht="15.75" thickBot="1" x14ac:dyDescent="0.3">
      <c r="B83" s="7"/>
      <c r="F83" s="39" t="s">
        <v>21</v>
      </c>
      <c r="G83" s="40"/>
      <c r="H83" s="23">
        <f>SUM(H78:H82)</f>
        <v>4920</v>
      </c>
      <c r="M83" s="11"/>
    </row>
    <row r="84" spans="2:13" ht="15.75" thickBot="1" x14ac:dyDescent="0.3">
      <c r="B84" s="41"/>
      <c r="C84" s="42"/>
      <c r="D84" s="42"/>
      <c r="E84" s="42"/>
      <c r="F84" s="42"/>
      <c r="G84" s="43"/>
      <c r="H84" s="42"/>
      <c r="I84" s="43"/>
      <c r="J84" s="42"/>
      <c r="K84" s="42"/>
      <c r="L84" s="42"/>
      <c r="M84" s="44"/>
    </row>
    <row r="85" spans="2:13" ht="15.75" thickTop="1" x14ac:dyDescent="0.25">
      <c r="H85" s="49"/>
    </row>
  </sheetData>
  <sortState ref="C11:L56">
    <sortCondition ref="C10"/>
  </sortState>
  <mergeCells count="2">
    <mergeCell ref="J7:L7"/>
    <mergeCell ref="J8:L8"/>
  </mergeCells>
  <conditionalFormatting sqref="L11:L55">
    <cfRule type="cellIs" dxfId="104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P85"/>
  <sheetViews>
    <sheetView topLeftCell="F57" zoomScaleNormal="100" workbookViewId="0">
      <selection activeCell="C10" sqref="C10"/>
    </sheetView>
  </sheetViews>
  <sheetFormatPr baseColWidth="10" defaultColWidth="12.42578125" defaultRowHeight="15" x14ac:dyDescent="0.25"/>
  <cols>
    <col min="1" max="1" width="4" style="1" customWidth="1"/>
    <col min="2" max="2" width="3.7109375" style="1" customWidth="1"/>
    <col min="3" max="3" width="8.5703125" style="1" bestFit="1" customWidth="1"/>
    <col min="4" max="4" width="9" style="1" customWidth="1"/>
    <col min="5" max="5" width="5.7109375" style="1" bestFit="1" customWidth="1"/>
    <col min="6" max="6" width="29.85546875" style="1" bestFit="1" customWidth="1"/>
    <col min="7" max="7" width="17.42578125" style="2" customWidth="1"/>
    <col min="8" max="8" width="12.7109375" style="1" customWidth="1"/>
    <col min="9" max="9" width="12.7109375" style="2" customWidth="1"/>
    <col min="10" max="11" width="12.7109375" style="1" customWidth="1"/>
    <col min="12" max="12" width="12.42578125" style="1"/>
    <col min="13" max="13" width="3.7109375" style="1" customWidth="1"/>
    <col min="14" max="14" width="12.42578125" style="1"/>
    <col min="15" max="15" width="2" style="1" bestFit="1" customWidth="1"/>
    <col min="16" max="16" width="17.140625" style="1" bestFit="1" customWidth="1"/>
    <col min="17" max="16384" width="12.42578125" style="1"/>
  </cols>
  <sheetData>
    <row r="1" spans="2:16" ht="15.75" thickBot="1" x14ac:dyDescent="0.3"/>
    <row r="2" spans="2:16" ht="16.5" thickTop="1" thickBot="1" x14ac:dyDescent="0.3">
      <c r="B2" s="3"/>
      <c r="C2" s="4"/>
      <c r="D2" s="4"/>
      <c r="E2" s="4"/>
      <c r="F2" s="4"/>
      <c r="G2" s="5"/>
      <c r="H2" s="4"/>
      <c r="I2" s="5"/>
      <c r="J2" s="4"/>
      <c r="K2" s="4"/>
      <c r="L2" s="4"/>
      <c r="M2" s="6"/>
    </row>
    <row r="3" spans="2:16" ht="21.75" thickBot="1" x14ac:dyDescent="0.3">
      <c r="B3" s="7"/>
      <c r="F3" s="8" t="s">
        <v>0</v>
      </c>
      <c r="G3" s="9">
        <f>+H56</f>
        <v>8989</v>
      </c>
      <c r="H3" s="10"/>
      <c r="I3" s="46" t="s">
        <v>28</v>
      </c>
      <c r="M3" s="11"/>
    </row>
    <row r="4" spans="2:16" ht="21.75" thickBot="1" x14ac:dyDescent="0.3">
      <c r="B4" s="7"/>
      <c r="F4" s="8" t="s">
        <v>1</v>
      </c>
      <c r="G4" s="9">
        <f>+K56</f>
        <v>5030.4000000000005</v>
      </c>
      <c r="H4" s="10"/>
      <c r="I4" s="47">
        <f>+L56</f>
        <v>0.55961731004561133</v>
      </c>
      <c r="M4" s="11"/>
    </row>
    <row r="5" spans="2:16" ht="21.75" thickBot="1" x14ac:dyDescent="0.3">
      <c r="B5" s="7"/>
      <c r="F5" s="8" t="s">
        <v>2</v>
      </c>
      <c r="G5" s="12">
        <v>46027</v>
      </c>
      <c r="H5" s="10"/>
      <c r="I5" s="58" t="s">
        <v>36</v>
      </c>
      <c r="M5" s="11"/>
    </row>
    <row r="6" spans="2:16" ht="21.75" thickBot="1" x14ac:dyDescent="0.3">
      <c r="B6" s="7"/>
      <c r="F6" s="8" t="s">
        <v>3</v>
      </c>
      <c r="G6" s="65">
        <v>4</v>
      </c>
      <c r="H6" s="10"/>
      <c r="I6" s="63">
        <f>+K56/G7</f>
        <v>201.21600000000001</v>
      </c>
      <c r="M6" s="11"/>
    </row>
    <row r="7" spans="2:16" ht="21.75" thickBot="1" x14ac:dyDescent="0.3">
      <c r="B7" s="7"/>
      <c r="F7" s="8" t="s">
        <v>4</v>
      </c>
      <c r="G7" s="48">
        <f>+D56</f>
        <v>25</v>
      </c>
      <c r="H7" s="10"/>
      <c r="I7" s="103" t="s">
        <v>38</v>
      </c>
      <c r="J7" s="338" t="s">
        <v>230</v>
      </c>
      <c r="K7" s="338"/>
      <c r="L7" s="339"/>
      <c r="M7" s="11"/>
    </row>
    <row r="8" spans="2:16" ht="21.75" thickBot="1" x14ac:dyDescent="0.3">
      <c r="B8" s="7"/>
      <c r="F8" s="101"/>
      <c r="G8" s="102"/>
      <c r="H8" s="10"/>
      <c r="I8" s="103" t="s">
        <v>88</v>
      </c>
      <c r="J8" s="338" t="s">
        <v>157</v>
      </c>
      <c r="K8" s="338"/>
      <c r="L8" s="339"/>
      <c r="M8" s="11"/>
    </row>
    <row r="9" spans="2:16" ht="15.75" thickBot="1" x14ac:dyDescent="0.3">
      <c r="B9" s="7"/>
      <c r="M9" s="11"/>
    </row>
    <row r="10" spans="2:16" s="18" customFormat="1" ht="45.75" thickBot="1" x14ac:dyDescent="0.3">
      <c r="B10" s="13"/>
      <c r="C10" s="27" t="s">
        <v>9</v>
      </c>
      <c r="D10" s="26" t="s">
        <v>5</v>
      </c>
      <c r="E10" s="99" t="s">
        <v>63</v>
      </c>
      <c r="F10" s="14" t="s">
        <v>6</v>
      </c>
      <c r="G10" s="16" t="s">
        <v>7</v>
      </c>
      <c r="H10" s="45" t="s">
        <v>26</v>
      </c>
      <c r="I10" s="15" t="s">
        <v>10</v>
      </c>
      <c r="J10" s="27" t="s">
        <v>11</v>
      </c>
      <c r="K10" s="45" t="s">
        <v>25</v>
      </c>
      <c r="L10" s="50" t="s">
        <v>27</v>
      </c>
      <c r="M10" s="17"/>
    </row>
    <row r="11" spans="2:16" x14ac:dyDescent="0.25">
      <c r="B11" s="7"/>
      <c r="C11" s="28">
        <v>1</v>
      </c>
      <c r="D11" s="28">
        <v>15</v>
      </c>
      <c r="E11" s="19" t="s">
        <v>67</v>
      </c>
      <c r="F11" s="59" t="s">
        <v>130</v>
      </c>
      <c r="G11" s="60" t="s">
        <v>146</v>
      </c>
      <c r="H11" s="94">
        <v>375</v>
      </c>
      <c r="I11" s="106">
        <v>105.1</v>
      </c>
      <c r="J11" s="107">
        <v>106.4</v>
      </c>
      <c r="K11" s="53">
        <f t="shared" ref="K11:K55" si="0">+I11+J11</f>
        <v>211.5</v>
      </c>
      <c r="L11" s="73">
        <f t="shared" ref="L11:L56" si="1">+K11/H11</f>
        <v>0.56399999999999995</v>
      </c>
      <c r="M11" s="11"/>
      <c r="N11" s="64" t="s">
        <v>42</v>
      </c>
      <c r="O11" s="1">
        <f>+COUNTIF($F$11:$F$55,"NOVILLITO (NT)")</f>
        <v>0</v>
      </c>
      <c r="P11" s="59" t="s">
        <v>8</v>
      </c>
    </row>
    <row r="12" spans="2:16" x14ac:dyDescent="0.25">
      <c r="B12" s="7"/>
      <c r="C12" s="29">
        <v>2</v>
      </c>
      <c r="D12" s="29">
        <v>4</v>
      </c>
      <c r="E12" s="19" t="s">
        <v>75</v>
      </c>
      <c r="F12" s="59" t="s">
        <v>133</v>
      </c>
      <c r="G12" s="62" t="s">
        <v>135</v>
      </c>
      <c r="H12" s="95">
        <v>422</v>
      </c>
      <c r="I12" s="108">
        <v>122.7</v>
      </c>
      <c r="J12" s="107">
        <v>123.9</v>
      </c>
      <c r="K12" s="55">
        <f t="shared" si="0"/>
        <v>246.60000000000002</v>
      </c>
      <c r="L12" s="73">
        <f t="shared" si="1"/>
        <v>0.58436018957345981</v>
      </c>
      <c r="M12" s="11"/>
      <c r="N12" s="64" t="s">
        <v>40</v>
      </c>
      <c r="O12" s="1">
        <f>+COUNTIF($F$11:$F$56,"VAQUILLONA (Vq)")</f>
        <v>0</v>
      </c>
      <c r="P12" s="59" t="s">
        <v>37</v>
      </c>
    </row>
    <row r="13" spans="2:16" x14ac:dyDescent="0.25">
      <c r="B13" s="7"/>
      <c r="C13" s="29">
        <v>3</v>
      </c>
      <c r="D13" s="29">
        <v>8</v>
      </c>
      <c r="E13" s="19" t="s">
        <v>75</v>
      </c>
      <c r="F13" s="59" t="s">
        <v>130</v>
      </c>
      <c r="G13" s="62" t="s">
        <v>139</v>
      </c>
      <c r="H13" s="95">
        <v>385</v>
      </c>
      <c r="I13" s="108">
        <v>107.8</v>
      </c>
      <c r="J13" s="107">
        <v>107.3</v>
      </c>
      <c r="K13" s="55">
        <f t="shared" si="0"/>
        <v>215.1</v>
      </c>
      <c r="L13" s="73">
        <f t="shared" si="1"/>
        <v>0.5587012987012987</v>
      </c>
      <c r="M13" s="11"/>
      <c r="N13" s="64" t="s">
        <v>44</v>
      </c>
      <c r="O13" s="1">
        <f>+COUNTIF($F$11:$F$56,"TORITO (MEJ)")</f>
        <v>0</v>
      </c>
      <c r="P13" s="59" t="s">
        <v>43</v>
      </c>
    </row>
    <row r="14" spans="2:16" x14ac:dyDescent="0.25">
      <c r="B14" s="7"/>
      <c r="C14" s="29">
        <v>4</v>
      </c>
      <c r="D14" s="29">
        <v>11</v>
      </c>
      <c r="E14" s="19" t="s">
        <v>75</v>
      </c>
      <c r="F14" s="59" t="s">
        <v>130</v>
      </c>
      <c r="G14" s="62" t="s">
        <v>142</v>
      </c>
      <c r="H14" s="95">
        <v>348</v>
      </c>
      <c r="I14" s="108">
        <v>98.2</v>
      </c>
      <c r="J14" s="107">
        <v>98.6</v>
      </c>
      <c r="K14" s="55">
        <f t="shared" si="0"/>
        <v>196.8</v>
      </c>
      <c r="L14" s="73">
        <f t="shared" si="1"/>
        <v>0.56551724137931036</v>
      </c>
      <c r="M14" s="11"/>
      <c r="N14" s="78" t="s">
        <v>45</v>
      </c>
      <c r="O14" s="1">
        <f>+COUNTIF($F$11:$F$56,"NOVILLO (No)")</f>
        <v>0</v>
      </c>
      <c r="P14" s="19" t="s">
        <v>39</v>
      </c>
    </row>
    <row r="15" spans="2:16" x14ac:dyDescent="0.25">
      <c r="B15" s="7"/>
      <c r="C15" s="29">
        <v>5</v>
      </c>
      <c r="D15" s="29">
        <v>17</v>
      </c>
      <c r="E15" s="19" t="s">
        <v>75</v>
      </c>
      <c r="F15" s="59" t="s">
        <v>133</v>
      </c>
      <c r="G15" s="62" t="s">
        <v>148</v>
      </c>
      <c r="H15" s="95">
        <v>411</v>
      </c>
      <c r="I15" s="108">
        <v>119</v>
      </c>
      <c r="J15" s="107">
        <v>120.8</v>
      </c>
      <c r="K15" s="55">
        <f t="shared" si="0"/>
        <v>239.8</v>
      </c>
      <c r="L15" s="73">
        <f t="shared" si="1"/>
        <v>0.58345498783454985</v>
      </c>
      <c r="M15" s="11"/>
      <c r="N15" s="78" t="s">
        <v>46</v>
      </c>
      <c r="O15" s="1">
        <f>+COUNTIF($F$11:$F$56,"VACA (Va)")</f>
        <v>0</v>
      </c>
      <c r="P15" s="83" t="s">
        <v>50</v>
      </c>
    </row>
    <row r="16" spans="2:16" x14ac:dyDescent="0.25">
      <c r="B16" s="7"/>
      <c r="C16" s="29">
        <v>6</v>
      </c>
      <c r="D16" s="29">
        <v>2</v>
      </c>
      <c r="E16" s="19" t="s">
        <v>68</v>
      </c>
      <c r="F16" s="59" t="s">
        <v>130</v>
      </c>
      <c r="G16" s="62" t="s">
        <v>132</v>
      </c>
      <c r="H16" s="95">
        <v>374</v>
      </c>
      <c r="I16" s="108">
        <v>102.8</v>
      </c>
      <c r="J16" s="107">
        <v>101.8</v>
      </c>
      <c r="K16" s="55">
        <f t="shared" si="0"/>
        <v>204.6</v>
      </c>
      <c r="L16" s="73">
        <f t="shared" si="1"/>
        <v>0.54705882352941171</v>
      </c>
      <c r="M16" s="11"/>
      <c r="N16" s="64" t="s">
        <v>47</v>
      </c>
      <c r="O16" s="1">
        <f>+COUNTIF($F$11:$F$56,"TORO (To)")</f>
        <v>0</v>
      </c>
      <c r="P16" s="83" t="s">
        <v>51</v>
      </c>
    </row>
    <row r="17" spans="2:16" x14ac:dyDescent="0.25">
      <c r="B17" s="7"/>
      <c r="C17" s="29">
        <v>7</v>
      </c>
      <c r="D17" s="29">
        <v>12</v>
      </c>
      <c r="E17" s="19" t="s">
        <v>75</v>
      </c>
      <c r="F17" s="59" t="s">
        <v>130</v>
      </c>
      <c r="G17" s="62" t="s">
        <v>143</v>
      </c>
      <c r="H17" s="95">
        <v>336</v>
      </c>
      <c r="I17" s="108">
        <v>92.2</v>
      </c>
      <c r="J17" s="107">
        <v>92.8</v>
      </c>
      <c r="K17" s="55">
        <f t="shared" si="0"/>
        <v>185</v>
      </c>
      <c r="L17" s="73">
        <f t="shared" si="1"/>
        <v>0.55059523809523814</v>
      </c>
      <c r="M17" s="11"/>
      <c r="N17" s="77"/>
      <c r="O17" s="1">
        <f>SUM(O11:O16)</f>
        <v>0</v>
      </c>
    </row>
    <row r="18" spans="2:16" x14ac:dyDescent="0.25">
      <c r="B18" s="7"/>
      <c r="C18" s="29">
        <v>8</v>
      </c>
      <c r="D18" s="29">
        <v>6</v>
      </c>
      <c r="E18" s="19" t="s">
        <v>75</v>
      </c>
      <c r="F18" s="59" t="s">
        <v>130</v>
      </c>
      <c r="G18" s="62" t="s">
        <v>137</v>
      </c>
      <c r="H18" s="95">
        <v>365</v>
      </c>
      <c r="I18" s="108">
        <v>103.8</v>
      </c>
      <c r="J18" s="107">
        <v>103.9</v>
      </c>
      <c r="K18" s="55">
        <f t="shared" si="0"/>
        <v>207.7</v>
      </c>
      <c r="L18" s="73">
        <f t="shared" si="1"/>
        <v>0.56904109589041096</v>
      </c>
      <c r="M18" s="11"/>
    </row>
    <row r="19" spans="2:16" x14ac:dyDescent="0.25">
      <c r="B19" s="7"/>
      <c r="C19" s="29">
        <v>9</v>
      </c>
      <c r="D19" s="29">
        <v>3</v>
      </c>
      <c r="E19" s="19" t="s">
        <v>75</v>
      </c>
      <c r="F19" s="59" t="s">
        <v>133</v>
      </c>
      <c r="G19" s="62" t="s">
        <v>134</v>
      </c>
      <c r="H19" s="95">
        <v>403</v>
      </c>
      <c r="I19" s="108">
        <v>112</v>
      </c>
      <c r="J19" s="107">
        <v>113.6</v>
      </c>
      <c r="K19" s="55">
        <f t="shared" si="0"/>
        <v>225.6</v>
      </c>
      <c r="L19" s="73">
        <f t="shared" si="1"/>
        <v>0.55980148883374692</v>
      </c>
      <c r="M19" s="11"/>
      <c r="P19" s="100" t="s">
        <v>63</v>
      </c>
    </row>
    <row r="20" spans="2:16" x14ac:dyDescent="0.25">
      <c r="B20" s="7"/>
      <c r="C20" s="29">
        <v>10</v>
      </c>
      <c r="D20" s="29">
        <v>14</v>
      </c>
      <c r="E20" s="19" t="s">
        <v>67</v>
      </c>
      <c r="F20" s="59" t="s">
        <v>130</v>
      </c>
      <c r="G20" s="62" t="s">
        <v>145</v>
      </c>
      <c r="H20" s="95">
        <v>311</v>
      </c>
      <c r="I20" s="108">
        <v>87.6</v>
      </c>
      <c r="J20" s="109">
        <v>89.2</v>
      </c>
      <c r="K20" s="55">
        <f t="shared" si="0"/>
        <v>176.8</v>
      </c>
      <c r="L20" s="104">
        <f t="shared" si="1"/>
        <v>0.56848874598070742</v>
      </c>
      <c r="M20" s="11"/>
      <c r="N20" s="64" t="s">
        <v>67</v>
      </c>
      <c r="P20" s="1" t="s">
        <v>64</v>
      </c>
    </row>
    <row r="21" spans="2:16" x14ac:dyDescent="0.25">
      <c r="B21" s="7"/>
      <c r="C21" s="19">
        <v>11</v>
      </c>
      <c r="D21" s="29">
        <v>7</v>
      </c>
      <c r="E21" s="19" t="s">
        <v>67</v>
      </c>
      <c r="F21" s="59" t="s">
        <v>62</v>
      </c>
      <c r="G21" s="62" t="s">
        <v>138</v>
      </c>
      <c r="H21" s="95">
        <v>342</v>
      </c>
      <c r="I21" s="108">
        <v>90.3</v>
      </c>
      <c r="J21" s="107">
        <v>89.4</v>
      </c>
      <c r="K21" s="55">
        <f t="shared" si="0"/>
        <v>179.7</v>
      </c>
      <c r="L21" s="73">
        <f t="shared" si="1"/>
        <v>0.52543859649122804</v>
      </c>
      <c r="M21" s="11"/>
      <c r="N21" s="64" t="s">
        <v>68</v>
      </c>
      <c r="P21" t="s">
        <v>65</v>
      </c>
    </row>
    <row r="22" spans="2:16" x14ac:dyDescent="0.25">
      <c r="B22" s="7"/>
      <c r="C22" s="19">
        <v>12</v>
      </c>
      <c r="D22" s="29">
        <v>23</v>
      </c>
      <c r="E22" s="19" t="s">
        <v>67</v>
      </c>
      <c r="F22" s="59" t="s">
        <v>130</v>
      </c>
      <c r="G22" s="62" t="s">
        <v>154</v>
      </c>
      <c r="H22" s="95">
        <v>350</v>
      </c>
      <c r="I22" s="108">
        <v>95</v>
      </c>
      <c r="J22" s="107">
        <v>95.2</v>
      </c>
      <c r="K22" s="55">
        <f t="shared" si="0"/>
        <v>190.2</v>
      </c>
      <c r="L22" s="73">
        <f t="shared" si="1"/>
        <v>0.54342857142857137</v>
      </c>
      <c r="M22" s="11"/>
      <c r="N22" s="64" t="s">
        <v>75</v>
      </c>
      <c r="P22" t="s">
        <v>74</v>
      </c>
    </row>
    <row r="23" spans="2:16" x14ac:dyDescent="0.25">
      <c r="B23" s="7"/>
      <c r="C23" s="19">
        <v>13</v>
      </c>
      <c r="D23" s="29">
        <v>21</v>
      </c>
      <c r="E23" s="19" t="s">
        <v>75</v>
      </c>
      <c r="F23" s="59" t="s">
        <v>130</v>
      </c>
      <c r="G23" s="62" t="s">
        <v>152</v>
      </c>
      <c r="H23" s="95">
        <v>384</v>
      </c>
      <c r="I23" s="108">
        <v>109</v>
      </c>
      <c r="J23" s="107">
        <v>109.1</v>
      </c>
      <c r="K23" s="55">
        <f t="shared" si="0"/>
        <v>218.1</v>
      </c>
      <c r="L23" s="73">
        <f t="shared" si="1"/>
        <v>0.56796875000000002</v>
      </c>
      <c r="M23" s="11"/>
      <c r="N23" s="64" t="s">
        <v>69</v>
      </c>
      <c r="P23" t="s">
        <v>66</v>
      </c>
    </row>
    <row r="24" spans="2:16" x14ac:dyDescent="0.25">
      <c r="B24" s="7"/>
      <c r="C24" s="19">
        <v>14</v>
      </c>
      <c r="D24" s="29">
        <v>20</v>
      </c>
      <c r="E24" s="19" t="s">
        <v>67</v>
      </c>
      <c r="F24" s="59" t="s">
        <v>130</v>
      </c>
      <c r="G24" s="62" t="s">
        <v>151</v>
      </c>
      <c r="H24" s="95">
        <v>325</v>
      </c>
      <c r="I24" s="108">
        <v>94.8</v>
      </c>
      <c r="J24" s="107">
        <v>94.9</v>
      </c>
      <c r="K24" s="55">
        <f t="shared" si="0"/>
        <v>189.7</v>
      </c>
      <c r="L24" s="73">
        <f t="shared" si="1"/>
        <v>0.58369230769230762</v>
      </c>
      <c r="M24" s="11"/>
      <c r="N24" s="64" t="s">
        <v>70</v>
      </c>
      <c r="P24" t="s">
        <v>71</v>
      </c>
    </row>
    <row r="25" spans="2:16" x14ac:dyDescent="0.25">
      <c r="B25" s="7"/>
      <c r="C25" s="19">
        <v>15</v>
      </c>
      <c r="D25" s="29">
        <v>5</v>
      </c>
      <c r="E25" s="19" t="s">
        <v>68</v>
      </c>
      <c r="F25" s="59" t="s">
        <v>133</v>
      </c>
      <c r="G25" s="62" t="s">
        <v>136</v>
      </c>
      <c r="H25" s="95">
        <v>331</v>
      </c>
      <c r="I25" s="108">
        <v>95.4</v>
      </c>
      <c r="J25" s="107">
        <v>94.6</v>
      </c>
      <c r="K25" s="55">
        <f t="shared" si="0"/>
        <v>190</v>
      </c>
      <c r="L25" s="73">
        <f t="shared" si="1"/>
        <v>0.57401812688821752</v>
      </c>
      <c r="M25" s="11"/>
      <c r="N25" s="64" t="s">
        <v>73</v>
      </c>
      <c r="P25" t="s">
        <v>72</v>
      </c>
    </row>
    <row r="26" spans="2:16" x14ac:dyDescent="0.25">
      <c r="B26" s="7"/>
      <c r="C26" s="19">
        <v>16</v>
      </c>
      <c r="D26" s="29">
        <v>19</v>
      </c>
      <c r="E26" s="19" t="s">
        <v>67</v>
      </c>
      <c r="F26" s="59" t="s">
        <v>62</v>
      </c>
      <c r="G26" s="62" t="s">
        <v>150</v>
      </c>
      <c r="H26" s="95">
        <v>305</v>
      </c>
      <c r="I26" s="108">
        <v>84.2</v>
      </c>
      <c r="J26" s="107">
        <v>85.2</v>
      </c>
      <c r="K26" s="55">
        <f t="shared" si="0"/>
        <v>169.4</v>
      </c>
      <c r="L26" s="73">
        <f t="shared" si="1"/>
        <v>0.55540983606557381</v>
      </c>
      <c r="M26" s="11"/>
      <c r="N26" s="64" t="s">
        <v>78</v>
      </c>
      <c r="P26" t="s">
        <v>76</v>
      </c>
    </row>
    <row r="27" spans="2:16" x14ac:dyDescent="0.25">
      <c r="B27" s="7"/>
      <c r="C27" s="59">
        <v>17</v>
      </c>
      <c r="D27" s="61">
        <v>24</v>
      </c>
      <c r="E27" s="59" t="s">
        <v>68</v>
      </c>
      <c r="F27" s="59" t="s">
        <v>130</v>
      </c>
      <c r="G27" s="62" t="s">
        <v>155</v>
      </c>
      <c r="H27" s="95">
        <v>374</v>
      </c>
      <c r="I27" s="108">
        <v>106.4</v>
      </c>
      <c r="J27" s="107">
        <v>108.5</v>
      </c>
      <c r="K27" s="55">
        <f t="shared" si="0"/>
        <v>214.9</v>
      </c>
      <c r="L27" s="73">
        <f t="shared" si="1"/>
        <v>0.57459893048128341</v>
      </c>
      <c r="M27" s="11"/>
    </row>
    <row r="28" spans="2:16" x14ac:dyDescent="0.25">
      <c r="B28" s="7"/>
      <c r="C28" s="59">
        <v>18</v>
      </c>
      <c r="D28" s="61">
        <v>13</v>
      </c>
      <c r="E28" s="59" t="s">
        <v>68</v>
      </c>
      <c r="F28" s="59" t="s">
        <v>130</v>
      </c>
      <c r="G28" s="62" t="s">
        <v>144</v>
      </c>
      <c r="H28" s="95">
        <v>404</v>
      </c>
      <c r="I28" s="108">
        <v>113.6</v>
      </c>
      <c r="J28" s="107">
        <v>113.5</v>
      </c>
      <c r="K28" s="55">
        <f t="shared" si="0"/>
        <v>227.1</v>
      </c>
      <c r="L28" s="73">
        <f t="shared" si="1"/>
        <v>0.56212871287128707</v>
      </c>
      <c r="M28" s="11"/>
    </row>
    <row r="29" spans="2:16" x14ac:dyDescent="0.25">
      <c r="B29" s="7"/>
      <c r="C29" s="19">
        <v>19</v>
      </c>
      <c r="D29" s="29">
        <v>18</v>
      </c>
      <c r="E29" s="19" t="s">
        <v>75</v>
      </c>
      <c r="F29" s="19" t="s">
        <v>62</v>
      </c>
      <c r="G29" s="20" t="s">
        <v>149</v>
      </c>
      <c r="H29" s="71">
        <v>416</v>
      </c>
      <c r="I29" s="108">
        <v>113.4</v>
      </c>
      <c r="J29" s="107">
        <v>115.1</v>
      </c>
      <c r="K29" s="55">
        <f t="shared" si="0"/>
        <v>228.5</v>
      </c>
      <c r="L29" s="73">
        <f t="shared" si="1"/>
        <v>0.54927884615384615</v>
      </c>
      <c r="M29" s="11"/>
    </row>
    <row r="30" spans="2:16" x14ac:dyDescent="0.25">
      <c r="B30" s="7"/>
      <c r="C30" s="59">
        <v>20</v>
      </c>
      <c r="D30" s="61">
        <v>22</v>
      </c>
      <c r="E30" s="59" t="s">
        <v>67</v>
      </c>
      <c r="F30" s="59" t="s">
        <v>62</v>
      </c>
      <c r="G30" s="62" t="s">
        <v>153</v>
      </c>
      <c r="H30" s="95">
        <v>307</v>
      </c>
      <c r="I30" s="108">
        <v>81.8</v>
      </c>
      <c r="J30" s="107">
        <v>82</v>
      </c>
      <c r="K30" s="55">
        <f t="shared" si="0"/>
        <v>163.80000000000001</v>
      </c>
      <c r="L30" s="73">
        <f t="shared" si="1"/>
        <v>0.53355048859934862</v>
      </c>
      <c r="M30" s="11"/>
    </row>
    <row r="31" spans="2:16" x14ac:dyDescent="0.25">
      <c r="B31" s="7"/>
      <c r="C31" s="59">
        <v>21</v>
      </c>
      <c r="D31" s="61">
        <v>10</v>
      </c>
      <c r="E31" s="59" t="s">
        <v>68</v>
      </c>
      <c r="F31" s="59" t="s">
        <v>62</v>
      </c>
      <c r="G31" s="62" t="s">
        <v>141</v>
      </c>
      <c r="H31" s="95">
        <v>310</v>
      </c>
      <c r="I31" s="108">
        <v>85.1</v>
      </c>
      <c r="J31" s="107">
        <v>85.5</v>
      </c>
      <c r="K31" s="55">
        <f t="shared" si="0"/>
        <v>170.6</v>
      </c>
      <c r="L31" s="73">
        <f t="shared" si="1"/>
        <v>0.55032258064516126</v>
      </c>
      <c r="M31" s="11"/>
    </row>
    <row r="32" spans="2:16" x14ac:dyDescent="0.25">
      <c r="B32" s="7"/>
      <c r="C32" s="19">
        <v>22</v>
      </c>
      <c r="D32" s="29">
        <v>1</v>
      </c>
      <c r="E32" s="19" t="s">
        <v>75</v>
      </c>
      <c r="F32" s="59" t="s">
        <v>130</v>
      </c>
      <c r="G32" s="62" t="s">
        <v>131</v>
      </c>
      <c r="H32" s="95">
        <v>407</v>
      </c>
      <c r="I32" s="108">
        <v>116.5</v>
      </c>
      <c r="J32" s="107">
        <v>116.4</v>
      </c>
      <c r="K32" s="55">
        <f t="shared" si="0"/>
        <v>232.9</v>
      </c>
      <c r="L32" s="73">
        <f t="shared" si="1"/>
        <v>0.57223587223587224</v>
      </c>
      <c r="M32" s="11"/>
    </row>
    <row r="33" spans="2:13" x14ac:dyDescent="0.25">
      <c r="B33" s="7"/>
      <c r="C33" s="59">
        <v>23</v>
      </c>
      <c r="D33" s="61">
        <v>9</v>
      </c>
      <c r="E33" s="59" t="s">
        <v>75</v>
      </c>
      <c r="F33" s="59" t="s">
        <v>62</v>
      </c>
      <c r="G33" s="62" t="s">
        <v>140</v>
      </c>
      <c r="H33" s="95">
        <v>370</v>
      </c>
      <c r="I33" s="108">
        <v>103.4</v>
      </c>
      <c r="J33" s="107">
        <v>103.4</v>
      </c>
      <c r="K33" s="55">
        <f t="shared" si="0"/>
        <v>206.8</v>
      </c>
      <c r="L33" s="73">
        <f t="shared" si="1"/>
        <v>0.55891891891891898</v>
      </c>
      <c r="M33" s="11"/>
    </row>
    <row r="34" spans="2:13" x14ac:dyDescent="0.25">
      <c r="B34" s="7"/>
      <c r="C34" s="19">
        <v>24</v>
      </c>
      <c r="D34" s="29">
        <v>16</v>
      </c>
      <c r="E34" s="19" t="s">
        <v>68</v>
      </c>
      <c r="F34" s="59" t="s">
        <v>62</v>
      </c>
      <c r="G34" s="62" t="s">
        <v>147</v>
      </c>
      <c r="H34" s="95">
        <v>291</v>
      </c>
      <c r="I34" s="108">
        <v>78.900000000000006</v>
      </c>
      <c r="J34" s="107">
        <v>78.7</v>
      </c>
      <c r="K34" s="55">
        <f t="shared" si="0"/>
        <v>157.60000000000002</v>
      </c>
      <c r="L34" s="73">
        <f t="shared" si="1"/>
        <v>0.54158075601374578</v>
      </c>
      <c r="M34" s="11"/>
    </row>
    <row r="35" spans="2:13" x14ac:dyDescent="0.25">
      <c r="B35" s="7"/>
      <c r="C35" s="59">
        <v>25</v>
      </c>
      <c r="D35" s="61">
        <v>25</v>
      </c>
      <c r="E35" s="59" t="s">
        <v>67</v>
      </c>
      <c r="F35" s="59" t="s">
        <v>62</v>
      </c>
      <c r="G35" s="62" t="s">
        <v>156</v>
      </c>
      <c r="H35" s="95">
        <v>343</v>
      </c>
      <c r="I35" s="108">
        <v>90.6</v>
      </c>
      <c r="J35" s="107">
        <v>91</v>
      </c>
      <c r="K35" s="55">
        <f t="shared" si="0"/>
        <v>181.6</v>
      </c>
      <c r="L35" s="73">
        <f t="shared" si="1"/>
        <v>0.52944606413994166</v>
      </c>
      <c r="M35" s="11"/>
    </row>
    <row r="36" spans="2:13" x14ac:dyDescent="0.25">
      <c r="B36" s="7"/>
      <c r="C36" s="59"/>
      <c r="D36" s="61"/>
      <c r="E36" s="59"/>
      <c r="F36" s="59"/>
      <c r="G36" s="62"/>
      <c r="H36" s="95"/>
      <c r="I36" s="19"/>
      <c r="J36" s="67"/>
      <c r="K36" s="55">
        <f t="shared" si="0"/>
        <v>0</v>
      </c>
      <c r="L36" s="73" t="e">
        <f t="shared" si="1"/>
        <v>#DIV/0!</v>
      </c>
      <c r="M36" s="11"/>
    </row>
    <row r="37" spans="2:13" x14ac:dyDescent="0.25">
      <c r="B37" s="7"/>
      <c r="C37" s="59"/>
      <c r="D37" s="61"/>
      <c r="E37" s="59"/>
      <c r="F37" s="59"/>
      <c r="G37" s="62"/>
      <c r="H37" s="95"/>
      <c r="I37" s="19"/>
      <c r="J37" s="67"/>
      <c r="K37" s="55">
        <f t="shared" si="0"/>
        <v>0</v>
      </c>
      <c r="L37" s="73" t="e">
        <f t="shared" si="1"/>
        <v>#DIV/0!</v>
      </c>
      <c r="M37" s="11"/>
    </row>
    <row r="38" spans="2:13" x14ac:dyDescent="0.25">
      <c r="B38" s="7"/>
      <c r="C38" s="59"/>
      <c r="D38" s="61"/>
      <c r="E38" s="59"/>
      <c r="F38" s="59"/>
      <c r="G38" s="62"/>
      <c r="H38" s="95"/>
      <c r="I38" s="19"/>
      <c r="J38" s="67"/>
      <c r="K38" s="55">
        <f t="shared" si="0"/>
        <v>0</v>
      </c>
      <c r="L38" s="73" t="e">
        <f t="shared" si="1"/>
        <v>#DIV/0!</v>
      </c>
      <c r="M38" s="11"/>
    </row>
    <row r="39" spans="2:13" x14ac:dyDescent="0.25">
      <c r="B39" s="7"/>
      <c r="C39" s="59"/>
      <c r="D39" s="61"/>
      <c r="E39" s="59"/>
      <c r="F39" s="59"/>
      <c r="G39" s="62"/>
      <c r="H39" s="95"/>
      <c r="I39" s="19"/>
      <c r="J39" s="67"/>
      <c r="K39" s="55">
        <f t="shared" si="0"/>
        <v>0</v>
      </c>
      <c r="L39" s="73" t="e">
        <f t="shared" si="1"/>
        <v>#DIV/0!</v>
      </c>
      <c r="M39" s="11"/>
    </row>
    <row r="40" spans="2:13" x14ac:dyDescent="0.25">
      <c r="B40" s="7"/>
      <c r="C40" s="19"/>
      <c r="D40" s="29"/>
      <c r="E40" s="19"/>
      <c r="F40" s="59"/>
      <c r="G40" s="62"/>
      <c r="H40" s="95"/>
      <c r="I40" s="19"/>
      <c r="J40" s="67"/>
      <c r="K40" s="55">
        <f t="shared" si="0"/>
        <v>0</v>
      </c>
      <c r="L40" s="73" t="e">
        <f t="shared" si="1"/>
        <v>#DIV/0!</v>
      </c>
      <c r="M40" s="11"/>
    </row>
    <row r="41" spans="2:13" x14ac:dyDescent="0.25">
      <c r="B41" s="7"/>
      <c r="C41" s="19"/>
      <c r="D41" s="29"/>
      <c r="E41" s="19"/>
      <c r="F41" s="59"/>
      <c r="G41" s="20"/>
      <c r="H41" s="71"/>
      <c r="I41" s="19"/>
      <c r="J41" s="67"/>
      <c r="K41" s="55">
        <f t="shared" si="0"/>
        <v>0</v>
      </c>
      <c r="L41" s="73" t="e">
        <f t="shared" si="1"/>
        <v>#DIV/0!</v>
      </c>
      <c r="M41" s="11"/>
    </row>
    <row r="42" spans="2:13" x14ac:dyDescent="0.25">
      <c r="B42" s="7"/>
      <c r="C42" s="19"/>
      <c r="D42" s="61"/>
      <c r="E42" s="59"/>
      <c r="F42" s="59"/>
      <c r="G42" s="20"/>
      <c r="H42" s="71"/>
      <c r="I42" s="19"/>
      <c r="J42" s="67"/>
      <c r="K42" s="55">
        <f t="shared" si="0"/>
        <v>0</v>
      </c>
      <c r="L42" s="73" t="e">
        <f t="shared" si="1"/>
        <v>#DIV/0!</v>
      </c>
      <c r="M42" s="11"/>
    </row>
    <row r="43" spans="2:13" x14ac:dyDescent="0.25">
      <c r="B43" s="7"/>
      <c r="C43" s="19"/>
      <c r="D43" s="61"/>
      <c r="E43" s="59"/>
      <c r="F43" s="59"/>
      <c r="G43" s="20"/>
      <c r="H43" s="71"/>
      <c r="I43" s="19"/>
      <c r="J43" s="67"/>
      <c r="K43" s="55">
        <f t="shared" si="0"/>
        <v>0</v>
      </c>
      <c r="L43" s="73" t="e">
        <f t="shared" si="1"/>
        <v>#DIV/0!</v>
      </c>
      <c r="M43" s="11"/>
    </row>
    <row r="44" spans="2:13" x14ac:dyDescent="0.25">
      <c r="B44" s="7"/>
      <c r="C44" s="19"/>
      <c r="D44" s="61"/>
      <c r="E44" s="59"/>
      <c r="F44" s="59"/>
      <c r="G44" s="20"/>
      <c r="H44" s="71"/>
      <c r="I44" s="19"/>
      <c r="J44" s="67"/>
      <c r="K44" s="55">
        <f t="shared" si="0"/>
        <v>0</v>
      </c>
      <c r="L44" s="73" t="e">
        <f t="shared" si="1"/>
        <v>#DIV/0!</v>
      </c>
      <c r="M44" s="11"/>
    </row>
    <row r="45" spans="2:13" x14ac:dyDescent="0.25">
      <c r="B45" s="7"/>
      <c r="C45" s="19"/>
      <c r="D45" s="61"/>
      <c r="E45" s="59"/>
      <c r="F45" s="59"/>
      <c r="G45" s="20"/>
      <c r="H45" s="71"/>
      <c r="I45" s="19"/>
      <c r="J45" s="67"/>
      <c r="K45" s="55">
        <f t="shared" si="0"/>
        <v>0</v>
      </c>
      <c r="L45" s="73" t="e">
        <f t="shared" si="1"/>
        <v>#DIV/0!</v>
      </c>
      <c r="M45" s="11"/>
    </row>
    <row r="46" spans="2:13" x14ac:dyDescent="0.25">
      <c r="B46" s="7"/>
      <c r="C46" s="19"/>
      <c r="D46" s="61"/>
      <c r="E46" s="59"/>
      <c r="F46" s="59"/>
      <c r="G46" s="20"/>
      <c r="H46" s="71"/>
      <c r="I46" s="19"/>
      <c r="J46" s="67"/>
      <c r="K46" s="55">
        <f t="shared" si="0"/>
        <v>0</v>
      </c>
      <c r="L46" s="73" t="e">
        <f t="shared" si="1"/>
        <v>#DIV/0!</v>
      </c>
      <c r="M46" s="11"/>
    </row>
    <row r="47" spans="2:13" x14ac:dyDescent="0.25">
      <c r="B47" s="7"/>
      <c r="C47" s="19"/>
      <c r="D47" s="29"/>
      <c r="E47" s="19"/>
      <c r="F47" s="59"/>
      <c r="G47" s="20"/>
      <c r="H47" s="71"/>
      <c r="I47" s="19"/>
      <c r="J47" s="67"/>
      <c r="K47" s="55">
        <f t="shared" si="0"/>
        <v>0</v>
      </c>
      <c r="L47" s="73" t="e">
        <f t="shared" si="1"/>
        <v>#DIV/0!</v>
      </c>
      <c r="M47" s="11"/>
    </row>
    <row r="48" spans="2:13" x14ac:dyDescent="0.25">
      <c r="B48" s="7"/>
      <c r="C48" s="19"/>
      <c r="D48" s="29"/>
      <c r="E48" s="19"/>
      <c r="F48" s="59"/>
      <c r="G48" s="20"/>
      <c r="H48" s="71"/>
      <c r="I48" s="19"/>
      <c r="J48" s="67"/>
      <c r="K48" s="55">
        <f t="shared" si="0"/>
        <v>0</v>
      </c>
      <c r="L48" s="73" t="e">
        <f t="shared" si="1"/>
        <v>#DIV/0!</v>
      </c>
      <c r="M48" s="11"/>
    </row>
    <row r="49" spans="2:13" x14ac:dyDescent="0.25">
      <c r="B49" s="7"/>
      <c r="C49" s="19"/>
      <c r="D49" s="85"/>
      <c r="E49" s="89"/>
      <c r="F49" s="86"/>
      <c r="G49" s="20"/>
      <c r="H49" s="71"/>
      <c r="I49" s="19"/>
      <c r="J49" s="67"/>
      <c r="K49" s="55">
        <f t="shared" si="0"/>
        <v>0</v>
      </c>
      <c r="L49" s="73" t="e">
        <f t="shared" si="1"/>
        <v>#DIV/0!</v>
      </c>
      <c r="M49" s="11"/>
    </row>
    <row r="50" spans="2:13" x14ac:dyDescent="0.25">
      <c r="B50" s="7"/>
      <c r="C50" s="19"/>
      <c r="D50" s="85"/>
      <c r="E50" s="89"/>
      <c r="F50" s="86"/>
      <c r="G50" s="20"/>
      <c r="H50" s="71"/>
      <c r="I50" s="19"/>
      <c r="J50" s="67"/>
      <c r="K50" s="55">
        <f t="shared" si="0"/>
        <v>0</v>
      </c>
      <c r="L50" s="73" t="e">
        <f t="shared" si="1"/>
        <v>#DIV/0!</v>
      </c>
      <c r="M50" s="11"/>
    </row>
    <row r="51" spans="2:13" x14ac:dyDescent="0.25">
      <c r="B51" s="7"/>
      <c r="C51" s="29"/>
      <c r="D51" s="85"/>
      <c r="E51" s="85"/>
      <c r="F51" s="87"/>
      <c r="G51" s="20"/>
      <c r="H51" s="71"/>
      <c r="I51" s="29"/>
      <c r="J51" s="79"/>
      <c r="K51" s="55">
        <f t="shared" si="0"/>
        <v>0</v>
      </c>
      <c r="L51" s="73" t="e">
        <f t="shared" si="1"/>
        <v>#DIV/0!</v>
      </c>
      <c r="M51" s="11"/>
    </row>
    <row r="52" spans="2:13" x14ac:dyDescent="0.25">
      <c r="B52" s="7"/>
      <c r="C52" s="19"/>
      <c r="D52" s="85"/>
      <c r="E52" s="89"/>
      <c r="F52" s="89"/>
      <c r="G52" s="88"/>
      <c r="H52" s="81"/>
      <c r="I52" s="54"/>
      <c r="J52" s="54"/>
      <c r="K52" s="55">
        <f t="shared" si="0"/>
        <v>0</v>
      </c>
      <c r="L52" s="73" t="e">
        <f t="shared" si="1"/>
        <v>#DIV/0!</v>
      </c>
      <c r="M52" s="11"/>
    </row>
    <row r="53" spans="2:13" x14ac:dyDescent="0.25">
      <c r="B53" s="7"/>
      <c r="C53" s="19"/>
      <c r="D53" s="90"/>
      <c r="E53" s="91"/>
      <c r="F53" s="91"/>
      <c r="G53" s="92"/>
      <c r="H53" s="96"/>
      <c r="I53" s="82"/>
      <c r="J53" s="37"/>
      <c r="K53" s="55">
        <f t="shared" si="0"/>
        <v>0</v>
      </c>
      <c r="L53" s="73" t="e">
        <f t="shared" si="1"/>
        <v>#DIV/0!</v>
      </c>
      <c r="M53" s="11"/>
    </row>
    <row r="54" spans="2:13" x14ac:dyDescent="0.25">
      <c r="B54" s="7"/>
      <c r="C54" s="19"/>
      <c r="D54" s="85"/>
      <c r="E54" s="89"/>
      <c r="F54" s="89"/>
      <c r="G54" s="20"/>
      <c r="H54" s="81"/>
      <c r="I54" s="54"/>
      <c r="J54" s="52"/>
      <c r="K54" s="55">
        <f t="shared" si="0"/>
        <v>0</v>
      </c>
      <c r="L54" s="73" t="e">
        <f t="shared" si="1"/>
        <v>#DIV/0!</v>
      </c>
      <c r="M54" s="11"/>
    </row>
    <row r="55" spans="2:13" ht="15.75" thickBot="1" x14ac:dyDescent="0.3">
      <c r="B55" s="7"/>
      <c r="C55" s="19"/>
      <c r="D55" s="85"/>
      <c r="E55" s="89"/>
      <c r="F55" s="89"/>
      <c r="G55" s="20"/>
      <c r="H55" s="71"/>
      <c r="I55" s="54"/>
      <c r="J55" s="52"/>
      <c r="K55" s="55">
        <f t="shared" si="0"/>
        <v>0</v>
      </c>
      <c r="L55" s="73" t="e">
        <f t="shared" si="1"/>
        <v>#DIV/0!</v>
      </c>
      <c r="M55" s="11"/>
    </row>
    <row r="56" spans="2:13" ht="15.75" thickBot="1" x14ac:dyDescent="0.3">
      <c r="B56" s="7"/>
      <c r="C56" s="105"/>
      <c r="D56" s="75">
        <f>+COUNT($D$11:$D$55)</f>
        <v>25</v>
      </c>
      <c r="E56" s="105"/>
      <c r="F56" s="105"/>
      <c r="G56" s="69"/>
      <c r="H56" s="56">
        <f>SUM($H$11:$H$55)</f>
        <v>8989</v>
      </c>
      <c r="I56" s="57">
        <f>SUM($I$11:$I$55)</f>
        <v>2509.6</v>
      </c>
      <c r="J56" s="70">
        <f>SUM($J$11:$J$55)</f>
        <v>2520.8000000000002</v>
      </c>
      <c r="K56" s="72">
        <f>SUM($K$11:$K$55)</f>
        <v>5030.4000000000005</v>
      </c>
      <c r="L56" s="74">
        <f t="shared" si="1"/>
        <v>0.55961731004561133</v>
      </c>
      <c r="M56" s="11"/>
    </row>
    <row r="57" spans="2:13" ht="15.75" thickBot="1" x14ac:dyDescent="0.3">
      <c r="B57" s="41"/>
      <c r="C57" s="42"/>
      <c r="D57" s="42"/>
      <c r="E57" s="42"/>
      <c r="F57" s="42"/>
      <c r="G57" s="43"/>
      <c r="H57" s="42"/>
      <c r="I57" s="43"/>
      <c r="J57" s="42"/>
      <c r="K57" s="42"/>
      <c r="L57" s="42"/>
      <c r="M57" s="44"/>
    </row>
    <row r="58" spans="2:13" ht="16.5" thickTop="1" thickBot="1" x14ac:dyDescent="0.3">
      <c r="B58" s="4"/>
      <c r="C58" s="4"/>
      <c r="D58" s="4"/>
      <c r="E58" s="4"/>
      <c r="F58" s="4"/>
      <c r="G58" s="5"/>
      <c r="H58" s="4"/>
      <c r="I58" s="5"/>
      <c r="J58" s="4"/>
      <c r="K58" s="4"/>
      <c r="L58" s="4"/>
      <c r="M58" s="4"/>
    </row>
    <row r="59" spans="2:13" ht="16.5" thickTop="1" thickBot="1" x14ac:dyDescent="0.3">
      <c r="B59" s="3"/>
      <c r="C59" s="4"/>
      <c r="D59" s="4"/>
      <c r="E59" s="4"/>
      <c r="F59" s="4"/>
      <c r="G59" s="5"/>
      <c r="H59" s="4"/>
      <c r="I59" s="5"/>
      <c r="J59" s="4"/>
      <c r="K59" s="4"/>
      <c r="L59" s="4"/>
      <c r="M59" s="6"/>
    </row>
    <row r="60" spans="2:13" ht="15.75" thickBot="1" x14ac:dyDescent="0.3">
      <c r="B60" s="7"/>
      <c r="F60" s="30" t="s">
        <v>12</v>
      </c>
      <c r="G60" s="31" t="s">
        <v>32</v>
      </c>
      <c r="H60" s="51" t="s">
        <v>30</v>
      </c>
      <c r="I60" s="75" t="s">
        <v>54</v>
      </c>
      <c r="J60" s="75" t="s">
        <v>53</v>
      </c>
      <c r="M60" s="11"/>
    </row>
    <row r="61" spans="2:13" x14ac:dyDescent="0.25">
      <c r="B61" s="7"/>
      <c r="F61" s="32" t="s">
        <v>59</v>
      </c>
      <c r="G61" s="97">
        <v>68.5</v>
      </c>
      <c r="H61" s="97">
        <v>65.92</v>
      </c>
      <c r="I61" s="76"/>
      <c r="J61" s="84"/>
      <c r="M61" s="11"/>
    </row>
    <row r="62" spans="2:13" x14ac:dyDescent="0.25">
      <c r="B62" s="7"/>
      <c r="F62" s="33" t="s">
        <v>15</v>
      </c>
      <c r="G62" s="76">
        <v>25</v>
      </c>
      <c r="H62" s="76">
        <v>37.200000000000003</v>
      </c>
      <c r="I62" s="76"/>
      <c r="J62" s="21"/>
      <c r="M62" s="11"/>
    </row>
    <row r="63" spans="2:13" x14ac:dyDescent="0.25">
      <c r="B63" s="7"/>
      <c r="F63" s="22" t="s">
        <v>13</v>
      </c>
      <c r="G63" s="76">
        <v>24</v>
      </c>
      <c r="H63" s="76">
        <v>116.88</v>
      </c>
      <c r="I63" s="76">
        <v>1</v>
      </c>
      <c r="J63" s="21">
        <v>5.9</v>
      </c>
      <c r="M63" s="11"/>
    </row>
    <row r="64" spans="2:13" x14ac:dyDescent="0.25">
      <c r="B64" s="7"/>
      <c r="F64" s="22" t="s">
        <v>16</v>
      </c>
      <c r="G64" s="76">
        <v>24</v>
      </c>
      <c r="H64" s="76">
        <v>25.34</v>
      </c>
      <c r="I64" s="76"/>
      <c r="J64" s="21"/>
      <c r="M64" s="11"/>
    </row>
    <row r="65" spans="2:13" x14ac:dyDescent="0.25">
      <c r="B65" s="7"/>
      <c r="F65" s="33" t="s">
        <v>60</v>
      </c>
      <c r="G65" s="76">
        <v>19.78</v>
      </c>
      <c r="H65" s="76">
        <v>18.7</v>
      </c>
      <c r="I65" s="76"/>
      <c r="J65" s="21"/>
      <c r="M65" s="11"/>
    </row>
    <row r="66" spans="2:13" x14ac:dyDescent="0.25">
      <c r="B66" s="7"/>
      <c r="F66" s="33" t="s">
        <v>14</v>
      </c>
      <c r="G66" s="76">
        <v>50</v>
      </c>
      <c r="H66" s="76">
        <v>22.46</v>
      </c>
      <c r="I66" s="76"/>
      <c r="J66" s="21"/>
      <c r="M66" s="11"/>
    </row>
    <row r="67" spans="2:13" x14ac:dyDescent="0.25">
      <c r="B67" s="7"/>
      <c r="F67" s="22" t="s">
        <v>20</v>
      </c>
      <c r="G67" s="76">
        <v>100</v>
      </c>
      <c r="H67" s="76">
        <v>10.199999999999999</v>
      </c>
      <c r="I67" s="76"/>
      <c r="J67" s="21"/>
      <c r="M67" s="11"/>
    </row>
    <row r="68" spans="2:13" x14ac:dyDescent="0.25">
      <c r="B68" s="7"/>
      <c r="F68" s="33" t="s">
        <v>17</v>
      </c>
      <c r="G68" s="76">
        <v>25</v>
      </c>
      <c r="H68" s="76">
        <v>18.48</v>
      </c>
      <c r="I68" s="76"/>
      <c r="J68" s="21"/>
      <c r="M68" s="11"/>
    </row>
    <row r="69" spans="2:13" x14ac:dyDescent="0.25">
      <c r="B69" s="7"/>
      <c r="F69" s="33" t="s">
        <v>61</v>
      </c>
      <c r="G69" s="76">
        <v>25</v>
      </c>
      <c r="H69" s="76">
        <v>18.66</v>
      </c>
      <c r="I69" s="76"/>
      <c r="J69" s="21"/>
      <c r="M69" s="11"/>
    </row>
    <row r="70" spans="2:13" x14ac:dyDescent="0.25">
      <c r="B70" s="7"/>
      <c r="F70" s="33" t="s">
        <v>48</v>
      </c>
      <c r="G70" s="76">
        <v>32.799999999999997</v>
      </c>
      <c r="H70" s="76">
        <v>31.4</v>
      </c>
      <c r="I70" s="76"/>
      <c r="J70" s="21"/>
      <c r="M70" s="11"/>
    </row>
    <row r="71" spans="2:13" x14ac:dyDescent="0.25">
      <c r="B71" s="7"/>
      <c r="F71" s="22" t="s">
        <v>19</v>
      </c>
      <c r="G71" s="76">
        <v>25</v>
      </c>
      <c r="H71" s="76">
        <v>20.66</v>
      </c>
      <c r="I71" s="76"/>
      <c r="J71" s="21"/>
      <c r="M71" s="11"/>
    </row>
    <row r="72" spans="2:13" x14ac:dyDescent="0.25">
      <c r="B72" s="7"/>
      <c r="F72" s="22" t="s">
        <v>18</v>
      </c>
      <c r="G72" s="76">
        <v>24</v>
      </c>
      <c r="H72" s="76">
        <v>7.94</v>
      </c>
      <c r="I72" s="76"/>
      <c r="J72" s="21"/>
      <c r="M72" s="11"/>
    </row>
    <row r="73" spans="2:13" ht="15.75" thickBot="1" x14ac:dyDescent="0.3">
      <c r="B73" s="7"/>
      <c r="F73" s="33" t="s">
        <v>49</v>
      </c>
      <c r="G73" s="76">
        <v>10.88</v>
      </c>
      <c r="H73" s="76">
        <v>10.14</v>
      </c>
      <c r="I73" s="76"/>
      <c r="J73" s="21"/>
      <c r="M73" s="11"/>
    </row>
    <row r="74" spans="2:13" ht="15.75" thickBot="1" x14ac:dyDescent="0.3">
      <c r="B74" s="7"/>
      <c r="F74" s="39" t="s">
        <v>21</v>
      </c>
      <c r="G74" s="23"/>
      <c r="H74" s="23">
        <f>SUM(H61:H73)</f>
        <v>403.98</v>
      </c>
      <c r="I74" s="80">
        <f>SUM(I61:I73)</f>
        <v>1</v>
      </c>
      <c r="J74" s="23">
        <f>SUM(J61:J73)</f>
        <v>5.9</v>
      </c>
      <c r="M74" s="11"/>
    </row>
    <row r="75" spans="2:13" ht="15.75" thickBot="1" x14ac:dyDescent="0.3">
      <c r="B75" s="41"/>
      <c r="C75" s="42"/>
      <c r="D75" s="42"/>
      <c r="E75" s="42"/>
      <c r="F75" s="42"/>
      <c r="G75" s="43"/>
      <c r="H75" s="42"/>
      <c r="I75" s="43"/>
      <c r="J75" s="42"/>
      <c r="K75" s="42"/>
      <c r="L75" s="42"/>
      <c r="M75" s="44"/>
    </row>
    <row r="76" spans="2:13" ht="16.5" thickTop="1" thickBot="1" x14ac:dyDescent="0.3">
      <c r="B76" s="7"/>
      <c r="F76" s="24"/>
      <c r="G76" s="25"/>
      <c r="H76" s="24"/>
      <c r="I76" s="25"/>
      <c r="M76" s="11"/>
    </row>
    <row r="77" spans="2:13" ht="15.75" thickBot="1" x14ac:dyDescent="0.3">
      <c r="B77" s="7"/>
      <c r="F77" s="34" t="s">
        <v>22</v>
      </c>
      <c r="G77" s="35" t="s">
        <v>33</v>
      </c>
      <c r="H77" s="36" t="s">
        <v>31</v>
      </c>
      <c r="M77" s="11"/>
    </row>
    <row r="78" spans="2:13" x14ac:dyDescent="0.25">
      <c r="B78" s="7"/>
      <c r="F78" s="33" t="s">
        <v>23</v>
      </c>
      <c r="G78" s="38"/>
      <c r="H78" s="21"/>
      <c r="M78" s="11"/>
    </row>
    <row r="79" spans="2:13" x14ac:dyDescent="0.25">
      <c r="B79" s="7"/>
      <c r="F79" s="33" t="s">
        <v>24</v>
      </c>
      <c r="G79" s="37">
        <f>+D56</f>
        <v>25</v>
      </c>
      <c r="H79" s="21"/>
      <c r="M79" s="11"/>
    </row>
    <row r="80" spans="2:13" x14ac:dyDescent="0.25">
      <c r="B80" s="7"/>
      <c r="F80" s="22" t="s">
        <v>34</v>
      </c>
      <c r="G80" s="38"/>
      <c r="H80" s="21"/>
      <c r="M80" s="11"/>
    </row>
    <row r="81" spans="2:13" x14ac:dyDescent="0.25">
      <c r="B81" s="7"/>
      <c r="F81" s="22" t="s">
        <v>35</v>
      </c>
      <c r="G81" s="38"/>
      <c r="H81" s="21"/>
      <c r="M81" s="11"/>
    </row>
    <row r="82" spans="2:13" ht="15.75" thickBot="1" x14ac:dyDescent="0.3">
      <c r="B82" s="7"/>
      <c r="F82" s="22" t="s">
        <v>29</v>
      </c>
      <c r="G82" s="37"/>
      <c r="H82" s="21"/>
      <c r="M82" s="11"/>
    </row>
    <row r="83" spans="2:13" ht="15.75" thickBot="1" x14ac:dyDescent="0.3">
      <c r="B83" s="7"/>
      <c r="F83" s="39" t="s">
        <v>21</v>
      </c>
      <c r="G83" s="40"/>
      <c r="H83" s="23">
        <f>SUM(H78:H82)</f>
        <v>0</v>
      </c>
      <c r="M83" s="11"/>
    </row>
    <row r="84" spans="2:13" ht="15.75" thickBot="1" x14ac:dyDescent="0.3">
      <c r="B84" s="41"/>
      <c r="C84" s="42"/>
      <c r="D84" s="42"/>
      <c r="E84" s="42"/>
      <c r="F84" s="42"/>
      <c r="G84" s="43"/>
      <c r="H84" s="42"/>
      <c r="I84" s="43"/>
      <c r="J84" s="42"/>
      <c r="K84" s="42"/>
      <c r="L84" s="42"/>
      <c r="M84" s="44"/>
    </row>
    <row r="85" spans="2:13" ht="15.75" thickTop="1" x14ac:dyDescent="0.25">
      <c r="H85" s="49"/>
    </row>
  </sheetData>
  <sortState ref="C11:L56">
    <sortCondition ref="C10"/>
  </sortState>
  <mergeCells count="2">
    <mergeCell ref="J7:L7"/>
    <mergeCell ref="J8:L8"/>
  </mergeCells>
  <conditionalFormatting sqref="L11:L55">
    <cfRule type="cellIs" dxfId="103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P85"/>
  <sheetViews>
    <sheetView topLeftCell="G55" zoomScaleNormal="100" workbookViewId="0">
      <selection activeCell="P19" sqref="P19"/>
    </sheetView>
  </sheetViews>
  <sheetFormatPr baseColWidth="10" defaultColWidth="12.42578125" defaultRowHeight="15" x14ac:dyDescent="0.25"/>
  <cols>
    <col min="1" max="1" width="4" style="1" customWidth="1"/>
    <col min="2" max="2" width="3.7109375" style="1" customWidth="1"/>
    <col min="3" max="3" width="8.5703125" style="1" bestFit="1" customWidth="1"/>
    <col min="4" max="4" width="9" style="1" customWidth="1"/>
    <col min="5" max="5" width="5.7109375" style="1" bestFit="1" customWidth="1"/>
    <col min="6" max="6" width="29.85546875" style="1" bestFit="1" customWidth="1"/>
    <col min="7" max="7" width="17.42578125" style="2" customWidth="1"/>
    <col min="8" max="8" width="12.7109375" style="1" customWidth="1"/>
    <col min="9" max="9" width="12.7109375" style="2" customWidth="1"/>
    <col min="10" max="11" width="12.7109375" style="1" customWidth="1"/>
    <col min="12" max="12" width="12.42578125" style="1"/>
    <col min="13" max="13" width="3.7109375" style="1" customWidth="1"/>
    <col min="14" max="14" width="12.42578125" style="1"/>
    <col min="15" max="15" width="2" style="1" bestFit="1" customWidth="1"/>
    <col min="16" max="16" width="17.140625" style="1" bestFit="1" customWidth="1"/>
    <col min="17" max="16384" width="12.42578125" style="1"/>
  </cols>
  <sheetData>
    <row r="1" spans="2:16" ht="15.75" thickBot="1" x14ac:dyDescent="0.3"/>
    <row r="2" spans="2:16" ht="16.5" thickTop="1" thickBot="1" x14ac:dyDescent="0.3">
      <c r="B2" s="3"/>
      <c r="C2" s="4"/>
      <c r="D2" s="4"/>
      <c r="E2" s="4"/>
      <c r="F2" s="4"/>
      <c r="G2" s="5"/>
      <c r="H2" s="4"/>
      <c r="I2" s="5"/>
      <c r="J2" s="4"/>
      <c r="K2" s="4"/>
      <c r="L2" s="4"/>
      <c r="M2" s="6"/>
    </row>
    <row r="3" spans="2:16" ht="21.75" thickBot="1" x14ac:dyDescent="0.3">
      <c r="B3" s="7"/>
      <c r="F3" s="8" t="s">
        <v>0</v>
      </c>
      <c r="G3" s="9">
        <f>+H56</f>
        <v>11530</v>
      </c>
      <c r="H3" s="10"/>
      <c r="I3" s="46" t="s">
        <v>28</v>
      </c>
      <c r="M3" s="11"/>
    </row>
    <row r="4" spans="2:16" ht="21.75" thickBot="1" x14ac:dyDescent="0.3">
      <c r="B4" s="7"/>
      <c r="F4" s="8" t="s">
        <v>1</v>
      </c>
      <c r="G4" s="9">
        <f>+K56</f>
        <v>6743.3</v>
      </c>
      <c r="H4" s="10"/>
      <c r="I4" s="47">
        <f>+L56</f>
        <v>0.58484822202948827</v>
      </c>
      <c r="M4" s="11"/>
    </row>
    <row r="5" spans="2:16" ht="21.75" thickBot="1" x14ac:dyDescent="0.3">
      <c r="B5" s="7"/>
      <c r="F5" s="8" t="s">
        <v>2</v>
      </c>
      <c r="G5" s="12">
        <v>46027</v>
      </c>
      <c r="H5" s="10"/>
      <c r="I5" s="58" t="s">
        <v>36</v>
      </c>
      <c r="M5" s="11"/>
    </row>
    <row r="6" spans="2:16" ht="21.75" thickBot="1" x14ac:dyDescent="0.3">
      <c r="B6" s="7"/>
      <c r="F6" s="8" t="s">
        <v>3</v>
      </c>
      <c r="G6" s="65">
        <v>5</v>
      </c>
      <c r="H6" s="10"/>
      <c r="I6" s="63">
        <f>+K56/G7</f>
        <v>224.77666666666667</v>
      </c>
      <c r="M6" s="11"/>
    </row>
    <row r="7" spans="2:16" ht="21.75" thickBot="1" x14ac:dyDescent="0.3">
      <c r="B7" s="7"/>
      <c r="F7" s="8" t="s">
        <v>4</v>
      </c>
      <c r="G7" s="48">
        <f>+D56</f>
        <v>30</v>
      </c>
      <c r="H7" s="10"/>
      <c r="I7" s="103" t="s">
        <v>38</v>
      </c>
      <c r="J7" s="340" t="s">
        <v>228</v>
      </c>
      <c r="K7" s="340"/>
      <c r="L7" s="341"/>
      <c r="M7" s="11"/>
    </row>
    <row r="8" spans="2:16" ht="21.75" thickBot="1" x14ac:dyDescent="0.3">
      <c r="B8" s="7"/>
      <c r="F8" s="101"/>
      <c r="G8" s="102"/>
      <c r="H8" s="10"/>
      <c r="I8" s="103" t="s">
        <v>88</v>
      </c>
      <c r="J8" s="338" t="s">
        <v>229</v>
      </c>
      <c r="K8" s="338"/>
      <c r="L8" s="339"/>
      <c r="M8" s="11"/>
    </row>
    <row r="9" spans="2:16" ht="15.75" thickBot="1" x14ac:dyDescent="0.3">
      <c r="B9" s="7"/>
      <c r="M9" s="11"/>
    </row>
    <row r="10" spans="2:16" s="18" customFormat="1" ht="45.75" thickBot="1" x14ac:dyDescent="0.3">
      <c r="B10" s="13"/>
      <c r="C10" s="27" t="s">
        <v>9</v>
      </c>
      <c r="D10" s="26" t="s">
        <v>5</v>
      </c>
      <c r="E10" s="99" t="s">
        <v>63</v>
      </c>
      <c r="F10" s="14" t="s">
        <v>6</v>
      </c>
      <c r="G10" s="16" t="s">
        <v>7</v>
      </c>
      <c r="H10" s="45" t="s">
        <v>26</v>
      </c>
      <c r="I10" s="15" t="s">
        <v>10</v>
      </c>
      <c r="J10" s="27" t="s">
        <v>11</v>
      </c>
      <c r="K10" s="45" t="s">
        <v>25</v>
      </c>
      <c r="L10" s="50" t="s">
        <v>27</v>
      </c>
      <c r="M10" s="17"/>
    </row>
    <row r="11" spans="2:16" x14ac:dyDescent="0.25">
      <c r="B11" s="7"/>
      <c r="C11" s="28">
        <v>66</v>
      </c>
      <c r="D11" s="28">
        <v>16</v>
      </c>
      <c r="E11" s="19" t="s">
        <v>75</v>
      </c>
      <c r="F11" s="59" t="s">
        <v>198</v>
      </c>
      <c r="G11" s="60" t="s">
        <v>214</v>
      </c>
      <c r="H11" s="94">
        <v>371</v>
      </c>
      <c r="I11" s="66">
        <v>110.5</v>
      </c>
      <c r="J11" s="67">
        <v>111.1</v>
      </c>
      <c r="K11" s="53">
        <f t="shared" ref="K11:K55" si="0">+I11+J11</f>
        <v>221.6</v>
      </c>
      <c r="L11" s="73">
        <f t="shared" ref="L11:L56" si="1">+K11/H11</f>
        <v>0.59730458221024252</v>
      </c>
      <c r="M11" s="11"/>
      <c r="N11" s="64" t="s">
        <v>42</v>
      </c>
      <c r="O11" s="1">
        <f>+COUNTIF($F$11:$F$55,"NOVILLITO (NT)")</f>
        <v>0</v>
      </c>
      <c r="P11" s="59" t="s">
        <v>8</v>
      </c>
    </row>
    <row r="12" spans="2:16" x14ac:dyDescent="0.25">
      <c r="B12" s="7"/>
      <c r="C12" s="29">
        <v>67</v>
      </c>
      <c r="D12" s="29">
        <v>3</v>
      </c>
      <c r="E12" s="19" t="s">
        <v>67</v>
      </c>
      <c r="F12" s="59" t="s">
        <v>198</v>
      </c>
      <c r="G12" s="62" t="s">
        <v>201</v>
      </c>
      <c r="H12" s="95">
        <v>411</v>
      </c>
      <c r="I12" s="19">
        <v>117.1</v>
      </c>
      <c r="J12" s="67">
        <v>118</v>
      </c>
      <c r="K12" s="55">
        <f t="shared" si="0"/>
        <v>235.1</v>
      </c>
      <c r="L12" s="73">
        <f t="shared" si="1"/>
        <v>0.5720194647201946</v>
      </c>
      <c r="M12" s="11"/>
      <c r="N12" s="64" t="s">
        <v>40</v>
      </c>
      <c r="O12" s="1">
        <f>+COUNTIF($F$11:$F$56,"VAQUILLONA (Vq)")</f>
        <v>0</v>
      </c>
      <c r="P12" s="59" t="s">
        <v>37</v>
      </c>
    </row>
    <row r="13" spans="2:16" x14ac:dyDescent="0.25">
      <c r="B13" s="7"/>
      <c r="C13" s="29">
        <v>68</v>
      </c>
      <c r="D13" s="29">
        <v>14</v>
      </c>
      <c r="E13" s="19" t="s">
        <v>75</v>
      </c>
      <c r="F13" s="59" t="s">
        <v>198</v>
      </c>
      <c r="G13" s="62" t="s">
        <v>212</v>
      </c>
      <c r="H13" s="95">
        <v>367</v>
      </c>
      <c r="I13" s="19">
        <v>108.7</v>
      </c>
      <c r="J13" s="68">
        <v>109.7</v>
      </c>
      <c r="K13" s="55">
        <f t="shared" si="0"/>
        <v>218.4</v>
      </c>
      <c r="L13" s="104">
        <f t="shared" si="1"/>
        <v>0.59509536784741146</v>
      </c>
      <c r="M13" s="11"/>
      <c r="N13" s="64" t="s">
        <v>44</v>
      </c>
      <c r="O13" s="1">
        <f>+COUNTIF($F$11:$F$56,"TORITO (MEJ)")</f>
        <v>0</v>
      </c>
      <c r="P13" s="59" t="s">
        <v>43</v>
      </c>
    </row>
    <row r="14" spans="2:16" x14ac:dyDescent="0.25">
      <c r="B14" s="7"/>
      <c r="C14" s="29">
        <v>69</v>
      </c>
      <c r="D14" s="29">
        <v>5</v>
      </c>
      <c r="E14" s="19" t="s">
        <v>75</v>
      </c>
      <c r="F14" s="59" t="s">
        <v>198</v>
      </c>
      <c r="G14" s="62" t="s">
        <v>203</v>
      </c>
      <c r="H14" s="95">
        <v>382</v>
      </c>
      <c r="I14" s="19">
        <v>117.6</v>
      </c>
      <c r="J14" s="67">
        <v>119.1</v>
      </c>
      <c r="K14" s="55">
        <f t="shared" si="0"/>
        <v>236.7</v>
      </c>
      <c r="L14" s="73">
        <f t="shared" si="1"/>
        <v>0.6196335078534031</v>
      </c>
      <c r="M14" s="11"/>
      <c r="N14" s="78" t="s">
        <v>45</v>
      </c>
      <c r="O14" s="1">
        <f>+COUNTIF($F$11:$F$56,"NOVILLO (No)")</f>
        <v>0</v>
      </c>
      <c r="P14" s="19" t="s">
        <v>39</v>
      </c>
    </row>
    <row r="15" spans="2:16" x14ac:dyDescent="0.25">
      <c r="B15" s="7"/>
      <c r="C15" s="61">
        <v>70</v>
      </c>
      <c r="D15" s="61">
        <v>9</v>
      </c>
      <c r="E15" s="59" t="s">
        <v>67</v>
      </c>
      <c r="F15" s="59" t="s">
        <v>81</v>
      </c>
      <c r="G15" s="62" t="s">
        <v>207</v>
      </c>
      <c r="H15" s="95">
        <v>390</v>
      </c>
      <c r="I15" s="19">
        <v>113.4</v>
      </c>
      <c r="J15" s="67">
        <v>116.1</v>
      </c>
      <c r="K15" s="55">
        <f t="shared" si="0"/>
        <v>229.5</v>
      </c>
      <c r="L15" s="73">
        <f t="shared" si="1"/>
        <v>0.58846153846153848</v>
      </c>
      <c r="M15" s="11"/>
      <c r="N15" s="78" t="s">
        <v>46</v>
      </c>
      <c r="O15" s="1">
        <f>+COUNTIF($F$11:$F$56,"VACA (Va)")</f>
        <v>0</v>
      </c>
      <c r="P15" s="83" t="s">
        <v>50</v>
      </c>
    </row>
    <row r="16" spans="2:16" x14ac:dyDescent="0.25">
      <c r="B16" s="7"/>
      <c r="C16" s="61">
        <v>71</v>
      </c>
      <c r="D16" s="61">
        <v>27</v>
      </c>
      <c r="E16" s="59" t="s">
        <v>68</v>
      </c>
      <c r="F16" s="59" t="s">
        <v>198</v>
      </c>
      <c r="G16" s="62" t="s">
        <v>224</v>
      </c>
      <c r="H16" s="95">
        <v>387</v>
      </c>
      <c r="I16" s="19">
        <v>117.6</v>
      </c>
      <c r="J16" s="67">
        <v>118.5</v>
      </c>
      <c r="K16" s="55">
        <f t="shared" si="0"/>
        <v>236.1</v>
      </c>
      <c r="L16" s="73">
        <f t="shared" si="1"/>
        <v>0.610077519379845</v>
      </c>
      <c r="M16" s="11"/>
      <c r="N16" s="64" t="s">
        <v>47</v>
      </c>
      <c r="O16" s="1">
        <f>+COUNTIF($F$11:$F$56,"TORO (To)")</f>
        <v>0</v>
      </c>
      <c r="P16" s="83" t="s">
        <v>51</v>
      </c>
    </row>
    <row r="17" spans="2:16" x14ac:dyDescent="0.25">
      <c r="B17" s="7"/>
      <c r="C17" s="29">
        <v>72</v>
      </c>
      <c r="D17" s="29">
        <v>18</v>
      </c>
      <c r="E17" s="19" t="s">
        <v>67</v>
      </c>
      <c r="F17" s="19" t="s">
        <v>81</v>
      </c>
      <c r="G17" s="20" t="s">
        <v>216</v>
      </c>
      <c r="H17" s="71">
        <v>397</v>
      </c>
      <c r="I17" s="19">
        <v>112.9</v>
      </c>
      <c r="J17" s="67">
        <v>114.7</v>
      </c>
      <c r="K17" s="55">
        <f t="shared" si="0"/>
        <v>227.60000000000002</v>
      </c>
      <c r="L17" s="73">
        <f t="shared" si="1"/>
        <v>0.57329974811083129</v>
      </c>
      <c r="M17" s="11"/>
      <c r="N17" s="77"/>
      <c r="O17" s="1">
        <f>SUM(O11:O16)</f>
        <v>0</v>
      </c>
    </row>
    <row r="18" spans="2:16" x14ac:dyDescent="0.25">
      <c r="B18" s="7"/>
      <c r="C18" s="61">
        <v>73</v>
      </c>
      <c r="D18" s="61">
        <v>13</v>
      </c>
      <c r="E18" s="59" t="s">
        <v>68</v>
      </c>
      <c r="F18" s="59" t="s">
        <v>198</v>
      </c>
      <c r="G18" s="62" t="s">
        <v>211</v>
      </c>
      <c r="H18" s="95">
        <v>402</v>
      </c>
      <c r="I18" s="19">
        <v>123.3</v>
      </c>
      <c r="J18" s="67">
        <v>124.3</v>
      </c>
      <c r="K18" s="55">
        <f t="shared" si="0"/>
        <v>247.6</v>
      </c>
      <c r="L18" s="73">
        <f t="shared" si="1"/>
        <v>0.61592039800995024</v>
      </c>
      <c r="M18" s="11"/>
    </row>
    <row r="19" spans="2:16" x14ac:dyDescent="0.25">
      <c r="B19" s="7"/>
      <c r="C19" s="29">
        <v>74</v>
      </c>
      <c r="D19" s="29">
        <v>17</v>
      </c>
      <c r="E19" s="19" t="s">
        <v>67</v>
      </c>
      <c r="F19" s="59" t="s">
        <v>81</v>
      </c>
      <c r="G19" s="62" t="s">
        <v>215</v>
      </c>
      <c r="H19" s="95">
        <v>375</v>
      </c>
      <c r="I19" s="19">
        <v>107.9</v>
      </c>
      <c r="J19" s="67">
        <v>106.8</v>
      </c>
      <c r="K19" s="55">
        <f t="shared" si="0"/>
        <v>214.7</v>
      </c>
      <c r="L19" s="73">
        <f t="shared" si="1"/>
        <v>0.57253333333333334</v>
      </c>
      <c r="M19" s="11"/>
      <c r="P19" s="100" t="s">
        <v>63</v>
      </c>
    </row>
    <row r="20" spans="2:16" x14ac:dyDescent="0.25">
      <c r="B20" s="7"/>
      <c r="C20" s="61">
        <v>75</v>
      </c>
      <c r="D20" s="61">
        <v>10</v>
      </c>
      <c r="E20" s="59" t="s">
        <v>68</v>
      </c>
      <c r="F20" s="59" t="s">
        <v>81</v>
      </c>
      <c r="G20" s="62" t="s">
        <v>208</v>
      </c>
      <c r="H20" s="95">
        <v>352</v>
      </c>
      <c r="I20" s="19">
        <v>99</v>
      </c>
      <c r="J20" s="67">
        <v>99.8</v>
      </c>
      <c r="K20" s="55">
        <f t="shared" si="0"/>
        <v>198.8</v>
      </c>
      <c r="L20" s="73">
        <f t="shared" si="1"/>
        <v>0.56477272727272732</v>
      </c>
      <c r="M20" s="11"/>
      <c r="N20" s="64" t="s">
        <v>67</v>
      </c>
      <c r="P20" s="1" t="s">
        <v>64</v>
      </c>
    </row>
    <row r="21" spans="2:16" x14ac:dyDescent="0.25">
      <c r="B21" s="7"/>
      <c r="C21" s="59">
        <v>76</v>
      </c>
      <c r="D21" s="61">
        <v>25</v>
      </c>
      <c r="E21" s="59" t="s">
        <v>67</v>
      </c>
      <c r="F21" s="59" t="s">
        <v>198</v>
      </c>
      <c r="G21" s="62" t="s">
        <v>222</v>
      </c>
      <c r="H21" s="95">
        <v>407</v>
      </c>
      <c r="I21" s="19">
        <v>111.7</v>
      </c>
      <c r="J21" s="67">
        <v>115.8</v>
      </c>
      <c r="K21" s="55">
        <f t="shared" si="0"/>
        <v>227.5</v>
      </c>
      <c r="L21" s="73">
        <f t="shared" si="1"/>
        <v>0.55896805896805901</v>
      </c>
      <c r="M21" s="11"/>
      <c r="N21" s="64" t="s">
        <v>68</v>
      </c>
      <c r="P21" t="s">
        <v>65</v>
      </c>
    </row>
    <row r="22" spans="2:16" x14ac:dyDescent="0.25">
      <c r="B22" s="7"/>
      <c r="C22" s="59">
        <v>77</v>
      </c>
      <c r="D22" s="61">
        <v>24</v>
      </c>
      <c r="E22" s="59" t="s">
        <v>67</v>
      </c>
      <c r="F22" s="59" t="s">
        <v>198</v>
      </c>
      <c r="G22" s="62" t="s">
        <v>221</v>
      </c>
      <c r="H22" s="95">
        <v>396</v>
      </c>
      <c r="I22" s="19">
        <v>118</v>
      </c>
      <c r="J22" s="67">
        <v>119.4</v>
      </c>
      <c r="K22" s="55">
        <f t="shared" si="0"/>
        <v>237.4</v>
      </c>
      <c r="L22" s="73">
        <f t="shared" si="1"/>
        <v>0.59949494949494953</v>
      </c>
      <c r="M22" s="11"/>
      <c r="N22" s="64" t="s">
        <v>75</v>
      </c>
      <c r="P22" t="s">
        <v>74</v>
      </c>
    </row>
    <row r="23" spans="2:16" x14ac:dyDescent="0.25">
      <c r="B23" s="7"/>
      <c r="C23" s="19">
        <v>78</v>
      </c>
      <c r="D23" s="29">
        <v>20</v>
      </c>
      <c r="E23" s="19" t="s">
        <v>68</v>
      </c>
      <c r="F23" s="59" t="s">
        <v>198</v>
      </c>
      <c r="G23" s="62" t="s">
        <v>41</v>
      </c>
      <c r="H23" s="95">
        <v>359</v>
      </c>
      <c r="I23" s="19">
        <v>104.3</v>
      </c>
      <c r="J23" s="67">
        <v>104.8</v>
      </c>
      <c r="K23" s="55">
        <f t="shared" si="0"/>
        <v>209.1</v>
      </c>
      <c r="L23" s="73">
        <f t="shared" si="1"/>
        <v>0.58245125348189408</v>
      </c>
      <c r="M23" s="11"/>
      <c r="N23" s="64" t="s">
        <v>69</v>
      </c>
      <c r="P23" t="s">
        <v>66</v>
      </c>
    </row>
    <row r="24" spans="2:16" x14ac:dyDescent="0.25">
      <c r="B24" s="7"/>
      <c r="C24" s="19">
        <v>79</v>
      </c>
      <c r="D24" s="29">
        <v>19</v>
      </c>
      <c r="E24" s="19" t="s">
        <v>75</v>
      </c>
      <c r="F24" s="59" t="s">
        <v>198</v>
      </c>
      <c r="G24" s="62" t="s">
        <v>217</v>
      </c>
      <c r="H24" s="95">
        <v>386</v>
      </c>
      <c r="I24" s="19">
        <v>119.3</v>
      </c>
      <c r="J24" s="67">
        <v>119.7</v>
      </c>
      <c r="K24" s="55">
        <f t="shared" si="0"/>
        <v>239</v>
      </c>
      <c r="L24" s="73">
        <f t="shared" si="1"/>
        <v>0.61917098445595853</v>
      </c>
      <c r="M24" s="11"/>
      <c r="N24" s="64" t="s">
        <v>70</v>
      </c>
      <c r="P24" t="s">
        <v>71</v>
      </c>
    </row>
    <row r="25" spans="2:16" x14ac:dyDescent="0.25">
      <c r="B25" s="7"/>
      <c r="C25" s="19">
        <v>80</v>
      </c>
      <c r="D25" s="29">
        <v>1</v>
      </c>
      <c r="E25" s="19" t="s">
        <v>68</v>
      </c>
      <c r="F25" s="59" t="s">
        <v>198</v>
      </c>
      <c r="G25" s="62" t="s">
        <v>199</v>
      </c>
      <c r="H25" s="95">
        <v>396</v>
      </c>
      <c r="I25" s="19">
        <v>113.3</v>
      </c>
      <c r="J25" s="67">
        <v>116.3</v>
      </c>
      <c r="K25" s="55">
        <f t="shared" si="0"/>
        <v>229.6</v>
      </c>
      <c r="L25" s="73">
        <f t="shared" si="1"/>
        <v>0.57979797979797976</v>
      </c>
      <c r="M25" s="11"/>
      <c r="N25" s="64" t="s">
        <v>73</v>
      </c>
      <c r="P25" t="s">
        <v>72</v>
      </c>
    </row>
    <row r="26" spans="2:16" x14ac:dyDescent="0.25">
      <c r="B26" s="7"/>
      <c r="C26" s="19">
        <v>81</v>
      </c>
      <c r="D26" s="29">
        <v>12</v>
      </c>
      <c r="E26" s="19" t="s">
        <v>75</v>
      </c>
      <c r="F26" s="59" t="s">
        <v>198</v>
      </c>
      <c r="G26" s="62" t="s">
        <v>210</v>
      </c>
      <c r="H26" s="95">
        <v>384</v>
      </c>
      <c r="I26" s="19">
        <v>110.3</v>
      </c>
      <c r="J26" s="67">
        <v>111</v>
      </c>
      <c r="K26" s="55">
        <f t="shared" si="0"/>
        <v>221.3</v>
      </c>
      <c r="L26" s="73">
        <f t="shared" si="1"/>
        <v>0.57630208333333333</v>
      </c>
      <c r="M26" s="11"/>
      <c r="N26" s="64" t="s">
        <v>78</v>
      </c>
      <c r="P26" t="s">
        <v>76</v>
      </c>
    </row>
    <row r="27" spans="2:16" x14ac:dyDescent="0.25">
      <c r="B27" s="7"/>
      <c r="C27" s="19">
        <v>82</v>
      </c>
      <c r="D27" s="29">
        <v>7</v>
      </c>
      <c r="E27" s="19" t="s">
        <v>67</v>
      </c>
      <c r="F27" s="59" t="s">
        <v>198</v>
      </c>
      <c r="G27" s="62" t="s">
        <v>205</v>
      </c>
      <c r="H27" s="95">
        <v>373</v>
      </c>
      <c r="I27" s="19">
        <v>113.2</v>
      </c>
      <c r="J27" s="67">
        <v>117.8</v>
      </c>
      <c r="K27" s="55">
        <f t="shared" si="0"/>
        <v>231</v>
      </c>
      <c r="L27" s="73">
        <f t="shared" si="1"/>
        <v>0.61930294906166217</v>
      </c>
      <c r="M27" s="11"/>
    </row>
    <row r="28" spans="2:16" x14ac:dyDescent="0.25">
      <c r="B28" s="7"/>
      <c r="C28" s="19">
        <v>83</v>
      </c>
      <c r="D28" s="29">
        <v>15</v>
      </c>
      <c r="E28" s="19" t="s">
        <v>67</v>
      </c>
      <c r="F28" s="59" t="s">
        <v>198</v>
      </c>
      <c r="G28" s="62" t="s">
        <v>213</v>
      </c>
      <c r="H28" s="95">
        <v>405</v>
      </c>
      <c r="I28" s="19">
        <v>121.1</v>
      </c>
      <c r="J28" s="67">
        <v>121.6</v>
      </c>
      <c r="K28" s="55">
        <f t="shared" si="0"/>
        <v>242.7</v>
      </c>
      <c r="L28" s="73">
        <f t="shared" si="1"/>
        <v>0.59925925925925927</v>
      </c>
      <c r="M28" s="11"/>
    </row>
    <row r="29" spans="2:16" x14ac:dyDescent="0.25">
      <c r="B29" s="7"/>
      <c r="C29" s="19">
        <v>84</v>
      </c>
      <c r="D29" s="29">
        <v>23</v>
      </c>
      <c r="E29" s="19" t="s">
        <v>75</v>
      </c>
      <c r="F29" s="59" t="s">
        <v>81</v>
      </c>
      <c r="G29" s="62" t="s">
        <v>220</v>
      </c>
      <c r="H29" s="95">
        <v>376</v>
      </c>
      <c r="I29" s="19">
        <v>112</v>
      </c>
      <c r="J29" s="67">
        <v>111.8</v>
      </c>
      <c r="K29" s="55">
        <f t="shared" si="0"/>
        <v>223.8</v>
      </c>
      <c r="L29" s="73">
        <f t="shared" si="1"/>
        <v>0.59521276595744688</v>
      </c>
      <c r="M29" s="11"/>
    </row>
    <row r="30" spans="2:16" x14ac:dyDescent="0.25">
      <c r="B30" s="7"/>
      <c r="C30" s="19">
        <v>85</v>
      </c>
      <c r="D30" s="29">
        <v>6</v>
      </c>
      <c r="E30" s="19" t="s">
        <v>75</v>
      </c>
      <c r="F30" s="59" t="s">
        <v>198</v>
      </c>
      <c r="G30" s="62" t="s">
        <v>204</v>
      </c>
      <c r="H30" s="95">
        <v>394</v>
      </c>
      <c r="I30" s="19">
        <v>101.5</v>
      </c>
      <c r="J30" s="67">
        <v>101.6</v>
      </c>
      <c r="K30" s="55">
        <f t="shared" si="0"/>
        <v>203.1</v>
      </c>
      <c r="L30" s="73">
        <f t="shared" si="1"/>
        <v>0.51548223350253808</v>
      </c>
      <c r="M30" s="11"/>
    </row>
    <row r="31" spans="2:16" x14ac:dyDescent="0.25">
      <c r="B31" s="7"/>
      <c r="C31" s="59">
        <v>86</v>
      </c>
      <c r="D31" s="61">
        <v>22</v>
      </c>
      <c r="E31" s="59" t="s">
        <v>67</v>
      </c>
      <c r="F31" s="59" t="s">
        <v>198</v>
      </c>
      <c r="G31" s="62" t="s">
        <v>219</v>
      </c>
      <c r="H31" s="95">
        <v>367</v>
      </c>
      <c r="I31" s="19">
        <v>104.7</v>
      </c>
      <c r="J31" s="67">
        <v>105.5</v>
      </c>
      <c r="K31" s="55">
        <f t="shared" si="0"/>
        <v>210.2</v>
      </c>
      <c r="L31" s="73">
        <f t="shared" si="1"/>
        <v>0.57275204359673026</v>
      </c>
      <c r="M31" s="11"/>
    </row>
    <row r="32" spans="2:16" x14ac:dyDescent="0.25">
      <c r="B32" s="7"/>
      <c r="C32" s="19">
        <v>87</v>
      </c>
      <c r="D32" s="29">
        <v>21</v>
      </c>
      <c r="E32" s="19" t="s">
        <v>75</v>
      </c>
      <c r="F32" s="59" t="s">
        <v>198</v>
      </c>
      <c r="G32" s="62" t="s">
        <v>218</v>
      </c>
      <c r="H32" s="95">
        <v>405</v>
      </c>
      <c r="I32" s="19">
        <v>122.1</v>
      </c>
      <c r="J32" s="67">
        <v>124</v>
      </c>
      <c r="K32" s="55">
        <f t="shared" si="0"/>
        <v>246.1</v>
      </c>
      <c r="L32" s="73">
        <f t="shared" si="1"/>
        <v>0.60765432098765426</v>
      </c>
      <c r="M32" s="11"/>
    </row>
    <row r="33" spans="2:13" x14ac:dyDescent="0.25">
      <c r="B33" s="7"/>
      <c r="C33" s="59">
        <v>88</v>
      </c>
      <c r="D33" s="61">
        <v>29</v>
      </c>
      <c r="E33" s="59" t="s">
        <v>67</v>
      </c>
      <c r="F33" s="59" t="s">
        <v>198</v>
      </c>
      <c r="G33" s="62" t="s">
        <v>226</v>
      </c>
      <c r="H33" s="95">
        <v>393</v>
      </c>
      <c r="I33" s="19">
        <v>113.3</v>
      </c>
      <c r="J33" s="67">
        <v>114.6</v>
      </c>
      <c r="K33" s="55">
        <f t="shared" si="0"/>
        <v>227.89999999999998</v>
      </c>
      <c r="L33" s="73">
        <f t="shared" si="1"/>
        <v>0.57989821882951653</v>
      </c>
      <c r="M33" s="11"/>
    </row>
    <row r="34" spans="2:13" x14ac:dyDescent="0.25">
      <c r="B34" s="7"/>
      <c r="C34" s="19">
        <v>89</v>
      </c>
      <c r="D34" s="29">
        <v>4</v>
      </c>
      <c r="E34" s="19" t="s">
        <v>75</v>
      </c>
      <c r="F34" s="59" t="s">
        <v>198</v>
      </c>
      <c r="G34" s="62" t="s">
        <v>202</v>
      </c>
      <c r="H34" s="110">
        <v>344</v>
      </c>
      <c r="I34" s="19">
        <v>89</v>
      </c>
      <c r="J34" s="67">
        <v>90.3</v>
      </c>
      <c r="K34" s="55">
        <f t="shared" si="0"/>
        <v>179.3</v>
      </c>
      <c r="L34" s="104">
        <f t="shared" si="1"/>
        <v>0.52122093023255822</v>
      </c>
      <c r="M34" s="11"/>
    </row>
    <row r="35" spans="2:13" x14ac:dyDescent="0.25">
      <c r="B35" s="7"/>
      <c r="C35" s="19">
        <v>90</v>
      </c>
      <c r="D35" s="29">
        <v>8</v>
      </c>
      <c r="E35" s="19" t="s">
        <v>68</v>
      </c>
      <c r="F35" s="59" t="s">
        <v>198</v>
      </c>
      <c r="G35" s="62" t="s">
        <v>206</v>
      </c>
      <c r="H35" s="95">
        <v>426</v>
      </c>
      <c r="I35" s="19">
        <v>120</v>
      </c>
      <c r="J35" s="67">
        <v>122.8</v>
      </c>
      <c r="K35" s="55">
        <f t="shared" si="0"/>
        <v>242.8</v>
      </c>
      <c r="L35" s="73">
        <f t="shared" si="1"/>
        <v>0.56995305164319254</v>
      </c>
      <c r="M35" s="11"/>
    </row>
    <row r="36" spans="2:13" x14ac:dyDescent="0.25">
      <c r="B36" s="7"/>
      <c r="C36" s="59">
        <v>91</v>
      </c>
      <c r="D36" s="61">
        <v>26</v>
      </c>
      <c r="E36" s="59" t="s">
        <v>67</v>
      </c>
      <c r="F36" s="59" t="s">
        <v>198</v>
      </c>
      <c r="G36" s="62" t="s">
        <v>223</v>
      </c>
      <c r="H36" s="95">
        <v>395</v>
      </c>
      <c r="I36" s="19">
        <v>107.7</v>
      </c>
      <c r="J36" s="67">
        <v>109.3</v>
      </c>
      <c r="K36" s="55">
        <f t="shared" si="0"/>
        <v>217</v>
      </c>
      <c r="L36" s="73">
        <f t="shared" si="1"/>
        <v>0.54936708860759498</v>
      </c>
      <c r="M36" s="11"/>
    </row>
    <row r="37" spans="2:13" x14ac:dyDescent="0.25">
      <c r="B37" s="7"/>
      <c r="C37" s="19">
        <v>92</v>
      </c>
      <c r="D37" s="29">
        <v>11</v>
      </c>
      <c r="E37" s="19" t="s">
        <v>68</v>
      </c>
      <c r="F37" s="59" t="s">
        <v>198</v>
      </c>
      <c r="G37" s="62" t="s">
        <v>209</v>
      </c>
      <c r="H37" s="95">
        <v>398</v>
      </c>
      <c r="I37" s="19">
        <v>114.7</v>
      </c>
      <c r="J37" s="67">
        <v>116.5</v>
      </c>
      <c r="K37" s="55">
        <f t="shared" si="0"/>
        <v>231.2</v>
      </c>
      <c r="L37" s="73">
        <f t="shared" si="1"/>
        <v>0.58090452261306524</v>
      </c>
      <c r="M37" s="11"/>
    </row>
    <row r="38" spans="2:13" x14ac:dyDescent="0.25">
      <c r="B38" s="7"/>
      <c r="C38" s="19">
        <v>93</v>
      </c>
      <c r="D38" s="29">
        <v>2</v>
      </c>
      <c r="E38" s="19" t="s">
        <v>75</v>
      </c>
      <c r="F38" s="59" t="s">
        <v>198</v>
      </c>
      <c r="G38" s="62" t="s">
        <v>200</v>
      </c>
      <c r="H38" s="95">
        <v>393</v>
      </c>
      <c r="I38" s="19">
        <v>120.4</v>
      </c>
      <c r="J38" s="67">
        <v>123.3</v>
      </c>
      <c r="K38" s="55">
        <f t="shared" si="0"/>
        <v>243.7</v>
      </c>
      <c r="L38" s="73">
        <f t="shared" si="1"/>
        <v>0.62010178117048342</v>
      </c>
      <c r="M38" s="11"/>
    </row>
    <row r="39" spans="2:13" x14ac:dyDescent="0.25">
      <c r="B39" s="7"/>
      <c r="C39" s="59">
        <v>94</v>
      </c>
      <c r="D39" s="61">
        <v>28</v>
      </c>
      <c r="E39" s="59" t="s">
        <v>68</v>
      </c>
      <c r="F39" s="59" t="s">
        <v>198</v>
      </c>
      <c r="G39" s="62" t="s">
        <v>225</v>
      </c>
      <c r="H39" s="95">
        <v>406</v>
      </c>
      <c r="I39" s="19">
        <v>120.9</v>
      </c>
      <c r="J39" s="67">
        <v>123.5</v>
      </c>
      <c r="K39" s="55">
        <f t="shared" si="0"/>
        <v>244.4</v>
      </c>
      <c r="L39" s="73">
        <f t="shared" si="1"/>
        <v>0.60197044334975369</v>
      </c>
      <c r="M39" s="11"/>
    </row>
    <row r="40" spans="2:13" x14ac:dyDescent="0.25">
      <c r="B40" s="7"/>
      <c r="C40" s="19">
        <v>95</v>
      </c>
      <c r="D40" s="29">
        <v>30</v>
      </c>
      <c r="E40" s="19" t="s">
        <v>68</v>
      </c>
      <c r="F40" s="59" t="s">
        <v>198</v>
      </c>
      <c r="G40" s="62" t="s">
        <v>227</v>
      </c>
      <c r="H40" s="95">
        <v>293</v>
      </c>
      <c r="I40" s="19">
        <v>84.1</v>
      </c>
      <c r="J40" s="67">
        <v>86</v>
      </c>
      <c r="K40" s="55">
        <f t="shared" si="0"/>
        <v>170.1</v>
      </c>
      <c r="L40" s="73">
        <f t="shared" si="1"/>
        <v>0.58054607508532419</v>
      </c>
      <c r="M40" s="11"/>
    </row>
    <row r="41" spans="2:13" x14ac:dyDescent="0.25">
      <c r="B41" s="7"/>
      <c r="C41" s="19"/>
      <c r="D41" s="29"/>
      <c r="E41" s="19"/>
      <c r="F41" s="59"/>
      <c r="G41" s="20"/>
      <c r="H41" s="71"/>
      <c r="I41" s="19"/>
      <c r="J41" s="67"/>
      <c r="K41" s="55">
        <f t="shared" si="0"/>
        <v>0</v>
      </c>
      <c r="L41" s="73" t="e">
        <f t="shared" si="1"/>
        <v>#DIV/0!</v>
      </c>
      <c r="M41" s="11"/>
    </row>
    <row r="42" spans="2:13" x14ac:dyDescent="0.25">
      <c r="B42" s="7"/>
      <c r="C42" s="19"/>
      <c r="D42" s="61"/>
      <c r="E42" s="59"/>
      <c r="F42" s="59"/>
      <c r="G42" s="20"/>
      <c r="H42" s="71"/>
      <c r="I42" s="19"/>
      <c r="J42" s="67"/>
      <c r="K42" s="55">
        <f t="shared" si="0"/>
        <v>0</v>
      </c>
      <c r="L42" s="73" t="e">
        <f t="shared" si="1"/>
        <v>#DIV/0!</v>
      </c>
      <c r="M42" s="11"/>
    </row>
    <row r="43" spans="2:13" x14ac:dyDescent="0.25">
      <c r="B43" s="7"/>
      <c r="C43" s="19"/>
      <c r="D43" s="61"/>
      <c r="E43" s="59"/>
      <c r="F43" s="59"/>
      <c r="G43" s="20"/>
      <c r="H43" s="71"/>
      <c r="I43" s="19"/>
      <c r="J43" s="67"/>
      <c r="K43" s="55">
        <f t="shared" si="0"/>
        <v>0</v>
      </c>
      <c r="L43" s="73" t="e">
        <f t="shared" si="1"/>
        <v>#DIV/0!</v>
      </c>
      <c r="M43" s="11"/>
    </row>
    <row r="44" spans="2:13" x14ac:dyDescent="0.25">
      <c r="B44" s="7"/>
      <c r="C44" s="19"/>
      <c r="D44" s="61"/>
      <c r="E44" s="59"/>
      <c r="F44" s="59"/>
      <c r="G44" s="20"/>
      <c r="H44" s="71"/>
      <c r="I44" s="19"/>
      <c r="J44" s="67"/>
      <c r="K44" s="55">
        <f t="shared" si="0"/>
        <v>0</v>
      </c>
      <c r="L44" s="73" t="e">
        <f t="shared" si="1"/>
        <v>#DIV/0!</v>
      </c>
      <c r="M44" s="11"/>
    </row>
    <row r="45" spans="2:13" x14ac:dyDescent="0.25">
      <c r="B45" s="7"/>
      <c r="C45" s="19"/>
      <c r="D45" s="61"/>
      <c r="E45" s="59"/>
      <c r="F45" s="59"/>
      <c r="G45" s="20"/>
      <c r="H45" s="71"/>
      <c r="I45" s="19"/>
      <c r="J45" s="67"/>
      <c r="K45" s="55">
        <f t="shared" si="0"/>
        <v>0</v>
      </c>
      <c r="L45" s="73" t="e">
        <f t="shared" si="1"/>
        <v>#DIV/0!</v>
      </c>
      <c r="M45" s="11"/>
    </row>
    <row r="46" spans="2:13" x14ac:dyDescent="0.25">
      <c r="B46" s="7"/>
      <c r="C46" s="19"/>
      <c r="D46" s="61"/>
      <c r="E46" s="59"/>
      <c r="F46" s="59"/>
      <c r="G46" s="20"/>
      <c r="H46" s="71"/>
      <c r="I46" s="19"/>
      <c r="J46" s="67"/>
      <c r="K46" s="55">
        <f t="shared" si="0"/>
        <v>0</v>
      </c>
      <c r="L46" s="73" t="e">
        <f t="shared" si="1"/>
        <v>#DIV/0!</v>
      </c>
      <c r="M46" s="11"/>
    </row>
    <row r="47" spans="2:13" x14ac:dyDescent="0.25">
      <c r="B47" s="7"/>
      <c r="C47" s="19"/>
      <c r="D47" s="29"/>
      <c r="E47" s="19"/>
      <c r="F47" s="59"/>
      <c r="G47" s="20"/>
      <c r="H47" s="71"/>
      <c r="I47" s="19"/>
      <c r="J47" s="67"/>
      <c r="K47" s="55">
        <f t="shared" si="0"/>
        <v>0</v>
      </c>
      <c r="L47" s="73" t="e">
        <f t="shared" si="1"/>
        <v>#DIV/0!</v>
      </c>
      <c r="M47" s="11"/>
    </row>
    <row r="48" spans="2:13" x14ac:dyDescent="0.25">
      <c r="B48" s="7"/>
      <c r="C48" s="19"/>
      <c r="D48" s="29"/>
      <c r="E48" s="19"/>
      <c r="F48" s="59"/>
      <c r="G48" s="20"/>
      <c r="H48" s="71"/>
      <c r="I48" s="19"/>
      <c r="J48" s="67"/>
      <c r="K48" s="55">
        <f t="shared" si="0"/>
        <v>0</v>
      </c>
      <c r="L48" s="73" t="e">
        <f t="shared" si="1"/>
        <v>#DIV/0!</v>
      </c>
      <c r="M48" s="11"/>
    </row>
    <row r="49" spans="2:13" x14ac:dyDescent="0.25">
      <c r="B49" s="7"/>
      <c r="C49" s="19"/>
      <c r="D49" s="85"/>
      <c r="E49" s="89"/>
      <c r="F49" s="86"/>
      <c r="G49" s="20"/>
      <c r="H49" s="71"/>
      <c r="I49" s="19"/>
      <c r="J49" s="67"/>
      <c r="K49" s="55">
        <f t="shared" si="0"/>
        <v>0</v>
      </c>
      <c r="L49" s="73" t="e">
        <f t="shared" si="1"/>
        <v>#DIV/0!</v>
      </c>
      <c r="M49" s="11"/>
    </row>
    <row r="50" spans="2:13" x14ac:dyDescent="0.25">
      <c r="B50" s="7"/>
      <c r="C50" s="19"/>
      <c r="D50" s="85"/>
      <c r="E50" s="89"/>
      <c r="F50" s="86"/>
      <c r="G50" s="20"/>
      <c r="H50" s="71"/>
      <c r="I50" s="19"/>
      <c r="J50" s="67"/>
      <c r="K50" s="55">
        <f t="shared" si="0"/>
        <v>0</v>
      </c>
      <c r="L50" s="73" t="e">
        <f t="shared" si="1"/>
        <v>#DIV/0!</v>
      </c>
      <c r="M50" s="11"/>
    </row>
    <row r="51" spans="2:13" x14ac:dyDescent="0.25">
      <c r="B51" s="7"/>
      <c r="C51" s="29"/>
      <c r="D51" s="85"/>
      <c r="E51" s="85"/>
      <c r="F51" s="87"/>
      <c r="G51" s="20"/>
      <c r="H51" s="71"/>
      <c r="I51" s="29"/>
      <c r="J51" s="79"/>
      <c r="K51" s="55">
        <f t="shared" si="0"/>
        <v>0</v>
      </c>
      <c r="L51" s="73" t="e">
        <f t="shared" si="1"/>
        <v>#DIV/0!</v>
      </c>
      <c r="M51" s="11"/>
    </row>
    <row r="52" spans="2:13" x14ac:dyDescent="0.25">
      <c r="B52" s="7"/>
      <c r="C52" s="19"/>
      <c r="D52" s="85"/>
      <c r="E52" s="89"/>
      <c r="F52" s="89"/>
      <c r="G52" s="88"/>
      <c r="H52" s="81"/>
      <c r="I52" s="54"/>
      <c r="J52" s="54"/>
      <c r="K52" s="55">
        <f t="shared" si="0"/>
        <v>0</v>
      </c>
      <c r="L52" s="73" t="e">
        <f t="shared" si="1"/>
        <v>#DIV/0!</v>
      </c>
      <c r="M52" s="11"/>
    </row>
    <row r="53" spans="2:13" x14ac:dyDescent="0.25">
      <c r="B53" s="7"/>
      <c r="C53" s="19"/>
      <c r="D53" s="90"/>
      <c r="E53" s="91"/>
      <c r="F53" s="91"/>
      <c r="G53" s="92"/>
      <c r="H53" s="96"/>
      <c r="I53" s="82"/>
      <c r="J53" s="37"/>
      <c r="K53" s="55">
        <f t="shared" si="0"/>
        <v>0</v>
      </c>
      <c r="L53" s="73" t="e">
        <f t="shared" si="1"/>
        <v>#DIV/0!</v>
      </c>
      <c r="M53" s="11"/>
    </row>
    <row r="54" spans="2:13" x14ac:dyDescent="0.25">
      <c r="B54" s="7"/>
      <c r="C54" s="19"/>
      <c r="D54" s="85"/>
      <c r="E54" s="89"/>
      <c r="F54" s="89"/>
      <c r="G54" s="20"/>
      <c r="H54" s="81"/>
      <c r="I54" s="54"/>
      <c r="J54" s="52"/>
      <c r="K54" s="55">
        <f t="shared" si="0"/>
        <v>0</v>
      </c>
      <c r="L54" s="73" t="e">
        <f t="shared" si="1"/>
        <v>#DIV/0!</v>
      </c>
      <c r="M54" s="11"/>
    </row>
    <row r="55" spans="2:13" ht="15.75" thickBot="1" x14ac:dyDescent="0.3">
      <c r="B55" s="7"/>
      <c r="C55" s="19"/>
      <c r="D55" s="85"/>
      <c r="E55" s="89"/>
      <c r="F55" s="89"/>
      <c r="G55" s="20"/>
      <c r="H55" s="71"/>
      <c r="I55" s="54"/>
      <c r="J55" s="52"/>
      <c r="K55" s="55">
        <f t="shared" si="0"/>
        <v>0</v>
      </c>
      <c r="L55" s="73" t="e">
        <f t="shared" si="1"/>
        <v>#DIV/0!</v>
      </c>
      <c r="M55" s="11"/>
    </row>
    <row r="56" spans="2:13" ht="15.75" thickBot="1" x14ac:dyDescent="0.3">
      <c r="B56" s="7"/>
      <c r="C56" s="105"/>
      <c r="D56" s="75">
        <f>+COUNT($D$11:$D$55)</f>
        <v>30</v>
      </c>
      <c r="E56" s="105"/>
      <c r="F56" s="105"/>
      <c r="G56" s="69"/>
      <c r="H56" s="56">
        <f>SUM($H$11:$H$55)</f>
        <v>11530</v>
      </c>
      <c r="I56" s="57">
        <f>SUM($I$11:$I$55)</f>
        <v>3349.5999999999995</v>
      </c>
      <c r="J56" s="70">
        <f>SUM($J$11:$J$55)</f>
        <v>3393.7000000000007</v>
      </c>
      <c r="K56" s="72">
        <f>SUM($K$11:$K$55)</f>
        <v>6743.3</v>
      </c>
      <c r="L56" s="74">
        <f t="shared" si="1"/>
        <v>0.58484822202948827</v>
      </c>
      <c r="M56" s="11"/>
    </row>
    <row r="57" spans="2:13" ht="15.75" thickBot="1" x14ac:dyDescent="0.3">
      <c r="B57" s="41"/>
      <c r="C57" s="42"/>
      <c r="D57" s="42"/>
      <c r="E57" s="42"/>
      <c r="F57" s="42"/>
      <c r="G57" s="43"/>
      <c r="H57" s="42"/>
      <c r="I57" s="43"/>
      <c r="J57" s="42"/>
      <c r="K57" s="42"/>
      <c r="L57" s="42"/>
      <c r="M57" s="44"/>
    </row>
    <row r="58" spans="2:13" ht="16.5" thickTop="1" thickBot="1" x14ac:dyDescent="0.3">
      <c r="B58" s="4"/>
      <c r="C58" s="4"/>
      <c r="D58" s="4"/>
      <c r="E58" s="4"/>
      <c r="F58" s="4"/>
      <c r="G58" s="5"/>
      <c r="H58" s="4"/>
      <c r="I58" s="5"/>
      <c r="J58" s="4"/>
      <c r="K58" s="4"/>
      <c r="L58" s="4"/>
      <c r="M58" s="4"/>
    </row>
    <row r="59" spans="2:13" ht="16.5" thickTop="1" thickBot="1" x14ac:dyDescent="0.3">
      <c r="B59" s="3"/>
      <c r="C59" s="4"/>
      <c r="D59" s="4"/>
      <c r="E59" s="4"/>
      <c r="F59" s="4"/>
      <c r="G59" s="5"/>
      <c r="H59" s="4"/>
      <c r="I59" s="5"/>
      <c r="J59" s="4"/>
      <c r="K59" s="4"/>
      <c r="L59" s="4"/>
      <c r="M59" s="6"/>
    </row>
    <row r="60" spans="2:13" ht="15.75" thickBot="1" x14ac:dyDescent="0.3">
      <c r="B60" s="7"/>
      <c r="F60" s="30" t="s">
        <v>12</v>
      </c>
      <c r="G60" s="31" t="s">
        <v>32</v>
      </c>
      <c r="H60" s="51" t="s">
        <v>30</v>
      </c>
      <c r="I60" s="75" t="s">
        <v>54</v>
      </c>
      <c r="J60" s="75" t="s">
        <v>53</v>
      </c>
      <c r="M60" s="11"/>
    </row>
    <row r="61" spans="2:13" x14ac:dyDescent="0.25">
      <c r="B61" s="7"/>
      <c r="F61" s="32" t="s">
        <v>59</v>
      </c>
      <c r="G61" s="97">
        <v>68.7</v>
      </c>
      <c r="H61" s="97">
        <v>65.759999999999991</v>
      </c>
      <c r="I61" s="76"/>
      <c r="J61" s="84"/>
      <c r="M61" s="11"/>
    </row>
    <row r="62" spans="2:13" x14ac:dyDescent="0.25">
      <c r="B62" s="7"/>
      <c r="F62" s="33" t="s">
        <v>15</v>
      </c>
      <c r="G62" s="76">
        <v>29</v>
      </c>
      <c r="H62" s="76">
        <v>45.739999999999995</v>
      </c>
      <c r="I62" s="76">
        <v>1</v>
      </c>
      <c r="J62" s="21">
        <v>1.96</v>
      </c>
      <c r="M62" s="11"/>
    </row>
    <row r="63" spans="2:13" x14ac:dyDescent="0.25">
      <c r="B63" s="7"/>
      <c r="F63" s="22" t="s">
        <v>13</v>
      </c>
      <c r="G63" s="76">
        <v>22</v>
      </c>
      <c r="H63" s="76">
        <v>104.75999999999999</v>
      </c>
      <c r="I63" s="76">
        <v>8</v>
      </c>
      <c r="J63" s="21">
        <v>47.9</v>
      </c>
      <c r="M63" s="11"/>
    </row>
    <row r="64" spans="2:13" x14ac:dyDescent="0.25">
      <c r="B64" s="7"/>
      <c r="F64" s="22" t="s">
        <v>16</v>
      </c>
      <c r="G64" s="76">
        <v>30</v>
      </c>
      <c r="H64" s="76">
        <v>41.120000000000005</v>
      </c>
      <c r="I64" s="76"/>
      <c r="J64" s="21"/>
      <c r="M64" s="11"/>
    </row>
    <row r="65" spans="2:13" x14ac:dyDescent="0.25">
      <c r="B65" s="7"/>
      <c r="F65" s="33" t="s">
        <v>60</v>
      </c>
      <c r="G65" s="76">
        <v>21.8</v>
      </c>
      <c r="H65" s="76">
        <v>21.14</v>
      </c>
      <c r="I65" s="76"/>
      <c r="J65" s="21"/>
      <c r="M65" s="11"/>
    </row>
    <row r="66" spans="2:13" x14ac:dyDescent="0.25">
      <c r="B66" s="7"/>
      <c r="F66" s="33" t="s">
        <v>14</v>
      </c>
      <c r="G66" s="76">
        <v>60</v>
      </c>
      <c r="H66" s="76">
        <v>25.94</v>
      </c>
      <c r="I66" s="76"/>
      <c r="J66" s="21"/>
      <c r="M66" s="11"/>
    </row>
    <row r="67" spans="2:13" x14ac:dyDescent="0.25">
      <c r="B67" s="7"/>
      <c r="F67" s="22" t="s">
        <v>20</v>
      </c>
      <c r="G67" s="76">
        <v>120</v>
      </c>
      <c r="H67" s="76">
        <v>12.04</v>
      </c>
      <c r="I67" s="76"/>
      <c r="J67" s="21"/>
      <c r="M67" s="11"/>
    </row>
    <row r="68" spans="2:13" x14ac:dyDescent="0.25">
      <c r="B68" s="7"/>
      <c r="F68" s="33" t="s">
        <v>17</v>
      </c>
      <c r="G68" s="76">
        <v>30</v>
      </c>
      <c r="H68" s="76">
        <v>21.28</v>
      </c>
      <c r="I68" s="76"/>
      <c r="J68" s="21"/>
      <c r="M68" s="11"/>
    </row>
    <row r="69" spans="2:13" x14ac:dyDescent="0.25">
      <c r="B69" s="7"/>
      <c r="F69" s="33" t="s">
        <v>61</v>
      </c>
      <c r="G69" s="76">
        <v>30</v>
      </c>
      <c r="H69" s="76">
        <v>21.84</v>
      </c>
      <c r="I69" s="76"/>
      <c r="J69" s="21"/>
      <c r="M69" s="11"/>
    </row>
    <row r="70" spans="2:13" x14ac:dyDescent="0.25">
      <c r="B70" s="7"/>
      <c r="F70" s="33" t="s">
        <v>48</v>
      </c>
      <c r="G70" s="76">
        <v>37.299999999999997</v>
      </c>
      <c r="H70" s="76">
        <v>35.32</v>
      </c>
      <c r="I70" s="76"/>
      <c r="J70" s="21"/>
      <c r="M70" s="11"/>
    </row>
    <row r="71" spans="2:13" x14ac:dyDescent="0.25">
      <c r="B71" s="7"/>
      <c r="F71" s="22" t="s">
        <v>19</v>
      </c>
      <c r="G71" s="76">
        <v>30</v>
      </c>
      <c r="H71" s="76">
        <v>26.979999999999997</v>
      </c>
      <c r="I71" s="76"/>
      <c r="J71" s="21"/>
      <c r="M71" s="11"/>
    </row>
    <row r="72" spans="2:13" x14ac:dyDescent="0.25">
      <c r="B72" s="7"/>
      <c r="F72" s="22" t="s">
        <v>18</v>
      </c>
      <c r="G72" s="76">
        <v>30</v>
      </c>
      <c r="H72" s="76">
        <v>9.92</v>
      </c>
      <c r="I72" s="76"/>
      <c r="J72" s="21"/>
      <c r="M72" s="11"/>
    </row>
    <row r="73" spans="2:13" ht="15.75" thickBot="1" x14ac:dyDescent="0.3">
      <c r="B73" s="7"/>
      <c r="F73" s="33" t="s">
        <v>49</v>
      </c>
      <c r="G73" s="76">
        <v>19.98</v>
      </c>
      <c r="H73" s="76">
        <v>18.78</v>
      </c>
      <c r="I73" s="76"/>
      <c r="J73" s="21"/>
      <c r="M73" s="11"/>
    </row>
    <row r="74" spans="2:13" ht="15.75" thickBot="1" x14ac:dyDescent="0.3">
      <c r="B74" s="7"/>
      <c r="F74" s="39" t="s">
        <v>21</v>
      </c>
      <c r="G74" s="23"/>
      <c r="H74" s="23">
        <f>SUM(H61:H73)</f>
        <v>450.62</v>
      </c>
      <c r="I74" s="80">
        <f>SUM(I61:I73)</f>
        <v>9</v>
      </c>
      <c r="J74" s="23">
        <f>SUM(J61:J73)</f>
        <v>49.86</v>
      </c>
      <c r="M74" s="11"/>
    </row>
    <row r="75" spans="2:13" ht="15.75" thickBot="1" x14ac:dyDescent="0.3">
      <c r="B75" s="41"/>
      <c r="C75" s="42"/>
      <c r="D75" s="42"/>
      <c r="E75" s="42"/>
      <c r="F75" s="42"/>
      <c r="G75" s="43"/>
      <c r="H75" s="42"/>
      <c r="I75" s="43"/>
      <c r="J75" s="42"/>
      <c r="K75" s="42"/>
      <c r="L75" s="42"/>
      <c r="M75" s="44"/>
    </row>
    <row r="76" spans="2:13" ht="16.5" thickTop="1" thickBot="1" x14ac:dyDescent="0.3">
      <c r="B76" s="7"/>
      <c r="F76" s="24"/>
      <c r="G76" s="25"/>
      <c r="H76" s="24"/>
      <c r="I76" s="25"/>
      <c r="M76" s="11"/>
    </row>
    <row r="77" spans="2:13" ht="15.75" thickBot="1" x14ac:dyDescent="0.3">
      <c r="B77" s="7"/>
      <c r="F77" s="34" t="s">
        <v>22</v>
      </c>
      <c r="G77" s="35" t="s">
        <v>33</v>
      </c>
      <c r="H77" s="36" t="s">
        <v>31</v>
      </c>
      <c r="M77" s="11"/>
    </row>
    <row r="78" spans="2:13" x14ac:dyDescent="0.25">
      <c r="B78" s="7"/>
      <c r="F78" s="33" t="s">
        <v>23</v>
      </c>
      <c r="G78" s="38"/>
      <c r="H78" s="21"/>
      <c r="M78" s="11"/>
    </row>
    <row r="79" spans="2:13" x14ac:dyDescent="0.25">
      <c r="B79" s="7"/>
      <c r="F79" s="33" t="s">
        <v>24</v>
      </c>
      <c r="G79" s="37">
        <f>+D56</f>
        <v>30</v>
      </c>
      <c r="H79" s="21"/>
      <c r="M79" s="11"/>
    </row>
    <row r="80" spans="2:13" x14ac:dyDescent="0.25">
      <c r="B80" s="7"/>
      <c r="F80" s="22" t="s">
        <v>34</v>
      </c>
      <c r="G80" s="38"/>
      <c r="H80" s="21"/>
      <c r="M80" s="11"/>
    </row>
    <row r="81" spans="2:13" x14ac:dyDescent="0.25">
      <c r="B81" s="7"/>
      <c r="F81" s="22" t="s">
        <v>35</v>
      </c>
      <c r="G81" s="38"/>
      <c r="H81" s="21"/>
      <c r="M81" s="11"/>
    </row>
    <row r="82" spans="2:13" ht="15.75" thickBot="1" x14ac:dyDescent="0.3">
      <c r="B82" s="7"/>
      <c r="F82" s="22" t="s">
        <v>29</v>
      </c>
      <c r="G82" s="37"/>
      <c r="H82" s="21"/>
      <c r="M82" s="11"/>
    </row>
    <row r="83" spans="2:13" ht="15.75" thickBot="1" x14ac:dyDescent="0.3">
      <c r="B83" s="7"/>
      <c r="F83" s="39" t="s">
        <v>21</v>
      </c>
      <c r="G83" s="40"/>
      <c r="H83" s="23">
        <f>SUM(H78:H82)</f>
        <v>0</v>
      </c>
      <c r="M83" s="11"/>
    </row>
    <row r="84" spans="2:13" ht="15.75" thickBot="1" x14ac:dyDescent="0.3">
      <c r="B84" s="41"/>
      <c r="C84" s="42"/>
      <c r="D84" s="42"/>
      <c r="E84" s="42"/>
      <c r="F84" s="42"/>
      <c r="G84" s="43"/>
      <c r="H84" s="42"/>
      <c r="I84" s="43"/>
      <c r="J84" s="42"/>
      <c r="K84" s="42"/>
      <c r="L84" s="42"/>
      <c r="M84" s="44"/>
    </row>
    <row r="85" spans="2:13" ht="15.75" thickTop="1" x14ac:dyDescent="0.25">
      <c r="H85" s="49"/>
    </row>
  </sheetData>
  <sortState ref="C11:L56">
    <sortCondition ref="C10"/>
  </sortState>
  <mergeCells count="2">
    <mergeCell ref="J7:L7"/>
    <mergeCell ref="J8:L8"/>
  </mergeCells>
  <conditionalFormatting sqref="L11:L55">
    <cfRule type="cellIs" dxfId="102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P85"/>
  <sheetViews>
    <sheetView topLeftCell="F57" zoomScaleNormal="100" workbookViewId="0">
      <selection activeCell="P72" sqref="P72"/>
    </sheetView>
  </sheetViews>
  <sheetFormatPr baseColWidth="10" defaultColWidth="12.42578125" defaultRowHeight="15" x14ac:dyDescent="0.25"/>
  <cols>
    <col min="1" max="1" width="4" style="1" customWidth="1"/>
    <col min="2" max="2" width="3.7109375" style="1" customWidth="1"/>
    <col min="3" max="3" width="8.5703125" style="1" bestFit="1" customWidth="1"/>
    <col min="4" max="4" width="9" style="1" customWidth="1"/>
    <col min="5" max="5" width="5.7109375" style="1" bestFit="1" customWidth="1"/>
    <col min="6" max="6" width="29.85546875" style="1" bestFit="1" customWidth="1"/>
    <col min="7" max="7" width="17.42578125" style="2" customWidth="1"/>
    <col min="8" max="8" width="12.7109375" style="1" customWidth="1"/>
    <col min="9" max="9" width="12.7109375" style="2" customWidth="1"/>
    <col min="10" max="11" width="12.7109375" style="1" customWidth="1"/>
    <col min="12" max="12" width="12.42578125" style="1"/>
    <col min="13" max="13" width="3.7109375" style="1" customWidth="1"/>
    <col min="14" max="14" width="12.42578125" style="1"/>
    <col min="15" max="15" width="2" style="1" bestFit="1" customWidth="1"/>
    <col min="16" max="16" width="17.140625" style="1" bestFit="1" customWidth="1"/>
    <col min="17" max="16384" width="12.42578125" style="1"/>
  </cols>
  <sheetData>
    <row r="1" spans="2:16" ht="15.75" thickBot="1" x14ac:dyDescent="0.3"/>
    <row r="2" spans="2:16" ht="16.5" thickTop="1" thickBot="1" x14ac:dyDescent="0.3">
      <c r="B2" s="3"/>
      <c r="C2" s="4"/>
      <c r="D2" s="4"/>
      <c r="E2" s="4"/>
      <c r="F2" s="4"/>
      <c r="G2" s="5"/>
      <c r="H2" s="4"/>
      <c r="I2" s="5"/>
      <c r="J2" s="4"/>
      <c r="K2" s="4"/>
      <c r="L2" s="4"/>
      <c r="M2" s="6"/>
    </row>
    <row r="3" spans="2:16" ht="21.75" thickBot="1" x14ac:dyDescent="0.3">
      <c r="B3" s="7"/>
      <c r="F3" s="8" t="s">
        <v>0</v>
      </c>
      <c r="G3" s="9">
        <f>+H56</f>
        <v>5216</v>
      </c>
      <c r="H3" s="10"/>
      <c r="I3" s="46" t="s">
        <v>28</v>
      </c>
      <c r="M3" s="11"/>
    </row>
    <row r="4" spans="2:16" ht="21.75" thickBot="1" x14ac:dyDescent="0.3">
      <c r="B4" s="7"/>
      <c r="F4" s="8" t="s">
        <v>1</v>
      </c>
      <c r="G4" s="9">
        <f>+K56</f>
        <v>3075.2</v>
      </c>
      <c r="H4" s="10"/>
      <c r="I4" s="47">
        <f>+L56</f>
        <v>0.58957055214723919</v>
      </c>
      <c r="M4" s="11"/>
    </row>
    <row r="5" spans="2:16" ht="21.75" thickBot="1" x14ac:dyDescent="0.3">
      <c r="B5" s="7"/>
      <c r="F5" s="8" t="s">
        <v>2</v>
      </c>
      <c r="G5" s="12">
        <v>46028</v>
      </c>
      <c r="H5" s="10"/>
      <c r="I5" s="58" t="s">
        <v>36</v>
      </c>
      <c r="M5" s="11"/>
    </row>
    <row r="6" spans="2:16" ht="21.75" thickBot="1" x14ac:dyDescent="0.3">
      <c r="B6" s="7"/>
      <c r="F6" s="8" t="s">
        <v>3</v>
      </c>
      <c r="G6" s="65">
        <v>6</v>
      </c>
      <c r="H6" s="10"/>
      <c r="I6" s="63">
        <f>+K56/G7</f>
        <v>205.01333333333332</v>
      </c>
      <c r="M6" s="11"/>
    </row>
    <row r="7" spans="2:16" ht="21.75" thickBot="1" x14ac:dyDescent="0.3">
      <c r="B7" s="7"/>
      <c r="F7" s="8" t="s">
        <v>4</v>
      </c>
      <c r="G7" s="48">
        <f>+D56</f>
        <v>15</v>
      </c>
      <c r="H7" s="10"/>
      <c r="I7" s="103" t="s">
        <v>38</v>
      </c>
      <c r="J7" s="338" t="s">
        <v>231</v>
      </c>
      <c r="K7" s="338"/>
      <c r="L7" s="339"/>
      <c r="M7" s="11"/>
    </row>
    <row r="8" spans="2:16" ht="21.75" thickBot="1" x14ac:dyDescent="0.3">
      <c r="B8" s="7"/>
      <c r="F8" s="101"/>
      <c r="G8" s="102"/>
      <c r="H8" s="10"/>
      <c r="I8" s="103" t="s">
        <v>88</v>
      </c>
      <c r="J8" s="338" t="s">
        <v>232</v>
      </c>
      <c r="K8" s="338"/>
      <c r="L8" s="339"/>
      <c r="M8" s="11"/>
    </row>
    <row r="9" spans="2:16" ht="15.75" thickBot="1" x14ac:dyDescent="0.3">
      <c r="B9" s="7"/>
      <c r="M9" s="11"/>
    </row>
    <row r="10" spans="2:16" s="18" customFormat="1" ht="45.75" thickBot="1" x14ac:dyDescent="0.3">
      <c r="B10" s="13"/>
      <c r="C10" s="27" t="s">
        <v>9</v>
      </c>
      <c r="D10" s="26" t="s">
        <v>5</v>
      </c>
      <c r="E10" s="99" t="s">
        <v>63</v>
      </c>
      <c r="F10" s="14" t="s">
        <v>6</v>
      </c>
      <c r="G10" s="16" t="s">
        <v>7</v>
      </c>
      <c r="H10" s="45" t="s">
        <v>26</v>
      </c>
      <c r="I10" s="15" t="s">
        <v>10</v>
      </c>
      <c r="J10" s="27" t="s">
        <v>11</v>
      </c>
      <c r="K10" s="45" t="s">
        <v>25</v>
      </c>
      <c r="L10" s="50" t="s">
        <v>27</v>
      </c>
      <c r="M10" s="17"/>
    </row>
    <row r="11" spans="2:16" x14ac:dyDescent="0.25">
      <c r="B11" s="7"/>
      <c r="C11" s="28">
        <v>16</v>
      </c>
      <c r="D11" s="28">
        <v>10</v>
      </c>
      <c r="E11" s="19" t="s">
        <v>67</v>
      </c>
      <c r="F11" s="59" t="s">
        <v>62</v>
      </c>
      <c r="G11" s="60" t="s">
        <v>233</v>
      </c>
      <c r="H11" s="94">
        <v>319</v>
      </c>
      <c r="I11" s="66">
        <v>96.4</v>
      </c>
      <c r="J11" s="67">
        <v>97.4</v>
      </c>
      <c r="K11" s="53">
        <f t="shared" ref="K11:K55" si="0">+I11+J11</f>
        <v>193.8</v>
      </c>
      <c r="L11" s="73">
        <f t="shared" ref="L11:L56" si="1">+K11/H11</f>
        <v>0.60752351097178692</v>
      </c>
      <c r="M11" s="11"/>
      <c r="N11" s="64" t="s">
        <v>42</v>
      </c>
      <c r="O11" s="1">
        <f>+COUNTIF($F$11:$F$55,"NOVILLITO (NT)")</f>
        <v>0</v>
      </c>
      <c r="P11" s="59" t="s">
        <v>8</v>
      </c>
    </row>
    <row r="12" spans="2:16" x14ac:dyDescent="0.25">
      <c r="B12" s="7"/>
      <c r="C12" s="29">
        <v>17</v>
      </c>
      <c r="D12" s="29">
        <v>1</v>
      </c>
      <c r="E12" s="19" t="s">
        <v>67</v>
      </c>
      <c r="F12" s="59" t="s">
        <v>62</v>
      </c>
      <c r="G12" s="62" t="s">
        <v>234</v>
      </c>
      <c r="H12" s="95">
        <v>375</v>
      </c>
      <c r="I12" s="19">
        <v>111.4</v>
      </c>
      <c r="J12" s="67">
        <v>111.5</v>
      </c>
      <c r="K12" s="55">
        <f t="shared" si="0"/>
        <v>222.9</v>
      </c>
      <c r="L12" s="73">
        <f t="shared" si="1"/>
        <v>0.59440000000000004</v>
      </c>
      <c r="M12" s="11"/>
      <c r="N12" s="64" t="s">
        <v>40</v>
      </c>
      <c r="O12" s="1">
        <f>+COUNTIF($F$11:$F$56,"VAQUILLONA (Vq)")</f>
        <v>0</v>
      </c>
      <c r="P12" s="59" t="s">
        <v>37</v>
      </c>
    </row>
    <row r="13" spans="2:16" x14ac:dyDescent="0.25">
      <c r="B13" s="7"/>
      <c r="C13" s="29">
        <v>18</v>
      </c>
      <c r="D13" s="29">
        <v>3</v>
      </c>
      <c r="E13" s="19" t="s">
        <v>75</v>
      </c>
      <c r="F13" s="59" t="s">
        <v>81</v>
      </c>
      <c r="G13" s="62" t="s">
        <v>235</v>
      </c>
      <c r="H13" s="95">
        <v>391</v>
      </c>
      <c r="I13" s="19">
        <v>120.2</v>
      </c>
      <c r="J13" s="67">
        <v>120.3</v>
      </c>
      <c r="K13" s="55">
        <f t="shared" si="0"/>
        <v>240.5</v>
      </c>
      <c r="L13" s="73">
        <f t="shared" si="1"/>
        <v>0.61508951406649615</v>
      </c>
      <c r="M13" s="11"/>
      <c r="N13" s="64" t="s">
        <v>44</v>
      </c>
      <c r="O13" s="1">
        <f>+COUNTIF($F$11:$F$56,"TORITO (MEJ)")</f>
        <v>0</v>
      </c>
      <c r="P13" s="59" t="s">
        <v>43</v>
      </c>
    </row>
    <row r="14" spans="2:16" x14ac:dyDescent="0.25">
      <c r="B14" s="7"/>
      <c r="C14" s="29">
        <v>19</v>
      </c>
      <c r="D14" s="29">
        <v>2</v>
      </c>
      <c r="E14" s="19" t="s">
        <v>68</v>
      </c>
      <c r="F14" s="59" t="s">
        <v>62</v>
      </c>
      <c r="G14" s="62" t="s">
        <v>236</v>
      </c>
      <c r="H14" s="95">
        <v>314</v>
      </c>
      <c r="I14" s="19">
        <v>93.3</v>
      </c>
      <c r="J14" s="67">
        <v>95.5</v>
      </c>
      <c r="K14" s="55">
        <f t="shared" si="0"/>
        <v>188.8</v>
      </c>
      <c r="L14" s="73">
        <f t="shared" si="1"/>
        <v>0.60127388535031856</v>
      </c>
      <c r="M14" s="11"/>
      <c r="N14" s="78" t="s">
        <v>45</v>
      </c>
      <c r="O14" s="1">
        <f>+COUNTIF($F$11:$F$56,"NOVILLO (No)")</f>
        <v>0</v>
      </c>
      <c r="P14" s="19" t="s">
        <v>39</v>
      </c>
    </row>
    <row r="15" spans="2:16" x14ac:dyDescent="0.25">
      <c r="B15" s="7"/>
      <c r="C15" s="29">
        <v>20</v>
      </c>
      <c r="D15" s="29">
        <v>6</v>
      </c>
      <c r="E15" s="19" t="s">
        <v>67</v>
      </c>
      <c r="F15" s="59" t="s">
        <v>62</v>
      </c>
      <c r="G15" s="62" t="s">
        <v>237</v>
      </c>
      <c r="H15" s="95">
        <v>312</v>
      </c>
      <c r="I15" s="19">
        <v>93.3</v>
      </c>
      <c r="J15" s="67">
        <v>92.7</v>
      </c>
      <c r="K15" s="55">
        <f t="shared" si="0"/>
        <v>186</v>
      </c>
      <c r="L15" s="73">
        <f t="shared" si="1"/>
        <v>0.59615384615384615</v>
      </c>
      <c r="M15" s="11"/>
      <c r="N15" s="78" t="s">
        <v>46</v>
      </c>
      <c r="O15" s="1">
        <f>+COUNTIF($F$11:$F$56,"VACA (Va)")</f>
        <v>0</v>
      </c>
      <c r="P15" s="83" t="s">
        <v>50</v>
      </c>
    </row>
    <row r="16" spans="2:16" x14ac:dyDescent="0.25">
      <c r="B16" s="7"/>
      <c r="C16" s="29">
        <v>21</v>
      </c>
      <c r="D16" s="29">
        <v>9</v>
      </c>
      <c r="E16" s="19" t="s">
        <v>67</v>
      </c>
      <c r="F16" s="59" t="s">
        <v>81</v>
      </c>
      <c r="G16" s="62" t="s">
        <v>238</v>
      </c>
      <c r="H16" s="95">
        <v>354</v>
      </c>
      <c r="I16" s="19">
        <v>109.3</v>
      </c>
      <c r="J16" s="67">
        <v>109.8</v>
      </c>
      <c r="K16" s="55">
        <f t="shared" si="0"/>
        <v>219.1</v>
      </c>
      <c r="L16" s="73">
        <f t="shared" si="1"/>
        <v>0.61892655367231642</v>
      </c>
      <c r="M16" s="11"/>
      <c r="N16" s="64" t="s">
        <v>47</v>
      </c>
      <c r="O16" s="1">
        <f>+COUNTIF($F$11:$F$56,"TORO (To)")</f>
        <v>0</v>
      </c>
      <c r="P16" s="83" t="s">
        <v>51</v>
      </c>
    </row>
    <row r="17" spans="2:16" x14ac:dyDescent="0.25">
      <c r="B17" s="7"/>
      <c r="C17" s="29">
        <v>22</v>
      </c>
      <c r="D17" s="29">
        <v>15</v>
      </c>
      <c r="E17" s="19" t="s">
        <v>75</v>
      </c>
      <c r="F17" s="59" t="s">
        <v>81</v>
      </c>
      <c r="G17" s="62" t="s">
        <v>239</v>
      </c>
      <c r="H17" s="95">
        <v>394</v>
      </c>
      <c r="I17" s="19">
        <v>117.4</v>
      </c>
      <c r="J17" s="67">
        <v>118.8</v>
      </c>
      <c r="K17" s="55">
        <f t="shared" si="0"/>
        <v>236.2</v>
      </c>
      <c r="L17" s="73">
        <f t="shared" si="1"/>
        <v>0.59949238578680197</v>
      </c>
      <c r="M17" s="11"/>
      <c r="N17" s="77"/>
      <c r="O17" s="1">
        <f>SUM(O11:O16)</f>
        <v>0</v>
      </c>
    </row>
    <row r="18" spans="2:16" x14ac:dyDescent="0.25">
      <c r="B18" s="7"/>
      <c r="C18" s="29">
        <v>23</v>
      </c>
      <c r="D18" s="29">
        <v>4</v>
      </c>
      <c r="E18" s="19" t="s">
        <v>75</v>
      </c>
      <c r="F18" s="59" t="s">
        <v>62</v>
      </c>
      <c r="G18" s="62" t="s">
        <v>240</v>
      </c>
      <c r="H18" s="95">
        <v>334</v>
      </c>
      <c r="I18" s="19">
        <v>100.1</v>
      </c>
      <c r="J18" s="67">
        <v>100.2</v>
      </c>
      <c r="K18" s="55">
        <f t="shared" si="0"/>
        <v>200.3</v>
      </c>
      <c r="L18" s="73">
        <f t="shared" si="1"/>
        <v>0.59970059880239523</v>
      </c>
      <c r="M18" s="11"/>
    </row>
    <row r="19" spans="2:16" x14ac:dyDescent="0.25">
      <c r="B19" s="7"/>
      <c r="C19" s="61">
        <v>24</v>
      </c>
      <c r="D19" s="61">
        <v>11</v>
      </c>
      <c r="E19" s="59" t="s">
        <v>67</v>
      </c>
      <c r="F19" s="59" t="s">
        <v>62</v>
      </c>
      <c r="G19" s="62" t="s">
        <v>241</v>
      </c>
      <c r="H19" s="95">
        <v>387</v>
      </c>
      <c r="I19" s="19">
        <v>118.3</v>
      </c>
      <c r="J19" s="67">
        <v>119.6</v>
      </c>
      <c r="K19" s="55">
        <f t="shared" si="0"/>
        <v>237.89999999999998</v>
      </c>
      <c r="L19" s="73">
        <f t="shared" si="1"/>
        <v>0.61472868217054255</v>
      </c>
      <c r="M19" s="11"/>
      <c r="P19" s="100" t="s">
        <v>63</v>
      </c>
    </row>
    <row r="20" spans="2:16" x14ac:dyDescent="0.25">
      <c r="B20" s="7"/>
      <c r="C20" s="61">
        <v>25</v>
      </c>
      <c r="D20" s="61">
        <v>8</v>
      </c>
      <c r="E20" s="59" t="s">
        <v>75</v>
      </c>
      <c r="F20" s="59" t="s">
        <v>62</v>
      </c>
      <c r="G20" s="62" t="s">
        <v>242</v>
      </c>
      <c r="H20" s="95">
        <v>328</v>
      </c>
      <c r="I20" s="19">
        <v>84.2</v>
      </c>
      <c r="J20" s="67">
        <v>85.4</v>
      </c>
      <c r="K20" s="55">
        <f t="shared" si="0"/>
        <v>169.60000000000002</v>
      </c>
      <c r="L20" s="73">
        <f t="shared" si="1"/>
        <v>0.51707317073170733</v>
      </c>
      <c r="M20" s="11"/>
      <c r="N20" s="64" t="s">
        <v>67</v>
      </c>
      <c r="P20" s="1" t="s">
        <v>64</v>
      </c>
    </row>
    <row r="21" spans="2:16" x14ac:dyDescent="0.25">
      <c r="B21" s="7"/>
      <c r="C21" s="19">
        <v>26</v>
      </c>
      <c r="D21" s="29">
        <v>5</v>
      </c>
      <c r="E21" s="19" t="s">
        <v>68</v>
      </c>
      <c r="F21" s="59" t="s">
        <v>62</v>
      </c>
      <c r="G21" s="62" t="s">
        <v>243</v>
      </c>
      <c r="H21" s="95">
        <v>386</v>
      </c>
      <c r="I21" s="19">
        <v>98.9</v>
      </c>
      <c r="J21" s="67">
        <v>99.7</v>
      </c>
      <c r="K21" s="55">
        <f t="shared" si="0"/>
        <v>198.60000000000002</v>
      </c>
      <c r="L21" s="73">
        <f t="shared" si="1"/>
        <v>0.5145077720207254</v>
      </c>
      <c r="M21" s="11"/>
      <c r="N21" s="64" t="s">
        <v>68</v>
      </c>
      <c r="P21" t="s">
        <v>65</v>
      </c>
    </row>
    <row r="22" spans="2:16" x14ac:dyDescent="0.25">
      <c r="B22" s="7"/>
      <c r="C22" s="19">
        <v>27</v>
      </c>
      <c r="D22" s="29">
        <v>14</v>
      </c>
      <c r="E22" s="19" t="s">
        <v>75</v>
      </c>
      <c r="F22" s="59" t="s">
        <v>62</v>
      </c>
      <c r="G22" s="62" t="s">
        <v>244</v>
      </c>
      <c r="H22" s="95">
        <v>333</v>
      </c>
      <c r="I22" s="19">
        <v>98.3</v>
      </c>
      <c r="J22" s="67">
        <v>100.1</v>
      </c>
      <c r="K22" s="55">
        <f t="shared" si="0"/>
        <v>198.39999999999998</v>
      </c>
      <c r="L22" s="73">
        <f t="shared" si="1"/>
        <v>0.59579579579579578</v>
      </c>
      <c r="M22" s="11"/>
      <c r="N22" s="64" t="s">
        <v>75</v>
      </c>
      <c r="P22" t="s">
        <v>74</v>
      </c>
    </row>
    <row r="23" spans="2:16" x14ac:dyDescent="0.25">
      <c r="B23" s="7"/>
      <c r="C23" s="59">
        <v>28</v>
      </c>
      <c r="D23" s="61">
        <v>7</v>
      </c>
      <c r="E23" s="59" t="s">
        <v>68</v>
      </c>
      <c r="F23" s="59" t="s">
        <v>62</v>
      </c>
      <c r="G23" s="62" t="s">
        <v>245</v>
      </c>
      <c r="H23" s="95">
        <v>335</v>
      </c>
      <c r="I23" s="19">
        <v>98.9</v>
      </c>
      <c r="J23" s="67">
        <v>99</v>
      </c>
      <c r="K23" s="55">
        <f t="shared" si="0"/>
        <v>197.9</v>
      </c>
      <c r="L23" s="73">
        <f t="shared" si="1"/>
        <v>0.59074626865671642</v>
      </c>
      <c r="M23" s="11"/>
      <c r="N23" s="64" t="s">
        <v>69</v>
      </c>
      <c r="P23" t="s">
        <v>66</v>
      </c>
    </row>
    <row r="24" spans="2:16" x14ac:dyDescent="0.25">
      <c r="B24" s="7"/>
      <c r="C24" s="19">
        <v>29</v>
      </c>
      <c r="D24" s="29">
        <v>12</v>
      </c>
      <c r="E24" s="19" t="s">
        <v>67</v>
      </c>
      <c r="F24" s="59" t="s">
        <v>62</v>
      </c>
      <c r="G24" s="62" t="s">
        <v>246</v>
      </c>
      <c r="H24" s="95">
        <v>328</v>
      </c>
      <c r="I24" s="19">
        <v>98.5</v>
      </c>
      <c r="J24" s="68">
        <v>98.5</v>
      </c>
      <c r="K24" s="55">
        <f t="shared" si="0"/>
        <v>197</v>
      </c>
      <c r="L24" s="104">
        <f t="shared" si="1"/>
        <v>0.60060975609756095</v>
      </c>
      <c r="M24" s="11"/>
      <c r="N24" s="64" t="s">
        <v>70</v>
      </c>
      <c r="P24" t="s">
        <v>71</v>
      </c>
    </row>
    <row r="25" spans="2:16" x14ac:dyDescent="0.25">
      <c r="B25" s="7"/>
      <c r="C25" s="19">
        <v>30</v>
      </c>
      <c r="D25" s="29">
        <v>13</v>
      </c>
      <c r="E25" s="19" t="s">
        <v>75</v>
      </c>
      <c r="F25" s="59" t="s">
        <v>62</v>
      </c>
      <c r="G25" s="62" t="s">
        <v>247</v>
      </c>
      <c r="H25" s="95">
        <v>326</v>
      </c>
      <c r="I25" s="19">
        <v>94.1</v>
      </c>
      <c r="J25" s="67">
        <v>94.1</v>
      </c>
      <c r="K25" s="55">
        <f t="shared" si="0"/>
        <v>188.2</v>
      </c>
      <c r="L25" s="73">
        <f t="shared" si="1"/>
        <v>0.57730061349693251</v>
      </c>
      <c r="M25" s="11"/>
      <c r="N25" s="64" t="s">
        <v>73</v>
      </c>
      <c r="P25" t="s">
        <v>72</v>
      </c>
    </row>
    <row r="26" spans="2:16" x14ac:dyDescent="0.25">
      <c r="B26" s="7"/>
      <c r="C26" s="19"/>
      <c r="D26" s="29"/>
      <c r="E26" s="19"/>
      <c r="F26" s="59"/>
      <c r="G26" s="62"/>
      <c r="H26" s="95"/>
      <c r="I26" s="19"/>
      <c r="J26" s="67"/>
      <c r="K26" s="55">
        <f t="shared" si="0"/>
        <v>0</v>
      </c>
      <c r="L26" s="73" t="e">
        <f t="shared" si="1"/>
        <v>#DIV/0!</v>
      </c>
      <c r="M26" s="11"/>
      <c r="N26" s="64" t="s">
        <v>78</v>
      </c>
      <c r="P26" t="s">
        <v>76</v>
      </c>
    </row>
    <row r="27" spans="2:16" x14ac:dyDescent="0.25">
      <c r="B27" s="7"/>
      <c r="C27" s="19"/>
      <c r="D27" s="29"/>
      <c r="E27" s="19"/>
      <c r="F27" s="59"/>
      <c r="G27" s="62"/>
      <c r="H27" s="95"/>
      <c r="I27" s="19"/>
      <c r="J27" s="67"/>
      <c r="K27" s="55">
        <f t="shared" si="0"/>
        <v>0</v>
      </c>
      <c r="L27" s="73" t="e">
        <f t="shared" si="1"/>
        <v>#DIV/0!</v>
      </c>
      <c r="M27" s="11"/>
    </row>
    <row r="28" spans="2:16" x14ac:dyDescent="0.25">
      <c r="B28" s="7"/>
      <c r="C28" s="19"/>
      <c r="D28" s="29"/>
      <c r="E28" s="19"/>
      <c r="F28" s="19"/>
      <c r="G28" s="20"/>
      <c r="H28" s="71"/>
      <c r="I28" s="54"/>
      <c r="J28" s="52"/>
      <c r="K28" s="55">
        <f t="shared" si="0"/>
        <v>0</v>
      </c>
      <c r="L28" s="73" t="e">
        <f t="shared" si="1"/>
        <v>#DIV/0!</v>
      </c>
      <c r="M28" s="11"/>
    </row>
    <row r="29" spans="2:16" x14ac:dyDescent="0.25">
      <c r="B29" s="7"/>
      <c r="C29" s="19"/>
      <c r="D29" s="29"/>
      <c r="E29" s="19"/>
      <c r="F29" s="59"/>
      <c r="G29" s="62"/>
      <c r="H29" s="95"/>
      <c r="I29" s="19"/>
      <c r="J29" s="67"/>
      <c r="K29" s="55">
        <f t="shared" si="0"/>
        <v>0</v>
      </c>
      <c r="L29" s="73" t="e">
        <f t="shared" si="1"/>
        <v>#DIV/0!</v>
      </c>
      <c r="M29" s="11"/>
    </row>
    <row r="30" spans="2:16" x14ac:dyDescent="0.25">
      <c r="B30" s="7"/>
      <c r="C30" s="19"/>
      <c r="D30" s="29"/>
      <c r="E30" s="19"/>
      <c r="F30" s="59"/>
      <c r="G30" s="62"/>
      <c r="H30" s="95"/>
      <c r="I30" s="19"/>
      <c r="J30" s="67"/>
      <c r="K30" s="55">
        <f t="shared" si="0"/>
        <v>0</v>
      </c>
      <c r="L30" s="73" t="e">
        <f t="shared" si="1"/>
        <v>#DIV/0!</v>
      </c>
      <c r="M30" s="11"/>
    </row>
    <row r="31" spans="2:16" x14ac:dyDescent="0.25">
      <c r="B31" s="7"/>
      <c r="C31" s="19"/>
      <c r="D31" s="29"/>
      <c r="E31" s="19"/>
      <c r="F31" s="59"/>
      <c r="G31" s="62"/>
      <c r="H31" s="95"/>
      <c r="I31" s="19"/>
      <c r="J31" s="67"/>
      <c r="K31" s="55">
        <f t="shared" si="0"/>
        <v>0</v>
      </c>
      <c r="L31" s="73" t="e">
        <f t="shared" si="1"/>
        <v>#DIV/0!</v>
      </c>
      <c r="M31" s="11"/>
    </row>
    <row r="32" spans="2:16" x14ac:dyDescent="0.25">
      <c r="B32" s="7"/>
      <c r="C32" s="59"/>
      <c r="D32" s="61"/>
      <c r="E32" s="59"/>
      <c r="F32" s="59"/>
      <c r="G32" s="62"/>
      <c r="H32" s="95"/>
      <c r="I32" s="19"/>
      <c r="J32" s="67"/>
      <c r="K32" s="55">
        <f t="shared" si="0"/>
        <v>0</v>
      </c>
      <c r="L32" s="73" t="e">
        <f t="shared" si="1"/>
        <v>#DIV/0!</v>
      </c>
      <c r="M32" s="11"/>
    </row>
    <row r="33" spans="2:13" x14ac:dyDescent="0.25">
      <c r="B33" s="7"/>
      <c r="C33" s="19"/>
      <c r="D33" s="29"/>
      <c r="E33" s="19"/>
      <c r="F33" s="59"/>
      <c r="G33" s="62"/>
      <c r="H33" s="95"/>
      <c r="I33" s="19"/>
      <c r="J33" s="67"/>
      <c r="K33" s="55">
        <f t="shared" si="0"/>
        <v>0</v>
      </c>
      <c r="L33" s="73" t="e">
        <f t="shared" si="1"/>
        <v>#DIV/0!</v>
      </c>
      <c r="M33" s="11"/>
    </row>
    <row r="34" spans="2:13" x14ac:dyDescent="0.25">
      <c r="B34" s="7"/>
      <c r="C34" s="59"/>
      <c r="D34" s="61"/>
      <c r="E34" s="59"/>
      <c r="F34" s="59"/>
      <c r="G34" s="62"/>
      <c r="H34" s="95"/>
      <c r="I34" s="19"/>
      <c r="J34" s="67"/>
      <c r="K34" s="55">
        <f t="shared" si="0"/>
        <v>0</v>
      </c>
      <c r="L34" s="73" t="e">
        <f t="shared" si="1"/>
        <v>#DIV/0!</v>
      </c>
      <c r="M34" s="11"/>
    </row>
    <row r="35" spans="2:13" x14ac:dyDescent="0.25">
      <c r="B35" s="7"/>
      <c r="C35" s="59"/>
      <c r="D35" s="61"/>
      <c r="E35" s="59"/>
      <c r="F35" s="59"/>
      <c r="G35" s="62"/>
      <c r="H35" s="95"/>
      <c r="I35" s="19"/>
      <c r="J35" s="67"/>
      <c r="K35" s="55">
        <f t="shared" si="0"/>
        <v>0</v>
      </c>
      <c r="L35" s="73" t="e">
        <f t="shared" si="1"/>
        <v>#DIV/0!</v>
      </c>
      <c r="M35" s="11"/>
    </row>
    <row r="36" spans="2:13" x14ac:dyDescent="0.25">
      <c r="B36" s="7"/>
      <c r="C36" s="59"/>
      <c r="D36" s="61"/>
      <c r="E36" s="59"/>
      <c r="F36" s="59"/>
      <c r="G36" s="62"/>
      <c r="H36" s="95"/>
      <c r="I36" s="19"/>
      <c r="J36" s="67"/>
      <c r="K36" s="55">
        <f t="shared" si="0"/>
        <v>0</v>
      </c>
      <c r="L36" s="73" t="e">
        <f t="shared" si="1"/>
        <v>#DIV/0!</v>
      </c>
      <c r="M36" s="11"/>
    </row>
    <row r="37" spans="2:13" x14ac:dyDescent="0.25">
      <c r="B37" s="7"/>
      <c r="C37" s="59"/>
      <c r="D37" s="61"/>
      <c r="E37" s="59"/>
      <c r="F37" s="59"/>
      <c r="G37" s="62"/>
      <c r="H37" s="95"/>
      <c r="I37" s="19"/>
      <c r="J37" s="67"/>
      <c r="K37" s="55">
        <f t="shared" si="0"/>
        <v>0</v>
      </c>
      <c r="L37" s="73" t="e">
        <f t="shared" si="1"/>
        <v>#DIV/0!</v>
      </c>
      <c r="M37" s="11"/>
    </row>
    <row r="38" spans="2:13" x14ac:dyDescent="0.25">
      <c r="B38" s="7"/>
      <c r="C38" s="59"/>
      <c r="D38" s="61"/>
      <c r="E38" s="59"/>
      <c r="F38" s="59"/>
      <c r="G38" s="62"/>
      <c r="H38" s="95"/>
      <c r="I38" s="19"/>
      <c r="J38" s="67"/>
      <c r="K38" s="55">
        <f t="shared" si="0"/>
        <v>0</v>
      </c>
      <c r="L38" s="73" t="e">
        <f t="shared" si="1"/>
        <v>#DIV/0!</v>
      </c>
      <c r="M38" s="11"/>
    </row>
    <row r="39" spans="2:13" x14ac:dyDescent="0.25">
      <c r="B39" s="7"/>
      <c r="C39" s="59"/>
      <c r="D39" s="61"/>
      <c r="E39" s="59"/>
      <c r="F39" s="59"/>
      <c r="G39" s="62"/>
      <c r="H39" s="95"/>
      <c r="I39" s="19"/>
      <c r="J39" s="67"/>
      <c r="K39" s="55">
        <f t="shared" si="0"/>
        <v>0</v>
      </c>
      <c r="L39" s="73" t="e">
        <f t="shared" si="1"/>
        <v>#DIV/0!</v>
      </c>
      <c r="M39" s="11"/>
    </row>
    <row r="40" spans="2:13" x14ac:dyDescent="0.25">
      <c r="B40" s="7"/>
      <c r="C40" s="19"/>
      <c r="D40" s="29"/>
      <c r="E40" s="19"/>
      <c r="F40" s="59"/>
      <c r="G40" s="62"/>
      <c r="H40" s="95"/>
      <c r="I40" s="19"/>
      <c r="J40" s="67"/>
      <c r="K40" s="55">
        <f t="shared" si="0"/>
        <v>0</v>
      </c>
      <c r="L40" s="73" t="e">
        <f t="shared" si="1"/>
        <v>#DIV/0!</v>
      </c>
      <c r="M40" s="11"/>
    </row>
    <row r="41" spans="2:13" x14ac:dyDescent="0.25">
      <c r="B41" s="7"/>
      <c r="C41" s="19"/>
      <c r="D41" s="29"/>
      <c r="E41" s="19"/>
      <c r="F41" s="59"/>
      <c r="G41" s="20"/>
      <c r="H41" s="71"/>
      <c r="I41" s="19"/>
      <c r="J41" s="67"/>
      <c r="K41" s="55">
        <f t="shared" si="0"/>
        <v>0</v>
      </c>
      <c r="L41" s="73" t="e">
        <f t="shared" si="1"/>
        <v>#DIV/0!</v>
      </c>
      <c r="M41" s="11"/>
    </row>
    <row r="42" spans="2:13" x14ac:dyDescent="0.25">
      <c r="B42" s="7"/>
      <c r="C42" s="19"/>
      <c r="D42" s="61"/>
      <c r="E42" s="59"/>
      <c r="F42" s="59"/>
      <c r="G42" s="20"/>
      <c r="H42" s="71"/>
      <c r="I42" s="19"/>
      <c r="J42" s="67"/>
      <c r="K42" s="55">
        <f t="shared" si="0"/>
        <v>0</v>
      </c>
      <c r="L42" s="73" t="e">
        <f t="shared" si="1"/>
        <v>#DIV/0!</v>
      </c>
      <c r="M42" s="11"/>
    </row>
    <row r="43" spans="2:13" x14ac:dyDescent="0.25">
      <c r="B43" s="7"/>
      <c r="C43" s="19"/>
      <c r="D43" s="61"/>
      <c r="E43" s="59"/>
      <c r="F43" s="59"/>
      <c r="G43" s="20"/>
      <c r="H43" s="71"/>
      <c r="I43" s="19"/>
      <c r="J43" s="67"/>
      <c r="K43" s="55">
        <f t="shared" si="0"/>
        <v>0</v>
      </c>
      <c r="L43" s="73" t="e">
        <f t="shared" si="1"/>
        <v>#DIV/0!</v>
      </c>
      <c r="M43" s="11"/>
    </row>
    <row r="44" spans="2:13" x14ac:dyDescent="0.25">
      <c r="B44" s="7"/>
      <c r="C44" s="19"/>
      <c r="D44" s="61"/>
      <c r="E44" s="59"/>
      <c r="F44" s="59"/>
      <c r="G44" s="20"/>
      <c r="H44" s="71"/>
      <c r="I44" s="19"/>
      <c r="J44" s="67"/>
      <c r="K44" s="55">
        <f t="shared" si="0"/>
        <v>0</v>
      </c>
      <c r="L44" s="73" t="e">
        <f t="shared" si="1"/>
        <v>#DIV/0!</v>
      </c>
      <c r="M44" s="11"/>
    </row>
    <row r="45" spans="2:13" x14ac:dyDescent="0.25">
      <c r="B45" s="7"/>
      <c r="C45" s="19"/>
      <c r="D45" s="61"/>
      <c r="E45" s="59"/>
      <c r="F45" s="59"/>
      <c r="G45" s="20"/>
      <c r="H45" s="71"/>
      <c r="I45" s="19"/>
      <c r="J45" s="67"/>
      <c r="K45" s="55">
        <f t="shared" si="0"/>
        <v>0</v>
      </c>
      <c r="L45" s="73" t="e">
        <f t="shared" si="1"/>
        <v>#DIV/0!</v>
      </c>
      <c r="M45" s="11"/>
    </row>
    <row r="46" spans="2:13" x14ac:dyDescent="0.25">
      <c r="B46" s="7"/>
      <c r="C46" s="19"/>
      <c r="D46" s="61"/>
      <c r="E46" s="59"/>
      <c r="F46" s="59"/>
      <c r="G46" s="20"/>
      <c r="H46" s="71"/>
      <c r="I46" s="19"/>
      <c r="J46" s="67"/>
      <c r="K46" s="55">
        <f t="shared" si="0"/>
        <v>0</v>
      </c>
      <c r="L46" s="73" t="e">
        <f t="shared" si="1"/>
        <v>#DIV/0!</v>
      </c>
      <c r="M46" s="11"/>
    </row>
    <row r="47" spans="2:13" x14ac:dyDescent="0.25">
      <c r="B47" s="7"/>
      <c r="C47" s="19"/>
      <c r="D47" s="29"/>
      <c r="E47" s="19"/>
      <c r="F47" s="59"/>
      <c r="G47" s="20"/>
      <c r="H47" s="71"/>
      <c r="I47" s="19"/>
      <c r="J47" s="67"/>
      <c r="K47" s="55">
        <f t="shared" si="0"/>
        <v>0</v>
      </c>
      <c r="L47" s="73" t="e">
        <f t="shared" si="1"/>
        <v>#DIV/0!</v>
      </c>
      <c r="M47" s="11"/>
    </row>
    <row r="48" spans="2:13" x14ac:dyDescent="0.25">
      <c r="B48" s="7"/>
      <c r="C48" s="19"/>
      <c r="D48" s="29"/>
      <c r="E48" s="19"/>
      <c r="F48" s="59"/>
      <c r="G48" s="20"/>
      <c r="H48" s="71"/>
      <c r="I48" s="19"/>
      <c r="J48" s="67"/>
      <c r="K48" s="55">
        <f t="shared" si="0"/>
        <v>0</v>
      </c>
      <c r="L48" s="73" t="e">
        <f t="shared" si="1"/>
        <v>#DIV/0!</v>
      </c>
      <c r="M48" s="11"/>
    </row>
    <row r="49" spans="2:13" x14ac:dyDescent="0.25">
      <c r="B49" s="7"/>
      <c r="C49" s="19"/>
      <c r="D49" s="85"/>
      <c r="E49" s="89"/>
      <c r="F49" s="86"/>
      <c r="G49" s="20"/>
      <c r="H49" s="71"/>
      <c r="I49" s="19"/>
      <c r="J49" s="67"/>
      <c r="K49" s="55">
        <f t="shared" si="0"/>
        <v>0</v>
      </c>
      <c r="L49" s="73" t="e">
        <f t="shared" si="1"/>
        <v>#DIV/0!</v>
      </c>
      <c r="M49" s="11"/>
    </row>
    <row r="50" spans="2:13" x14ac:dyDescent="0.25">
      <c r="B50" s="7"/>
      <c r="C50" s="19"/>
      <c r="D50" s="85"/>
      <c r="E50" s="89"/>
      <c r="F50" s="86"/>
      <c r="G50" s="20"/>
      <c r="H50" s="71"/>
      <c r="I50" s="19"/>
      <c r="J50" s="67"/>
      <c r="K50" s="55">
        <f t="shared" si="0"/>
        <v>0</v>
      </c>
      <c r="L50" s="73" t="e">
        <f t="shared" si="1"/>
        <v>#DIV/0!</v>
      </c>
      <c r="M50" s="11"/>
    </row>
    <row r="51" spans="2:13" x14ac:dyDescent="0.25">
      <c r="B51" s="7"/>
      <c r="C51" s="29"/>
      <c r="D51" s="85"/>
      <c r="E51" s="85"/>
      <c r="F51" s="87"/>
      <c r="G51" s="20"/>
      <c r="H51" s="71"/>
      <c r="I51" s="29"/>
      <c r="J51" s="79"/>
      <c r="K51" s="55">
        <f t="shared" si="0"/>
        <v>0</v>
      </c>
      <c r="L51" s="73" t="e">
        <f t="shared" si="1"/>
        <v>#DIV/0!</v>
      </c>
      <c r="M51" s="11"/>
    </row>
    <row r="52" spans="2:13" x14ac:dyDescent="0.25">
      <c r="B52" s="7"/>
      <c r="C52" s="19"/>
      <c r="D52" s="85"/>
      <c r="E52" s="89"/>
      <c r="F52" s="89"/>
      <c r="G52" s="88"/>
      <c r="H52" s="81"/>
      <c r="I52" s="54"/>
      <c r="J52" s="54"/>
      <c r="K52" s="55">
        <f t="shared" si="0"/>
        <v>0</v>
      </c>
      <c r="L52" s="73" t="e">
        <f t="shared" si="1"/>
        <v>#DIV/0!</v>
      </c>
      <c r="M52" s="11"/>
    </row>
    <row r="53" spans="2:13" x14ac:dyDescent="0.25">
      <c r="B53" s="7"/>
      <c r="C53" s="19"/>
      <c r="D53" s="90"/>
      <c r="E53" s="91"/>
      <c r="F53" s="91"/>
      <c r="G53" s="92"/>
      <c r="H53" s="96"/>
      <c r="I53" s="82"/>
      <c r="J53" s="37"/>
      <c r="K53" s="55">
        <f t="shared" si="0"/>
        <v>0</v>
      </c>
      <c r="L53" s="73" t="e">
        <f t="shared" si="1"/>
        <v>#DIV/0!</v>
      </c>
      <c r="M53" s="11"/>
    </row>
    <row r="54" spans="2:13" x14ac:dyDescent="0.25">
      <c r="B54" s="7"/>
      <c r="C54" s="19"/>
      <c r="D54" s="85"/>
      <c r="E54" s="89"/>
      <c r="F54" s="89"/>
      <c r="G54" s="20"/>
      <c r="H54" s="81"/>
      <c r="I54" s="54"/>
      <c r="J54" s="52"/>
      <c r="K54" s="55">
        <f t="shared" si="0"/>
        <v>0</v>
      </c>
      <c r="L54" s="73" t="e">
        <f t="shared" si="1"/>
        <v>#DIV/0!</v>
      </c>
      <c r="M54" s="11"/>
    </row>
    <row r="55" spans="2:13" ht="15.75" thickBot="1" x14ac:dyDescent="0.3">
      <c r="B55" s="7"/>
      <c r="C55" s="19"/>
      <c r="D55" s="85"/>
      <c r="E55" s="89"/>
      <c r="F55" s="89"/>
      <c r="G55" s="20"/>
      <c r="H55" s="71"/>
      <c r="I55" s="54"/>
      <c r="J55" s="52"/>
      <c r="K55" s="55">
        <f t="shared" si="0"/>
        <v>0</v>
      </c>
      <c r="L55" s="73" t="e">
        <f t="shared" si="1"/>
        <v>#DIV/0!</v>
      </c>
      <c r="M55" s="11"/>
    </row>
    <row r="56" spans="2:13" ht="15.75" thickBot="1" x14ac:dyDescent="0.3">
      <c r="B56" s="7"/>
      <c r="C56" s="105"/>
      <c r="D56" s="75">
        <f>+COUNT($D$11:$D$55)</f>
        <v>15</v>
      </c>
      <c r="E56" s="105"/>
      <c r="F56" s="105"/>
      <c r="G56" s="69"/>
      <c r="H56" s="56">
        <f>SUM($H$11:$H$55)</f>
        <v>5216</v>
      </c>
      <c r="I56" s="57">
        <f>SUM($I$11:$I$55)</f>
        <v>1532.6</v>
      </c>
      <c r="J56" s="70">
        <f>SUM($J$11:$J$55)</f>
        <v>1542.6</v>
      </c>
      <c r="K56" s="72">
        <f>SUM($K$11:$K$55)</f>
        <v>3075.2</v>
      </c>
      <c r="L56" s="74">
        <f t="shared" si="1"/>
        <v>0.58957055214723919</v>
      </c>
      <c r="M56" s="11"/>
    </row>
    <row r="57" spans="2:13" ht="15.75" thickBot="1" x14ac:dyDescent="0.3">
      <c r="B57" s="41"/>
      <c r="C57" s="42"/>
      <c r="D57" s="42"/>
      <c r="E57" s="42"/>
      <c r="F57" s="42"/>
      <c r="G57" s="43"/>
      <c r="H57" s="42"/>
      <c r="I57" s="43"/>
      <c r="J57" s="42"/>
      <c r="K57" s="42"/>
      <c r="L57" s="42"/>
      <c r="M57" s="44"/>
    </row>
    <row r="58" spans="2:13" ht="16.5" thickTop="1" thickBot="1" x14ac:dyDescent="0.3">
      <c r="B58" s="4"/>
      <c r="C58" s="4"/>
      <c r="D58" s="4"/>
      <c r="E58" s="4"/>
      <c r="F58" s="4"/>
      <c r="G58" s="5"/>
      <c r="H58" s="4"/>
      <c r="I58" s="5"/>
      <c r="J58" s="4"/>
      <c r="K58" s="4"/>
      <c r="L58" s="4"/>
      <c r="M58" s="4"/>
    </row>
    <row r="59" spans="2:13" ht="16.5" thickTop="1" thickBot="1" x14ac:dyDescent="0.3">
      <c r="B59" s="3"/>
      <c r="C59" s="4"/>
      <c r="D59" s="4"/>
      <c r="E59" s="4"/>
      <c r="F59" s="4"/>
      <c r="G59" s="5"/>
      <c r="H59" s="4"/>
      <c r="I59" s="5"/>
      <c r="J59" s="4"/>
      <c r="K59" s="4"/>
      <c r="L59" s="4"/>
      <c r="M59" s="6"/>
    </row>
    <row r="60" spans="2:13" ht="15.75" thickBot="1" x14ac:dyDescent="0.3">
      <c r="B60" s="7"/>
      <c r="F60" s="30" t="s">
        <v>12</v>
      </c>
      <c r="G60" s="31" t="s">
        <v>32</v>
      </c>
      <c r="H60" s="51" t="s">
        <v>30</v>
      </c>
      <c r="I60" s="75" t="s">
        <v>54</v>
      </c>
      <c r="J60" s="75" t="s">
        <v>53</v>
      </c>
      <c r="M60" s="11"/>
    </row>
    <row r="61" spans="2:13" x14ac:dyDescent="0.25">
      <c r="B61" s="7"/>
      <c r="F61" s="32" t="s">
        <v>59</v>
      </c>
      <c r="G61" s="97">
        <v>29.55</v>
      </c>
      <c r="H61" s="97">
        <v>28.64</v>
      </c>
      <c r="I61" s="76"/>
      <c r="J61" s="84"/>
      <c r="M61" s="11"/>
    </row>
    <row r="62" spans="2:13" x14ac:dyDescent="0.25">
      <c r="B62" s="7"/>
      <c r="F62" s="33" t="s">
        <v>15</v>
      </c>
      <c r="G62" s="76">
        <v>15</v>
      </c>
      <c r="H62" s="76">
        <v>22.56</v>
      </c>
      <c r="I62" s="76"/>
      <c r="J62" s="21"/>
      <c r="M62" s="11"/>
    </row>
    <row r="63" spans="2:13" x14ac:dyDescent="0.25">
      <c r="B63" s="7"/>
      <c r="F63" s="22" t="s">
        <v>13</v>
      </c>
      <c r="G63" s="76">
        <v>14</v>
      </c>
      <c r="H63" s="76">
        <v>58.379999999999995</v>
      </c>
      <c r="I63" s="76">
        <v>1</v>
      </c>
      <c r="J63" s="21">
        <v>4.58</v>
      </c>
      <c r="M63" s="11"/>
    </row>
    <row r="64" spans="2:13" x14ac:dyDescent="0.25">
      <c r="B64" s="7"/>
      <c r="F64" s="22" t="s">
        <v>16</v>
      </c>
      <c r="G64" s="76">
        <v>15</v>
      </c>
      <c r="H64" s="76">
        <v>15.08</v>
      </c>
      <c r="I64" s="76"/>
      <c r="J64" s="21"/>
      <c r="M64" s="11"/>
    </row>
    <row r="65" spans="2:13" x14ac:dyDescent="0.25">
      <c r="B65" s="7"/>
      <c r="F65" s="33" t="s">
        <v>60</v>
      </c>
      <c r="G65" s="76">
        <v>10</v>
      </c>
      <c r="H65" s="76">
        <v>9.66</v>
      </c>
      <c r="I65" s="76"/>
      <c r="J65" s="21"/>
      <c r="M65" s="11"/>
    </row>
    <row r="66" spans="2:13" x14ac:dyDescent="0.25">
      <c r="B66" s="7"/>
      <c r="F66" s="33" t="s">
        <v>14</v>
      </c>
      <c r="G66" s="76">
        <v>30</v>
      </c>
      <c r="H66" s="76">
        <v>11.46</v>
      </c>
      <c r="I66" s="76"/>
      <c r="J66" s="21"/>
      <c r="M66" s="11"/>
    </row>
    <row r="67" spans="2:13" x14ac:dyDescent="0.25">
      <c r="B67" s="7"/>
      <c r="F67" s="22" t="s">
        <v>20</v>
      </c>
      <c r="G67" s="76">
        <v>60</v>
      </c>
      <c r="H67" s="76">
        <v>5.42</v>
      </c>
      <c r="I67" s="76"/>
      <c r="J67" s="21"/>
      <c r="M67" s="11"/>
    </row>
    <row r="68" spans="2:13" x14ac:dyDescent="0.25">
      <c r="B68" s="7"/>
      <c r="F68" s="33" t="s">
        <v>17</v>
      </c>
      <c r="G68" s="76">
        <v>15</v>
      </c>
      <c r="H68" s="76">
        <v>10.7</v>
      </c>
      <c r="I68" s="76"/>
      <c r="J68" s="21"/>
      <c r="M68" s="11"/>
    </row>
    <row r="69" spans="2:13" x14ac:dyDescent="0.25">
      <c r="B69" s="7"/>
      <c r="F69" s="33" t="s">
        <v>61</v>
      </c>
      <c r="G69" s="76">
        <v>15</v>
      </c>
      <c r="H69" s="76">
        <v>10.5</v>
      </c>
      <c r="I69" s="76"/>
      <c r="J69" s="21"/>
      <c r="M69" s="11"/>
    </row>
    <row r="70" spans="2:13" x14ac:dyDescent="0.25">
      <c r="B70" s="7"/>
      <c r="F70" s="33" t="s">
        <v>48</v>
      </c>
      <c r="G70" s="76">
        <v>17.579999999999998</v>
      </c>
      <c r="H70" s="76">
        <v>16.64</v>
      </c>
      <c r="I70" s="76"/>
      <c r="J70" s="21"/>
      <c r="M70" s="11"/>
    </row>
    <row r="71" spans="2:13" x14ac:dyDescent="0.25">
      <c r="B71" s="7"/>
      <c r="F71" s="22" t="s">
        <v>19</v>
      </c>
      <c r="G71" s="76">
        <v>15</v>
      </c>
      <c r="H71" s="76">
        <v>13.64</v>
      </c>
      <c r="I71" s="76"/>
      <c r="J71" s="21"/>
      <c r="M71" s="11"/>
    </row>
    <row r="72" spans="2:13" x14ac:dyDescent="0.25">
      <c r="B72" s="7"/>
      <c r="F72" s="22" t="s">
        <v>18</v>
      </c>
      <c r="G72" s="76">
        <v>15</v>
      </c>
      <c r="H72" s="76">
        <v>4.8899999999999997</v>
      </c>
      <c r="I72" s="76"/>
      <c r="J72" s="21"/>
      <c r="M72" s="11"/>
    </row>
    <row r="73" spans="2:13" ht="15.75" thickBot="1" x14ac:dyDescent="0.3">
      <c r="B73" s="7"/>
      <c r="F73" s="33" t="s">
        <v>49</v>
      </c>
      <c r="G73" s="76">
        <v>8.06</v>
      </c>
      <c r="H73" s="76">
        <v>7.42</v>
      </c>
      <c r="I73" s="76"/>
      <c r="J73" s="21"/>
      <c r="M73" s="11"/>
    </row>
    <row r="74" spans="2:13" ht="15.75" thickBot="1" x14ac:dyDescent="0.3">
      <c r="B74" s="7"/>
      <c r="F74" s="39" t="s">
        <v>21</v>
      </c>
      <c r="G74" s="23"/>
      <c r="H74" s="23">
        <f>SUM(H61:H73)</f>
        <v>214.98999999999992</v>
      </c>
      <c r="I74" s="80">
        <f>SUM(I61:I73)</f>
        <v>1</v>
      </c>
      <c r="J74" s="23">
        <f>SUM(J61:J73)</f>
        <v>4.58</v>
      </c>
      <c r="M74" s="11"/>
    </row>
    <row r="75" spans="2:13" ht="15.75" thickBot="1" x14ac:dyDescent="0.3">
      <c r="B75" s="41"/>
      <c r="C75" s="42"/>
      <c r="D75" s="42"/>
      <c r="E75" s="42"/>
      <c r="F75" s="42"/>
      <c r="G75" s="43"/>
      <c r="H75" s="42"/>
      <c r="I75" s="43"/>
      <c r="J75" s="42"/>
      <c r="K75" s="42"/>
      <c r="L75" s="42"/>
      <c r="M75" s="44"/>
    </row>
    <row r="76" spans="2:13" ht="16.5" thickTop="1" thickBot="1" x14ac:dyDescent="0.3">
      <c r="B76" s="7"/>
      <c r="F76" s="24"/>
      <c r="G76" s="25"/>
      <c r="H76" s="24"/>
      <c r="I76" s="25"/>
      <c r="M76" s="11"/>
    </row>
    <row r="77" spans="2:13" ht="15.75" thickBot="1" x14ac:dyDescent="0.3">
      <c r="B77" s="7"/>
      <c r="F77" s="34" t="s">
        <v>22</v>
      </c>
      <c r="G77" s="35" t="s">
        <v>33</v>
      </c>
      <c r="H77" s="36" t="s">
        <v>31</v>
      </c>
      <c r="M77" s="11"/>
    </row>
    <row r="78" spans="2:13" x14ac:dyDescent="0.25">
      <c r="B78" s="7"/>
      <c r="F78" s="33" t="s">
        <v>23</v>
      </c>
      <c r="G78" s="38"/>
      <c r="H78" s="21"/>
      <c r="M78" s="11"/>
    </row>
    <row r="79" spans="2:13" x14ac:dyDescent="0.25">
      <c r="B79" s="7"/>
      <c r="F79" s="33" t="s">
        <v>24</v>
      </c>
      <c r="G79" s="37">
        <f>+D56</f>
        <v>15</v>
      </c>
      <c r="H79" s="21"/>
      <c r="M79" s="11"/>
    </row>
    <row r="80" spans="2:13" x14ac:dyDescent="0.25">
      <c r="B80" s="7"/>
      <c r="F80" s="22" t="s">
        <v>34</v>
      </c>
      <c r="G80" s="38"/>
      <c r="H80" s="21"/>
      <c r="M80" s="11"/>
    </row>
    <row r="81" spans="2:13" x14ac:dyDescent="0.25">
      <c r="B81" s="7"/>
      <c r="F81" s="22" t="s">
        <v>35</v>
      </c>
      <c r="G81" s="38"/>
      <c r="H81" s="21"/>
      <c r="M81" s="11"/>
    </row>
    <row r="82" spans="2:13" ht="15.75" thickBot="1" x14ac:dyDescent="0.3">
      <c r="B82" s="7"/>
      <c r="F82" s="22" t="s">
        <v>29</v>
      </c>
      <c r="G82" s="37"/>
      <c r="H82" s="21"/>
      <c r="M82" s="11"/>
    </row>
    <row r="83" spans="2:13" ht="15.75" thickBot="1" x14ac:dyDescent="0.3">
      <c r="B83" s="7"/>
      <c r="F83" s="39" t="s">
        <v>21</v>
      </c>
      <c r="G83" s="40"/>
      <c r="H83" s="23">
        <f>SUM(H78:H82)</f>
        <v>0</v>
      </c>
      <c r="M83" s="11"/>
    </row>
    <row r="84" spans="2:13" ht="15.75" thickBot="1" x14ac:dyDescent="0.3">
      <c r="B84" s="41"/>
      <c r="C84" s="42"/>
      <c r="D84" s="42"/>
      <c r="E84" s="42"/>
      <c r="F84" s="42"/>
      <c r="G84" s="43"/>
      <c r="H84" s="42"/>
      <c r="I84" s="43"/>
      <c r="J84" s="42"/>
      <c r="K84" s="42"/>
      <c r="L84" s="42"/>
      <c r="M84" s="44"/>
    </row>
    <row r="85" spans="2:13" ht="15.75" thickTop="1" x14ac:dyDescent="0.25">
      <c r="H85" s="49"/>
    </row>
  </sheetData>
  <mergeCells count="2">
    <mergeCell ref="J7:L7"/>
    <mergeCell ref="J8:L8"/>
  </mergeCells>
  <conditionalFormatting sqref="L11:L55">
    <cfRule type="cellIs" dxfId="101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P85"/>
  <sheetViews>
    <sheetView topLeftCell="F62" zoomScaleNormal="100" workbookViewId="0">
      <selection activeCell="P36" sqref="P36"/>
    </sheetView>
  </sheetViews>
  <sheetFormatPr baseColWidth="10" defaultColWidth="12.42578125" defaultRowHeight="15" x14ac:dyDescent="0.25"/>
  <cols>
    <col min="1" max="1" width="4" style="1" customWidth="1"/>
    <col min="2" max="2" width="3.7109375" style="1" customWidth="1"/>
    <col min="3" max="3" width="8.5703125" style="1" bestFit="1" customWidth="1"/>
    <col min="4" max="4" width="9" style="1" customWidth="1"/>
    <col min="5" max="5" width="5.7109375" style="1" bestFit="1" customWidth="1"/>
    <col min="6" max="6" width="29.85546875" style="1" bestFit="1" customWidth="1"/>
    <col min="7" max="7" width="17.42578125" style="2" customWidth="1"/>
    <col min="8" max="8" width="12.7109375" style="1" customWidth="1"/>
    <col min="9" max="9" width="12.7109375" style="2" customWidth="1"/>
    <col min="10" max="11" width="12.7109375" style="1" customWidth="1"/>
    <col min="12" max="12" width="12.42578125" style="1"/>
    <col min="13" max="13" width="3.7109375" style="1" customWidth="1"/>
    <col min="14" max="14" width="12.42578125" style="1"/>
    <col min="15" max="15" width="2" style="1" bestFit="1" customWidth="1"/>
    <col min="16" max="16" width="17.140625" style="1" bestFit="1" customWidth="1"/>
    <col min="17" max="16384" width="12.42578125" style="1"/>
  </cols>
  <sheetData>
    <row r="1" spans="2:16" ht="15.75" thickBot="1" x14ac:dyDescent="0.3"/>
    <row r="2" spans="2:16" ht="16.5" thickTop="1" thickBot="1" x14ac:dyDescent="0.3">
      <c r="B2" s="3"/>
      <c r="C2" s="4"/>
      <c r="D2" s="4"/>
      <c r="E2" s="4"/>
      <c r="F2" s="4"/>
      <c r="G2" s="5"/>
      <c r="H2" s="4"/>
      <c r="I2" s="5"/>
      <c r="J2" s="4"/>
      <c r="K2" s="4"/>
      <c r="L2" s="4"/>
      <c r="M2" s="6"/>
    </row>
    <row r="3" spans="2:16" ht="21.75" thickBot="1" x14ac:dyDescent="0.3">
      <c r="B3" s="7"/>
      <c r="F3" s="8" t="s">
        <v>0</v>
      </c>
      <c r="G3" s="9">
        <f>+H56</f>
        <v>17870</v>
      </c>
      <c r="H3" s="10"/>
      <c r="I3" s="46" t="s">
        <v>28</v>
      </c>
      <c r="M3" s="11"/>
    </row>
    <row r="4" spans="2:16" ht="21.75" thickBot="1" x14ac:dyDescent="0.3">
      <c r="B4" s="7"/>
      <c r="F4" s="8" t="s">
        <v>1</v>
      </c>
      <c r="G4" s="9">
        <f>+K56</f>
        <v>10641.5</v>
      </c>
      <c r="H4" s="10"/>
      <c r="I4" s="47">
        <f>+L56</f>
        <v>0.59549524342473414</v>
      </c>
      <c r="M4" s="11"/>
    </row>
    <row r="5" spans="2:16" ht="21.75" thickBot="1" x14ac:dyDescent="0.3">
      <c r="B5" s="7"/>
      <c r="F5" s="8" t="s">
        <v>2</v>
      </c>
      <c r="G5" s="12">
        <v>46028</v>
      </c>
      <c r="H5" s="10"/>
      <c r="I5" s="58" t="s">
        <v>36</v>
      </c>
      <c r="M5" s="11"/>
    </row>
    <row r="6" spans="2:16" ht="21.75" thickBot="1" x14ac:dyDescent="0.3">
      <c r="B6" s="7"/>
      <c r="F6" s="8" t="s">
        <v>3</v>
      </c>
      <c r="G6" s="65">
        <v>7</v>
      </c>
      <c r="H6" s="10"/>
      <c r="I6" s="63">
        <f>+K56/G7</f>
        <v>304.04285714285714</v>
      </c>
      <c r="M6" s="11"/>
    </row>
    <row r="7" spans="2:16" ht="21.75" thickBot="1" x14ac:dyDescent="0.3">
      <c r="B7" s="7"/>
      <c r="F7" s="8" t="s">
        <v>4</v>
      </c>
      <c r="G7" s="48">
        <f>+D56</f>
        <v>35</v>
      </c>
      <c r="H7" s="10"/>
      <c r="I7" s="103" t="s">
        <v>38</v>
      </c>
      <c r="J7" s="338" t="s">
        <v>296</v>
      </c>
      <c r="K7" s="338"/>
      <c r="L7" s="339"/>
      <c r="M7" s="11"/>
    </row>
    <row r="8" spans="2:16" ht="21.75" thickBot="1" x14ac:dyDescent="0.3">
      <c r="B8" s="7"/>
      <c r="F8" s="101"/>
      <c r="G8" s="102"/>
      <c r="H8" s="10"/>
      <c r="I8" s="103" t="s">
        <v>88</v>
      </c>
      <c r="J8" s="338" t="s">
        <v>297</v>
      </c>
      <c r="K8" s="338"/>
      <c r="L8" s="339"/>
      <c r="M8" s="11"/>
    </row>
    <row r="9" spans="2:16" ht="15.75" thickBot="1" x14ac:dyDescent="0.3">
      <c r="B9" s="7"/>
      <c r="M9" s="11"/>
    </row>
    <row r="10" spans="2:16" s="18" customFormat="1" ht="45.75" thickBot="1" x14ac:dyDescent="0.3">
      <c r="B10" s="13"/>
      <c r="C10" s="27" t="s">
        <v>9</v>
      </c>
      <c r="D10" s="26" t="s">
        <v>5</v>
      </c>
      <c r="E10" s="99" t="s">
        <v>63</v>
      </c>
      <c r="F10" s="14" t="s">
        <v>6</v>
      </c>
      <c r="G10" s="16" t="s">
        <v>7</v>
      </c>
      <c r="H10" s="45" t="s">
        <v>26</v>
      </c>
      <c r="I10" s="15" t="s">
        <v>10</v>
      </c>
      <c r="J10" s="27" t="s">
        <v>11</v>
      </c>
      <c r="K10" s="45" t="s">
        <v>25</v>
      </c>
      <c r="L10" s="50" t="s">
        <v>27</v>
      </c>
      <c r="M10" s="17"/>
    </row>
    <row r="11" spans="2:16" x14ac:dyDescent="0.25">
      <c r="B11" s="7"/>
      <c r="C11" s="28">
        <v>31</v>
      </c>
      <c r="D11" s="28">
        <v>13</v>
      </c>
      <c r="E11" s="19" t="s">
        <v>75</v>
      </c>
      <c r="F11" s="59" t="s">
        <v>130</v>
      </c>
      <c r="G11" s="112" t="s">
        <v>261</v>
      </c>
      <c r="H11" s="113">
        <v>504</v>
      </c>
      <c r="I11" s="66">
        <v>147.4</v>
      </c>
      <c r="J11" s="67">
        <v>147.9</v>
      </c>
      <c r="K11" s="53">
        <f t="shared" ref="K11:K55" si="0">+I11+J11</f>
        <v>295.3</v>
      </c>
      <c r="L11" s="73">
        <f t="shared" ref="L11:L56" si="1">+K11/H11</f>
        <v>0.58591269841269844</v>
      </c>
      <c r="M11" s="11"/>
      <c r="N11" s="64" t="s">
        <v>42</v>
      </c>
      <c r="O11" s="1">
        <f>+COUNTIF($F$11:$F$55,"NOVILLITO (NT)")</f>
        <v>0</v>
      </c>
      <c r="P11" s="59" t="s">
        <v>8</v>
      </c>
    </row>
    <row r="12" spans="2:16" x14ac:dyDescent="0.25">
      <c r="B12" s="7"/>
      <c r="C12" s="29">
        <v>32</v>
      </c>
      <c r="D12" s="29">
        <v>25</v>
      </c>
      <c r="E12" s="19" t="s">
        <v>67</v>
      </c>
      <c r="F12" s="59" t="s">
        <v>262</v>
      </c>
      <c r="G12" s="114" t="s">
        <v>263</v>
      </c>
      <c r="H12" s="115">
        <v>532</v>
      </c>
      <c r="I12" s="19">
        <v>154.6</v>
      </c>
      <c r="J12" s="67">
        <v>156.80000000000001</v>
      </c>
      <c r="K12" s="55">
        <f t="shared" si="0"/>
        <v>311.39999999999998</v>
      </c>
      <c r="L12" s="73">
        <f t="shared" si="1"/>
        <v>0.5853383458646616</v>
      </c>
      <c r="M12" s="11"/>
      <c r="N12" s="64" t="s">
        <v>40</v>
      </c>
      <c r="O12" s="1">
        <f>+COUNTIF($F$11:$F$56,"VAQUILLONA (Vq)")</f>
        <v>0</v>
      </c>
      <c r="P12" s="59" t="s">
        <v>37</v>
      </c>
    </row>
    <row r="13" spans="2:16" x14ac:dyDescent="0.25">
      <c r="B13" s="7"/>
      <c r="C13" s="29">
        <v>33</v>
      </c>
      <c r="D13" s="29">
        <v>34</v>
      </c>
      <c r="E13" s="19" t="s">
        <v>68</v>
      </c>
      <c r="F13" s="59" t="s">
        <v>130</v>
      </c>
      <c r="G13" s="114" t="s">
        <v>208</v>
      </c>
      <c r="H13" s="115">
        <v>502</v>
      </c>
      <c r="I13" s="19">
        <v>149.6</v>
      </c>
      <c r="J13" s="67">
        <v>149.6</v>
      </c>
      <c r="K13" s="55">
        <f t="shared" si="0"/>
        <v>299.2</v>
      </c>
      <c r="L13" s="73">
        <f t="shared" si="1"/>
        <v>0.59601593625498006</v>
      </c>
      <c r="M13" s="11"/>
      <c r="N13" s="64" t="s">
        <v>44</v>
      </c>
      <c r="O13" s="1">
        <f>+COUNTIF($F$11:$F$56,"TORITO (MEJ)")</f>
        <v>0</v>
      </c>
      <c r="P13" s="59" t="s">
        <v>43</v>
      </c>
    </row>
    <row r="14" spans="2:16" x14ac:dyDescent="0.25">
      <c r="B14" s="7"/>
      <c r="C14" s="29">
        <v>34</v>
      </c>
      <c r="D14" s="29">
        <v>10</v>
      </c>
      <c r="E14" s="19" t="s">
        <v>67</v>
      </c>
      <c r="F14" s="59" t="s">
        <v>264</v>
      </c>
      <c r="G14" s="114" t="s">
        <v>265</v>
      </c>
      <c r="H14" s="115">
        <v>538</v>
      </c>
      <c r="I14" s="19">
        <v>151.5</v>
      </c>
      <c r="J14" s="67">
        <v>151.4</v>
      </c>
      <c r="K14" s="55">
        <f t="shared" si="0"/>
        <v>302.89999999999998</v>
      </c>
      <c r="L14" s="73">
        <f t="shared" si="1"/>
        <v>0.5630111524163568</v>
      </c>
      <c r="M14" s="11"/>
      <c r="N14" s="78" t="s">
        <v>45</v>
      </c>
      <c r="O14" s="1">
        <f>+COUNTIF($F$11:$F$56,"NOVILLO (No)")</f>
        <v>0</v>
      </c>
      <c r="P14" s="19" t="s">
        <v>39</v>
      </c>
    </row>
    <row r="15" spans="2:16" x14ac:dyDescent="0.25">
      <c r="B15" s="7"/>
      <c r="C15" s="29">
        <v>35</v>
      </c>
      <c r="D15" s="29">
        <v>14</v>
      </c>
      <c r="E15" s="19" t="s">
        <v>75</v>
      </c>
      <c r="F15" s="59" t="s">
        <v>130</v>
      </c>
      <c r="G15" s="114" t="s">
        <v>266</v>
      </c>
      <c r="H15" s="115">
        <v>534</v>
      </c>
      <c r="I15" s="19">
        <v>160.69999999999999</v>
      </c>
      <c r="J15" s="67">
        <v>161.69999999999999</v>
      </c>
      <c r="K15" s="55">
        <f t="shared" si="0"/>
        <v>322.39999999999998</v>
      </c>
      <c r="L15" s="73">
        <f t="shared" si="1"/>
        <v>0.60374531835205991</v>
      </c>
      <c r="M15" s="11"/>
      <c r="N15" s="78" t="s">
        <v>46</v>
      </c>
      <c r="O15" s="1">
        <f>+COUNTIF($F$11:$F$56,"VACA (Va)")</f>
        <v>0</v>
      </c>
      <c r="P15" s="83" t="s">
        <v>50</v>
      </c>
    </row>
    <row r="16" spans="2:16" x14ac:dyDescent="0.25">
      <c r="B16" s="7"/>
      <c r="C16" s="29">
        <v>36</v>
      </c>
      <c r="D16" s="29">
        <v>35</v>
      </c>
      <c r="E16" s="19" t="s">
        <v>67</v>
      </c>
      <c r="F16" s="59" t="s">
        <v>262</v>
      </c>
      <c r="G16" s="114" t="s">
        <v>267</v>
      </c>
      <c r="H16" s="115">
        <v>520</v>
      </c>
      <c r="I16" s="19">
        <v>143.69999999999999</v>
      </c>
      <c r="J16" s="67">
        <v>148.19999999999999</v>
      </c>
      <c r="K16" s="55">
        <f t="shared" si="0"/>
        <v>291.89999999999998</v>
      </c>
      <c r="L16" s="73">
        <f t="shared" si="1"/>
        <v>0.56134615384615383</v>
      </c>
      <c r="M16" s="11"/>
      <c r="N16" s="64" t="s">
        <v>47</v>
      </c>
      <c r="O16" s="1">
        <f>+COUNTIF($F$11:$F$56,"TORO (To)")</f>
        <v>0</v>
      </c>
      <c r="P16" s="83" t="s">
        <v>51</v>
      </c>
    </row>
    <row r="17" spans="2:16" x14ac:dyDescent="0.25">
      <c r="B17" s="7"/>
      <c r="C17" s="29">
        <v>37</v>
      </c>
      <c r="D17" s="29">
        <v>27</v>
      </c>
      <c r="E17" s="19" t="s">
        <v>75</v>
      </c>
      <c r="F17" s="59" t="s">
        <v>130</v>
      </c>
      <c r="G17" s="114" t="s">
        <v>268</v>
      </c>
      <c r="H17" s="115">
        <v>484</v>
      </c>
      <c r="I17" s="19">
        <v>141.1</v>
      </c>
      <c r="J17" s="67">
        <v>143.69999999999999</v>
      </c>
      <c r="K17" s="55">
        <f t="shared" si="0"/>
        <v>284.79999999999995</v>
      </c>
      <c r="L17" s="73">
        <f t="shared" si="1"/>
        <v>0.58842975206611559</v>
      </c>
      <c r="M17" s="11"/>
      <c r="N17" s="77"/>
      <c r="O17" s="1">
        <f>SUM(O11:O16)</f>
        <v>0</v>
      </c>
    </row>
    <row r="18" spans="2:16" x14ac:dyDescent="0.25">
      <c r="B18" s="7"/>
      <c r="C18" s="29">
        <v>38</v>
      </c>
      <c r="D18" s="29">
        <v>28</v>
      </c>
      <c r="E18" s="19" t="s">
        <v>75</v>
      </c>
      <c r="F18" s="59" t="s">
        <v>262</v>
      </c>
      <c r="G18" s="114" t="s">
        <v>269</v>
      </c>
      <c r="H18" s="115">
        <v>564</v>
      </c>
      <c r="I18" s="19">
        <v>154.9</v>
      </c>
      <c r="J18" s="67">
        <v>160.19999999999999</v>
      </c>
      <c r="K18" s="55">
        <f t="shared" si="0"/>
        <v>315.10000000000002</v>
      </c>
      <c r="L18" s="73">
        <f t="shared" si="1"/>
        <v>0.55868794326241134</v>
      </c>
      <c r="M18" s="11"/>
    </row>
    <row r="19" spans="2:16" x14ac:dyDescent="0.25">
      <c r="B19" s="7"/>
      <c r="C19" s="61">
        <v>39</v>
      </c>
      <c r="D19" s="61">
        <v>29</v>
      </c>
      <c r="E19" s="59" t="s">
        <v>75</v>
      </c>
      <c r="F19" s="59" t="s">
        <v>130</v>
      </c>
      <c r="G19" s="114" t="s">
        <v>270</v>
      </c>
      <c r="H19" s="115">
        <v>506</v>
      </c>
      <c r="I19" s="19">
        <v>151.1</v>
      </c>
      <c r="J19" s="67">
        <v>152.80000000000001</v>
      </c>
      <c r="K19" s="55">
        <f t="shared" si="0"/>
        <v>303.89999999999998</v>
      </c>
      <c r="L19" s="73">
        <f t="shared" si="1"/>
        <v>0.60059288537549405</v>
      </c>
      <c r="M19" s="11"/>
      <c r="P19" s="100" t="s">
        <v>63</v>
      </c>
    </row>
    <row r="20" spans="2:16" x14ac:dyDescent="0.25">
      <c r="B20" s="7"/>
      <c r="C20" s="61">
        <v>40</v>
      </c>
      <c r="D20" s="61">
        <v>20</v>
      </c>
      <c r="E20" s="59" t="s">
        <v>75</v>
      </c>
      <c r="F20" s="59" t="s">
        <v>130</v>
      </c>
      <c r="G20" s="114" t="s">
        <v>271</v>
      </c>
      <c r="H20" s="115">
        <v>520</v>
      </c>
      <c r="I20" s="19">
        <v>146.5</v>
      </c>
      <c r="J20" s="67">
        <v>150.6</v>
      </c>
      <c r="K20" s="55">
        <f t="shared" si="0"/>
        <v>297.10000000000002</v>
      </c>
      <c r="L20" s="73">
        <f t="shared" si="1"/>
        <v>0.57134615384615384</v>
      </c>
      <c r="M20" s="11"/>
      <c r="N20" s="64" t="s">
        <v>67</v>
      </c>
      <c r="P20" s="1" t="s">
        <v>64</v>
      </c>
    </row>
    <row r="21" spans="2:16" x14ac:dyDescent="0.25">
      <c r="B21" s="7"/>
      <c r="C21" s="19">
        <v>41</v>
      </c>
      <c r="D21" s="29">
        <v>5</v>
      </c>
      <c r="E21" s="19" t="s">
        <v>75</v>
      </c>
      <c r="F21" s="59" t="s">
        <v>130</v>
      </c>
      <c r="G21" s="114" t="s">
        <v>112</v>
      </c>
      <c r="H21" s="115">
        <v>482</v>
      </c>
      <c r="I21" s="19">
        <v>145.80000000000001</v>
      </c>
      <c r="J21" s="67">
        <v>145</v>
      </c>
      <c r="K21" s="55">
        <f t="shared" si="0"/>
        <v>290.8</v>
      </c>
      <c r="L21" s="73">
        <f t="shared" si="1"/>
        <v>0.60331950207468887</v>
      </c>
      <c r="M21" s="11"/>
      <c r="N21" s="64" t="s">
        <v>68</v>
      </c>
      <c r="P21" t="s">
        <v>65</v>
      </c>
    </row>
    <row r="22" spans="2:16" x14ac:dyDescent="0.25">
      <c r="B22" s="7"/>
      <c r="C22" s="19">
        <v>42</v>
      </c>
      <c r="D22" s="29">
        <v>16</v>
      </c>
      <c r="E22" s="19" t="s">
        <v>75</v>
      </c>
      <c r="F22" s="59" t="s">
        <v>130</v>
      </c>
      <c r="G22" s="114" t="s">
        <v>272</v>
      </c>
      <c r="H22" s="115">
        <v>489</v>
      </c>
      <c r="I22" s="19">
        <v>149.19999999999999</v>
      </c>
      <c r="J22" s="67">
        <v>150.1</v>
      </c>
      <c r="K22" s="55">
        <f t="shared" si="0"/>
        <v>299.29999999999995</v>
      </c>
      <c r="L22" s="73">
        <f t="shared" si="1"/>
        <v>0.61206543967280158</v>
      </c>
      <c r="M22" s="11"/>
      <c r="N22" s="64" t="s">
        <v>75</v>
      </c>
      <c r="P22" t="s">
        <v>74</v>
      </c>
    </row>
    <row r="23" spans="2:16" x14ac:dyDescent="0.25">
      <c r="B23" s="7"/>
      <c r="C23" s="59">
        <v>43</v>
      </c>
      <c r="D23" s="61">
        <v>31</v>
      </c>
      <c r="E23" s="59" t="s">
        <v>67</v>
      </c>
      <c r="F23" s="59" t="s">
        <v>130</v>
      </c>
      <c r="G23" s="114" t="s">
        <v>273</v>
      </c>
      <c r="H23" s="115">
        <v>494</v>
      </c>
      <c r="I23" s="19">
        <v>148.69999999999999</v>
      </c>
      <c r="J23" s="67">
        <v>152.4</v>
      </c>
      <c r="K23" s="55">
        <f t="shared" si="0"/>
        <v>301.10000000000002</v>
      </c>
      <c r="L23" s="73">
        <f t="shared" si="1"/>
        <v>0.60951417004048591</v>
      </c>
      <c r="M23" s="11"/>
      <c r="N23" s="64" t="s">
        <v>69</v>
      </c>
      <c r="P23" t="s">
        <v>66</v>
      </c>
    </row>
    <row r="24" spans="2:16" x14ac:dyDescent="0.25">
      <c r="B24" s="7"/>
      <c r="C24" s="19">
        <v>44</v>
      </c>
      <c r="D24" s="29">
        <v>9</v>
      </c>
      <c r="E24" s="19" t="s">
        <v>68</v>
      </c>
      <c r="F24" s="59" t="s">
        <v>130</v>
      </c>
      <c r="G24" s="114" t="s">
        <v>274</v>
      </c>
      <c r="H24" s="115">
        <v>516</v>
      </c>
      <c r="I24" s="19">
        <v>150.9</v>
      </c>
      <c r="J24" s="68">
        <v>151.19999999999999</v>
      </c>
      <c r="K24" s="55">
        <f t="shared" si="0"/>
        <v>302.10000000000002</v>
      </c>
      <c r="L24" s="104">
        <f t="shared" si="1"/>
        <v>0.58546511627906983</v>
      </c>
      <c r="M24" s="11"/>
      <c r="N24" s="64" t="s">
        <v>70</v>
      </c>
      <c r="P24" t="s">
        <v>71</v>
      </c>
    </row>
    <row r="25" spans="2:16" x14ac:dyDescent="0.25">
      <c r="B25" s="7"/>
      <c r="C25" s="19">
        <v>45</v>
      </c>
      <c r="D25" s="29">
        <v>26</v>
      </c>
      <c r="E25" s="19" t="s">
        <v>75</v>
      </c>
      <c r="F25" s="59" t="s">
        <v>130</v>
      </c>
      <c r="G25" s="114" t="s">
        <v>275</v>
      </c>
      <c r="H25" s="115">
        <v>546</v>
      </c>
      <c r="I25" s="19">
        <v>158.4</v>
      </c>
      <c r="J25" s="67">
        <v>156.9</v>
      </c>
      <c r="K25" s="55">
        <f t="shared" si="0"/>
        <v>315.3</v>
      </c>
      <c r="L25" s="73">
        <f t="shared" si="1"/>
        <v>0.57747252747252753</v>
      </c>
      <c r="M25" s="11"/>
      <c r="N25" s="64" t="s">
        <v>73</v>
      </c>
      <c r="P25" t="s">
        <v>72</v>
      </c>
    </row>
    <row r="26" spans="2:16" x14ac:dyDescent="0.25">
      <c r="B26" s="7"/>
      <c r="C26" s="19">
        <v>46</v>
      </c>
      <c r="D26" s="29">
        <v>2</v>
      </c>
      <c r="E26" s="19" t="s">
        <v>75</v>
      </c>
      <c r="F26" s="59" t="s">
        <v>130</v>
      </c>
      <c r="G26" s="114" t="s">
        <v>276</v>
      </c>
      <c r="H26" s="115">
        <v>578</v>
      </c>
      <c r="I26" s="19">
        <v>170.6</v>
      </c>
      <c r="J26" s="67">
        <v>175.6</v>
      </c>
      <c r="K26" s="55">
        <f t="shared" si="0"/>
        <v>346.2</v>
      </c>
      <c r="L26" s="73">
        <f t="shared" si="1"/>
        <v>0.59896193771626294</v>
      </c>
      <c r="M26" s="11"/>
      <c r="N26" s="64" t="s">
        <v>78</v>
      </c>
      <c r="P26" t="s">
        <v>76</v>
      </c>
    </row>
    <row r="27" spans="2:16" x14ac:dyDescent="0.25">
      <c r="B27" s="7"/>
      <c r="C27" s="19">
        <v>47</v>
      </c>
      <c r="D27" s="29">
        <v>32</v>
      </c>
      <c r="E27" s="19" t="s">
        <v>277</v>
      </c>
      <c r="F27" s="59" t="s">
        <v>130</v>
      </c>
      <c r="G27" s="114" t="s">
        <v>278</v>
      </c>
      <c r="H27" s="115">
        <v>492</v>
      </c>
      <c r="I27" s="19">
        <v>152.4</v>
      </c>
      <c r="J27" s="67">
        <v>149.19999999999999</v>
      </c>
      <c r="K27" s="55">
        <f t="shared" si="0"/>
        <v>301.60000000000002</v>
      </c>
      <c r="L27" s="73">
        <f t="shared" si="1"/>
        <v>0.61300813008130084</v>
      </c>
      <c r="M27" s="11"/>
    </row>
    <row r="28" spans="2:16" x14ac:dyDescent="0.25">
      <c r="B28" s="7"/>
      <c r="C28" s="19">
        <v>48</v>
      </c>
      <c r="D28" s="29">
        <v>18</v>
      </c>
      <c r="E28" s="19" t="s">
        <v>68</v>
      </c>
      <c r="F28" s="19" t="s">
        <v>130</v>
      </c>
      <c r="G28" s="79" t="s">
        <v>279</v>
      </c>
      <c r="H28" s="116">
        <v>485</v>
      </c>
      <c r="I28" s="19">
        <v>147.19999999999999</v>
      </c>
      <c r="J28" s="67">
        <v>145.9</v>
      </c>
      <c r="K28" s="55">
        <f t="shared" si="0"/>
        <v>293.10000000000002</v>
      </c>
      <c r="L28" s="73">
        <f t="shared" si="1"/>
        <v>0.6043298969072165</v>
      </c>
      <c r="M28" s="11"/>
    </row>
    <row r="29" spans="2:16" x14ac:dyDescent="0.25">
      <c r="B29" s="7"/>
      <c r="C29" s="19">
        <v>49</v>
      </c>
      <c r="D29" s="29">
        <v>19</v>
      </c>
      <c r="E29" s="19" t="s">
        <v>68</v>
      </c>
      <c r="F29" s="59" t="s">
        <v>130</v>
      </c>
      <c r="G29" s="114" t="s">
        <v>280</v>
      </c>
      <c r="H29" s="115">
        <v>466</v>
      </c>
      <c r="I29" s="19">
        <v>144.30000000000001</v>
      </c>
      <c r="J29" s="67">
        <v>147.4</v>
      </c>
      <c r="K29" s="55">
        <f t="shared" si="0"/>
        <v>291.70000000000005</v>
      </c>
      <c r="L29" s="73">
        <f t="shared" si="1"/>
        <v>0.62596566523605157</v>
      </c>
      <c r="M29" s="11"/>
    </row>
    <row r="30" spans="2:16" x14ac:dyDescent="0.25">
      <c r="B30" s="7"/>
      <c r="C30" s="19">
        <v>50</v>
      </c>
      <c r="D30" s="29">
        <v>4</v>
      </c>
      <c r="E30" s="19" t="s">
        <v>67</v>
      </c>
      <c r="F30" s="59" t="s">
        <v>130</v>
      </c>
      <c r="G30" s="114" t="s">
        <v>281</v>
      </c>
      <c r="H30" s="115">
        <v>522</v>
      </c>
      <c r="I30" s="19">
        <v>157</v>
      </c>
      <c r="J30" s="67">
        <v>158.80000000000001</v>
      </c>
      <c r="K30" s="55">
        <f t="shared" si="0"/>
        <v>315.8</v>
      </c>
      <c r="L30" s="73">
        <f t="shared" si="1"/>
        <v>0.60498084291187737</v>
      </c>
      <c r="M30" s="11"/>
    </row>
    <row r="31" spans="2:16" x14ac:dyDescent="0.25">
      <c r="B31" s="7"/>
      <c r="C31" s="19">
        <v>51</v>
      </c>
      <c r="D31" s="29">
        <v>23</v>
      </c>
      <c r="E31" s="19" t="s">
        <v>75</v>
      </c>
      <c r="F31" s="59" t="s">
        <v>130</v>
      </c>
      <c r="G31" s="114" t="s">
        <v>282</v>
      </c>
      <c r="H31" s="115">
        <v>495</v>
      </c>
      <c r="I31" s="19">
        <v>149.6</v>
      </c>
      <c r="J31" s="67">
        <v>153.30000000000001</v>
      </c>
      <c r="K31" s="55">
        <f t="shared" si="0"/>
        <v>302.89999999999998</v>
      </c>
      <c r="L31" s="73">
        <f t="shared" si="1"/>
        <v>0.61191919191919186</v>
      </c>
      <c r="M31" s="11"/>
    </row>
    <row r="32" spans="2:16" x14ac:dyDescent="0.25">
      <c r="B32" s="7"/>
      <c r="C32" s="59">
        <v>52</v>
      </c>
      <c r="D32" s="61">
        <v>8</v>
      </c>
      <c r="E32" s="59" t="s">
        <v>67</v>
      </c>
      <c r="F32" s="59" t="s">
        <v>130</v>
      </c>
      <c r="G32" s="114" t="s">
        <v>283</v>
      </c>
      <c r="H32" s="115">
        <v>518</v>
      </c>
      <c r="I32" s="19">
        <v>156.69999999999999</v>
      </c>
      <c r="J32" s="67">
        <v>158.4</v>
      </c>
      <c r="K32" s="55">
        <f t="shared" si="0"/>
        <v>315.10000000000002</v>
      </c>
      <c r="L32" s="73">
        <f t="shared" si="1"/>
        <v>0.60830115830115838</v>
      </c>
      <c r="M32" s="11"/>
    </row>
    <row r="33" spans="2:13" x14ac:dyDescent="0.25">
      <c r="B33" s="7"/>
      <c r="C33" s="19">
        <v>53</v>
      </c>
      <c r="D33" s="29">
        <v>15</v>
      </c>
      <c r="E33" s="19" t="s">
        <v>75</v>
      </c>
      <c r="F33" s="59" t="s">
        <v>133</v>
      </c>
      <c r="G33" s="114" t="s">
        <v>284</v>
      </c>
      <c r="H33" s="115">
        <v>488</v>
      </c>
      <c r="I33" s="19">
        <v>154</v>
      </c>
      <c r="J33" s="67">
        <v>156.5</v>
      </c>
      <c r="K33" s="55">
        <f t="shared" si="0"/>
        <v>310.5</v>
      </c>
      <c r="L33" s="73">
        <f t="shared" si="1"/>
        <v>0.63627049180327866</v>
      </c>
      <c r="M33" s="11"/>
    </row>
    <row r="34" spans="2:13" x14ac:dyDescent="0.25">
      <c r="B34" s="7"/>
      <c r="C34" s="59">
        <v>54</v>
      </c>
      <c r="D34" s="61">
        <v>17</v>
      </c>
      <c r="E34" s="59" t="s">
        <v>67</v>
      </c>
      <c r="F34" s="59" t="s">
        <v>130</v>
      </c>
      <c r="G34" s="114" t="s">
        <v>285</v>
      </c>
      <c r="H34" s="115">
        <v>492</v>
      </c>
      <c r="I34" s="19">
        <v>142.4</v>
      </c>
      <c r="J34" s="67">
        <v>142.69999999999999</v>
      </c>
      <c r="K34" s="55">
        <f t="shared" si="0"/>
        <v>285.10000000000002</v>
      </c>
      <c r="L34" s="73">
        <f t="shared" si="1"/>
        <v>0.57947154471544715</v>
      </c>
      <c r="M34" s="11"/>
    </row>
    <row r="35" spans="2:13" x14ac:dyDescent="0.25">
      <c r="B35" s="7"/>
      <c r="C35" s="59">
        <v>55</v>
      </c>
      <c r="D35" s="61">
        <v>21</v>
      </c>
      <c r="E35" s="59" t="s">
        <v>75</v>
      </c>
      <c r="F35" s="59" t="s">
        <v>262</v>
      </c>
      <c r="G35" s="114" t="s">
        <v>286</v>
      </c>
      <c r="H35" s="115">
        <v>572</v>
      </c>
      <c r="I35" s="19">
        <v>160.30000000000001</v>
      </c>
      <c r="J35" s="67">
        <v>161.19999999999999</v>
      </c>
      <c r="K35" s="55">
        <f t="shared" si="0"/>
        <v>321.5</v>
      </c>
      <c r="L35" s="73">
        <f t="shared" si="1"/>
        <v>0.56206293706293708</v>
      </c>
      <c r="M35" s="11"/>
    </row>
    <row r="36" spans="2:13" x14ac:dyDescent="0.25">
      <c r="B36" s="7"/>
      <c r="C36" s="59">
        <v>56</v>
      </c>
      <c r="D36" s="61">
        <v>24</v>
      </c>
      <c r="E36" s="59" t="s">
        <v>68</v>
      </c>
      <c r="F36" s="59" t="s">
        <v>130</v>
      </c>
      <c r="G36" s="114" t="s">
        <v>287</v>
      </c>
      <c r="H36" s="115">
        <v>487</v>
      </c>
      <c r="I36" s="19">
        <v>140.30000000000001</v>
      </c>
      <c r="J36" s="67">
        <v>140.9</v>
      </c>
      <c r="K36" s="55">
        <f t="shared" si="0"/>
        <v>281.20000000000005</v>
      </c>
      <c r="L36" s="73">
        <f t="shared" si="1"/>
        <v>0.57741273100616031</v>
      </c>
      <c r="M36" s="11"/>
    </row>
    <row r="37" spans="2:13" x14ac:dyDescent="0.25">
      <c r="B37" s="7"/>
      <c r="C37" s="59">
        <v>57</v>
      </c>
      <c r="D37" s="61">
        <v>22</v>
      </c>
      <c r="E37" s="59" t="s">
        <v>68</v>
      </c>
      <c r="F37" s="59" t="s">
        <v>130</v>
      </c>
      <c r="G37" s="114" t="s">
        <v>288</v>
      </c>
      <c r="H37" s="115">
        <v>493</v>
      </c>
      <c r="I37" s="19">
        <v>148.80000000000001</v>
      </c>
      <c r="J37" s="67">
        <v>150.4</v>
      </c>
      <c r="K37" s="55">
        <f t="shared" si="0"/>
        <v>299.20000000000005</v>
      </c>
      <c r="L37" s="73">
        <f t="shared" si="1"/>
        <v>0.60689655172413803</v>
      </c>
      <c r="M37" s="11"/>
    </row>
    <row r="38" spans="2:13" x14ac:dyDescent="0.25">
      <c r="B38" s="7"/>
      <c r="C38" s="59">
        <v>58</v>
      </c>
      <c r="D38" s="61">
        <v>6</v>
      </c>
      <c r="E38" s="59" t="s">
        <v>68</v>
      </c>
      <c r="F38" s="59" t="s">
        <v>130</v>
      </c>
      <c r="G38" s="114" t="s">
        <v>289</v>
      </c>
      <c r="H38" s="115">
        <v>502</v>
      </c>
      <c r="I38" s="19">
        <v>148.80000000000001</v>
      </c>
      <c r="J38" s="67">
        <v>151</v>
      </c>
      <c r="K38" s="55">
        <f t="shared" si="0"/>
        <v>299.8</v>
      </c>
      <c r="L38" s="73">
        <f t="shared" si="1"/>
        <v>0.59721115537848612</v>
      </c>
      <c r="M38" s="11"/>
    </row>
    <row r="39" spans="2:13" x14ac:dyDescent="0.25">
      <c r="B39" s="7"/>
      <c r="C39" s="59">
        <v>59</v>
      </c>
      <c r="D39" s="61">
        <v>3</v>
      </c>
      <c r="E39" s="59" t="s">
        <v>75</v>
      </c>
      <c r="F39" s="59" t="s">
        <v>130</v>
      </c>
      <c r="G39" s="114" t="s">
        <v>290</v>
      </c>
      <c r="H39" s="115">
        <v>491</v>
      </c>
      <c r="I39" s="19">
        <v>147.1</v>
      </c>
      <c r="J39" s="67">
        <v>149.4</v>
      </c>
      <c r="K39" s="55">
        <f t="shared" si="0"/>
        <v>296.5</v>
      </c>
      <c r="L39" s="73">
        <f t="shared" si="1"/>
        <v>0.60386965376782076</v>
      </c>
      <c r="M39" s="11"/>
    </row>
    <row r="40" spans="2:13" x14ac:dyDescent="0.25">
      <c r="B40" s="7"/>
      <c r="C40" s="19">
        <v>60</v>
      </c>
      <c r="D40" s="29">
        <v>12</v>
      </c>
      <c r="E40" s="19" t="s">
        <v>67</v>
      </c>
      <c r="F40" s="59" t="s">
        <v>130</v>
      </c>
      <c r="G40" s="114" t="s">
        <v>291</v>
      </c>
      <c r="H40" s="115">
        <v>504</v>
      </c>
      <c r="I40" s="19">
        <v>156.1</v>
      </c>
      <c r="J40" s="67">
        <v>153.30000000000001</v>
      </c>
      <c r="K40" s="55">
        <f t="shared" si="0"/>
        <v>309.39999999999998</v>
      </c>
      <c r="L40" s="73">
        <f t="shared" si="1"/>
        <v>0.61388888888888882</v>
      </c>
      <c r="M40" s="11"/>
    </row>
    <row r="41" spans="2:13" x14ac:dyDescent="0.25">
      <c r="B41" s="7"/>
      <c r="C41" s="19">
        <v>61</v>
      </c>
      <c r="D41" s="29">
        <v>7</v>
      </c>
      <c r="E41" s="19" t="s">
        <v>67</v>
      </c>
      <c r="F41" s="59" t="s">
        <v>130</v>
      </c>
      <c r="G41" s="79">
        <v>5643</v>
      </c>
      <c r="H41" s="116">
        <v>490</v>
      </c>
      <c r="I41" s="19">
        <v>146.5</v>
      </c>
      <c r="J41" s="67">
        <v>148.1</v>
      </c>
      <c r="K41" s="55">
        <f t="shared" si="0"/>
        <v>294.60000000000002</v>
      </c>
      <c r="L41" s="73">
        <f t="shared" si="1"/>
        <v>0.60122448979591836</v>
      </c>
      <c r="M41" s="11"/>
    </row>
    <row r="42" spans="2:13" x14ac:dyDescent="0.25">
      <c r="B42" s="7"/>
      <c r="C42" s="19">
        <v>62</v>
      </c>
      <c r="D42" s="61">
        <v>11</v>
      </c>
      <c r="E42" s="59" t="s">
        <v>67</v>
      </c>
      <c r="F42" s="59" t="s">
        <v>133</v>
      </c>
      <c r="G42" s="79" t="s">
        <v>292</v>
      </c>
      <c r="H42" s="116">
        <v>512</v>
      </c>
      <c r="I42" s="19">
        <v>151.1</v>
      </c>
      <c r="J42" s="67">
        <v>155.19999999999999</v>
      </c>
      <c r="K42" s="55">
        <f t="shared" si="0"/>
        <v>306.29999999999995</v>
      </c>
      <c r="L42" s="73">
        <f t="shared" si="1"/>
        <v>0.59824218749999991</v>
      </c>
      <c r="M42" s="11"/>
    </row>
    <row r="43" spans="2:13" x14ac:dyDescent="0.25">
      <c r="B43" s="7"/>
      <c r="C43" s="19">
        <v>63</v>
      </c>
      <c r="D43" s="61">
        <v>33</v>
      </c>
      <c r="E43" s="59" t="s">
        <v>67</v>
      </c>
      <c r="F43" s="59" t="s">
        <v>130</v>
      </c>
      <c r="G43" s="79" t="s">
        <v>293</v>
      </c>
      <c r="H43" s="116">
        <v>544</v>
      </c>
      <c r="I43" s="19">
        <v>158.9</v>
      </c>
      <c r="J43" s="67">
        <v>162.5</v>
      </c>
      <c r="K43" s="55">
        <f t="shared" si="0"/>
        <v>321.39999999999998</v>
      </c>
      <c r="L43" s="73">
        <f t="shared" si="1"/>
        <v>0.59080882352941178</v>
      </c>
      <c r="M43" s="11"/>
    </row>
    <row r="44" spans="2:13" x14ac:dyDescent="0.25">
      <c r="B44" s="7"/>
      <c r="C44" s="19">
        <v>64</v>
      </c>
      <c r="D44" s="61">
        <v>1</v>
      </c>
      <c r="E44" s="59" t="s">
        <v>75</v>
      </c>
      <c r="F44" s="59" t="s">
        <v>130</v>
      </c>
      <c r="G44" s="79" t="s">
        <v>294</v>
      </c>
      <c r="H44" s="116">
        <v>502</v>
      </c>
      <c r="I44" s="19">
        <v>152.4</v>
      </c>
      <c r="J44" s="67">
        <v>152.9</v>
      </c>
      <c r="K44" s="55">
        <f t="shared" si="0"/>
        <v>305.3</v>
      </c>
      <c r="L44" s="73">
        <f t="shared" si="1"/>
        <v>0.6081673306772909</v>
      </c>
      <c r="M44" s="11"/>
    </row>
    <row r="45" spans="2:13" x14ac:dyDescent="0.25">
      <c r="B45" s="7"/>
      <c r="C45" s="19">
        <v>65</v>
      </c>
      <c r="D45" s="61">
        <v>30</v>
      </c>
      <c r="E45" s="59" t="s">
        <v>68</v>
      </c>
      <c r="F45" s="59" t="s">
        <v>130</v>
      </c>
      <c r="G45" s="79" t="s">
        <v>295</v>
      </c>
      <c r="H45" s="116">
        <v>506</v>
      </c>
      <c r="I45" s="19">
        <v>155.1</v>
      </c>
      <c r="J45" s="67">
        <v>156.6</v>
      </c>
      <c r="K45" s="55">
        <f t="shared" si="0"/>
        <v>311.7</v>
      </c>
      <c r="L45" s="73">
        <f t="shared" si="1"/>
        <v>0.61600790513833992</v>
      </c>
      <c r="M45" s="11"/>
    </row>
    <row r="46" spans="2:13" x14ac:dyDescent="0.25">
      <c r="B46" s="7"/>
      <c r="C46" s="19"/>
      <c r="D46" s="61"/>
      <c r="E46" s="59"/>
      <c r="F46" s="59"/>
      <c r="G46" s="20"/>
      <c r="H46" s="71"/>
      <c r="I46" s="19"/>
      <c r="J46" s="67"/>
      <c r="K46" s="55">
        <f t="shared" si="0"/>
        <v>0</v>
      </c>
      <c r="L46" s="73" t="e">
        <f t="shared" si="1"/>
        <v>#DIV/0!</v>
      </c>
      <c r="M46" s="11"/>
    </row>
    <row r="47" spans="2:13" x14ac:dyDescent="0.25">
      <c r="B47" s="7"/>
      <c r="C47" s="19"/>
      <c r="D47" s="29"/>
      <c r="E47" s="19"/>
      <c r="F47" s="59"/>
      <c r="G47" s="20"/>
      <c r="H47" s="71"/>
      <c r="I47" s="19"/>
      <c r="J47" s="67"/>
      <c r="K47" s="55">
        <f t="shared" si="0"/>
        <v>0</v>
      </c>
      <c r="L47" s="73" t="e">
        <f t="shared" si="1"/>
        <v>#DIV/0!</v>
      </c>
      <c r="M47" s="11"/>
    </row>
    <row r="48" spans="2:13" x14ac:dyDescent="0.25">
      <c r="B48" s="7"/>
      <c r="C48" s="19"/>
      <c r="D48" s="29"/>
      <c r="E48" s="19"/>
      <c r="F48" s="59"/>
      <c r="G48" s="20"/>
      <c r="H48" s="71"/>
      <c r="I48" s="19"/>
      <c r="J48" s="67"/>
      <c r="K48" s="55">
        <f t="shared" si="0"/>
        <v>0</v>
      </c>
      <c r="L48" s="73" t="e">
        <f t="shared" si="1"/>
        <v>#DIV/0!</v>
      </c>
      <c r="M48" s="11"/>
    </row>
    <row r="49" spans="2:13" x14ac:dyDescent="0.25">
      <c r="B49" s="7"/>
      <c r="C49" s="19"/>
      <c r="D49" s="85"/>
      <c r="E49" s="89"/>
      <c r="F49" s="86"/>
      <c r="G49" s="20"/>
      <c r="H49" s="71"/>
      <c r="I49" s="19"/>
      <c r="J49" s="67"/>
      <c r="K49" s="55">
        <f t="shared" si="0"/>
        <v>0</v>
      </c>
      <c r="L49" s="73" t="e">
        <f t="shared" si="1"/>
        <v>#DIV/0!</v>
      </c>
      <c r="M49" s="11"/>
    </row>
    <row r="50" spans="2:13" x14ac:dyDescent="0.25">
      <c r="B50" s="7"/>
      <c r="C50" s="19"/>
      <c r="D50" s="85"/>
      <c r="E50" s="89"/>
      <c r="F50" s="86"/>
      <c r="G50" s="20"/>
      <c r="H50" s="71"/>
      <c r="I50" s="19"/>
      <c r="J50" s="67"/>
      <c r="K50" s="55">
        <f t="shared" si="0"/>
        <v>0</v>
      </c>
      <c r="L50" s="73" t="e">
        <f t="shared" si="1"/>
        <v>#DIV/0!</v>
      </c>
      <c r="M50" s="11"/>
    </row>
    <row r="51" spans="2:13" x14ac:dyDescent="0.25">
      <c r="B51" s="7"/>
      <c r="C51" s="29"/>
      <c r="D51" s="85"/>
      <c r="E51" s="85"/>
      <c r="F51" s="87"/>
      <c r="G51" s="20"/>
      <c r="H51" s="71"/>
      <c r="I51" s="29"/>
      <c r="J51" s="79"/>
      <c r="K51" s="55">
        <f t="shared" si="0"/>
        <v>0</v>
      </c>
      <c r="L51" s="73" t="e">
        <f t="shared" si="1"/>
        <v>#DIV/0!</v>
      </c>
      <c r="M51" s="11"/>
    </row>
    <row r="52" spans="2:13" x14ac:dyDescent="0.25">
      <c r="B52" s="7"/>
      <c r="C52" s="19"/>
      <c r="D52" s="85"/>
      <c r="E52" s="89"/>
      <c r="F52" s="89"/>
      <c r="G52" s="88"/>
      <c r="H52" s="81"/>
      <c r="I52" s="54"/>
      <c r="J52" s="54"/>
      <c r="K52" s="55">
        <f t="shared" si="0"/>
        <v>0</v>
      </c>
      <c r="L52" s="73" t="e">
        <f t="shared" si="1"/>
        <v>#DIV/0!</v>
      </c>
      <c r="M52" s="11"/>
    </row>
    <row r="53" spans="2:13" x14ac:dyDescent="0.25">
      <c r="B53" s="7"/>
      <c r="C53" s="19"/>
      <c r="D53" s="90"/>
      <c r="E53" s="91"/>
      <c r="F53" s="91"/>
      <c r="G53" s="92"/>
      <c r="H53" s="96"/>
      <c r="I53" s="82"/>
      <c r="J53" s="37"/>
      <c r="K53" s="55">
        <f t="shared" si="0"/>
        <v>0</v>
      </c>
      <c r="L53" s="73" t="e">
        <f t="shared" si="1"/>
        <v>#DIV/0!</v>
      </c>
      <c r="M53" s="11"/>
    </row>
    <row r="54" spans="2:13" x14ac:dyDescent="0.25">
      <c r="B54" s="7"/>
      <c r="C54" s="19"/>
      <c r="D54" s="85"/>
      <c r="E54" s="89"/>
      <c r="F54" s="89"/>
      <c r="G54" s="20"/>
      <c r="H54" s="81"/>
      <c r="I54" s="54"/>
      <c r="J54" s="52"/>
      <c r="K54" s="55">
        <f t="shared" si="0"/>
        <v>0</v>
      </c>
      <c r="L54" s="73" t="e">
        <f t="shared" si="1"/>
        <v>#DIV/0!</v>
      </c>
      <c r="M54" s="11"/>
    </row>
    <row r="55" spans="2:13" ht="15.75" thickBot="1" x14ac:dyDescent="0.3">
      <c r="B55" s="7"/>
      <c r="C55" s="19"/>
      <c r="D55" s="85"/>
      <c r="E55" s="89"/>
      <c r="F55" s="89"/>
      <c r="G55" s="20"/>
      <c r="H55" s="71"/>
      <c r="I55" s="54"/>
      <c r="J55" s="52"/>
      <c r="K55" s="55">
        <f t="shared" si="0"/>
        <v>0</v>
      </c>
      <c r="L55" s="73" t="e">
        <f t="shared" si="1"/>
        <v>#DIV/0!</v>
      </c>
      <c r="M55" s="11"/>
    </row>
    <row r="56" spans="2:13" ht="15.75" thickBot="1" x14ac:dyDescent="0.3">
      <c r="B56" s="7"/>
      <c r="C56" s="105"/>
      <c r="D56" s="75">
        <f>+COUNT($D$11:$D$55)</f>
        <v>35</v>
      </c>
      <c r="E56" s="105"/>
      <c r="F56" s="105"/>
      <c r="G56" s="69"/>
      <c r="H56" s="56">
        <f>SUM($H$11:$H$55)</f>
        <v>17870</v>
      </c>
      <c r="I56" s="57">
        <f>SUM($I$11:$I$55)</f>
        <v>5293.7000000000007</v>
      </c>
      <c r="J56" s="70">
        <f>SUM($J$11:$J$55)</f>
        <v>5347.8</v>
      </c>
      <c r="K56" s="72">
        <f>SUM($K$11:$K$55)</f>
        <v>10641.5</v>
      </c>
      <c r="L56" s="74">
        <f t="shared" si="1"/>
        <v>0.59549524342473414</v>
      </c>
      <c r="M56" s="11"/>
    </row>
    <row r="57" spans="2:13" ht="15.75" thickBot="1" x14ac:dyDescent="0.3">
      <c r="B57" s="41"/>
      <c r="C57" s="42"/>
      <c r="D57" s="42"/>
      <c r="E57" s="42"/>
      <c r="F57" s="42"/>
      <c r="G57" s="43"/>
      <c r="H57" s="42"/>
      <c r="I57" s="43"/>
      <c r="J57" s="42"/>
      <c r="K57" s="42"/>
      <c r="L57" s="42"/>
      <c r="M57" s="44"/>
    </row>
    <row r="58" spans="2:13" ht="16.5" thickTop="1" thickBot="1" x14ac:dyDescent="0.3">
      <c r="B58" s="4"/>
      <c r="C58" s="4"/>
      <c r="D58" s="4"/>
      <c r="E58" s="4"/>
      <c r="F58" s="4"/>
      <c r="G58" s="5"/>
      <c r="H58" s="4"/>
      <c r="I58" s="5"/>
      <c r="J58" s="4"/>
      <c r="K58" s="4"/>
      <c r="L58" s="4"/>
      <c r="M58" s="4"/>
    </row>
    <row r="59" spans="2:13" ht="16.5" thickTop="1" thickBot="1" x14ac:dyDescent="0.3">
      <c r="B59" s="3"/>
      <c r="C59" s="4"/>
      <c r="D59" s="4"/>
      <c r="E59" s="4"/>
      <c r="F59" s="4"/>
      <c r="G59" s="5"/>
      <c r="H59" s="4"/>
      <c r="I59" s="5"/>
      <c r="J59" s="4"/>
      <c r="K59" s="4"/>
      <c r="L59" s="4"/>
      <c r="M59" s="6"/>
    </row>
    <row r="60" spans="2:13" ht="15.75" thickBot="1" x14ac:dyDescent="0.3">
      <c r="B60" s="7"/>
      <c r="F60" s="30" t="s">
        <v>12</v>
      </c>
      <c r="G60" s="31" t="s">
        <v>32</v>
      </c>
      <c r="H60" s="51" t="s">
        <v>30</v>
      </c>
      <c r="I60" s="75" t="s">
        <v>54</v>
      </c>
      <c r="J60" s="75" t="s">
        <v>53</v>
      </c>
      <c r="M60" s="11"/>
    </row>
    <row r="61" spans="2:13" x14ac:dyDescent="0.25">
      <c r="B61" s="7"/>
      <c r="F61" s="32" t="s">
        <v>59</v>
      </c>
      <c r="G61" s="97">
        <v>143.30000000000001</v>
      </c>
      <c r="H61" s="97">
        <v>138.19999999999999</v>
      </c>
      <c r="I61" s="76"/>
      <c r="J61" s="84"/>
      <c r="M61" s="11"/>
    </row>
    <row r="62" spans="2:13" x14ac:dyDescent="0.25">
      <c r="B62" s="7"/>
      <c r="F62" s="33" t="s">
        <v>15</v>
      </c>
      <c r="G62" s="76">
        <v>49</v>
      </c>
      <c r="H62" s="76">
        <v>99.36</v>
      </c>
      <c r="I62" s="76">
        <v>1</v>
      </c>
      <c r="J62" s="21">
        <v>2.6</v>
      </c>
      <c r="M62" s="11"/>
    </row>
    <row r="63" spans="2:13" x14ac:dyDescent="0.25">
      <c r="B63" s="7"/>
      <c r="F63" s="22" t="s">
        <v>13</v>
      </c>
      <c r="G63" s="76">
        <v>48</v>
      </c>
      <c r="H63" s="76">
        <v>289.45999999999992</v>
      </c>
      <c r="I63" s="76">
        <v>2</v>
      </c>
      <c r="J63" s="21">
        <v>13.24</v>
      </c>
      <c r="M63" s="11"/>
    </row>
    <row r="64" spans="2:13" x14ac:dyDescent="0.25">
      <c r="B64" s="7"/>
      <c r="F64" s="22" t="s">
        <v>16</v>
      </c>
      <c r="G64" s="76">
        <v>48</v>
      </c>
      <c r="H64" s="76">
        <v>64.2</v>
      </c>
      <c r="I64" s="76"/>
      <c r="J64" s="21"/>
      <c r="M64" s="11"/>
    </row>
    <row r="65" spans="2:13" x14ac:dyDescent="0.25">
      <c r="B65" s="7"/>
      <c r="F65" s="33" t="s">
        <v>60</v>
      </c>
      <c r="G65" s="76">
        <v>43.019999999999996</v>
      </c>
      <c r="H65" s="76">
        <v>39.620000000000005</v>
      </c>
      <c r="I65" s="76"/>
      <c r="J65" s="21"/>
      <c r="M65" s="11"/>
    </row>
    <row r="66" spans="2:13" x14ac:dyDescent="0.25">
      <c r="B66" s="7"/>
      <c r="F66" s="33" t="s">
        <v>14</v>
      </c>
      <c r="G66" s="76">
        <v>100</v>
      </c>
      <c r="H66" s="76">
        <v>52.959999999999994</v>
      </c>
      <c r="I66" s="76"/>
      <c r="J66" s="21"/>
      <c r="M66" s="11"/>
    </row>
    <row r="67" spans="2:13" x14ac:dyDescent="0.25">
      <c r="B67" s="7"/>
      <c r="F67" s="22" t="s">
        <v>20</v>
      </c>
      <c r="G67" s="76">
        <v>200</v>
      </c>
      <c r="H67" s="76">
        <v>23.48</v>
      </c>
      <c r="I67" s="76"/>
      <c r="J67" s="21"/>
      <c r="M67" s="11"/>
    </row>
    <row r="68" spans="2:13" x14ac:dyDescent="0.25">
      <c r="B68" s="7"/>
      <c r="F68" s="33" t="s">
        <v>17</v>
      </c>
      <c r="G68" s="76">
        <v>50</v>
      </c>
      <c r="H68" s="76">
        <v>57.32</v>
      </c>
      <c r="I68" s="76"/>
      <c r="J68" s="21"/>
      <c r="M68" s="11"/>
    </row>
    <row r="69" spans="2:13" x14ac:dyDescent="0.25">
      <c r="B69" s="7"/>
      <c r="F69" s="33" t="s">
        <v>61</v>
      </c>
      <c r="G69" s="76">
        <v>50</v>
      </c>
      <c r="H69" s="76">
        <v>51.320000000000007</v>
      </c>
      <c r="I69" s="76"/>
      <c r="J69" s="21"/>
      <c r="M69" s="11"/>
    </row>
    <row r="70" spans="2:13" x14ac:dyDescent="0.25">
      <c r="B70" s="7"/>
      <c r="F70" s="33" t="s">
        <v>48</v>
      </c>
      <c r="G70" s="76">
        <v>84.6</v>
      </c>
      <c r="H70" s="76">
        <v>75.11999999999999</v>
      </c>
      <c r="I70" s="76"/>
      <c r="J70" s="21"/>
      <c r="M70" s="11"/>
    </row>
    <row r="71" spans="2:13" x14ac:dyDescent="0.25">
      <c r="B71" s="7"/>
      <c r="F71" s="22" t="s">
        <v>19</v>
      </c>
      <c r="G71" s="76">
        <v>50</v>
      </c>
      <c r="H71" s="76">
        <v>62.099999999999994</v>
      </c>
      <c r="I71" s="76"/>
      <c r="J71" s="21"/>
      <c r="M71" s="11"/>
    </row>
    <row r="72" spans="2:13" x14ac:dyDescent="0.25">
      <c r="B72" s="7"/>
      <c r="F72" s="22" t="s">
        <v>18</v>
      </c>
      <c r="G72" s="76">
        <v>50</v>
      </c>
      <c r="H72" s="76">
        <v>16.059999999999999</v>
      </c>
      <c r="I72" s="76"/>
      <c r="J72" s="21"/>
      <c r="M72" s="11"/>
    </row>
    <row r="73" spans="2:13" ht="15.75" thickBot="1" x14ac:dyDescent="0.3">
      <c r="B73" s="7"/>
      <c r="F73" s="33" t="s">
        <v>49</v>
      </c>
      <c r="G73" s="76">
        <v>33.04</v>
      </c>
      <c r="H73" s="76">
        <v>29.64</v>
      </c>
      <c r="I73" s="76"/>
      <c r="J73" s="21"/>
      <c r="M73" s="11"/>
    </row>
    <row r="74" spans="2:13" ht="15.75" thickBot="1" x14ac:dyDescent="0.3">
      <c r="B74" s="7"/>
      <c r="F74" s="39" t="s">
        <v>21</v>
      </c>
      <c r="G74" s="23"/>
      <c r="H74" s="23">
        <f>SUM(H61:H73)</f>
        <v>998.84000000000015</v>
      </c>
      <c r="I74" s="80">
        <f>SUM(I61:I73)</f>
        <v>3</v>
      </c>
      <c r="J74" s="23">
        <f>SUM(J61:J73)</f>
        <v>15.84</v>
      </c>
      <c r="M74" s="11"/>
    </row>
    <row r="75" spans="2:13" ht="15.75" thickBot="1" x14ac:dyDescent="0.3">
      <c r="B75" s="41"/>
      <c r="C75" s="42"/>
      <c r="D75" s="42"/>
      <c r="E75" s="42"/>
      <c r="F75" s="42"/>
      <c r="G75" s="43"/>
      <c r="H75" s="42"/>
      <c r="I75" s="43"/>
      <c r="J75" s="42"/>
      <c r="K75" s="42"/>
      <c r="L75" s="42"/>
      <c r="M75" s="44"/>
    </row>
    <row r="76" spans="2:13" ht="16.5" thickTop="1" thickBot="1" x14ac:dyDescent="0.3">
      <c r="B76" s="7"/>
      <c r="F76" s="24"/>
      <c r="G76" s="25"/>
      <c r="H76" s="24"/>
      <c r="I76" s="25"/>
      <c r="M76" s="11"/>
    </row>
    <row r="77" spans="2:13" ht="15.75" thickBot="1" x14ac:dyDescent="0.3">
      <c r="B77" s="7"/>
      <c r="F77" s="34" t="s">
        <v>22</v>
      </c>
      <c r="G77" s="35" t="s">
        <v>33</v>
      </c>
      <c r="H77" s="36" t="s">
        <v>31</v>
      </c>
      <c r="M77" s="11"/>
    </row>
    <row r="78" spans="2:13" x14ac:dyDescent="0.25">
      <c r="B78" s="7"/>
      <c r="F78" s="33" t="s">
        <v>23</v>
      </c>
      <c r="G78" s="38"/>
      <c r="H78" s="21"/>
      <c r="M78" s="11"/>
    </row>
    <row r="79" spans="2:13" x14ac:dyDescent="0.25">
      <c r="B79" s="7"/>
      <c r="F79" s="33" t="s">
        <v>24</v>
      </c>
      <c r="G79" s="37">
        <f>+D56</f>
        <v>35</v>
      </c>
      <c r="H79" s="21"/>
      <c r="M79" s="11"/>
    </row>
    <row r="80" spans="2:13" x14ac:dyDescent="0.25">
      <c r="B80" s="7"/>
      <c r="F80" s="22" t="s">
        <v>34</v>
      </c>
      <c r="G80" s="38"/>
      <c r="H80" s="21"/>
      <c r="M80" s="11"/>
    </row>
    <row r="81" spans="2:13" x14ac:dyDescent="0.25">
      <c r="B81" s="7"/>
      <c r="F81" s="22" t="s">
        <v>35</v>
      </c>
      <c r="G81" s="38"/>
      <c r="H81" s="21"/>
      <c r="M81" s="11"/>
    </row>
    <row r="82" spans="2:13" ht="15.75" thickBot="1" x14ac:dyDescent="0.3">
      <c r="B82" s="7"/>
      <c r="F82" s="22" t="s">
        <v>29</v>
      </c>
      <c r="G82" s="37"/>
      <c r="H82" s="21"/>
      <c r="M82" s="11"/>
    </row>
    <row r="83" spans="2:13" ht="15.75" thickBot="1" x14ac:dyDescent="0.3">
      <c r="B83" s="7"/>
      <c r="F83" s="39" t="s">
        <v>21</v>
      </c>
      <c r="G83" s="40"/>
      <c r="H83" s="23">
        <f>SUM(H78:H82)</f>
        <v>0</v>
      </c>
      <c r="M83" s="11"/>
    </row>
    <row r="84" spans="2:13" ht="15.75" thickBot="1" x14ac:dyDescent="0.3">
      <c r="B84" s="41"/>
      <c r="C84" s="42"/>
      <c r="D84" s="42"/>
      <c r="E84" s="42"/>
      <c r="F84" s="42"/>
      <c r="G84" s="43"/>
      <c r="H84" s="42"/>
      <c r="I84" s="43"/>
      <c r="J84" s="42"/>
      <c r="K84" s="42"/>
      <c r="L84" s="42"/>
      <c r="M84" s="44"/>
    </row>
    <row r="85" spans="2:13" ht="15.75" thickTop="1" x14ac:dyDescent="0.25">
      <c r="H85" s="49"/>
    </row>
  </sheetData>
  <mergeCells count="2">
    <mergeCell ref="J7:L7"/>
    <mergeCell ref="J8:L8"/>
  </mergeCells>
  <conditionalFormatting sqref="L11:L55">
    <cfRule type="cellIs" dxfId="100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P85"/>
  <sheetViews>
    <sheetView topLeftCell="A60" zoomScaleNormal="100" workbookViewId="0">
      <selection sqref="A1:XFD1048576"/>
    </sheetView>
  </sheetViews>
  <sheetFormatPr baseColWidth="10" defaultColWidth="12.42578125" defaultRowHeight="15" x14ac:dyDescent="0.25"/>
  <cols>
    <col min="1" max="1" width="4" style="1" customWidth="1"/>
    <col min="2" max="2" width="3.7109375" style="1" customWidth="1"/>
    <col min="3" max="3" width="8.5703125" style="1" bestFit="1" customWidth="1"/>
    <col min="4" max="4" width="9" style="1" customWidth="1"/>
    <col min="5" max="5" width="5.7109375" style="1" bestFit="1" customWidth="1"/>
    <col min="6" max="6" width="29.85546875" style="1" bestFit="1" customWidth="1"/>
    <col min="7" max="7" width="17.42578125" style="2" customWidth="1"/>
    <col min="8" max="8" width="12.7109375" style="1" customWidth="1"/>
    <col min="9" max="9" width="12.7109375" style="2" customWidth="1"/>
    <col min="10" max="11" width="12.7109375" style="1" customWidth="1"/>
    <col min="12" max="12" width="12.42578125" style="1"/>
    <col min="13" max="13" width="3.7109375" style="1" customWidth="1"/>
    <col min="14" max="14" width="12.42578125" style="1"/>
    <col min="15" max="15" width="2" style="1" bestFit="1" customWidth="1"/>
    <col min="16" max="16" width="17.140625" style="1" bestFit="1" customWidth="1"/>
    <col min="17" max="16384" width="12.42578125" style="1"/>
  </cols>
  <sheetData>
    <row r="1" spans="2:16" ht="15.75" thickBot="1" x14ac:dyDescent="0.3"/>
    <row r="2" spans="2:16" ht="16.5" thickTop="1" thickBot="1" x14ac:dyDescent="0.3">
      <c r="B2" s="3"/>
      <c r="C2" s="4"/>
      <c r="D2" s="4"/>
      <c r="E2" s="4"/>
      <c r="F2" s="4"/>
      <c r="G2" s="5"/>
      <c r="H2" s="4"/>
      <c r="I2" s="5"/>
      <c r="J2" s="4"/>
      <c r="K2" s="4"/>
      <c r="L2" s="4"/>
      <c r="M2" s="6"/>
    </row>
    <row r="3" spans="2:16" ht="21.75" thickBot="1" x14ac:dyDescent="0.3">
      <c r="B3" s="7"/>
      <c r="F3" s="8" t="s">
        <v>0</v>
      </c>
      <c r="G3" s="9">
        <f>+H56</f>
        <v>2714</v>
      </c>
      <c r="H3" s="10"/>
      <c r="I3" s="46" t="s">
        <v>28</v>
      </c>
      <c r="M3" s="11"/>
    </row>
    <row r="4" spans="2:16" ht="21.75" thickBot="1" x14ac:dyDescent="0.3">
      <c r="B4" s="7"/>
      <c r="F4" s="8" t="s">
        <v>1</v>
      </c>
      <c r="G4" s="9">
        <f>+K56</f>
        <v>1585.2000000000003</v>
      </c>
      <c r="H4" s="10"/>
      <c r="I4" s="47">
        <f>+L56</f>
        <v>0.58408253500368468</v>
      </c>
      <c r="M4" s="11"/>
    </row>
    <row r="5" spans="2:16" ht="21.75" thickBot="1" x14ac:dyDescent="0.3">
      <c r="B5" s="7"/>
      <c r="F5" s="8" t="s">
        <v>2</v>
      </c>
      <c r="G5" s="12">
        <v>46028</v>
      </c>
      <c r="H5" s="10"/>
      <c r="I5" s="58" t="s">
        <v>36</v>
      </c>
      <c r="M5" s="11"/>
    </row>
    <row r="6" spans="2:16" ht="21.75" thickBot="1" x14ac:dyDescent="0.3">
      <c r="B6" s="7"/>
      <c r="F6" s="8" t="s">
        <v>3</v>
      </c>
      <c r="G6" s="65">
        <v>8</v>
      </c>
      <c r="H6" s="10"/>
      <c r="I6" s="63">
        <f>+K56/G7</f>
        <v>317.04000000000008</v>
      </c>
      <c r="M6" s="11"/>
    </row>
    <row r="7" spans="2:16" ht="21.75" thickBot="1" x14ac:dyDescent="0.3">
      <c r="B7" s="7"/>
      <c r="F7" s="8" t="s">
        <v>4</v>
      </c>
      <c r="G7" s="48">
        <f>+D56</f>
        <v>5</v>
      </c>
      <c r="H7" s="10"/>
      <c r="I7" s="103" t="s">
        <v>38</v>
      </c>
      <c r="J7" s="338" t="s">
        <v>303</v>
      </c>
      <c r="K7" s="338"/>
      <c r="L7" s="339"/>
      <c r="M7" s="11"/>
    </row>
    <row r="8" spans="2:16" ht="21.75" thickBot="1" x14ac:dyDescent="0.3">
      <c r="B8" s="7"/>
      <c r="F8" s="101"/>
      <c r="G8" s="102"/>
      <c r="H8" s="10"/>
      <c r="I8" s="103" t="s">
        <v>88</v>
      </c>
      <c r="J8" s="338" t="s">
        <v>304</v>
      </c>
      <c r="K8" s="338"/>
      <c r="L8" s="339"/>
      <c r="M8" s="11"/>
    </row>
    <row r="9" spans="2:16" ht="15.75" thickBot="1" x14ac:dyDescent="0.3">
      <c r="B9" s="7"/>
      <c r="M9" s="11"/>
    </row>
    <row r="10" spans="2:16" s="18" customFormat="1" ht="45.75" thickBot="1" x14ac:dyDescent="0.3">
      <c r="B10" s="13"/>
      <c r="C10" s="27" t="s">
        <v>9</v>
      </c>
      <c r="D10" s="26" t="s">
        <v>5</v>
      </c>
      <c r="E10" s="99" t="s">
        <v>63</v>
      </c>
      <c r="F10" s="14" t="s">
        <v>6</v>
      </c>
      <c r="G10" s="16" t="s">
        <v>7</v>
      </c>
      <c r="H10" s="45" t="s">
        <v>26</v>
      </c>
      <c r="I10" s="15" t="s">
        <v>10</v>
      </c>
      <c r="J10" s="27" t="s">
        <v>11</v>
      </c>
      <c r="K10" s="45" t="s">
        <v>25</v>
      </c>
      <c r="L10" s="50" t="s">
        <v>27</v>
      </c>
      <c r="M10" s="17"/>
    </row>
    <row r="11" spans="2:16" x14ac:dyDescent="0.25">
      <c r="B11" s="7"/>
      <c r="C11" s="28">
        <v>66</v>
      </c>
      <c r="D11" s="28">
        <v>1</v>
      </c>
      <c r="E11" s="19" t="s">
        <v>75</v>
      </c>
      <c r="F11" s="59" t="s">
        <v>198</v>
      </c>
      <c r="G11" s="60" t="s">
        <v>298</v>
      </c>
      <c r="H11" s="94">
        <v>574</v>
      </c>
      <c r="I11" s="66">
        <v>159.4</v>
      </c>
      <c r="J11" s="67">
        <v>164</v>
      </c>
      <c r="K11" s="53">
        <f t="shared" ref="K11:K55" si="0">+I11+J11</f>
        <v>323.39999999999998</v>
      </c>
      <c r="L11" s="73">
        <f t="shared" ref="L11:L56" si="1">+K11/H11</f>
        <v>0.56341463414634141</v>
      </c>
      <c r="M11" s="11"/>
      <c r="N11" s="64" t="s">
        <v>42</v>
      </c>
      <c r="O11" s="1">
        <f>+COUNTIF($F$11:$F$55,"NOVILLITO (NT)")</f>
        <v>0</v>
      </c>
      <c r="P11" s="59" t="s">
        <v>8</v>
      </c>
    </row>
    <row r="12" spans="2:16" x14ac:dyDescent="0.25">
      <c r="B12" s="7"/>
      <c r="C12" s="29">
        <v>67</v>
      </c>
      <c r="D12" s="29">
        <v>5</v>
      </c>
      <c r="E12" s="19" t="s">
        <v>67</v>
      </c>
      <c r="F12" s="59" t="s">
        <v>198</v>
      </c>
      <c r="G12" s="62" t="s">
        <v>299</v>
      </c>
      <c r="H12" s="95">
        <v>552</v>
      </c>
      <c r="I12" s="19">
        <v>160.80000000000001</v>
      </c>
      <c r="J12" s="67">
        <v>164.9</v>
      </c>
      <c r="K12" s="55">
        <f t="shared" si="0"/>
        <v>325.70000000000005</v>
      </c>
      <c r="L12" s="73">
        <f t="shared" si="1"/>
        <v>0.59003623188405807</v>
      </c>
      <c r="M12" s="11"/>
      <c r="N12" s="64" t="s">
        <v>40</v>
      </c>
      <c r="O12" s="1">
        <f>+COUNTIF($F$11:$F$56,"VAQUILLONA (Vq)")</f>
        <v>0</v>
      </c>
      <c r="P12" s="59" t="s">
        <v>37</v>
      </c>
    </row>
    <row r="13" spans="2:16" x14ac:dyDescent="0.25">
      <c r="B13" s="7"/>
      <c r="C13" s="29">
        <v>68</v>
      </c>
      <c r="D13" s="29">
        <v>4</v>
      </c>
      <c r="E13" s="19" t="s">
        <v>67</v>
      </c>
      <c r="F13" s="59" t="s">
        <v>198</v>
      </c>
      <c r="G13" s="62" t="s">
        <v>300</v>
      </c>
      <c r="H13" s="95">
        <v>562</v>
      </c>
      <c r="I13" s="19">
        <v>169.5</v>
      </c>
      <c r="J13" s="67">
        <v>170.3</v>
      </c>
      <c r="K13" s="55">
        <f t="shared" si="0"/>
        <v>339.8</v>
      </c>
      <c r="L13" s="73">
        <f t="shared" si="1"/>
        <v>0.60462633451957293</v>
      </c>
      <c r="M13" s="11"/>
      <c r="N13" s="64" t="s">
        <v>44</v>
      </c>
      <c r="O13" s="1">
        <f>+COUNTIF($F$11:$F$56,"TORITO (MEJ)")</f>
        <v>0</v>
      </c>
      <c r="P13" s="59" t="s">
        <v>43</v>
      </c>
    </row>
    <row r="14" spans="2:16" x14ac:dyDescent="0.25">
      <c r="B14" s="7"/>
      <c r="C14" s="29">
        <v>69</v>
      </c>
      <c r="D14" s="29">
        <v>2</v>
      </c>
      <c r="E14" s="19" t="s">
        <v>75</v>
      </c>
      <c r="F14" s="59" t="s">
        <v>198</v>
      </c>
      <c r="G14" s="62" t="s">
        <v>301</v>
      </c>
      <c r="H14" s="95">
        <v>486</v>
      </c>
      <c r="I14" s="19">
        <v>141.9</v>
      </c>
      <c r="J14" s="67">
        <v>143</v>
      </c>
      <c r="K14" s="55">
        <f t="shared" si="0"/>
        <v>284.89999999999998</v>
      </c>
      <c r="L14" s="73">
        <f t="shared" si="1"/>
        <v>0.58621399176954725</v>
      </c>
      <c r="M14" s="11"/>
      <c r="N14" s="78" t="s">
        <v>45</v>
      </c>
      <c r="O14" s="1">
        <f>+COUNTIF($F$11:$F$56,"NOVILLO (No)")</f>
        <v>0</v>
      </c>
      <c r="P14" s="19" t="s">
        <v>39</v>
      </c>
    </row>
    <row r="15" spans="2:16" x14ac:dyDescent="0.25">
      <c r="B15" s="7"/>
      <c r="C15" s="29">
        <v>70</v>
      </c>
      <c r="D15" s="29">
        <v>3</v>
      </c>
      <c r="E15" s="19" t="s">
        <v>68</v>
      </c>
      <c r="F15" s="59" t="s">
        <v>198</v>
      </c>
      <c r="G15" s="62" t="s">
        <v>302</v>
      </c>
      <c r="H15" s="95">
        <v>540</v>
      </c>
      <c r="I15" s="19">
        <v>155</v>
      </c>
      <c r="J15" s="67">
        <v>156.4</v>
      </c>
      <c r="K15" s="55">
        <f t="shared" si="0"/>
        <v>311.39999999999998</v>
      </c>
      <c r="L15" s="73">
        <f t="shared" si="1"/>
        <v>0.57666666666666666</v>
      </c>
      <c r="M15" s="11"/>
      <c r="N15" s="78" t="s">
        <v>46</v>
      </c>
      <c r="O15" s="1">
        <f>+COUNTIF($F$11:$F$56,"VACA (Va)")</f>
        <v>0</v>
      </c>
      <c r="P15" s="83" t="s">
        <v>50</v>
      </c>
    </row>
    <row r="16" spans="2:16" x14ac:dyDescent="0.25">
      <c r="B16" s="7"/>
      <c r="C16" s="29"/>
      <c r="D16" s="29"/>
      <c r="E16" s="19"/>
      <c r="F16" s="59"/>
      <c r="G16" s="62"/>
      <c r="H16" s="95"/>
      <c r="I16" s="19"/>
      <c r="J16" s="67"/>
      <c r="K16" s="55">
        <f t="shared" si="0"/>
        <v>0</v>
      </c>
      <c r="L16" s="73" t="e">
        <f t="shared" si="1"/>
        <v>#DIV/0!</v>
      </c>
      <c r="M16" s="11"/>
      <c r="N16" s="64" t="s">
        <v>47</v>
      </c>
      <c r="O16" s="1">
        <f>+COUNTIF($F$11:$F$56,"TORO (To)")</f>
        <v>0</v>
      </c>
      <c r="P16" s="83" t="s">
        <v>51</v>
      </c>
    </row>
    <row r="17" spans="2:16" x14ac:dyDescent="0.25">
      <c r="B17" s="7"/>
      <c r="C17" s="29"/>
      <c r="D17" s="29"/>
      <c r="E17" s="19"/>
      <c r="F17" s="59"/>
      <c r="G17" s="62"/>
      <c r="H17" s="95"/>
      <c r="I17" s="19"/>
      <c r="J17" s="67"/>
      <c r="K17" s="55">
        <f t="shared" si="0"/>
        <v>0</v>
      </c>
      <c r="L17" s="73" t="e">
        <f t="shared" si="1"/>
        <v>#DIV/0!</v>
      </c>
      <c r="M17" s="11"/>
      <c r="N17" s="77"/>
      <c r="O17" s="1">
        <f>SUM(O11:O16)</f>
        <v>0</v>
      </c>
    </row>
    <row r="18" spans="2:16" x14ac:dyDescent="0.25">
      <c r="B18" s="7"/>
      <c r="C18" s="29"/>
      <c r="D18" s="29"/>
      <c r="E18" s="19"/>
      <c r="F18" s="59"/>
      <c r="G18" s="62"/>
      <c r="H18" s="95"/>
      <c r="I18" s="19"/>
      <c r="J18" s="67"/>
      <c r="K18" s="55">
        <f t="shared" si="0"/>
        <v>0</v>
      </c>
      <c r="L18" s="73" t="e">
        <f t="shared" si="1"/>
        <v>#DIV/0!</v>
      </c>
      <c r="M18" s="11"/>
    </row>
    <row r="19" spans="2:16" x14ac:dyDescent="0.25">
      <c r="B19" s="7"/>
      <c r="C19" s="61"/>
      <c r="D19" s="61"/>
      <c r="E19" s="59"/>
      <c r="F19" s="59"/>
      <c r="G19" s="62"/>
      <c r="H19" s="95"/>
      <c r="I19" s="19"/>
      <c r="J19" s="67"/>
      <c r="K19" s="55">
        <f t="shared" si="0"/>
        <v>0</v>
      </c>
      <c r="L19" s="73" t="e">
        <f t="shared" si="1"/>
        <v>#DIV/0!</v>
      </c>
      <c r="M19" s="11"/>
      <c r="P19" s="100" t="s">
        <v>63</v>
      </c>
    </row>
    <row r="20" spans="2:16" x14ac:dyDescent="0.25">
      <c r="B20" s="7"/>
      <c r="C20" s="61"/>
      <c r="D20" s="61"/>
      <c r="E20" s="59"/>
      <c r="F20" s="59"/>
      <c r="G20" s="62"/>
      <c r="H20" s="95"/>
      <c r="I20" s="19"/>
      <c r="J20" s="67"/>
      <c r="K20" s="55">
        <f t="shared" si="0"/>
        <v>0</v>
      </c>
      <c r="L20" s="73" t="e">
        <f t="shared" si="1"/>
        <v>#DIV/0!</v>
      </c>
      <c r="M20" s="11"/>
      <c r="N20" s="64" t="s">
        <v>67</v>
      </c>
      <c r="P20" s="1" t="s">
        <v>64</v>
      </c>
    </row>
    <row r="21" spans="2:16" x14ac:dyDescent="0.25">
      <c r="B21" s="7"/>
      <c r="C21" s="19"/>
      <c r="D21" s="29"/>
      <c r="E21" s="19"/>
      <c r="F21" s="59"/>
      <c r="G21" s="62"/>
      <c r="H21" s="95"/>
      <c r="I21" s="19"/>
      <c r="J21" s="67"/>
      <c r="K21" s="55">
        <f t="shared" si="0"/>
        <v>0</v>
      </c>
      <c r="L21" s="73" t="e">
        <f t="shared" si="1"/>
        <v>#DIV/0!</v>
      </c>
      <c r="M21" s="11"/>
      <c r="N21" s="64" t="s">
        <v>68</v>
      </c>
      <c r="P21" t="s">
        <v>65</v>
      </c>
    </row>
    <row r="22" spans="2:16" x14ac:dyDescent="0.25">
      <c r="B22" s="7"/>
      <c r="C22" s="19"/>
      <c r="D22" s="29"/>
      <c r="E22" s="19"/>
      <c r="F22" s="59"/>
      <c r="G22" s="62"/>
      <c r="H22" s="95"/>
      <c r="I22" s="19"/>
      <c r="J22" s="67"/>
      <c r="K22" s="55">
        <f t="shared" si="0"/>
        <v>0</v>
      </c>
      <c r="L22" s="73" t="e">
        <f t="shared" si="1"/>
        <v>#DIV/0!</v>
      </c>
      <c r="M22" s="11"/>
      <c r="N22" s="64" t="s">
        <v>75</v>
      </c>
      <c r="P22" t="s">
        <v>74</v>
      </c>
    </row>
    <row r="23" spans="2:16" x14ac:dyDescent="0.25">
      <c r="B23" s="7"/>
      <c r="C23" s="59"/>
      <c r="D23" s="61"/>
      <c r="E23" s="59"/>
      <c r="F23" s="59"/>
      <c r="G23" s="62"/>
      <c r="H23" s="95"/>
      <c r="I23" s="19"/>
      <c r="J23" s="67"/>
      <c r="K23" s="55">
        <f t="shared" si="0"/>
        <v>0</v>
      </c>
      <c r="L23" s="73" t="e">
        <f t="shared" si="1"/>
        <v>#DIV/0!</v>
      </c>
      <c r="M23" s="11"/>
      <c r="N23" s="64" t="s">
        <v>69</v>
      </c>
      <c r="P23" t="s">
        <v>66</v>
      </c>
    </row>
    <row r="24" spans="2:16" x14ac:dyDescent="0.25">
      <c r="B24" s="7"/>
      <c r="C24" s="19"/>
      <c r="D24" s="29"/>
      <c r="E24" s="19"/>
      <c r="F24" s="59"/>
      <c r="G24" s="62"/>
      <c r="H24" s="95"/>
      <c r="I24" s="19"/>
      <c r="J24" s="68"/>
      <c r="K24" s="55">
        <f t="shared" si="0"/>
        <v>0</v>
      </c>
      <c r="L24" s="104" t="e">
        <f t="shared" si="1"/>
        <v>#DIV/0!</v>
      </c>
      <c r="M24" s="11"/>
      <c r="N24" s="64" t="s">
        <v>70</v>
      </c>
      <c r="P24" t="s">
        <v>71</v>
      </c>
    </row>
    <row r="25" spans="2:16" x14ac:dyDescent="0.25">
      <c r="B25" s="7"/>
      <c r="C25" s="19"/>
      <c r="D25" s="29"/>
      <c r="E25" s="19"/>
      <c r="F25" s="59"/>
      <c r="G25" s="62"/>
      <c r="H25" s="95"/>
      <c r="I25" s="19"/>
      <c r="J25" s="67"/>
      <c r="K25" s="55">
        <f t="shared" si="0"/>
        <v>0</v>
      </c>
      <c r="L25" s="73" t="e">
        <f t="shared" si="1"/>
        <v>#DIV/0!</v>
      </c>
      <c r="M25" s="11"/>
      <c r="N25" s="64" t="s">
        <v>73</v>
      </c>
      <c r="P25" t="s">
        <v>72</v>
      </c>
    </row>
    <row r="26" spans="2:16" x14ac:dyDescent="0.25">
      <c r="B26" s="7"/>
      <c r="C26" s="19"/>
      <c r="D26" s="29"/>
      <c r="E26" s="19"/>
      <c r="F26" s="59"/>
      <c r="G26" s="62"/>
      <c r="H26" s="95"/>
      <c r="I26" s="19"/>
      <c r="J26" s="67"/>
      <c r="K26" s="55">
        <f t="shared" si="0"/>
        <v>0</v>
      </c>
      <c r="L26" s="73" t="e">
        <f t="shared" si="1"/>
        <v>#DIV/0!</v>
      </c>
      <c r="M26" s="11"/>
      <c r="N26" s="64" t="s">
        <v>78</v>
      </c>
      <c r="P26" t="s">
        <v>76</v>
      </c>
    </row>
    <row r="27" spans="2:16" x14ac:dyDescent="0.25">
      <c r="B27" s="7"/>
      <c r="C27" s="19"/>
      <c r="D27" s="29"/>
      <c r="E27" s="19"/>
      <c r="F27" s="59"/>
      <c r="G27" s="62"/>
      <c r="H27" s="95"/>
      <c r="I27" s="19"/>
      <c r="J27" s="67"/>
      <c r="K27" s="55">
        <f t="shared" si="0"/>
        <v>0</v>
      </c>
      <c r="L27" s="73" t="e">
        <f t="shared" si="1"/>
        <v>#DIV/0!</v>
      </c>
      <c r="M27" s="11"/>
    </row>
    <row r="28" spans="2:16" x14ac:dyDescent="0.25">
      <c r="B28" s="7"/>
      <c r="C28" s="19"/>
      <c r="D28" s="29"/>
      <c r="E28" s="19"/>
      <c r="F28" s="19"/>
      <c r="G28" s="20"/>
      <c r="H28" s="71"/>
      <c r="I28" s="54"/>
      <c r="J28" s="52"/>
      <c r="K28" s="55">
        <f t="shared" si="0"/>
        <v>0</v>
      </c>
      <c r="L28" s="73" t="e">
        <f t="shared" si="1"/>
        <v>#DIV/0!</v>
      </c>
      <c r="M28" s="11"/>
    </row>
    <row r="29" spans="2:16" x14ac:dyDescent="0.25">
      <c r="B29" s="7"/>
      <c r="C29" s="19"/>
      <c r="D29" s="29"/>
      <c r="E29" s="19"/>
      <c r="F29" s="59"/>
      <c r="G29" s="62"/>
      <c r="H29" s="95"/>
      <c r="I29" s="19"/>
      <c r="J29" s="67"/>
      <c r="K29" s="55">
        <f t="shared" si="0"/>
        <v>0</v>
      </c>
      <c r="L29" s="73" t="e">
        <f t="shared" si="1"/>
        <v>#DIV/0!</v>
      </c>
      <c r="M29" s="11"/>
    </row>
    <row r="30" spans="2:16" x14ac:dyDescent="0.25">
      <c r="B30" s="7"/>
      <c r="C30" s="19"/>
      <c r="D30" s="29"/>
      <c r="E30" s="19"/>
      <c r="F30" s="59"/>
      <c r="G30" s="62"/>
      <c r="H30" s="95"/>
      <c r="I30" s="19"/>
      <c r="J30" s="67"/>
      <c r="K30" s="55">
        <f t="shared" si="0"/>
        <v>0</v>
      </c>
      <c r="L30" s="73" t="e">
        <f t="shared" si="1"/>
        <v>#DIV/0!</v>
      </c>
      <c r="M30" s="11"/>
    </row>
    <row r="31" spans="2:16" x14ac:dyDescent="0.25">
      <c r="B31" s="7"/>
      <c r="C31" s="19"/>
      <c r="D31" s="29"/>
      <c r="E31" s="19"/>
      <c r="F31" s="59"/>
      <c r="G31" s="62"/>
      <c r="H31" s="95"/>
      <c r="I31" s="19"/>
      <c r="J31" s="67"/>
      <c r="K31" s="55">
        <f t="shared" si="0"/>
        <v>0</v>
      </c>
      <c r="L31" s="73" t="e">
        <f t="shared" si="1"/>
        <v>#DIV/0!</v>
      </c>
      <c r="M31" s="11"/>
    </row>
    <row r="32" spans="2:16" x14ac:dyDescent="0.25">
      <c r="B32" s="7"/>
      <c r="C32" s="59"/>
      <c r="D32" s="61"/>
      <c r="E32" s="59"/>
      <c r="F32" s="59"/>
      <c r="G32" s="62"/>
      <c r="H32" s="95"/>
      <c r="I32" s="19"/>
      <c r="J32" s="67"/>
      <c r="K32" s="55">
        <f t="shared" si="0"/>
        <v>0</v>
      </c>
      <c r="L32" s="73" t="e">
        <f t="shared" si="1"/>
        <v>#DIV/0!</v>
      </c>
      <c r="M32" s="11"/>
    </row>
    <row r="33" spans="2:13" x14ac:dyDescent="0.25">
      <c r="B33" s="7"/>
      <c r="C33" s="19"/>
      <c r="D33" s="29"/>
      <c r="E33" s="19"/>
      <c r="F33" s="59"/>
      <c r="G33" s="62"/>
      <c r="H33" s="95"/>
      <c r="I33" s="19"/>
      <c r="J33" s="67"/>
      <c r="K33" s="55">
        <f t="shared" si="0"/>
        <v>0</v>
      </c>
      <c r="L33" s="73" t="e">
        <f t="shared" si="1"/>
        <v>#DIV/0!</v>
      </c>
      <c r="M33" s="11"/>
    </row>
    <row r="34" spans="2:13" x14ac:dyDescent="0.25">
      <c r="B34" s="7"/>
      <c r="C34" s="59"/>
      <c r="D34" s="61"/>
      <c r="E34" s="59"/>
      <c r="F34" s="59"/>
      <c r="G34" s="62"/>
      <c r="H34" s="95"/>
      <c r="I34" s="19"/>
      <c r="J34" s="67"/>
      <c r="K34" s="55">
        <f t="shared" si="0"/>
        <v>0</v>
      </c>
      <c r="L34" s="73" t="e">
        <f t="shared" si="1"/>
        <v>#DIV/0!</v>
      </c>
      <c r="M34" s="11"/>
    </row>
    <row r="35" spans="2:13" x14ac:dyDescent="0.25">
      <c r="B35" s="7"/>
      <c r="C35" s="59"/>
      <c r="D35" s="61"/>
      <c r="E35" s="59"/>
      <c r="F35" s="59"/>
      <c r="G35" s="62"/>
      <c r="H35" s="95"/>
      <c r="I35" s="19"/>
      <c r="J35" s="67"/>
      <c r="K35" s="55">
        <f t="shared" si="0"/>
        <v>0</v>
      </c>
      <c r="L35" s="73" t="e">
        <f t="shared" si="1"/>
        <v>#DIV/0!</v>
      </c>
      <c r="M35" s="11"/>
    </row>
    <row r="36" spans="2:13" x14ac:dyDescent="0.25">
      <c r="B36" s="7"/>
      <c r="C36" s="59"/>
      <c r="D36" s="61"/>
      <c r="E36" s="59"/>
      <c r="F36" s="59"/>
      <c r="G36" s="62"/>
      <c r="H36" s="95"/>
      <c r="I36" s="19"/>
      <c r="J36" s="67"/>
      <c r="K36" s="55">
        <f t="shared" si="0"/>
        <v>0</v>
      </c>
      <c r="L36" s="73" t="e">
        <f t="shared" si="1"/>
        <v>#DIV/0!</v>
      </c>
      <c r="M36" s="11"/>
    </row>
    <row r="37" spans="2:13" x14ac:dyDescent="0.25">
      <c r="B37" s="7"/>
      <c r="C37" s="59"/>
      <c r="D37" s="61"/>
      <c r="E37" s="59"/>
      <c r="F37" s="59"/>
      <c r="G37" s="62"/>
      <c r="H37" s="95"/>
      <c r="I37" s="19"/>
      <c r="J37" s="67"/>
      <c r="K37" s="55">
        <f t="shared" si="0"/>
        <v>0</v>
      </c>
      <c r="L37" s="73" t="e">
        <f t="shared" si="1"/>
        <v>#DIV/0!</v>
      </c>
      <c r="M37" s="11"/>
    </row>
    <row r="38" spans="2:13" x14ac:dyDescent="0.25">
      <c r="B38" s="7"/>
      <c r="C38" s="59"/>
      <c r="D38" s="61"/>
      <c r="E38" s="59"/>
      <c r="F38" s="59"/>
      <c r="G38" s="62"/>
      <c r="H38" s="95"/>
      <c r="I38" s="19"/>
      <c r="J38" s="67"/>
      <c r="K38" s="55">
        <f t="shared" si="0"/>
        <v>0</v>
      </c>
      <c r="L38" s="73" t="e">
        <f t="shared" si="1"/>
        <v>#DIV/0!</v>
      </c>
      <c r="M38" s="11"/>
    </row>
    <row r="39" spans="2:13" x14ac:dyDescent="0.25">
      <c r="B39" s="7"/>
      <c r="C39" s="59"/>
      <c r="D39" s="61"/>
      <c r="E39" s="59"/>
      <c r="F39" s="59"/>
      <c r="G39" s="62"/>
      <c r="H39" s="95"/>
      <c r="I39" s="19"/>
      <c r="J39" s="67"/>
      <c r="K39" s="55">
        <f t="shared" si="0"/>
        <v>0</v>
      </c>
      <c r="L39" s="73" t="e">
        <f t="shared" si="1"/>
        <v>#DIV/0!</v>
      </c>
      <c r="M39" s="11"/>
    </row>
    <row r="40" spans="2:13" x14ac:dyDescent="0.25">
      <c r="B40" s="7"/>
      <c r="C40" s="19"/>
      <c r="D40" s="29"/>
      <c r="E40" s="19"/>
      <c r="F40" s="59"/>
      <c r="G40" s="62"/>
      <c r="H40" s="95"/>
      <c r="I40" s="19"/>
      <c r="J40" s="67"/>
      <c r="K40" s="55">
        <f t="shared" si="0"/>
        <v>0</v>
      </c>
      <c r="L40" s="73" t="e">
        <f t="shared" si="1"/>
        <v>#DIV/0!</v>
      </c>
      <c r="M40" s="11"/>
    </row>
    <row r="41" spans="2:13" x14ac:dyDescent="0.25">
      <c r="B41" s="7"/>
      <c r="C41" s="19"/>
      <c r="D41" s="29"/>
      <c r="E41" s="19"/>
      <c r="F41" s="59"/>
      <c r="G41" s="20"/>
      <c r="H41" s="71"/>
      <c r="I41" s="19"/>
      <c r="J41" s="67"/>
      <c r="K41" s="55">
        <f t="shared" si="0"/>
        <v>0</v>
      </c>
      <c r="L41" s="73" t="e">
        <f t="shared" si="1"/>
        <v>#DIV/0!</v>
      </c>
      <c r="M41" s="11"/>
    </row>
    <row r="42" spans="2:13" x14ac:dyDescent="0.25">
      <c r="B42" s="7"/>
      <c r="C42" s="19"/>
      <c r="D42" s="61"/>
      <c r="E42" s="59"/>
      <c r="F42" s="59"/>
      <c r="G42" s="20"/>
      <c r="H42" s="71"/>
      <c r="I42" s="19"/>
      <c r="J42" s="67"/>
      <c r="K42" s="55">
        <f t="shared" si="0"/>
        <v>0</v>
      </c>
      <c r="L42" s="73" t="e">
        <f t="shared" si="1"/>
        <v>#DIV/0!</v>
      </c>
      <c r="M42" s="11"/>
    </row>
    <row r="43" spans="2:13" x14ac:dyDescent="0.25">
      <c r="B43" s="7"/>
      <c r="C43" s="19"/>
      <c r="D43" s="61"/>
      <c r="E43" s="59"/>
      <c r="F43" s="59"/>
      <c r="G43" s="20"/>
      <c r="H43" s="71"/>
      <c r="I43" s="19"/>
      <c r="J43" s="67"/>
      <c r="K43" s="55">
        <f t="shared" si="0"/>
        <v>0</v>
      </c>
      <c r="L43" s="73" t="e">
        <f t="shared" si="1"/>
        <v>#DIV/0!</v>
      </c>
      <c r="M43" s="11"/>
    </row>
    <row r="44" spans="2:13" x14ac:dyDescent="0.25">
      <c r="B44" s="7"/>
      <c r="C44" s="19"/>
      <c r="D44" s="61"/>
      <c r="E44" s="59"/>
      <c r="F44" s="59"/>
      <c r="G44" s="20"/>
      <c r="H44" s="71"/>
      <c r="I44" s="19"/>
      <c r="J44" s="67"/>
      <c r="K44" s="55">
        <f t="shared" si="0"/>
        <v>0</v>
      </c>
      <c r="L44" s="73" t="e">
        <f t="shared" si="1"/>
        <v>#DIV/0!</v>
      </c>
      <c r="M44" s="11"/>
    </row>
    <row r="45" spans="2:13" x14ac:dyDescent="0.25">
      <c r="B45" s="7"/>
      <c r="C45" s="19"/>
      <c r="D45" s="61"/>
      <c r="E45" s="59"/>
      <c r="F45" s="59"/>
      <c r="G45" s="20"/>
      <c r="H45" s="71"/>
      <c r="I45" s="19"/>
      <c r="J45" s="67"/>
      <c r="K45" s="55">
        <f t="shared" si="0"/>
        <v>0</v>
      </c>
      <c r="L45" s="73" t="e">
        <f t="shared" si="1"/>
        <v>#DIV/0!</v>
      </c>
      <c r="M45" s="11"/>
    </row>
    <row r="46" spans="2:13" x14ac:dyDescent="0.25">
      <c r="B46" s="7"/>
      <c r="C46" s="19"/>
      <c r="D46" s="61"/>
      <c r="E46" s="59"/>
      <c r="F46" s="59"/>
      <c r="G46" s="20"/>
      <c r="H46" s="71"/>
      <c r="I46" s="19"/>
      <c r="J46" s="67"/>
      <c r="K46" s="55">
        <f t="shared" si="0"/>
        <v>0</v>
      </c>
      <c r="L46" s="73" t="e">
        <f t="shared" si="1"/>
        <v>#DIV/0!</v>
      </c>
      <c r="M46" s="11"/>
    </row>
    <row r="47" spans="2:13" x14ac:dyDescent="0.25">
      <c r="B47" s="7"/>
      <c r="C47" s="19"/>
      <c r="D47" s="29"/>
      <c r="E47" s="19"/>
      <c r="F47" s="59"/>
      <c r="G47" s="20"/>
      <c r="H47" s="71"/>
      <c r="I47" s="19"/>
      <c r="J47" s="67"/>
      <c r="K47" s="55">
        <f t="shared" si="0"/>
        <v>0</v>
      </c>
      <c r="L47" s="73" t="e">
        <f t="shared" si="1"/>
        <v>#DIV/0!</v>
      </c>
      <c r="M47" s="11"/>
    </row>
    <row r="48" spans="2:13" x14ac:dyDescent="0.25">
      <c r="B48" s="7"/>
      <c r="C48" s="19"/>
      <c r="D48" s="29"/>
      <c r="E48" s="19"/>
      <c r="F48" s="59"/>
      <c r="G48" s="20"/>
      <c r="H48" s="71"/>
      <c r="I48" s="19"/>
      <c r="J48" s="67"/>
      <c r="K48" s="55">
        <f t="shared" si="0"/>
        <v>0</v>
      </c>
      <c r="L48" s="73" t="e">
        <f t="shared" si="1"/>
        <v>#DIV/0!</v>
      </c>
      <c r="M48" s="11"/>
    </row>
    <row r="49" spans="2:13" x14ac:dyDescent="0.25">
      <c r="B49" s="7"/>
      <c r="C49" s="19"/>
      <c r="D49" s="85"/>
      <c r="E49" s="89"/>
      <c r="F49" s="86"/>
      <c r="G49" s="20"/>
      <c r="H49" s="71"/>
      <c r="I49" s="19"/>
      <c r="J49" s="67"/>
      <c r="K49" s="55">
        <f t="shared" si="0"/>
        <v>0</v>
      </c>
      <c r="L49" s="73" t="e">
        <f t="shared" si="1"/>
        <v>#DIV/0!</v>
      </c>
      <c r="M49" s="11"/>
    </row>
    <row r="50" spans="2:13" x14ac:dyDescent="0.25">
      <c r="B50" s="7"/>
      <c r="C50" s="19"/>
      <c r="D50" s="85"/>
      <c r="E50" s="89"/>
      <c r="F50" s="86"/>
      <c r="G50" s="20"/>
      <c r="H50" s="71"/>
      <c r="I50" s="19"/>
      <c r="J50" s="67"/>
      <c r="K50" s="55">
        <f t="shared" si="0"/>
        <v>0</v>
      </c>
      <c r="L50" s="73" t="e">
        <f t="shared" si="1"/>
        <v>#DIV/0!</v>
      </c>
      <c r="M50" s="11"/>
    </row>
    <row r="51" spans="2:13" x14ac:dyDescent="0.25">
      <c r="B51" s="7"/>
      <c r="C51" s="29"/>
      <c r="D51" s="85"/>
      <c r="E51" s="85"/>
      <c r="F51" s="87"/>
      <c r="G51" s="20"/>
      <c r="H51" s="71"/>
      <c r="I51" s="29"/>
      <c r="J51" s="79"/>
      <c r="K51" s="55">
        <f t="shared" si="0"/>
        <v>0</v>
      </c>
      <c r="L51" s="73" t="e">
        <f t="shared" si="1"/>
        <v>#DIV/0!</v>
      </c>
      <c r="M51" s="11"/>
    </row>
    <row r="52" spans="2:13" x14ac:dyDescent="0.25">
      <c r="B52" s="7"/>
      <c r="C52" s="19"/>
      <c r="D52" s="85"/>
      <c r="E52" s="89"/>
      <c r="F52" s="89"/>
      <c r="G52" s="88"/>
      <c r="H52" s="81"/>
      <c r="I52" s="54"/>
      <c r="J52" s="54"/>
      <c r="K52" s="55">
        <f t="shared" si="0"/>
        <v>0</v>
      </c>
      <c r="L52" s="73" t="e">
        <f t="shared" si="1"/>
        <v>#DIV/0!</v>
      </c>
      <c r="M52" s="11"/>
    </row>
    <row r="53" spans="2:13" x14ac:dyDescent="0.25">
      <c r="B53" s="7"/>
      <c r="C53" s="19"/>
      <c r="D53" s="90"/>
      <c r="E53" s="91"/>
      <c r="F53" s="91"/>
      <c r="G53" s="92"/>
      <c r="H53" s="96"/>
      <c r="I53" s="82"/>
      <c r="J53" s="37"/>
      <c r="K53" s="55">
        <f t="shared" si="0"/>
        <v>0</v>
      </c>
      <c r="L53" s="73" t="e">
        <f t="shared" si="1"/>
        <v>#DIV/0!</v>
      </c>
      <c r="M53" s="11"/>
    </row>
    <row r="54" spans="2:13" x14ac:dyDescent="0.25">
      <c r="B54" s="7"/>
      <c r="C54" s="19"/>
      <c r="D54" s="85"/>
      <c r="E54" s="89"/>
      <c r="F54" s="89"/>
      <c r="G54" s="20"/>
      <c r="H54" s="81"/>
      <c r="I54" s="54"/>
      <c r="J54" s="52"/>
      <c r="K54" s="55">
        <f t="shared" si="0"/>
        <v>0</v>
      </c>
      <c r="L54" s="73" t="e">
        <f t="shared" si="1"/>
        <v>#DIV/0!</v>
      </c>
      <c r="M54" s="11"/>
    </row>
    <row r="55" spans="2:13" ht="15.75" thickBot="1" x14ac:dyDescent="0.3">
      <c r="B55" s="7"/>
      <c r="C55" s="19"/>
      <c r="D55" s="85"/>
      <c r="E55" s="89"/>
      <c r="F55" s="89"/>
      <c r="G55" s="20"/>
      <c r="H55" s="71"/>
      <c r="I55" s="54"/>
      <c r="J55" s="52"/>
      <c r="K55" s="55">
        <f t="shared" si="0"/>
        <v>0</v>
      </c>
      <c r="L55" s="73" t="e">
        <f t="shared" si="1"/>
        <v>#DIV/0!</v>
      </c>
      <c r="M55" s="11"/>
    </row>
    <row r="56" spans="2:13" ht="15.75" thickBot="1" x14ac:dyDescent="0.3">
      <c r="B56" s="7"/>
      <c r="C56" s="105"/>
      <c r="D56" s="75">
        <f>+COUNT($D$11:$D$55)</f>
        <v>5</v>
      </c>
      <c r="E56" s="105"/>
      <c r="F56" s="105"/>
      <c r="G56" s="69"/>
      <c r="H56" s="56">
        <f>SUM($H$11:$H$55)</f>
        <v>2714</v>
      </c>
      <c r="I56" s="57">
        <f>SUM($I$11:$I$55)</f>
        <v>786.6</v>
      </c>
      <c r="J56" s="70">
        <f>SUM($J$11:$J$55)</f>
        <v>798.6</v>
      </c>
      <c r="K56" s="72">
        <f>SUM($K$11:$K$55)</f>
        <v>1585.2000000000003</v>
      </c>
      <c r="L56" s="74">
        <f t="shared" si="1"/>
        <v>0.58408253500368468</v>
      </c>
      <c r="M56" s="11"/>
    </row>
    <row r="57" spans="2:13" ht="15.75" thickBot="1" x14ac:dyDescent="0.3">
      <c r="B57" s="41"/>
      <c r="C57" s="42"/>
      <c r="D57" s="42"/>
      <c r="E57" s="42"/>
      <c r="F57" s="42"/>
      <c r="G57" s="43"/>
      <c r="H57" s="42"/>
      <c r="I57" s="43"/>
      <c r="J57" s="42"/>
      <c r="K57" s="42"/>
      <c r="L57" s="42"/>
      <c r="M57" s="44"/>
    </row>
    <row r="58" spans="2:13" ht="16.5" thickTop="1" thickBot="1" x14ac:dyDescent="0.3">
      <c r="B58" s="4"/>
      <c r="C58" s="4"/>
      <c r="D58" s="4"/>
      <c r="E58" s="4"/>
      <c r="F58" s="4"/>
      <c r="G58" s="5"/>
      <c r="H58" s="4"/>
      <c r="I58" s="5"/>
      <c r="J58" s="4"/>
      <c r="K58" s="4"/>
      <c r="L58" s="4"/>
      <c r="M58" s="4"/>
    </row>
    <row r="59" spans="2:13" ht="16.5" thickTop="1" thickBot="1" x14ac:dyDescent="0.3">
      <c r="B59" s="3"/>
      <c r="C59" s="4"/>
      <c r="D59" s="4"/>
      <c r="E59" s="4"/>
      <c r="F59" s="4"/>
      <c r="G59" s="5"/>
      <c r="H59" s="4"/>
      <c r="I59" s="5"/>
      <c r="J59" s="4"/>
      <c r="K59" s="4"/>
      <c r="L59" s="4"/>
      <c r="M59" s="6"/>
    </row>
    <row r="60" spans="2:13" ht="15.75" thickBot="1" x14ac:dyDescent="0.3">
      <c r="B60" s="7"/>
      <c r="F60" s="30" t="s">
        <v>12</v>
      </c>
      <c r="G60" s="31" t="s">
        <v>32</v>
      </c>
      <c r="H60" s="51" t="s">
        <v>30</v>
      </c>
      <c r="I60" s="75" t="s">
        <v>54</v>
      </c>
      <c r="J60" s="75" t="s">
        <v>53</v>
      </c>
      <c r="M60" s="11"/>
    </row>
    <row r="61" spans="2:13" x14ac:dyDescent="0.25">
      <c r="B61" s="7"/>
      <c r="F61" s="32" t="s">
        <v>59</v>
      </c>
      <c r="G61" s="97"/>
      <c r="H61" s="97"/>
      <c r="I61" s="76"/>
      <c r="J61" s="84"/>
      <c r="M61" s="11"/>
    </row>
    <row r="62" spans="2:13" x14ac:dyDescent="0.25">
      <c r="B62" s="7"/>
      <c r="F62" s="33" t="s">
        <v>15</v>
      </c>
      <c r="G62" s="76"/>
      <c r="H62" s="76"/>
      <c r="I62" s="76"/>
      <c r="J62" s="21"/>
      <c r="M62" s="11"/>
    </row>
    <row r="63" spans="2:13" x14ac:dyDescent="0.25">
      <c r="B63" s="7"/>
      <c r="F63" s="22" t="s">
        <v>13</v>
      </c>
      <c r="G63" s="76"/>
      <c r="H63" s="76"/>
      <c r="I63" s="76"/>
      <c r="J63" s="21"/>
      <c r="M63" s="11"/>
    </row>
    <row r="64" spans="2:13" x14ac:dyDescent="0.25">
      <c r="B64" s="7"/>
      <c r="F64" s="22" t="s">
        <v>16</v>
      </c>
      <c r="G64" s="76"/>
      <c r="H64" s="76"/>
      <c r="I64" s="76"/>
      <c r="J64" s="21"/>
      <c r="M64" s="11"/>
    </row>
    <row r="65" spans="2:13" x14ac:dyDescent="0.25">
      <c r="B65" s="7"/>
      <c r="F65" s="33" t="s">
        <v>60</v>
      </c>
      <c r="G65" s="76"/>
      <c r="H65" s="76"/>
      <c r="I65" s="76"/>
      <c r="J65" s="21"/>
      <c r="M65" s="11"/>
    </row>
    <row r="66" spans="2:13" x14ac:dyDescent="0.25">
      <c r="B66" s="7"/>
      <c r="F66" s="33" t="s">
        <v>14</v>
      </c>
      <c r="G66" s="76"/>
      <c r="H66" s="76"/>
      <c r="I66" s="76"/>
      <c r="J66" s="21"/>
      <c r="M66" s="11"/>
    </row>
    <row r="67" spans="2:13" x14ac:dyDescent="0.25">
      <c r="B67" s="7"/>
      <c r="F67" s="22" t="s">
        <v>20</v>
      </c>
      <c r="G67" s="76"/>
      <c r="H67" s="76"/>
      <c r="I67" s="76"/>
      <c r="J67" s="21"/>
      <c r="M67" s="11"/>
    </row>
    <row r="68" spans="2:13" x14ac:dyDescent="0.25">
      <c r="B68" s="7"/>
      <c r="F68" s="33" t="s">
        <v>17</v>
      </c>
      <c r="G68" s="76"/>
      <c r="H68" s="76"/>
      <c r="I68" s="76"/>
      <c r="J68" s="21"/>
      <c r="M68" s="11"/>
    </row>
    <row r="69" spans="2:13" x14ac:dyDescent="0.25">
      <c r="B69" s="7"/>
      <c r="F69" s="33" t="s">
        <v>61</v>
      </c>
      <c r="G69" s="76"/>
      <c r="H69" s="76"/>
      <c r="I69" s="76"/>
      <c r="J69" s="21"/>
      <c r="M69" s="11"/>
    </row>
    <row r="70" spans="2:13" x14ac:dyDescent="0.25">
      <c r="B70" s="7"/>
      <c r="F70" s="33" t="s">
        <v>48</v>
      </c>
      <c r="G70" s="76"/>
      <c r="H70" s="76"/>
      <c r="I70" s="76"/>
      <c r="J70" s="21"/>
      <c r="M70" s="11"/>
    </row>
    <row r="71" spans="2:13" x14ac:dyDescent="0.25">
      <c r="B71" s="7"/>
      <c r="F71" s="22" t="s">
        <v>19</v>
      </c>
      <c r="G71" s="76"/>
      <c r="H71" s="76"/>
      <c r="I71" s="76"/>
      <c r="J71" s="21"/>
      <c r="M71" s="11"/>
    </row>
    <row r="72" spans="2:13" x14ac:dyDescent="0.25">
      <c r="B72" s="7"/>
      <c r="F72" s="22" t="s">
        <v>18</v>
      </c>
      <c r="G72" s="76"/>
      <c r="H72" s="76"/>
      <c r="I72" s="76"/>
      <c r="J72" s="21"/>
      <c r="M72" s="11"/>
    </row>
    <row r="73" spans="2:13" ht="15.75" thickBot="1" x14ac:dyDescent="0.3">
      <c r="B73" s="7"/>
      <c r="F73" s="33" t="s">
        <v>49</v>
      </c>
      <c r="G73" s="76"/>
      <c r="H73" s="76"/>
      <c r="I73" s="76"/>
      <c r="J73" s="21"/>
      <c r="M73" s="11"/>
    </row>
    <row r="74" spans="2:13" ht="15.75" thickBot="1" x14ac:dyDescent="0.3">
      <c r="B74" s="7"/>
      <c r="F74" s="39" t="s">
        <v>21</v>
      </c>
      <c r="G74" s="23"/>
      <c r="H74" s="23">
        <f>SUM(H61:H73)</f>
        <v>0</v>
      </c>
      <c r="I74" s="80">
        <f>SUM(I61:I73)</f>
        <v>0</v>
      </c>
      <c r="J74" s="23">
        <f>SUM(J61:J73)</f>
        <v>0</v>
      </c>
      <c r="M74" s="11"/>
    </row>
    <row r="75" spans="2:13" ht="15.75" thickBot="1" x14ac:dyDescent="0.3">
      <c r="B75" s="41"/>
      <c r="C75" s="42"/>
      <c r="D75" s="42"/>
      <c r="E75" s="42"/>
      <c r="F75" s="42"/>
      <c r="G75" s="43"/>
      <c r="H75" s="42"/>
      <c r="I75" s="43"/>
      <c r="J75" s="42"/>
      <c r="K75" s="42"/>
      <c r="L75" s="42"/>
      <c r="M75" s="44"/>
    </row>
    <row r="76" spans="2:13" ht="16.5" thickTop="1" thickBot="1" x14ac:dyDescent="0.3">
      <c r="B76" s="7"/>
      <c r="F76" s="24"/>
      <c r="G76" s="25"/>
      <c r="H76" s="24"/>
      <c r="I76" s="25"/>
      <c r="M76" s="11"/>
    </row>
    <row r="77" spans="2:13" ht="15.75" thickBot="1" x14ac:dyDescent="0.3">
      <c r="B77" s="7"/>
      <c r="F77" s="34" t="s">
        <v>22</v>
      </c>
      <c r="G77" s="35" t="s">
        <v>33</v>
      </c>
      <c r="H77" s="36" t="s">
        <v>31</v>
      </c>
      <c r="M77" s="11"/>
    </row>
    <row r="78" spans="2:13" x14ac:dyDescent="0.25">
      <c r="B78" s="7"/>
      <c r="F78" s="33" t="s">
        <v>23</v>
      </c>
      <c r="G78" s="38"/>
      <c r="H78" s="21"/>
      <c r="M78" s="11"/>
    </row>
    <row r="79" spans="2:13" x14ac:dyDescent="0.25">
      <c r="B79" s="7"/>
      <c r="F79" s="33" t="s">
        <v>24</v>
      </c>
      <c r="G79" s="37">
        <f>+D56</f>
        <v>5</v>
      </c>
      <c r="H79" s="21"/>
      <c r="M79" s="11"/>
    </row>
    <row r="80" spans="2:13" x14ac:dyDescent="0.25">
      <c r="B80" s="7"/>
      <c r="F80" s="22" t="s">
        <v>34</v>
      </c>
      <c r="G80" s="38"/>
      <c r="H80" s="21"/>
      <c r="M80" s="11"/>
    </row>
    <row r="81" spans="2:13" x14ac:dyDescent="0.25">
      <c r="B81" s="7"/>
      <c r="F81" s="22" t="s">
        <v>35</v>
      </c>
      <c r="G81" s="38"/>
      <c r="H81" s="21"/>
      <c r="M81" s="11"/>
    </row>
    <row r="82" spans="2:13" ht="15.75" thickBot="1" x14ac:dyDescent="0.3">
      <c r="B82" s="7"/>
      <c r="F82" s="22" t="s">
        <v>29</v>
      </c>
      <c r="G82" s="37"/>
      <c r="H82" s="21"/>
      <c r="M82" s="11"/>
    </row>
    <row r="83" spans="2:13" ht="15.75" thickBot="1" x14ac:dyDescent="0.3">
      <c r="B83" s="7"/>
      <c r="F83" s="39" t="s">
        <v>21</v>
      </c>
      <c r="G83" s="40"/>
      <c r="H83" s="23">
        <f>SUM(H78:H82)</f>
        <v>0</v>
      </c>
      <c r="M83" s="11"/>
    </row>
    <row r="84" spans="2:13" ht="15.75" thickBot="1" x14ac:dyDescent="0.3">
      <c r="B84" s="41"/>
      <c r="C84" s="42"/>
      <c r="D84" s="42"/>
      <c r="E84" s="42"/>
      <c r="F84" s="42"/>
      <c r="G84" s="43"/>
      <c r="H84" s="42"/>
      <c r="I84" s="43"/>
      <c r="J84" s="42"/>
      <c r="K84" s="42"/>
      <c r="L84" s="42"/>
      <c r="M84" s="44"/>
    </row>
    <row r="85" spans="2:13" ht="15.75" thickTop="1" x14ac:dyDescent="0.25">
      <c r="H85" s="49"/>
    </row>
  </sheetData>
  <mergeCells count="2">
    <mergeCell ref="J7:L7"/>
    <mergeCell ref="J8:L8"/>
  </mergeCells>
  <conditionalFormatting sqref="L11:L55">
    <cfRule type="cellIs" dxfId="99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P85"/>
  <sheetViews>
    <sheetView topLeftCell="A58" zoomScaleNormal="100" workbookViewId="0">
      <selection sqref="A1:XFD1048576"/>
    </sheetView>
  </sheetViews>
  <sheetFormatPr baseColWidth="10" defaultColWidth="12.42578125" defaultRowHeight="15" x14ac:dyDescent="0.25"/>
  <cols>
    <col min="1" max="1" width="4" style="1" customWidth="1"/>
    <col min="2" max="2" width="3.7109375" style="1" customWidth="1"/>
    <col min="3" max="3" width="8.5703125" style="1" bestFit="1" customWidth="1"/>
    <col min="4" max="4" width="9" style="1" customWidth="1"/>
    <col min="5" max="5" width="5.7109375" style="1" bestFit="1" customWidth="1"/>
    <col min="6" max="6" width="29.85546875" style="1" bestFit="1" customWidth="1"/>
    <col min="7" max="7" width="17.42578125" style="2" customWidth="1"/>
    <col min="8" max="8" width="12.7109375" style="1" customWidth="1"/>
    <col min="9" max="9" width="12.7109375" style="2" customWidth="1"/>
    <col min="10" max="11" width="12.7109375" style="1" customWidth="1"/>
    <col min="12" max="12" width="12.42578125" style="1"/>
    <col min="13" max="13" width="3.7109375" style="1" customWidth="1"/>
    <col min="14" max="14" width="12.42578125" style="1"/>
    <col min="15" max="15" width="2" style="1" bestFit="1" customWidth="1"/>
    <col min="16" max="16" width="17.140625" style="1" bestFit="1" customWidth="1"/>
    <col min="17" max="16384" width="12.42578125" style="1"/>
  </cols>
  <sheetData>
    <row r="1" spans="2:16" ht="15.75" thickBot="1" x14ac:dyDescent="0.3"/>
    <row r="2" spans="2:16" ht="16.5" thickTop="1" thickBot="1" x14ac:dyDescent="0.3">
      <c r="B2" s="3"/>
      <c r="C2" s="4"/>
      <c r="D2" s="4"/>
      <c r="E2" s="4"/>
      <c r="F2" s="4"/>
      <c r="G2" s="5"/>
      <c r="H2" s="4"/>
      <c r="I2" s="5"/>
      <c r="J2" s="4"/>
      <c r="K2" s="4"/>
      <c r="L2" s="4"/>
      <c r="M2" s="6"/>
    </row>
    <row r="3" spans="2:16" ht="21.75" thickBot="1" x14ac:dyDescent="0.3">
      <c r="B3" s="7"/>
      <c r="F3" s="8" t="s">
        <v>0</v>
      </c>
      <c r="G3" s="9">
        <f>+H56</f>
        <v>4777</v>
      </c>
      <c r="H3" s="10"/>
      <c r="I3" s="46" t="s">
        <v>28</v>
      </c>
      <c r="M3" s="11"/>
    </row>
    <row r="4" spans="2:16" ht="21.75" thickBot="1" x14ac:dyDescent="0.3">
      <c r="B4" s="7"/>
      <c r="F4" s="8" t="s">
        <v>1</v>
      </c>
      <c r="G4" s="9">
        <f>+K56</f>
        <v>2712.6000000000004</v>
      </c>
      <c r="H4" s="10"/>
      <c r="I4" s="47">
        <f>+L56</f>
        <v>0.56784592840695003</v>
      </c>
      <c r="M4" s="11"/>
    </row>
    <row r="5" spans="2:16" ht="21.75" thickBot="1" x14ac:dyDescent="0.3">
      <c r="B5" s="7"/>
      <c r="F5" s="8" t="s">
        <v>2</v>
      </c>
      <c r="G5" s="12">
        <v>46028</v>
      </c>
      <c r="H5" s="10"/>
      <c r="I5" s="58" t="s">
        <v>36</v>
      </c>
      <c r="M5" s="11"/>
    </row>
    <row r="6" spans="2:16" ht="21.75" thickBot="1" x14ac:dyDescent="0.3">
      <c r="B6" s="7"/>
      <c r="F6" s="8" t="s">
        <v>3</v>
      </c>
      <c r="G6" s="65">
        <v>9</v>
      </c>
      <c r="H6" s="10"/>
      <c r="I6" s="63">
        <f>+K56/G7</f>
        <v>271.26000000000005</v>
      </c>
      <c r="M6" s="11"/>
    </row>
    <row r="7" spans="2:16" ht="21.75" thickBot="1" x14ac:dyDescent="0.3">
      <c r="B7" s="7"/>
      <c r="F7" s="8" t="s">
        <v>4</v>
      </c>
      <c r="G7" s="48">
        <f>+D56</f>
        <v>10</v>
      </c>
      <c r="H7" s="10"/>
      <c r="I7" s="103" t="s">
        <v>38</v>
      </c>
      <c r="J7" s="338" t="s">
        <v>296</v>
      </c>
      <c r="K7" s="338"/>
      <c r="L7" s="339"/>
      <c r="M7" s="11"/>
    </row>
    <row r="8" spans="2:16" ht="21.75" thickBot="1" x14ac:dyDescent="0.3">
      <c r="B8" s="7"/>
      <c r="F8" s="101"/>
      <c r="G8" s="102"/>
      <c r="H8" s="10"/>
      <c r="I8" s="103" t="s">
        <v>88</v>
      </c>
      <c r="J8" s="338" t="s">
        <v>313</v>
      </c>
      <c r="K8" s="338"/>
      <c r="L8" s="339"/>
      <c r="M8" s="11"/>
    </row>
    <row r="9" spans="2:16" ht="15.75" thickBot="1" x14ac:dyDescent="0.3">
      <c r="B9" s="7"/>
      <c r="M9" s="11"/>
    </row>
    <row r="10" spans="2:16" s="18" customFormat="1" ht="45.75" thickBot="1" x14ac:dyDescent="0.3">
      <c r="B10" s="13"/>
      <c r="C10" s="27" t="s">
        <v>9</v>
      </c>
      <c r="D10" s="26" t="s">
        <v>5</v>
      </c>
      <c r="E10" s="99" t="s">
        <v>63</v>
      </c>
      <c r="F10" s="14" t="s">
        <v>6</v>
      </c>
      <c r="G10" s="16" t="s">
        <v>7</v>
      </c>
      <c r="H10" s="45" t="s">
        <v>26</v>
      </c>
      <c r="I10" s="15" t="s">
        <v>10</v>
      </c>
      <c r="J10" s="27" t="s">
        <v>11</v>
      </c>
      <c r="K10" s="45" t="s">
        <v>25</v>
      </c>
      <c r="L10" s="50" t="s">
        <v>27</v>
      </c>
      <c r="M10" s="17"/>
    </row>
    <row r="11" spans="2:16" x14ac:dyDescent="0.25">
      <c r="B11" s="7"/>
      <c r="C11" s="28">
        <v>71</v>
      </c>
      <c r="D11" s="28">
        <v>3</v>
      </c>
      <c r="E11" s="19" t="s">
        <v>68</v>
      </c>
      <c r="F11" s="59" t="s">
        <v>62</v>
      </c>
      <c r="G11" s="60" t="s">
        <v>305</v>
      </c>
      <c r="H11" s="94">
        <v>451</v>
      </c>
      <c r="I11" s="66">
        <v>127.5</v>
      </c>
      <c r="J11" s="67">
        <v>127.9</v>
      </c>
      <c r="K11" s="53">
        <f t="shared" ref="K11:K55" si="0">+I11+J11</f>
        <v>255.4</v>
      </c>
      <c r="L11" s="73">
        <f t="shared" ref="L11:L56" si="1">+K11/H11</f>
        <v>0.5662971175166297</v>
      </c>
      <c r="M11" s="11"/>
      <c r="N11" s="64" t="s">
        <v>42</v>
      </c>
      <c r="O11" s="1">
        <f>+COUNTIF($F$11:$F$55,"NOVILLITO (NT)")</f>
        <v>0</v>
      </c>
      <c r="P11" s="59" t="s">
        <v>8</v>
      </c>
    </row>
    <row r="12" spans="2:16" x14ac:dyDescent="0.25">
      <c r="B12" s="7"/>
      <c r="C12" s="29">
        <v>72</v>
      </c>
      <c r="D12" s="29">
        <v>10</v>
      </c>
      <c r="E12" s="19" t="s">
        <v>75</v>
      </c>
      <c r="F12" s="59" t="s">
        <v>62</v>
      </c>
      <c r="G12" s="62" t="s">
        <v>306</v>
      </c>
      <c r="H12" s="95">
        <v>508</v>
      </c>
      <c r="I12" s="19">
        <v>141.6</v>
      </c>
      <c r="J12" s="67">
        <v>141.69999999999999</v>
      </c>
      <c r="K12" s="55">
        <f t="shared" si="0"/>
        <v>283.29999999999995</v>
      </c>
      <c r="L12" s="73">
        <f t="shared" si="1"/>
        <v>0.55767716535433065</v>
      </c>
      <c r="M12" s="11"/>
      <c r="N12" s="64" t="s">
        <v>40</v>
      </c>
      <c r="O12" s="1">
        <f>+COUNTIF($F$11:$F$56,"VAQUILLONA (Vq)")</f>
        <v>0</v>
      </c>
      <c r="P12" s="59" t="s">
        <v>37</v>
      </c>
    </row>
    <row r="13" spans="2:16" x14ac:dyDescent="0.25">
      <c r="B13" s="7"/>
      <c r="C13" s="29">
        <v>73</v>
      </c>
      <c r="D13" s="29">
        <v>2</v>
      </c>
      <c r="E13" s="19" t="s">
        <v>75</v>
      </c>
      <c r="F13" s="59" t="s">
        <v>62</v>
      </c>
      <c r="G13" s="62" t="s">
        <v>201</v>
      </c>
      <c r="H13" s="95">
        <v>463</v>
      </c>
      <c r="I13" s="19">
        <v>126.7</v>
      </c>
      <c r="J13" s="67">
        <v>128.19999999999999</v>
      </c>
      <c r="K13" s="55">
        <f t="shared" si="0"/>
        <v>254.89999999999998</v>
      </c>
      <c r="L13" s="73">
        <f t="shared" si="1"/>
        <v>0.55053995680345569</v>
      </c>
      <c r="M13" s="11"/>
      <c r="N13" s="64" t="s">
        <v>44</v>
      </c>
      <c r="O13" s="1">
        <f>+COUNTIF($F$11:$F$56,"TORITO (MEJ)")</f>
        <v>0</v>
      </c>
      <c r="P13" s="59" t="s">
        <v>43</v>
      </c>
    </row>
    <row r="14" spans="2:16" x14ac:dyDescent="0.25">
      <c r="B14" s="7"/>
      <c r="C14" s="29">
        <v>74</v>
      </c>
      <c r="D14" s="29">
        <v>5</v>
      </c>
      <c r="E14" s="19" t="s">
        <v>68</v>
      </c>
      <c r="F14" s="59" t="s">
        <v>62</v>
      </c>
      <c r="G14" s="62" t="s">
        <v>86</v>
      </c>
      <c r="H14" s="95">
        <v>477</v>
      </c>
      <c r="I14" s="19">
        <v>140.6</v>
      </c>
      <c r="J14" s="67">
        <v>140.1</v>
      </c>
      <c r="K14" s="55">
        <f t="shared" si="0"/>
        <v>280.7</v>
      </c>
      <c r="L14" s="73">
        <f t="shared" si="1"/>
        <v>0.58846960167714879</v>
      </c>
      <c r="M14" s="11"/>
      <c r="N14" s="78" t="s">
        <v>45</v>
      </c>
      <c r="O14" s="1">
        <f>+COUNTIF($F$11:$F$56,"NOVILLO (No)")</f>
        <v>0</v>
      </c>
      <c r="P14" s="19" t="s">
        <v>39</v>
      </c>
    </row>
    <row r="15" spans="2:16" x14ac:dyDescent="0.25">
      <c r="B15" s="7"/>
      <c r="C15" s="29">
        <v>75</v>
      </c>
      <c r="D15" s="29">
        <v>1</v>
      </c>
      <c r="E15" s="19" t="s">
        <v>75</v>
      </c>
      <c r="F15" s="59" t="s">
        <v>62</v>
      </c>
      <c r="G15" s="62" t="s">
        <v>307</v>
      </c>
      <c r="H15" s="95">
        <v>467</v>
      </c>
      <c r="I15" s="19">
        <v>131.69999999999999</v>
      </c>
      <c r="J15" s="67">
        <v>132.80000000000001</v>
      </c>
      <c r="K15" s="55">
        <f t="shared" si="0"/>
        <v>264.5</v>
      </c>
      <c r="L15" s="73">
        <f t="shared" si="1"/>
        <v>0.56638115631691643</v>
      </c>
      <c r="M15" s="11"/>
      <c r="N15" s="78" t="s">
        <v>46</v>
      </c>
      <c r="O15" s="1">
        <f>+COUNTIF($F$11:$F$56,"VACA (Va)")</f>
        <v>0</v>
      </c>
      <c r="P15" s="83" t="s">
        <v>50</v>
      </c>
    </row>
    <row r="16" spans="2:16" x14ac:dyDescent="0.25">
      <c r="B16" s="7"/>
      <c r="C16" s="29">
        <v>76</v>
      </c>
      <c r="D16" s="29">
        <v>7</v>
      </c>
      <c r="E16" s="19" t="s">
        <v>75</v>
      </c>
      <c r="F16" s="59" t="s">
        <v>62</v>
      </c>
      <c r="G16" s="62" t="s">
        <v>308</v>
      </c>
      <c r="H16" s="95">
        <v>494</v>
      </c>
      <c r="I16" s="19">
        <v>143.5</v>
      </c>
      <c r="J16" s="67">
        <v>145.19999999999999</v>
      </c>
      <c r="K16" s="55">
        <f t="shared" si="0"/>
        <v>288.7</v>
      </c>
      <c r="L16" s="73">
        <f t="shared" si="1"/>
        <v>0.58441295546558703</v>
      </c>
      <c r="M16" s="11"/>
      <c r="N16" s="64" t="s">
        <v>47</v>
      </c>
      <c r="O16" s="1">
        <f>+COUNTIF($F$11:$F$56,"TORO (To)")</f>
        <v>0</v>
      </c>
      <c r="P16" s="83" t="s">
        <v>51</v>
      </c>
    </row>
    <row r="17" spans="2:16" x14ac:dyDescent="0.25">
      <c r="B17" s="7"/>
      <c r="C17" s="29">
        <v>77</v>
      </c>
      <c r="D17" s="29">
        <v>8</v>
      </c>
      <c r="E17" s="19" t="s">
        <v>68</v>
      </c>
      <c r="F17" s="59" t="s">
        <v>62</v>
      </c>
      <c r="G17" s="62" t="s">
        <v>309</v>
      </c>
      <c r="H17" s="95">
        <v>437</v>
      </c>
      <c r="I17" s="19">
        <v>124.1</v>
      </c>
      <c r="J17" s="67">
        <v>125</v>
      </c>
      <c r="K17" s="55">
        <f t="shared" si="0"/>
        <v>249.1</v>
      </c>
      <c r="L17" s="73">
        <f t="shared" si="1"/>
        <v>0.57002288329519446</v>
      </c>
      <c r="M17" s="11"/>
      <c r="N17" s="77"/>
      <c r="O17" s="1">
        <f>SUM(O11:O16)</f>
        <v>0</v>
      </c>
    </row>
    <row r="18" spans="2:16" x14ac:dyDescent="0.25">
      <c r="B18" s="7"/>
      <c r="C18" s="29">
        <v>78</v>
      </c>
      <c r="D18" s="29">
        <v>6</v>
      </c>
      <c r="E18" s="19" t="s">
        <v>75</v>
      </c>
      <c r="F18" s="59" t="s">
        <v>62</v>
      </c>
      <c r="G18" s="62" t="s">
        <v>310</v>
      </c>
      <c r="H18" s="95">
        <v>514</v>
      </c>
      <c r="I18" s="19">
        <v>145.80000000000001</v>
      </c>
      <c r="J18" s="67">
        <v>148.9</v>
      </c>
      <c r="K18" s="55">
        <f t="shared" si="0"/>
        <v>294.70000000000005</v>
      </c>
      <c r="L18" s="73">
        <f t="shared" si="1"/>
        <v>0.5733463035019456</v>
      </c>
      <c r="M18" s="11"/>
    </row>
    <row r="19" spans="2:16" x14ac:dyDescent="0.25">
      <c r="B19" s="7"/>
      <c r="C19" s="61">
        <v>79</v>
      </c>
      <c r="D19" s="61">
        <v>4</v>
      </c>
      <c r="E19" s="59" t="s">
        <v>75</v>
      </c>
      <c r="F19" s="59" t="s">
        <v>62</v>
      </c>
      <c r="G19" s="62" t="s">
        <v>311</v>
      </c>
      <c r="H19" s="95">
        <v>466</v>
      </c>
      <c r="I19" s="19">
        <v>136.30000000000001</v>
      </c>
      <c r="J19" s="67">
        <v>138.19999999999999</v>
      </c>
      <c r="K19" s="55">
        <f t="shared" si="0"/>
        <v>274.5</v>
      </c>
      <c r="L19" s="73">
        <f t="shared" si="1"/>
        <v>0.58905579399141628</v>
      </c>
      <c r="M19" s="11"/>
      <c r="P19" s="100" t="s">
        <v>63</v>
      </c>
    </row>
    <row r="20" spans="2:16" x14ac:dyDescent="0.25">
      <c r="B20" s="7"/>
      <c r="C20" s="61">
        <v>80</v>
      </c>
      <c r="D20" s="61">
        <v>9</v>
      </c>
      <c r="E20" s="59" t="s">
        <v>68</v>
      </c>
      <c r="F20" s="59" t="s">
        <v>62</v>
      </c>
      <c r="G20" s="62" t="s">
        <v>312</v>
      </c>
      <c r="H20" s="95">
        <v>500</v>
      </c>
      <c r="I20" s="19">
        <v>132.80000000000001</v>
      </c>
      <c r="J20" s="67">
        <v>134</v>
      </c>
      <c r="K20" s="55">
        <f t="shared" si="0"/>
        <v>266.8</v>
      </c>
      <c r="L20" s="73">
        <f t="shared" si="1"/>
        <v>0.53360000000000007</v>
      </c>
      <c r="M20" s="11"/>
      <c r="N20" s="64" t="s">
        <v>67</v>
      </c>
      <c r="P20" s="1" t="s">
        <v>64</v>
      </c>
    </row>
    <row r="21" spans="2:16" x14ac:dyDescent="0.25">
      <c r="B21" s="7"/>
      <c r="C21" s="19"/>
      <c r="D21" s="29"/>
      <c r="E21" s="19"/>
      <c r="F21" s="59"/>
      <c r="G21" s="62"/>
      <c r="H21" s="95"/>
      <c r="I21" s="19"/>
      <c r="J21" s="67"/>
      <c r="K21" s="55">
        <f t="shared" si="0"/>
        <v>0</v>
      </c>
      <c r="L21" s="73" t="e">
        <f t="shared" si="1"/>
        <v>#DIV/0!</v>
      </c>
      <c r="M21" s="11"/>
      <c r="N21" s="64" t="s">
        <v>68</v>
      </c>
      <c r="P21" t="s">
        <v>65</v>
      </c>
    </row>
    <row r="22" spans="2:16" x14ac:dyDescent="0.25">
      <c r="B22" s="7"/>
      <c r="C22" s="19"/>
      <c r="D22" s="29"/>
      <c r="E22" s="19"/>
      <c r="F22" s="59"/>
      <c r="G22" s="62"/>
      <c r="H22" s="95"/>
      <c r="I22" s="19"/>
      <c r="J22" s="67"/>
      <c r="K22" s="55">
        <f t="shared" si="0"/>
        <v>0</v>
      </c>
      <c r="L22" s="73" t="e">
        <f t="shared" si="1"/>
        <v>#DIV/0!</v>
      </c>
      <c r="M22" s="11"/>
      <c r="N22" s="64" t="s">
        <v>75</v>
      </c>
      <c r="P22" t="s">
        <v>74</v>
      </c>
    </row>
    <row r="23" spans="2:16" x14ac:dyDescent="0.25">
      <c r="B23" s="7"/>
      <c r="C23" s="59"/>
      <c r="D23" s="61"/>
      <c r="E23" s="59"/>
      <c r="F23" s="59"/>
      <c r="G23" s="62"/>
      <c r="H23" s="95"/>
      <c r="I23" s="19"/>
      <c r="J23" s="67"/>
      <c r="K23" s="55">
        <f t="shared" si="0"/>
        <v>0</v>
      </c>
      <c r="L23" s="73" t="e">
        <f t="shared" si="1"/>
        <v>#DIV/0!</v>
      </c>
      <c r="M23" s="11"/>
      <c r="N23" s="64" t="s">
        <v>69</v>
      </c>
      <c r="P23" t="s">
        <v>66</v>
      </c>
    </row>
    <row r="24" spans="2:16" x14ac:dyDescent="0.25">
      <c r="B24" s="7"/>
      <c r="C24" s="19"/>
      <c r="D24" s="29"/>
      <c r="E24" s="19"/>
      <c r="F24" s="59"/>
      <c r="G24" s="62"/>
      <c r="H24" s="95"/>
      <c r="I24" s="19"/>
      <c r="J24" s="68"/>
      <c r="K24" s="55">
        <f t="shared" si="0"/>
        <v>0</v>
      </c>
      <c r="L24" s="104" t="e">
        <f t="shared" si="1"/>
        <v>#DIV/0!</v>
      </c>
      <c r="M24" s="11"/>
      <c r="N24" s="64" t="s">
        <v>70</v>
      </c>
      <c r="P24" t="s">
        <v>71</v>
      </c>
    </row>
    <row r="25" spans="2:16" x14ac:dyDescent="0.25">
      <c r="B25" s="7"/>
      <c r="C25" s="19"/>
      <c r="D25" s="29"/>
      <c r="E25" s="19"/>
      <c r="F25" s="59"/>
      <c r="G25" s="62"/>
      <c r="H25" s="95"/>
      <c r="I25" s="19"/>
      <c r="J25" s="67"/>
      <c r="K25" s="55">
        <f t="shared" si="0"/>
        <v>0</v>
      </c>
      <c r="L25" s="73" t="e">
        <f t="shared" si="1"/>
        <v>#DIV/0!</v>
      </c>
      <c r="M25" s="11"/>
      <c r="N25" s="64" t="s">
        <v>73</v>
      </c>
      <c r="P25" t="s">
        <v>72</v>
      </c>
    </row>
    <row r="26" spans="2:16" x14ac:dyDescent="0.25">
      <c r="B26" s="7"/>
      <c r="C26" s="19"/>
      <c r="D26" s="29"/>
      <c r="E26" s="19"/>
      <c r="F26" s="59"/>
      <c r="G26" s="62"/>
      <c r="H26" s="95"/>
      <c r="I26" s="19"/>
      <c r="J26" s="67"/>
      <c r="K26" s="55">
        <f t="shared" si="0"/>
        <v>0</v>
      </c>
      <c r="L26" s="73" t="e">
        <f t="shared" si="1"/>
        <v>#DIV/0!</v>
      </c>
      <c r="M26" s="11"/>
      <c r="N26" s="64" t="s">
        <v>78</v>
      </c>
      <c r="P26" t="s">
        <v>76</v>
      </c>
    </row>
    <row r="27" spans="2:16" x14ac:dyDescent="0.25">
      <c r="B27" s="7"/>
      <c r="C27" s="19"/>
      <c r="D27" s="29"/>
      <c r="E27" s="19"/>
      <c r="F27" s="59"/>
      <c r="G27" s="62"/>
      <c r="H27" s="95"/>
      <c r="I27" s="19"/>
      <c r="J27" s="67"/>
      <c r="K27" s="55">
        <f t="shared" si="0"/>
        <v>0</v>
      </c>
      <c r="L27" s="73" t="e">
        <f t="shared" si="1"/>
        <v>#DIV/0!</v>
      </c>
      <c r="M27" s="11"/>
    </row>
    <row r="28" spans="2:16" x14ac:dyDescent="0.25">
      <c r="B28" s="7"/>
      <c r="C28" s="19"/>
      <c r="D28" s="29"/>
      <c r="E28" s="19"/>
      <c r="F28" s="19"/>
      <c r="G28" s="20"/>
      <c r="H28" s="71"/>
      <c r="I28" s="54"/>
      <c r="J28" s="52"/>
      <c r="K28" s="55">
        <f t="shared" si="0"/>
        <v>0</v>
      </c>
      <c r="L28" s="73" t="e">
        <f t="shared" si="1"/>
        <v>#DIV/0!</v>
      </c>
      <c r="M28" s="11"/>
    </row>
    <row r="29" spans="2:16" x14ac:dyDescent="0.25">
      <c r="B29" s="7"/>
      <c r="C29" s="19"/>
      <c r="D29" s="29"/>
      <c r="E29" s="19"/>
      <c r="F29" s="59"/>
      <c r="G29" s="62"/>
      <c r="H29" s="95"/>
      <c r="I29" s="19"/>
      <c r="J29" s="67"/>
      <c r="K29" s="55">
        <f t="shared" si="0"/>
        <v>0</v>
      </c>
      <c r="L29" s="73" t="e">
        <f t="shared" si="1"/>
        <v>#DIV/0!</v>
      </c>
      <c r="M29" s="11"/>
    </row>
    <row r="30" spans="2:16" x14ac:dyDescent="0.25">
      <c r="B30" s="7"/>
      <c r="C30" s="19"/>
      <c r="D30" s="29"/>
      <c r="E30" s="19"/>
      <c r="F30" s="59"/>
      <c r="G30" s="62"/>
      <c r="H30" s="95"/>
      <c r="I30" s="19"/>
      <c r="J30" s="67"/>
      <c r="K30" s="55">
        <f t="shared" si="0"/>
        <v>0</v>
      </c>
      <c r="L30" s="73" t="e">
        <f t="shared" si="1"/>
        <v>#DIV/0!</v>
      </c>
      <c r="M30" s="11"/>
    </row>
    <row r="31" spans="2:16" x14ac:dyDescent="0.25">
      <c r="B31" s="7"/>
      <c r="C31" s="19"/>
      <c r="D31" s="29"/>
      <c r="E31" s="19"/>
      <c r="F31" s="59"/>
      <c r="G31" s="62"/>
      <c r="H31" s="95"/>
      <c r="I31" s="19"/>
      <c r="J31" s="67"/>
      <c r="K31" s="55">
        <f t="shared" si="0"/>
        <v>0</v>
      </c>
      <c r="L31" s="73" t="e">
        <f t="shared" si="1"/>
        <v>#DIV/0!</v>
      </c>
      <c r="M31" s="11"/>
    </row>
    <row r="32" spans="2:16" x14ac:dyDescent="0.25">
      <c r="B32" s="7"/>
      <c r="C32" s="59"/>
      <c r="D32" s="61"/>
      <c r="E32" s="59"/>
      <c r="F32" s="59"/>
      <c r="G32" s="62"/>
      <c r="H32" s="95"/>
      <c r="I32" s="19"/>
      <c r="J32" s="67"/>
      <c r="K32" s="55">
        <f t="shared" si="0"/>
        <v>0</v>
      </c>
      <c r="L32" s="73" t="e">
        <f t="shared" si="1"/>
        <v>#DIV/0!</v>
      </c>
      <c r="M32" s="11"/>
    </row>
    <row r="33" spans="2:13" x14ac:dyDescent="0.25">
      <c r="B33" s="7"/>
      <c r="C33" s="19"/>
      <c r="D33" s="29"/>
      <c r="E33" s="19"/>
      <c r="F33" s="59"/>
      <c r="G33" s="62"/>
      <c r="H33" s="95"/>
      <c r="I33" s="19"/>
      <c r="J33" s="67"/>
      <c r="K33" s="55">
        <f t="shared" si="0"/>
        <v>0</v>
      </c>
      <c r="L33" s="73" t="e">
        <f t="shared" si="1"/>
        <v>#DIV/0!</v>
      </c>
      <c r="M33" s="11"/>
    </row>
    <row r="34" spans="2:13" x14ac:dyDescent="0.25">
      <c r="B34" s="7"/>
      <c r="C34" s="59"/>
      <c r="D34" s="61"/>
      <c r="E34" s="59"/>
      <c r="F34" s="59"/>
      <c r="G34" s="62"/>
      <c r="H34" s="95"/>
      <c r="I34" s="19"/>
      <c r="J34" s="67"/>
      <c r="K34" s="55">
        <f t="shared" si="0"/>
        <v>0</v>
      </c>
      <c r="L34" s="73" t="e">
        <f t="shared" si="1"/>
        <v>#DIV/0!</v>
      </c>
      <c r="M34" s="11"/>
    </row>
    <row r="35" spans="2:13" x14ac:dyDescent="0.25">
      <c r="B35" s="7"/>
      <c r="C35" s="59"/>
      <c r="D35" s="61"/>
      <c r="E35" s="59"/>
      <c r="F35" s="59"/>
      <c r="G35" s="62"/>
      <c r="H35" s="95"/>
      <c r="I35" s="19"/>
      <c r="J35" s="67"/>
      <c r="K35" s="55">
        <f t="shared" si="0"/>
        <v>0</v>
      </c>
      <c r="L35" s="73" t="e">
        <f t="shared" si="1"/>
        <v>#DIV/0!</v>
      </c>
      <c r="M35" s="11"/>
    </row>
    <row r="36" spans="2:13" x14ac:dyDescent="0.25">
      <c r="B36" s="7"/>
      <c r="C36" s="59"/>
      <c r="D36" s="61"/>
      <c r="E36" s="59"/>
      <c r="F36" s="59"/>
      <c r="G36" s="62"/>
      <c r="H36" s="95"/>
      <c r="I36" s="19"/>
      <c r="J36" s="67"/>
      <c r="K36" s="55">
        <f t="shared" si="0"/>
        <v>0</v>
      </c>
      <c r="L36" s="73" t="e">
        <f t="shared" si="1"/>
        <v>#DIV/0!</v>
      </c>
      <c r="M36" s="11"/>
    </row>
    <row r="37" spans="2:13" x14ac:dyDescent="0.25">
      <c r="B37" s="7"/>
      <c r="C37" s="59"/>
      <c r="D37" s="61"/>
      <c r="E37" s="59"/>
      <c r="F37" s="59"/>
      <c r="G37" s="62"/>
      <c r="H37" s="95"/>
      <c r="I37" s="19"/>
      <c r="J37" s="67"/>
      <c r="K37" s="55">
        <f t="shared" si="0"/>
        <v>0</v>
      </c>
      <c r="L37" s="73" t="e">
        <f t="shared" si="1"/>
        <v>#DIV/0!</v>
      </c>
      <c r="M37" s="11"/>
    </row>
    <row r="38" spans="2:13" x14ac:dyDescent="0.25">
      <c r="B38" s="7"/>
      <c r="C38" s="59"/>
      <c r="D38" s="61"/>
      <c r="E38" s="59"/>
      <c r="F38" s="59"/>
      <c r="G38" s="62"/>
      <c r="H38" s="95"/>
      <c r="I38" s="19"/>
      <c r="J38" s="67"/>
      <c r="K38" s="55">
        <f t="shared" si="0"/>
        <v>0</v>
      </c>
      <c r="L38" s="73" t="e">
        <f t="shared" si="1"/>
        <v>#DIV/0!</v>
      </c>
      <c r="M38" s="11"/>
    </row>
    <row r="39" spans="2:13" x14ac:dyDescent="0.25">
      <c r="B39" s="7"/>
      <c r="C39" s="59"/>
      <c r="D39" s="61"/>
      <c r="E39" s="59"/>
      <c r="F39" s="59"/>
      <c r="G39" s="62"/>
      <c r="H39" s="95"/>
      <c r="I39" s="19"/>
      <c r="J39" s="67"/>
      <c r="K39" s="55">
        <f t="shared" si="0"/>
        <v>0</v>
      </c>
      <c r="L39" s="73" t="e">
        <f t="shared" si="1"/>
        <v>#DIV/0!</v>
      </c>
      <c r="M39" s="11"/>
    </row>
    <row r="40" spans="2:13" x14ac:dyDescent="0.25">
      <c r="B40" s="7"/>
      <c r="C40" s="19"/>
      <c r="D40" s="29"/>
      <c r="E40" s="19"/>
      <c r="F40" s="59"/>
      <c r="G40" s="62"/>
      <c r="H40" s="95"/>
      <c r="I40" s="19"/>
      <c r="J40" s="67"/>
      <c r="K40" s="55">
        <f t="shared" si="0"/>
        <v>0</v>
      </c>
      <c r="L40" s="73" t="e">
        <f t="shared" si="1"/>
        <v>#DIV/0!</v>
      </c>
      <c r="M40" s="11"/>
    </row>
    <row r="41" spans="2:13" x14ac:dyDescent="0.25">
      <c r="B41" s="7"/>
      <c r="C41" s="19"/>
      <c r="D41" s="29"/>
      <c r="E41" s="19"/>
      <c r="F41" s="59"/>
      <c r="G41" s="20"/>
      <c r="H41" s="71"/>
      <c r="I41" s="19"/>
      <c r="J41" s="67"/>
      <c r="K41" s="55">
        <f t="shared" si="0"/>
        <v>0</v>
      </c>
      <c r="L41" s="73" t="e">
        <f t="shared" si="1"/>
        <v>#DIV/0!</v>
      </c>
      <c r="M41" s="11"/>
    </row>
    <row r="42" spans="2:13" x14ac:dyDescent="0.25">
      <c r="B42" s="7"/>
      <c r="C42" s="19"/>
      <c r="D42" s="61"/>
      <c r="E42" s="59"/>
      <c r="F42" s="59"/>
      <c r="G42" s="20"/>
      <c r="H42" s="71"/>
      <c r="I42" s="19"/>
      <c r="J42" s="67"/>
      <c r="K42" s="55">
        <f t="shared" si="0"/>
        <v>0</v>
      </c>
      <c r="L42" s="73" t="e">
        <f t="shared" si="1"/>
        <v>#DIV/0!</v>
      </c>
      <c r="M42" s="11"/>
    </row>
    <row r="43" spans="2:13" x14ac:dyDescent="0.25">
      <c r="B43" s="7"/>
      <c r="C43" s="19"/>
      <c r="D43" s="61"/>
      <c r="E43" s="59"/>
      <c r="F43" s="59"/>
      <c r="G43" s="20"/>
      <c r="H43" s="71"/>
      <c r="I43" s="19"/>
      <c r="J43" s="67"/>
      <c r="K43" s="55">
        <f t="shared" si="0"/>
        <v>0</v>
      </c>
      <c r="L43" s="73" t="e">
        <f t="shared" si="1"/>
        <v>#DIV/0!</v>
      </c>
      <c r="M43" s="11"/>
    </row>
    <row r="44" spans="2:13" x14ac:dyDescent="0.25">
      <c r="B44" s="7"/>
      <c r="C44" s="19"/>
      <c r="D44" s="61"/>
      <c r="E44" s="59"/>
      <c r="F44" s="59"/>
      <c r="G44" s="20"/>
      <c r="H44" s="71"/>
      <c r="I44" s="19"/>
      <c r="J44" s="67"/>
      <c r="K44" s="55">
        <f t="shared" si="0"/>
        <v>0</v>
      </c>
      <c r="L44" s="73" t="e">
        <f t="shared" si="1"/>
        <v>#DIV/0!</v>
      </c>
      <c r="M44" s="11"/>
    </row>
    <row r="45" spans="2:13" x14ac:dyDescent="0.25">
      <c r="B45" s="7"/>
      <c r="C45" s="19"/>
      <c r="D45" s="61"/>
      <c r="E45" s="59"/>
      <c r="F45" s="59"/>
      <c r="G45" s="20"/>
      <c r="H45" s="71"/>
      <c r="I45" s="19"/>
      <c r="J45" s="67"/>
      <c r="K45" s="55">
        <f t="shared" si="0"/>
        <v>0</v>
      </c>
      <c r="L45" s="73" t="e">
        <f t="shared" si="1"/>
        <v>#DIV/0!</v>
      </c>
      <c r="M45" s="11"/>
    </row>
    <row r="46" spans="2:13" x14ac:dyDescent="0.25">
      <c r="B46" s="7"/>
      <c r="C46" s="19"/>
      <c r="D46" s="61"/>
      <c r="E46" s="59"/>
      <c r="F46" s="59"/>
      <c r="G46" s="20"/>
      <c r="H46" s="71"/>
      <c r="I46" s="19"/>
      <c r="J46" s="67"/>
      <c r="K46" s="55">
        <f t="shared" si="0"/>
        <v>0</v>
      </c>
      <c r="L46" s="73" t="e">
        <f t="shared" si="1"/>
        <v>#DIV/0!</v>
      </c>
      <c r="M46" s="11"/>
    </row>
    <row r="47" spans="2:13" x14ac:dyDescent="0.25">
      <c r="B47" s="7"/>
      <c r="C47" s="19"/>
      <c r="D47" s="29"/>
      <c r="E47" s="19"/>
      <c r="F47" s="59"/>
      <c r="G47" s="20"/>
      <c r="H47" s="71"/>
      <c r="I47" s="19"/>
      <c r="J47" s="67"/>
      <c r="K47" s="55">
        <f t="shared" si="0"/>
        <v>0</v>
      </c>
      <c r="L47" s="73" t="e">
        <f t="shared" si="1"/>
        <v>#DIV/0!</v>
      </c>
      <c r="M47" s="11"/>
    </row>
    <row r="48" spans="2:13" x14ac:dyDescent="0.25">
      <c r="B48" s="7"/>
      <c r="C48" s="19"/>
      <c r="D48" s="29"/>
      <c r="E48" s="19"/>
      <c r="F48" s="59"/>
      <c r="G48" s="20"/>
      <c r="H48" s="71"/>
      <c r="I48" s="19"/>
      <c r="J48" s="67"/>
      <c r="K48" s="55">
        <f t="shared" si="0"/>
        <v>0</v>
      </c>
      <c r="L48" s="73" t="e">
        <f t="shared" si="1"/>
        <v>#DIV/0!</v>
      </c>
      <c r="M48" s="11"/>
    </row>
    <row r="49" spans="2:13" x14ac:dyDescent="0.25">
      <c r="B49" s="7"/>
      <c r="C49" s="19"/>
      <c r="D49" s="85"/>
      <c r="E49" s="89"/>
      <c r="F49" s="86"/>
      <c r="G49" s="20"/>
      <c r="H49" s="71"/>
      <c r="I49" s="19"/>
      <c r="J49" s="67"/>
      <c r="K49" s="55">
        <f t="shared" si="0"/>
        <v>0</v>
      </c>
      <c r="L49" s="73" t="e">
        <f t="shared" si="1"/>
        <v>#DIV/0!</v>
      </c>
      <c r="M49" s="11"/>
    </row>
    <row r="50" spans="2:13" x14ac:dyDescent="0.25">
      <c r="B50" s="7"/>
      <c r="C50" s="19"/>
      <c r="D50" s="85"/>
      <c r="E50" s="89"/>
      <c r="F50" s="86"/>
      <c r="G50" s="20"/>
      <c r="H50" s="71"/>
      <c r="I50" s="19"/>
      <c r="J50" s="67"/>
      <c r="K50" s="55">
        <f t="shared" si="0"/>
        <v>0</v>
      </c>
      <c r="L50" s="73" t="e">
        <f t="shared" si="1"/>
        <v>#DIV/0!</v>
      </c>
      <c r="M50" s="11"/>
    </row>
    <row r="51" spans="2:13" x14ac:dyDescent="0.25">
      <c r="B51" s="7"/>
      <c r="C51" s="29"/>
      <c r="D51" s="85"/>
      <c r="E51" s="85"/>
      <c r="F51" s="87"/>
      <c r="G51" s="20"/>
      <c r="H51" s="71"/>
      <c r="I51" s="29"/>
      <c r="J51" s="79"/>
      <c r="K51" s="55">
        <f t="shared" si="0"/>
        <v>0</v>
      </c>
      <c r="L51" s="73" t="e">
        <f t="shared" si="1"/>
        <v>#DIV/0!</v>
      </c>
      <c r="M51" s="11"/>
    </row>
    <row r="52" spans="2:13" x14ac:dyDescent="0.25">
      <c r="B52" s="7"/>
      <c r="C52" s="19"/>
      <c r="D52" s="85"/>
      <c r="E52" s="89"/>
      <c r="F52" s="89"/>
      <c r="G52" s="88"/>
      <c r="H52" s="81"/>
      <c r="I52" s="54"/>
      <c r="J52" s="54"/>
      <c r="K52" s="55">
        <f t="shared" si="0"/>
        <v>0</v>
      </c>
      <c r="L52" s="73" t="e">
        <f t="shared" si="1"/>
        <v>#DIV/0!</v>
      </c>
      <c r="M52" s="11"/>
    </row>
    <row r="53" spans="2:13" x14ac:dyDescent="0.25">
      <c r="B53" s="7"/>
      <c r="C53" s="19"/>
      <c r="D53" s="90"/>
      <c r="E53" s="91"/>
      <c r="F53" s="91"/>
      <c r="G53" s="92"/>
      <c r="H53" s="96"/>
      <c r="I53" s="82"/>
      <c r="J53" s="37"/>
      <c r="K53" s="55">
        <f t="shared" si="0"/>
        <v>0</v>
      </c>
      <c r="L53" s="73" t="e">
        <f t="shared" si="1"/>
        <v>#DIV/0!</v>
      </c>
      <c r="M53" s="11"/>
    </row>
    <row r="54" spans="2:13" x14ac:dyDescent="0.25">
      <c r="B54" s="7"/>
      <c r="C54" s="19"/>
      <c r="D54" s="85"/>
      <c r="E54" s="89"/>
      <c r="F54" s="89"/>
      <c r="G54" s="20"/>
      <c r="H54" s="81"/>
      <c r="I54" s="54"/>
      <c r="J54" s="52"/>
      <c r="K54" s="55">
        <f t="shared" si="0"/>
        <v>0</v>
      </c>
      <c r="L54" s="73" t="e">
        <f t="shared" si="1"/>
        <v>#DIV/0!</v>
      </c>
      <c r="M54" s="11"/>
    </row>
    <row r="55" spans="2:13" ht="15.75" thickBot="1" x14ac:dyDescent="0.3">
      <c r="B55" s="7"/>
      <c r="C55" s="19"/>
      <c r="D55" s="85"/>
      <c r="E55" s="89"/>
      <c r="F55" s="89"/>
      <c r="G55" s="20"/>
      <c r="H55" s="71"/>
      <c r="I55" s="54"/>
      <c r="J55" s="52"/>
      <c r="K55" s="55">
        <f t="shared" si="0"/>
        <v>0</v>
      </c>
      <c r="L55" s="73" t="e">
        <f t="shared" si="1"/>
        <v>#DIV/0!</v>
      </c>
      <c r="M55" s="11"/>
    </row>
    <row r="56" spans="2:13" ht="15.75" thickBot="1" x14ac:dyDescent="0.3">
      <c r="B56" s="7"/>
      <c r="C56" s="105"/>
      <c r="D56" s="75">
        <f>+COUNT($D$11:$D$55)</f>
        <v>10</v>
      </c>
      <c r="E56" s="105"/>
      <c r="F56" s="105"/>
      <c r="G56" s="69"/>
      <c r="H56" s="56">
        <f>SUM($H$11:$H$55)</f>
        <v>4777</v>
      </c>
      <c r="I56" s="57">
        <f>SUM($I$11:$I$55)</f>
        <v>1350.6</v>
      </c>
      <c r="J56" s="70">
        <f>SUM($J$11:$J$55)</f>
        <v>1362.0000000000002</v>
      </c>
      <c r="K56" s="72">
        <f>SUM($K$11:$K$55)</f>
        <v>2712.6000000000004</v>
      </c>
      <c r="L56" s="74">
        <f t="shared" si="1"/>
        <v>0.56784592840695003</v>
      </c>
      <c r="M56" s="11"/>
    </row>
    <row r="57" spans="2:13" ht="15.75" thickBot="1" x14ac:dyDescent="0.3">
      <c r="B57" s="41"/>
      <c r="C57" s="42"/>
      <c r="D57" s="42"/>
      <c r="E57" s="42"/>
      <c r="F57" s="42"/>
      <c r="G57" s="43"/>
      <c r="H57" s="42"/>
      <c r="I57" s="43"/>
      <c r="J57" s="42"/>
      <c r="K57" s="42"/>
      <c r="L57" s="42"/>
      <c r="M57" s="44"/>
    </row>
    <row r="58" spans="2:13" ht="16.5" thickTop="1" thickBot="1" x14ac:dyDescent="0.3">
      <c r="B58" s="4"/>
      <c r="C58" s="4"/>
      <c r="D58" s="4"/>
      <c r="E58" s="4"/>
      <c r="F58" s="4"/>
      <c r="G58" s="5"/>
      <c r="H58" s="4"/>
      <c r="I58" s="5"/>
      <c r="J58" s="4"/>
      <c r="K58" s="4"/>
      <c r="L58" s="4"/>
      <c r="M58" s="4"/>
    </row>
    <row r="59" spans="2:13" ht="16.5" thickTop="1" thickBot="1" x14ac:dyDescent="0.3">
      <c r="B59" s="3"/>
      <c r="C59" s="4"/>
      <c r="D59" s="4"/>
      <c r="E59" s="4"/>
      <c r="F59" s="4"/>
      <c r="G59" s="5"/>
      <c r="H59" s="4"/>
      <c r="I59" s="5"/>
      <c r="J59" s="4"/>
      <c r="K59" s="4"/>
      <c r="L59" s="4"/>
      <c r="M59" s="6"/>
    </row>
    <row r="60" spans="2:13" ht="15.75" thickBot="1" x14ac:dyDescent="0.3">
      <c r="B60" s="7"/>
      <c r="F60" s="30" t="s">
        <v>12</v>
      </c>
      <c r="G60" s="31" t="s">
        <v>32</v>
      </c>
      <c r="H60" s="51" t="s">
        <v>30</v>
      </c>
      <c r="I60" s="75" t="s">
        <v>54</v>
      </c>
      <c r="J60" s="75" t="s">
        <v>53</v>
      </c>
      <c r="M60" s="11"/>
    </row>
    <row r="61" spans="2:13" x14ac:dyDescent="0.25">
      <c r="B61" s="7"/>
      <c r="F61" s="32" t="s">
        <v>59</v>
      </c>
      <c r="G61" s="97"/>
      <c r="H61" s="97"/>
      <c r="I61" s="76"/>
      <c r="J61" s="84"/>
      <c r="M61" s="11"/>
    </row>
    <row r="62" spans="2:13" x14ac:dyDescent="0.25">
      <c r="B62" s="7"/>
      <c r="F62" s="33" t="s">
        <v>15</v>
      </c>
      <c r="G62" s="76"/>
      <c r="H62" s="76"/>
      <c r="I62" s="76"/>
      <c r="J62" s="21"/>
      <c r="M62" s="11"/>
    </row>
    <row r="63" spans="2:13" x14ac:dyDescent="0.25">
      <c r="B63" s="7"/>
      <c r="F63" s="22" t="s">
        <v>13</v>
      </c>
      <c r="G63" s="76"/>
      <c r="H63" s="76"/>
      <c r="I63" s="76"/>
      <c r="J63" s="21"/>
      <c r="M63" s="11"/>
    </row>
    <row r="64" spans="2:13" x14ac:dyDescent="0.25">
      <c r="B64" s="7"/>
      <c r="F64" s="22" t="s">
        <v>16</v>
      </c>
      <c r="G64" s="76"/>
      <c r="H64" s="76"/>
      <c r="I64" s="76"/>
      <c r="J64" s="21"/>
      <c r="M64" s="11"/>
    </row>
    <row r="65" spans="2:13" x14ac:dyDescent="0.25">
      <c r="B65" s="7"/>
      <c r="F65" s="33" t="s">
        <v>60</v>
      </c>
      <c r="G65" s="76"/>
      <c r="H65" s="76"/>
      <c r="I65" s="76"/>
      <c r="J65" s="21"/>
      <c r="M65" s="11"/>
    </row>
    <row r="66" spans="2:13" x14ac:dyDescent="0.25">
      <c r="B66" s="7"/>
      <c r="F66" s="33" t="s">
        <v>14</v>
      </c>
      <c r="G66" s="76"/>
      <c r="H66" s="76"/>
      <c r="I66" s="76"/>
      <c r="J66" s="21"/>
      <c r="M66" s="11"/>
    </row>
    <row r="67" spans="2:13" x14ac:dyDescent="0.25">
      <c r="B67" s="7"/>
      <c r="F67" s="22" t="s">
        <v>20</v>
      </c>
      <c r="G67" s="76"/>
      <c r="H67" s="76"/>
      <c r="I67" s="76"/>
      <c r="J67" s="21"/>
      <c r="M67" s="11"/>
    </row>
    <row r="68" spans="2:13" x14ac:dyDescent="0.25">
      <c r="B68" s="7"/>
      <c r="F68" s="33" t="s">
        <v>17</v>
      </c>
      <c r="G68" s="76"/>
      <c r="H68" s="76"/>
      <c r="I68" s="76"/>
      <c r="J68" s="21"/>
      <c r="M68" s="11"/>
    </row>
    <row r="69" spans="2:13" x14ac:dyDescent="0.25">
      <c r="B69" s="7"/>
      <c r="F69" s="33" t="s">
        <v>61</v>
      </c>
      <c r="G69" s="76"/>
      <c r="H69" s="76"/>
      <c r="I69" s="76"/>
      <c r="J69" s="21"/>
      <c r="M69" s="11"/>
    </row>
    <row r="70" spans="2:13" x14ac:dyDescent="0.25">
      <c r="B70" s="7"/>
      <c r="F70" s="33" t="s">
        <v>48</v>
      </c>
      <c r="G70" s="76"/>
      <c r="H70" s="76"/>
      <c r="I70" s="76"/>
      <c r="J70" s="21"/>
      <c r="M70" s="11"/>
    </row>
    <row r="71" spans="2:13" x14ac:dyDescent="0.25">
      <c r="B71" s="7"/>
      <c r="F71" s="22" t="s">
        <v>19</v>
      </c>
      <c r="G71" s="76"/>
      <c r="H71" s="76"/>
      <c r="I71" s="76"/>
      <c r="J71" s="21"/>
      <c r="M71" s="11"/>
    </row>
    <row r="72" spans="2:13" x14ac:dyDescent="0.25">
      <c r="B72" s="7"/>
      <c r="F72" s="22" t="s">
        <v>18</v>
      </c>
      <c r="G72" s="76"/>
      <c r="H72" s="76"/>
      <c r="I72" s="76"/>
      <c r="J72" s="21"/>
      <c r="M72" s="11"/>
    </row>
    <row r="73" spans="2:13" ht="15.75" thickBot="1" x14ac:dyDescent="0.3">
      <c r="B73" s="7"/>
      <c r="F73" s="33" t="s">
        <v>49</v>
      </c>
      <c r="G73" s="76"/>
      <c r="H73" s="76"/>
      <c r="I73" s="76"/>
      <c r="J73" s="21"/>
      <c r="M73" s="11"/>
    </row>
    <row r="74" spans="2:13" ht="15.75" thickBot="1" x14ac:dyDescent="0.3">
      <c r="B74" s="7"/>
      <c r="F74" s="39" t="s">
        <v>21</v>
      </c>
      <c r="G74" s="23"/>
      <c r="H74" s="23">
        <f>SUM(H61:H73)</f>
        <v>0</v>
      </c>
      <c r="I74" s="80">
        <f>SUM(I61:I73)</f>
        <v>0</v>
      </c>
      <c r="J74" s="23">
        <f>SUM(J61:J73)</f>
        <v>0</v>
      </c>
      <c r="M74" s="11"/>
    </row>
    <row r="75" spans="2:13" ht="15.75" thickBot="1" x14ac:dyDescent="0.3">
      <c r="B75" s="41"/>
      <c r="C75" s="42"/>
      <c r="D75" s="42"/>
      <c r="E75" s="42"/>
      <c r="F75" s="42"/>
      <c r="G75" s="43"/>
      <c r="H75" s="42"/>
      <c r="I75" s="43"/>
      <c r="J75" s="42"/>
      <c r="K75" s="42"/>
      <c r="L75" s="42"/>
      <c r="M75" s="44"/>
    </row>
    <row r="76" spans="2:13" ht="16.5" thickTop="1" thickBot="1" x14ac:dyDescent="0.3">
      <c r="B76" s="7"/>
      <c r="F76" s="24"/>
      <c r="G76" s="25"/>
      <c r="H76" s="24"/>
      <c r="I76" s="25"/>
      <c r="M76" s="11"/>
    </row>
    <row r="77" spans="2:13" ht="15.75" thickBot="1" x14ac:dyDescent="0.3">
      <c r="B77" s="7"/>
      <c r="F77" s="34" t="s">
        <v>22</v>
      </c>
      <c r="G77" s="35" t="s">
        <v>33</v>
      </c>
      <c r="H77" s="36" t="s">
        <v>31</v>
      </c>
      <c r="M77" s="11"/>
    </row>
    <row r="78" spans="2:13" x14ac:dyDescent="0.25">
      <c r="B78" s="7"/>
      <c r="F78" s="33" t="s">
        <v>23</v>
      </c>
      <c r="G78" s="38"/>
      <c r="H78" s="21"/>
      <c r="M78" s="11"/>
    </row>
    <row r="79" spans="2:13" x14ac:dyDescent="0.25">
      <c r="B79" s="7"/>
      <c r="F79" s="33" t="s">
        <v>24</v>
      </c>
      <c r="G79" s="37">
        <f>+D56</f>
        <v>10</v>
      </c>
      <c r="H79" s="21"/>
      <c r="M79" s="11"/>
    </row>
    <row r="80" spans="2:13" x14ac:dyDescent="0.25">
      <c r="B80" s="7"/>
      <c r="F80" s="22" t="s">
        <v>34</v>
      </c>
      <c r="G80" s="38"/>
      <c r="H80" s="21"/>
      <c r="M80" s="11"/>
    </row>
    <row r="81" spans="2:13" x14ac:dyDescent="0.25">
      <c r="B81" s="7"/>
      <c r="F81" s="22" t="s">
        <v>35</v>
      </c>
      <c r="G81" s="38"/>
      <c r="H81" s="21"/>
      <c r="M81" s="11"/>
    </row>
    <row r="82" spans="2:13" ht="15.75" thickBot="1" x14ac:dyDescent="0.3">
      <c r="B82" s="7"/>
      <c r="F82" s="22" t="s">
        <v>29</v>
      </c>
      <c r="G82" s="37"/>
      <c r="H82" s="21"/>
      <c r="M82" s="11"/>
    </row>
    <row r="83" spans="2:13" ht="15.75" thickBot="1" x14ac:dyDescent="0.3">
      <c r="B83" s="7"/>
      <c r="F83" s="39" t="s">
        <v>21</v>
      </c>
      <c r="G83" s="40"/>
      <c r="H83" s="23">
        <f>SUM(H78:H82)</f>
        <v>0</v>
      </c>
      <c r="M83" s="11"/>
    </row>
    <row r="84" spans="2:13" ht="15.75" thickBot="1" x14ac:dyDescent="0.3">
      <c r="B84" s="41"/>
      <c r="C84" s="42"/>
      <c r="D84" s="42"/>
      <c r="E84" s="42"/>
      <c r="F84" s="42"/>
      <c r="G84" s="43"/>
      <c r="H84" s="42"/>
      <c r="I84" s="43"/>
      <c r="J84" s="42"/>
      <c r="K84" s="42"/>
      <c r="L84" s="42"/>
      <c r="M84" s="44"/>
    </row>
    <row r="85" spans="2:13" ht="15.75" thickTop="1" x14ac:dyDescent="0.25">
      <c r="H85" s="49"/>
    </row>
  </sheetData>
  <mergeCells count="2">
    <mergeCell ref="J7:L7"/>
    <mergeCell ref="J8:L8"/>
  </mergeCells>
  <conditionalFormatting sqref="L11:L55">
    <cfRule type="cellIs" dxfId="98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P85"/>
  <sheetViews>
    <sheetView topLeftCell="F1" zoomScaleNormal="100" workbookViewId="0">
      <selection activeCell="Q74" sqref="Q74"/>
    </sheetView>
  </sheetViews>
  <sheetFormatPr baseColWidth="10" defaultColWidth="12.42578125" defaultRowHeight="15" x14ac:dyDescent="0.25"/>
  <cols>
    <col min="1" max="1" width="4" style="1" customWidth="1"/>
    <col min="2" max="2" width="3.7109375" style="1" customWidth="1"/>
    <col min="3" max="3" width="8.5703125" style="1" bestFit="1" customWidth="1"/>
    <col min="4" max="4" width="9" style="1" customWidth="1"/>
    <col min="5" max="5" width="5.7109375" style="1" bestFit="1" customWidth="1"/>
    <col min="6" max="6" width="29.85546875" style="1" bestFit="1" customWidth="1"/>
    <col min="7" max="7" width="17.42578125" style="2" customWidth="1"/>
    <col min="8" max="8" width="12.7109375" style="1" customWidth="1"/>
    <col min="9" max="9" width="12.7109375" style="2" customWidth="1"/>
    <col min="10" max="11" width="12.7109375" style="1" customWidth="1"/>
    <col min="12" max="12" width="12.42578125" style="1"/>
    <col min="13" max="13" width="3.7109375" style="1" customWidth="1"/>
    <col min="14" max="14" width="12.42578125" style="1"/>
    <col min="15" max="15" width="2" style="1" bestFit="1" customWidth="1"/>
    <col min="16" max="16" width="17.140625" style="1" bestFit="1" customWidth="1"/>
    <col min="17" max="16384" width="12.42578125" style="1"/>
  </cols>
  <sheetData>
    <row r="1" spans="2:16" ht="15.75" thickBot="1" x14ac:dyDescent="0.3"/>
    <row r="2" spans="2:16" ht="16.5" thickTop="1" thickBot="1" x14ac:dyDescent="0.3">
      <c r="B2" s="3"/>
      <c r="C2" s="4"/>
      <c r="D2" s="4"/>
      <c r="E2" s="4"/>
      <c r="F2" s="4"/>
      <c r="G2" s="5"/>
      <c r="H2" s="4"/>
      <c r="I2" s="5"/>
      <c r="J2" s="4"/>
      <c r="K2" s="4"/>
      <c r="L2" s="4"/>
      <c r="M2" s="6"/>
    </row>
    <row r="3" spans="2:16" ht="21.75" thickBot="1" x14ac:dyDescent="0.3">
      <c r="B3" s="7"/>
      <c r="F3" s="8" t="s">
        <v>0</v>
      </c>
      <c r="G3" s="9">
        <f>+H56</f>
        <v>6180</v>
      </c>
      <c r="H3" s="10"/>
      <c r="I3" s="46" t="s">
        <v>28</v>
      </c>
      <c r="M3" s="11"/>
    </row>
    <row r="4" spans="2:16" ht="21.75" thickBot="1" x14ac:dyDescent="0.3">
      <c r="B4" s="7"/>
      <c r="F4" s="8" t="s">
        <v>1</v>
      </c>
      <c r="G4" s="9">
        <f>+K56</f>
        <v>3623.5000000000005</v>
      </c>
      <c r="H4" s="10"/>
      <c r="I4" s="47">
        <f>+L56</f>
        <v>0.58632686084142405</v>
      </c>
      <c r="M4" s="11"/>
    </row>
    <row r="5" spans="2:16" ht="21.75" thickBot="1" x14ac:dyDescent="0.3">
      <c r="B5" s="7"/>
      <c r="F5" s="8" t="s">
        <v>2</v>
      </c>
      <c r="G5" s="12">
        <v>46028</v>
      </c>
      <c r="H5" s="10"/>
      <c r="I5" s="58" t="s">
        <v>36</v>
      </c>
      <c r="M5" s="11"/>
    </row>
    <row r="6" spans="2:16" ht="21.75" thickBot="1" x14ac:dyDescent="0.3">
      <c r="B6" s="7"/>
      <c r="F6" s="8" t="s">
        <v>3</v>
      </c>
      <c r="G6" s="65">
        <v>10</v>
      </c>
      <c r="H6" s="10"/>
      <c r="I6" s="63">
        <f>+K56/G7</f>
        <v>241.56666666666669</v>
      </c>
      <c r="M6" s="11"/>
    </row>
    <row r="7" spans="2:16" ht="21.75" thickBot="1" x14ac:dyDescent="0.3">
      <c r="B7" s="7"/>
      <c r="F7" s="8" t="s">
        <v>4</v>
      </c>
      <c r="G7" s="48">
        <f>+D56</f>
        <v>15</v>
      </c>
      <c r="H7" s="10"/>
      <c r="I7" s="103" t="s">
        <v>38</v>
      </c>
      <c r="J7" s="338" t="s">
        <v>83</v>
      </c>
      <c r="K7" s="338"/>
      <c r="L7" s="339"/>
      <c r="M7" s="11"/>
    </row>
    <row r="8" spans="2:16" ht="21.75" thickBot="1" x14ac:dyDescent="0.3">
      <c r="B8" s="7"/>
      <c r="F8" s="101"/>
      <c r="G8" s="102"/>
      <c r="H8" s="10"/>
      <c r="I8" s="103" t="s">
        <v>88</v>
      </c>
      <c r="J8" s="338" t="s">
        <v>260</v>
      </c>
      <c r="K8" s="338"/>
      <c r="L8" s="339"/>
      <c r="M8" s="11"/>
    </row>
    <row r="9" spans="2:16" ht="15.75" thickBot="1" x14ac:dyDescent="0.3">
      <c r="B9" s="7"/>
      <c r="M9" s="11"/>
    </row>
    <row r="10" spans="2:16" s="18" customFormat="1" ht="45.75" thickBot="1" x14ac:dyDescent="0.3">
      <c r="B10" s="13"/>
      <c r="C10" s="27" t="s">
        <v>9</v>
      </c>
      <c r="D10" s="26" t="s">
        <v>5</v>
      </c>
      <c r="E10" s="99" t="s">
        <v>63</v>
      </c>
      <c r="F10" s="14" t="s">
        <v>6</v>
      </c>
      <c r="G10" s="16" t="s">
        <v>7</v>
      </c>
      <c r="H10" s="45" t="s">
        <v>26</v>
      </c>
      <c r="I10" s="15" t="s">
        <v>10</v>
      </c>
      <c r="J10" s="27" t="s">
        <v>11</v>
      </c>
      <c r="K10" s="45" t="s">
        <v>25</v>
      </c>
      <c r="L10" s="50" t="s">
        <v>27</v>
      </c>
      <c r="M10" s="17"/>
    </row>
    <row r="11" spans="2:16" x14ac:dyDescent="0.25">
      <c r="B11" s="7"/>
      <c r="C11" s="28">
        <v>1</v>
      </c>
      <c r="D11" s="28">
        <v>7</v>
      </c>
      <c r="E11" s="19" t="s">
        <v>67</v>
      </c>
      <c r="F11" s="59" t="s">
        <v>198</v>
      </c>
      <c r="G11" s="60" t="s">
        <v>248</v>
      </c>
      <c r="H11" s="94">
        <v>432</v>
      </c>
      <c r="I11" s="66">
        <v>127</v>
      </c>
      <c r="J11" s="67">
        <v>128.6</v>
      </c>
      <c r="K11" s="53">
        <f t="shared" ref="K11:K55" si="0">+I11+J11</f>
        <v>255.6</v>
      </c>
      <c r="L11" s="73">
        <f t="shared" ref="L11:L56" si="1">+K11/H11</f>
        <v>0.59166666666666667</v>
      </c>
      <c r="M11" s="11"/>
      <c r="N11" s="64" t="s">
        <v>42</v>
      </c>
      <c r="O11" s="1">
        <f>+COUNTIF($F$11:$F$55,"NOVILLITO (NT)")</f>
        <v>0</v>
      </c>
      <c r="P11" s="59" t="s">
        <v>8</v>
      </c>
    </row>
    <row r="12" spans="2:16" x14ac:dyDescent="0.25">
      <c r="B12" s="7"/>
      <c r="C12" s="29">
        <v>2</v>
      </c>
      <c r="D12" s="29">
        <v>5</v>
      </c>
      <c r="E12" s="19" t="s">
        <v>67</v>
      </c>
      <c r="F12" s="59" t="s">
        <v>198</v>
      </c>
      <c r="G12" s="62" t="s">
        <v>249</v>
      </c>
      <c r="H12" s="95">
        <v>414</v>
      </c>
      <c r="I12" s="19">
        <v>121.7</v>
      </c>
      <c r="J12" s="67">
        <v>122.8</v>
      </c>
      <c r="K12" s="55">
        <f t="shared" si="0"/>
        <v>244.5</v>
      </c>
      <c r="L12" s="73">
        <f t="shared" si="1"/>
        <v>0.59057971014492749</v>
      </c>
      <c r="M12" s="11"/>
      <c r="N12" s="64" t="s">
        <v>40</v>
      </c>
      <c r="O12" s="1">
        <f>+COUNTIF($F$11:$F$56,"VAQUILLONA (Vq)")</f>
        <v>0</v>
      </c>
      <c r="P12" s="59" t="s">
        <v>37</v>
      </c>
    </row>
    <row r="13" spans="2:16" x14ac:dyDescent="0.25">
      <c r="B13" s="7"/>
      <c r="C13" s="29">
        <v>3</v>
      </c>
      <c r="D13" s="29">
        <v>4</v>
      </c>
      <c r="E13" s="19" t="s">
        <v>67</v>
      </c>
      <c r="F13" s="59" t="s">
        <v>198</v>
      </c>
      <c r="G13" s="62" t="s">
        <v>250</v>
      </c>
      <c r="H13" s="95">
        <v>412</v>
      </c>
      <c r="I13" s="19">
        <v>117.4</v>
      </c>
      <c r="J13" s="67">
        <v>119</v>
      </c>
      <c r="K13" s="55">
        <f t="shared" si="0"/>
        <v>236.4</v>
      </c>
      <c r="L13" s="73">
        <f t="shared" si="1"/>
        <v>0.5737864077669903</v>
      </c>
      <c r="M13" s="11"/>
      <c r="N13" s="64" t="s">
        <v>44</v>
      </c>
      <c r="O13" s="1">
        <f>+COUNTIF($F$11:$F$56,"TORITO (MEJ)")</f>
        <v>0</v>
      </c>
      <c r="P13" s="59" t="s">
        <v>43</v>
      </c>
    </row>
    <row r="14" spans="2:16" x14ac:dyDescent="0.25">
      <c r="B14" s="7"/>
      <c r="C14" s="29">
        <v>4</v>
      </c>
      <c r="D14" s="29">
        <v>3</v>
      </c>
      <c r="E14" s="19" t="s">
        <v>67</v>
      </c>
      <c r="F14" s="59" t="s">
        <v>198</v>
      </c>
      <c r="G14" s="62" t="s">
        <v>101</v>
      </c>
      <c r="H14" s="95">
        <v>413</v>
      </c>
      <c r="I14" s="19">
        <v>124.3</v>
      </c>
      <c r="J14" s="67">
        <v>128.4</v>
      </c>
      <c r="K14" s="55">
        <f t="shared" si="0"/>
        <v>252.7</v>
      </c>
      <c r="L14" s="73">
        <f t="shared" si="1"/>
        <v>0.61186440677966103</v>
      </c>
      <c r="M14" s="11"/>
      <c r="N14" s="78" t="s">
        <v>45</v>
      </c>
      <c r="O14" s="1">
        <f>+COUNTIF($F$11:$F$56,"NOVILLO (No)")</f>
        <v>0</v>
      </c>
      <c r="P14" s="19" t="s">
        <v>39</v>
      </c>
    </row>
    <row r="15" spans="2:16" x14ac:dyDescent="0.25">
      <c r="B15" s="7"/>
      <c r="C15" s="29">
        <v>5</v>
      </c>
      <c r="D15" s="29">
        <v>11</v>
      </c>
      <c r="E15" s="19" t="s">
        <v>75</v>
      </c>
      <c r="F15" s="59" t="s">
        <v>198</v>
      </c>
      <c r="G15" s="62" t="s">
        <v>251</v>
      </c>
      <c r="H15" s="95">
        <v>423</v>
      </c>
      <c r="I15" s="19">
        <v>120.2</v>
      </c>
      <c r="J15" s="67">
        <v>122.9</v>
      </c>
      <c r="K15" s="55">
        <f t="shared" si="0"/>
        <v>243.10000000000002</v>
      </c>
      <c r="L15" s="73">
        <f t="shared" si="1"/>
        <v>0.57470449172576843</v>
      </c>
      <c r="M15" s="11"/>
      <c r="N15" s="78" t="s">
        <v>46</v>
      </c>
      <c r="O15" s="1">
        <f>+COUNTIF($F$11:$F$56,"VACA (Va)")</f>
        <v>0</v>
      </c>
      <c r="P15" s="83" t="s">
        <v>50</v>
      </c>
    </row>
    <row r="16" spans="2:16" x14ac:dyDescent="0.25">
      <c r="B16" s="7"/>
      <c r="C16" s="29">
        <v>6</v>
      </c>
      <c r="D16" s="29">
        <v>1</v>
      </c>
      <c r="E16" s="19" t="s">
        <v>68</v>
      </c>
      <c r="F16" s="59" t="s">
        <v>198</v>
      </c>
      <c r="G16" s="62" t="s">
        <v>252</v>
      </c>
      <c r="H16" s="95">
        <v>396</v>
      </c>
      <c r="I16" s="19">
        <v>113.7</v>
      </c>
      <c r="J16" s="67">
        <v>114.1</v>
      </c>
      <c r="K16" s="55">
        <f t="shared" si="0"/>
        <v>227.8</v>
      </c>
      <c r="L16" s="73">
        <f t="shared" si="1"/>
        <v>0.57525252525252524</v>
      </c>
      <c r="M16" s="11"/>
      <c r="N16" s="64" t="s">
        <v>47</v>
      </c>
      <c r="O16" s="1">
        <f>+COUNTIF($F$11:$F$56,"TORO (To)")</f>
        <v>0</v>
      </c>
      <c r="P16" s="83" t="s">
        <v>51</v>
      </c>
    </row>
    <row r="17" spans="2:16" x14ac:dyDescent="0.25">
      <c r="B17" s="7"/>
      <c r="C17" s="29">
        <v>7</v>
      </c>
      <c r="D17" s="29">
        <v>14</v>
      </c>
      <c r="E17" s="19" t="s">
        <v>68</v>
      </c>
      <c r="F17" s="59" t="s">
        <v>198</v>
      </c>
      <c r="G17" s="62" t="s">
        <v>253</v>
      </c>
      <c r="H17" s="95">
        <v>404</v>
      </c>
      <c r="I17" s="19">
        <v>116.9</v>
      </c>
      <c r="J17" s="67">
        <v>118</v>
      </c>
      <c r="K17" s="55">
        <f t="shared" si="0"/>
        <v>234.9</v>
      </c>
      <c r="L17" s="73">
        <f t="shared" si="1"/>
        <v>0.5814356435643564</v>
      </c>
      <c r="M17" s="11"/>
      <c r="N17" s="77"/>
      <c r="O17" s="1">
        <f>SUM(O11:O16)</f>
        <v>0</v>
      </c>
    </row>
    <row r="18" spans="2:16" x14ac:dyDescent="0.25">
      <c r="B18" s="7"/>
      <c r="C18" s="29">
        <v>8</v>
      </c>
      <c r="D18" s="29">
        <v>12</v>
      </c>
      <c r="E18" s="19" t="s">
        <v>67</v>
      </c>
      <c r="F18" s="59" t="s">
        <v>198</v>
      </c>
      <c r="G18" s="62" t="s">
        <v>254</v>
      </c>
      <c r="H18" s="95">
        <v>385</v>
      </c>
      <c r="I18" s="19">
        <v>114.6</v>
      </c>
      <c r="J18" s="67">
        <v>115.7</v>
      </c>
      <c r="K18" s="55">
        <f t="shared" si="0"/>
        <v>230.3</v>
      </c>
      <c r="L18" s="73">
        <f t="shared" si="1"/>
        <v>0.59818181818181826</v>
      </c>
      <c r="M18" s="11"/>
    </row>
    <row r="19" spans="2:16" x14ac:dyDescent="0.25">
      <c r="B19" s="7"/>
      <c r="C19" s="61">
        <v>9</v>
      </c>
      <c r="D19" s="61">
        <v>15</v>
      </c>
      <c r="E19" s="59" t="s">
        <v>75</v>
      </c>
      <c r="F19" s="59" t="s">
        <v>198</v>
      </c>
      <c r="G19" s="62" t="s">
        <v>255</v>
      </c>
      <c r="H19" s="95">
        <v>403</v>
      </c>
      <c r="I19" s="19">
        <v>115.3</v>
      </c>
      <c r="J19" s="67">
        <v>116.3</v>
      </c>
      <c r="K19" s="55">
        <f t="shared" si="0"/>
        <v>231.6</v>
      </c>
      <c r="L19" s="73">
        <f t="shared" si="1"/>
        <v>0.57468982630272947</v>
      </c>
      <c r="M19" s="11"/>
      <c r="P19" s="100" t="s">
        <v>63</v>
      </c>
    </row>
    <row r="20" spans="2:16" x14ac:dyDescent="0.25">
      <c r="B20" s="7"/>
      <c r="C20" s="61">
        <v>10</v>
      </c>
      <c r="D20" s="61">
        <v>13</v>
      </c>
      <c r="E20" s="59" t="s">
        <v>75</v>
      </c>
      <c r="F20" s="59" t="s">
        <v>198</v>
      </c>
      <c r="G20" s="62" t="s">
        <v>256</v>
      </c>
      <c r="H20" s="95">
        <v>394</v>
      </c>
      <c r="I20" s="19">
        <v>115.4</v>
      </c>
      <c r="J20" s="67">
        <v>116</v>
      </c>
      <c r="K20" s="55">
        <f t="shared" si="0"/>
        <v>231.4</v>
      </c>
      <c r="L20" s="73">
        <f t="shared" si="1"/>
        <v>0.58730964467005076</v>
      </c>
      <c r="M20" s="11"/>
      <c r="N20" s="64" t="s">
        <v>67</v>
      </c>
      <c r="P20" s="1" t="s">
        <v>64</v>
      </c>
    </row>
    <row r="21" spans="2:16" x14ac:dyDescent="0.25">
      <c r="B21" s="7"/>
      <c r="C21" s="19">
        <v>11</v>
      </c>
      <c r="D21" s="29">
        <v>6</v>
      </c>
      <c r="E21" s="19" t="s">
        <v>67</v>
      </c>
      <c r="F21" s="59" t="s">
        <v>198</v>
      </c>
      <c r="G21" s="62">
        <v>91</v>
      </c>
      <c r="H21" s="95">
        <v>412</v>
      </c>
      <c r="I21" s="19">
        <v>116.1</v>
      </c>
      <c r="J21" s="67">
        <v>116.8</v>
      </c>
      <c r="K21" s="55">
        <f t="shared" si="0"/>
        <v>232.89999999999998</v>
      </c>
      <c r="L21" s="73">
        <f t="shared" si="1"/>
        <v>0.56529126213592229</v>
      </c>
      <c r="M21" s="11"/>
      <c r="N21" s="64" t="s">
        <v>68</v>
      </c>
      <c r="P21" t="s">
        <v>65</v>
      </c>
    </row>
    <row r="22" spans="2:16" x14ac:dyDescent="0.25">
      <c r="B22" s="7"/>
      <c r="C22" s="19">
        <v>12</v>
      </c>
      <c r="D22" s="29">
        <v>9</v>
      </c>
      <c r="E22" s="19" t="s">
        <v>68</v>
      </c>
      <c r="F22" s="59" t="s">
        <v>198</v>
      </c>
      <c r="G22" s="62">
        <v>1871</v>
      </c>
      <c r="H22" s="95">
        <v>449</v>
      </c>
      <c r="I22" s="19">
        <v>130.30000000000001</v>
      </c>
      <c r="J22" s="67">
        <v>130.30000000000001</v>
      </c>
      <c r="K22" s="55">
        <f t="shared" si="0"/>
        <v>260.60000000000002</v>
      </c>
      <c r="L22" s="73">
        <f t="shared" si="1"/>
        <v>0.58040089086859692</v>
      </c>
      <c r="M22" s="11"/>
      <c r="N22" s="64" t="s">
        <v>75</v>
      </c>
      <c r="P22" t="s">
        <v>74</v>
      </c>
    </row>
    <row r="23" spans="2:16" x14ac:dyDescent="0.25">
      <c r="B23" s="7"/>
      <c r="C23" s="59">
        <v>13</v>
      </c>
      <c r="D23" s="61">
        <v>10</v>
      </c>
      <c r="E23" s="59" t="s">
        <v>67</v>
      </c>
      <c r="F23" s="59" t="s">
        <v>198</v>
      </c>
      <c r="G23" s="62" t="s">
        <v>257</v>
      </c>
      <c r="H23" s="95">
        <v>434</v>
      </c>
      <c r="I23" s="19">
        <v>129.1</v>
      </c>
      <c r="J23" s="67">
        <v>132</v>
      </c>
      <c r="K23" s="55">
        <f t="shared" si="0"/>
        <v>261.10000000000002</v>
      </c>
      <c r="L23" s="73">
        <f t="shared" si="1"/>
        <v>0.60161290322580652</v>
      </c>
      <c r="M23" s="11"/>
      <c r="N23" s="64" t="s">
        <v>69</v>
      </c>
      <c r="P23" t="s">
        <v>66</v>
      </c>
    </row>
    <row r="24" spans="2:16" x14ac:dyDescent="0.25">
      <c r="B24" s="7"/>
      <c r="C24" s="19">
        <v>14</v>
      </c>
      <c r="D24" s="29">
        <v>2</v>
      </c>
      <c r="E24" s="19" t="s">
        <v>67</v>
      </c>
      <c r="F24" s="59" t="s">
        <v>198</v>
      </c>
      <c r="G24" s="62" t="s">
        <v>258</v>
      </c>
      <c r="H24" s="95">
        <v>400</v>
      </c>
      <c r="I24" s="19">
        <v>122.6</v>
      </c>
      <c r="J24" s="68">
        <v>125.7</v>
      </c>
      <c r="K24" s="55">
        <f t="shared" si="0"/>
        <v>248.3</v>
      </c>
      <c r="L24" s="104">
        <f t="shared" si="1"/>
        <v>0.62075000000000002</v>
      </c>
      <c r="M24" s="11"/>
      <c r="N24" s="64" t="s">
        <v>70</v>
      </c>
      <c r="P24" t="s">
        <v>71</v>
      </c>
    </row>
    <row r="25" spans="2:16" x14ac:dyDescent="0.25">
      <c r="B25" s="7"/>
      <c r="C25" s="19">
        <v>15</v>
      </c>
      <c r="D25" s="29">
        <v>8</v>
      </c>
      <c r="E25" s="19" t="s">
        <v>68</v>
      </c>
      <c r="F25" s="59" t="s">
        <v>198</v>
      </c>
      <c r="G25" s="62" t="s">
        <v>259</v>
      </c>
      <c r="H25" s="95">
        <v>409</v>
      </c>
      <c r="I25" s="19">
        <v>116.3</v>
      </c>
      <c r="J25" s="67">
        <v>116</v>
      </c>
      <c r="K25" s="55">
        <f t="shared" si="0"/>
        <v>232.3</v>
      </c>
      <c r="L25" s="73">
        <f t="shared" si="1"/>
        <v>0.56797066014669928</v>
      </c>
      <c r="M25" s="11"/>
      <c r="N25" s="64" t="s">
        <v>73</v>
      </c>
      <c r="P25" t="s">
        <v>72</v>
      </c>
    </row>
    <row r="26" spans="2:16" x14ac:dyDescent="0.25">
      <c r="B26" s="7"/>
      <c r="C26" s="19"/>
      <c r="D26" s="29"/>
      <c r="E26" s="19"/>
      <c r="F26" s="59"/>
      <c r="G26" s="62"/>
      <c r="H26" s="95"/>
      <c r="I26" s="19"/>
      <c r="J26" s="67"/>
      <c r="K26" s="55">
        <f t="shared" si="0"/>
        <v>0</v>
      </c>
      <c r="L26" s="73" t="e">
        <f t="shared" si="1"/>
        <v>#DIV/0!</v>
      </c>
      <c r="M26" s="11"/>
      <c r="N26" s="64" t="s">
        <v>78</v>
      </c>
      <c r="P26" t="s">
        <v>76</v>
      </c>
    </row>
    <row r="27" spans="2:16" x14ac:dyDescent="0.25">
      <c r="B27" s="7"/>
      <c r="C27" s="19"/>
      <c r="D27" s="29"/>
      <c r="E27" s="19"/>
      <c r="F27" s="59"/>
      <c r="G27" s="62"/>
      <c r="H27" s="95"/>
      <c r="I27" s="19"/>
      <c r="J27" s="67"/>
      <c r="K27" s="55">
        <f t="shared" si="0"/>
        <v>0</v>
      </c>
      <c r="L27" s="73" t="e">
        <f t="shared" si="1"/>
        <v>#DIV/0!</v>
      </c>
      <c r="M27" s="11"/>
    </row>
    <row r="28" spans="2:16" x14ac:dyDescent="0.25">
      <c r="B28" s="7"/>
      <c r="C28" s="19"/>
      <c r="D28" s="29"/>
      <c r="E28" s="19"/>
      <c r="F28" s="19"/>
      <c r="G28" s="20"/>
      <c r="H28" s="71"/>
      <c r="I28" s="54"/>
      <c r="J28" s="52"/>
      <c r="K28" s="55">
        <f t="shared" si="0"/>
        <v>0</v>
      </c>
      <c r="L28" s="73" t="e">
        <f t="shared" si="1"/>
        <v>#DIV/0!</v>
      </c>
      <c r="M28" s="11"/>
    </row>
    <row r="29" spans="2:16" x14ac:dyDescent="0.25">
      <c r="B29" s="7"/>
      <c r="C29" s="19"/>
      <c r="D29" s="29"/>
      <c r="E29" s="19"/>
      <c r="F29" s="59"/>
      <c r="G29" s="62"/>
      <c r="H29" s="95"/>
      <c r="I29" s="19"/>
      <c r="J29" s="67"/>
      <c r="K29" s="55">
        <f t="shared" si="0"/>
        <v>0</v>
      </c>
      <c r="L29" s="73" t="e">
        <f t="shared" si="1"/>
        <v>#DIV/0!</v>
      </c>
      <c r="M29" s="11"/>
    </row>
    <row r="30" spans="2:16" x14ac:dyDescent="0.25">
      <c r="B30" s="7"/>
      <c r="C30" s="19"/>
      <c r="D30" s="29"/>
      <c r="E30" s="19"/>
      <c r="F30" s="59"/>
      <c r="G30" s="62"/>
      <c r="H30" s="95"/>
      <c r="I30" s="19"/>
      <c r="J30" s="67"/>
      <c r="K30" s="55">
        <f t="shared" si="0"/>
        <v>0</v>
      </c>
      <c r="L30" s="73" t="e">
        <f t="shared" si="1"/>
        <v>#DIV/0!</v>
      </c>
      <c r="M30" s="11"/>
    </row>
    <row r="31" spans="2:16" x14ac:dyDescent="0.25">
      <c r="B31" s="7"/>
      <c r="C31" s="19"/>
      <c r="D31" s="29"/>
      <c r="E31" s="19"/>
      <c r="F31" s="59"/>
      <c r="G31" s="62"/>
      <c r="H31" s="95"/>
      <c r="I31" s="19"/>
      <c r="J31" s="67"/>
      <c r="K31" s="55">
        <f t="shared" si="0"/>
        <v>0</v>
      </c>
      <c r="L31" s="73" t="e">
        <f t="shared" si="1"/>
        <v>#DIV/0!</v>
      </c>
      <c r="M31" s="11"/>
    </row>
    <row r="32" spans="2:16" x14ac:dyDescent="0.25">
      <c r="B32" s="7"/>
      <c r="C32" s="59"/>
      <c r="D32" s="61"/>
      <c r="E32" s="59"/>
      <c r="F32" s="59"/>
      <c r="G32" s="62"/>
      <c r="H32" s="95"/>
      <c r="I32" s="19"/>
      <c r="J32" s="67"/>
      <c r="K32" s="55">
        <f t="shared" si="0"/>
        <v>0</v>
      </c>
      <c r="L32" s="73" t="e">
        <f t="shared" si="1"/>
        <v>#DIV/0!</v>
      </c>
      <c r="M32" s="11"/>
    </row>
    <row r="33" spans="2:13" x14ac:dyDescent="0.25">
      <c r="B33" s="7"/>
      <c r="C33" s="19"/>
      <c r="D33" s="29"/>
      <c r="E33" s="19"/>
      <c r="F33" s="59"/>
      <c r="G33" s="62"/>
      <c r="H33" s="95"/>
      <c r="I33" s="19"/>
      <c r="J33" s="67"/>
      <c r="K33" s="55">
        <f t="shared" si="0"/>
        <v>0</v>
      </c>
      <c r="L33" s="73" t="e">
        <f t="shared" si="1"/>
        <v>#DIV/0!</v>
      </c>
      <c r="M33" s="11"/>
    </row>
    <row r="34" spans="2:13" x14ac:dyDescent="0.25">
      <c r="B34" s="7"/>
      <c r="C34" s="59"/>
      <c r="D34" s="61"/>
      <c r="E34" s="59"/>
      <c r="F34" s="59"/>
      <c r="G34" s="62"/>
      <c r="H34" s="95"/>
      <c r="I34" s="19"/>
      <c r="J34" s="67"/>
      <c r="K34" s="55">
        <f t="shared" si="0"/>
        <v>0</v>
      </c>
      <c r="L34" s="73" t="e">
        <f t="shared" si="1"/>
        <v>#DIV/0!</v>
      </c>
      <c r="M34" s="11"/>
    </row>
    <row r="35" spans="2:13" x14ac:dyDescent="0.25">
      <c r="B35" s="7"/>
      <c r="C35" s="59"/>
      <c r="D35" s="61"/>
      <c r="E35" s="59"/>
      <c r="F35" s="59"/>
      <c r="G35" s="62"/>
      <c r="H35" s="95"/>
      <c r="I35" s="19"/>
      <c r="J35" s="67"/>
      <c r="K35" s="55">
        <f t="shared" si="0"/>
        <v>0</v>
      </c>
      <c r="L35" s="73" t="e">
        <f t="shared" si="1"/>
        <v>#DIV/0!</v>
      </c>
      <c r="M35" s="11"/>
    </row>
    <row r="36" spans="2:13" x14ac:dyDescent="0.25">
      <c r="B36" s="7"/>
      <c r="C36" s="59"/>
      <c r="D36" s="61"/>
      <c r="E36" s="59"/>
      <c r="F36" s="59"/>
      <c r="G36" s="62"/>
      <c r="H36" s="95"/>
      <c r="I36" s="19"/>
      <c r="J36" s="67"/>
      <c r="K36" s="55">
        <f t="shared" si="0"/>
        <v>0</v>
      </c>
      <c r="L36" s="73" t="e">
        <f t="shared" si="1"/>
        <v>#DIV/0!</v>
      </c>
      <c r="M36" s="11"/>
    </row>
    <row r="37" spans="2:13" x14ac:dyDescent="0.25">
      <c r="B37" s="7"/>
      <c r="C37" s="59"/>
      <c r="D37" s="61"/>
      <c r="E37" s="59"/>
      <c r="F37" s="59"/>
      <c r="G37" s="62"/>
      <c r="H37" s="95"/>
      <c r="I37" s="19"/>
      <c r="J37" s="67"/>
      <c r="K37" s="55">
        <f t="shared" si="0"/>
        <v>0</v>
      </c>
      <c r="L37" s="73" t="e">
        <f t="shared" si="1"/>
        <v>#DIV/0!</v>
      </c>
      <c r="M37" s="11"/>
    </row>
    <row r="38" spans="2:13" x14ac:dyDescent="0.25">
      <c r="B38" s="7"/>
      <c r="C38" s="59"/>
      <c r="D38" s="61"/>
      <c r="E38" s="59"/>
      <c r="F38" s="59"/>
      <c r="G38" s="62"/>
      <c r="H38" s="95"/>
      <c r="I38" s="19"/>
      <c r="J38" s="67"/>
      <c r="K38" s="55">
        <f t="shared" si="0"/>
        <v>0</v>
      </c>
      <c r="L38" s="73" t="e">
        <f t="shared" si="1"/>
        <v>#DIV/0!</v>
      </c>
      <c r="M38" s="11"/>
    </row>
    <row r="39" spans="2:13" x14ac:dyDescent="0.25">
      <c r="B39" s="7"/>
      <c r="C39" s="59"/>
      <c r="D39" s="61"/>
      <c r="E39" s="59"/>
      <c r="F39" s="59"/>
      <c r="G39" s="62"/>
      <c r="H39" s="95"/>
      <c r="I39" s="19"/>
      <c r="J39" s="67"/>
      <c r="K39" s="55">
        <f t="shared" si="0"/>
        <v>0</v>
      </c>
      <c r="L39" s="73" t="e">
        <f t="shared" si="1"/>
        <v>#DIV/0!</v>
      </c>
      <c r="M39" s="11"/>
    </row>
    <row r="40" spans="2:13" x14ac:dyDescent="0.25">
      <c r="B40" s="7"/>
      <c r="C40" s="19"/>
      <c r="D40" s="29"/>
      <c r="E40" s="19"/>
      <c r="F40" s="59"/>
      <c r="G40" s="62"/>
      <c r="H40" s="95"/>
      <c r="I40" s="19"/>
      <c r="J40" s="67"/>
      <c r="K40" s="55">
        <f t="shared" si="0"/>
        <v>0</v>
      </c>
      <c r="L40" s="73" t="e">
        <f t="shared" si="1"/>
        <v>#DIV/0!</v>
      </c>
      <c r="M40" s="11"/>
    </row>
    <row r="41" spans="2:13" x14ac:dyDescent="0.25">
      <c r="B41" s="7"/>
      <c r="C41" s="19"/>
      <c r="D41" s="29"/>
      <c r="E41" s="19"/>
      <c r="F41" s="59"/>
      <c r="G41" s="20"/>
      <c r="H41" s="71"/>
      <c r="I41" s="19"/>
      <c r="J41" s="67"/>
      <c r="K41" s="55">
        <f t="shared" si="0"/>
        <v>0</v>
      </c>
      <c r="L41" s="73" t="e">
        <f t="shared" si="1"/>
        <v>#DIV/0!</v>
      </c>
      <c r="M41" s="11"/>
    </row>
    <row r="42" spans="2:13" x14ac:dyDescent="0.25">
      <c r="B42" s="7"/>
      <c r="C42" s="19"/>
      <c r="D42" s="61"/>
      <c r="E42" s="59"/>
      <c r="F42" s="59"/>
      <c r="G42" s="20"/>
      <c r="H42" s="71"/>
      <c r="I42" s="19"/>
      <c r="J42" s="67"/>
      <c r="K42" s="55">
        <f t="shared" si="0"/>
        <v>0</v>
      </c>
      <c r="L42" s="73" t="e">
        <f t="shared" si="1"/>
        <v>#DIV/0!</v>
      </c>
      <c r="M42" s="11"/>
    </row>
    <row r="43" spans="2:13" x14ac:dyDescent="0.25">
      <c r="B43" s="7"/>
      <c r="C43" s="19"/>
      <c r="D43" s="61"/>
      <c r="E43" s="59"/>
      <c r="F43" s="59"/>
      <c r="G43" s="20"/>
      <c r="H43" s="71"/>
      <c r="I43" s="19"/>
      <c r="J43" s="67"/>
      <c r="K43" s="55">
        <f t="shared" si="0"/>
        <v>0</v>
      </c>
      <c r="L43" s="73" t="e">
        <f t="shared" si="1"/>
        <v>#DIV/0!</v>
      </c>
      <c r="M43" s="11"/>
    </row>
    <row r="44" spans="2:13" x14ac:dyDescent="0.25">
      <c r="B44" s="7"/>
      <c r="C44" s="19"/>
      <c r="D44" s="61"/>
      <c r="E44" s="59"/>
      <c r="F44" s="59"/>
      <c r="G44" s="20"/>
      <c r="H44" s="71"/>
      <c r="I44" s="19"/>
      <c r="J44" s="67"/>
      <c r="K44" s="55">
        <f t="shared" si="0"/>
        <v>0</v>
      </c>
      <c r="L44" s="73" t="e">
        <f t="shared" si="1"/>
        <v>#DIV/0!</v>
      </c>
      <c r="M44" s="11"/>
    </row>
    <row r="45" spans="2:13" x14ac:dyDescent="0.25">
      <c r="B45" s="7"/>
      <c r="C45" s="19"/>
      <c r="D45" s="61"/>
      <c r="E45" s="59"/>
      <c r="F45" s="59"/>
      <c r="G45" s="20"/>
      <c r="H45" s="71"/>
      <c r="I45" s="19"/>
      <c r="J45" s="67"/>
      <c r="K45" s="55">
        <f t="shared" si="0"/>
        <v>0</v>
      </c>
      <c r="L45" s="73" t="e">
        <f t="shared" si="1"/>
        <v>#DIV/0!</v>
      </c>
      <c r="M45" s="11"/>
    </row>
    <row r="46" spans="2:13" x14ac:dyDescent="0.25">
      <c r="B46" s="7"/>
      <c r="C46" s="19"/>
      <c r="D46" s="61"/>
      <c r="E46" s="59"/>
      <c r="F46" s="59"/>
      <c r="G46" s="20"/>
      <c r="H46" s="71"/>
      <c r="I46" s="19"/>
      <c r="J46" s="67"/>
      <c r="K46" s="55">
        <f t="shared" si="0"/>
        <v>0</v>
      </c>
      <c r="L46" s="73" t="e">
        <f t="shared" si="1"/>
        <v>#DIV/0!</v>
      </c>
      <c r="M46" s="11"/>
    </row>
    <row r="47" spans="2:13" x14ac:dyDescent="0.25">
      <c r="B47" s="7"/>
      <c r="C47" s="19"/>
      <c r="D47" s="29"/>
      <c r="E47" s="19"/>
      <c r="F47" s="59"/>
      <c r="G47" s="20"/>
      <c r="H47" s="71"/>
      <c r="I47" s="19"/>
      <c r="J47" s="67"/>
      <c r="K47" s="55">
        <f t="shared" si="0"/>
        <v>0</v>
      </c>
      <c r="L47" s="73" t="e">
        <f t="shared" si="1"/>
        <v>#DIV/0!</v>
      </c>
      <c r="M47" s="11"/>
    </row>
    <row r="48" spans="2:13" x14ac:dyDescent="0.25">
      <c r="B48" s="7"/>
      <c r="C48" s="19"/>
      <c r="D48" s="29"/>
      <c r="E48" s="19"/>
      <c r="F48" s="59"/>
      <c r="G48" s="20"/>
      <c r="H48" s="71"/>
      <c r="I48" s="19"/>
      <c r="J48" s="67"/>
      <c r="K48" s="55">
        <f t="shared" si="0"/>
        <v>0</v>
      </c>
      <c r="L48" s="73" t="e">
        <f t="shared" si="1"/>
        <v>#DIV/0!</v>
      </c>
      <c r="M48" s="11"/>
    </row>
    <row r="49" spans="2:13" x14ac:dyDescent="0.25">
      <c r="B49" s="7"/>
      <c r="C49" s="19"/>
      <c r="D49" s="85"/>
      <c r="E49" s="89"/>
      <c r="F49" s="86"/>
      <c r="G49" s="20"/>
      <c r="H49" s="71"/>
      <c r="I49" s="19"/>
      <c r="J49" s="67"/>
      <c r="K49" s="55">
        <f t="shared" si="0"/>
        <v>0</v>
      </c>
      <c r="L49" s="73" t="e">
        <f t="shared" si="1"/>
        <v>#DIV/0!</v>
      </c>
      <c r="M49" s="11"/>
    </row>
    <row r="50" spans="2:13" x14ac:dyDescent="0.25">
      <c r="B50" s="7"/>
      <c r="C50" s="19"/>
      <c r="D50" s="85"/>
      <c r="E50" s="89"/>
      <c r="F50" s="86"/>
      <c r="G50" s="20"/>
      <c r="H50" s="71"/>
      <c r="I50" s="19"/>
      <c r="J50" s="67"/>
      <c r="K50" s="55">
        <f t="shared" si="0"/>
        <v>0</v>
      </c>
      <c r="L50" s="73" t="e">
        <f t="shared" si="1"/>
        <v>#DIV/0!</v>
      </c>
      <c r="M50" s="11"/>
    </row>
    <row r="51" spans="2:13" x14ac:dyDescent="0.25">
      <c r="B51" s="7"/>
      <c r="C51" s="29"/>
      <c r="D51" s="85"/>
      <c r="E51" s="85"/>
      <c r="F51" s="87"/>
      <c r="G51" s="20"/>
      <c r="H51" s="71"/>
      <c r="I51" s="29"/>
      <c r="J51" s="79"/>
      <c r="K51" s="55">
        <f t="shared" si="0"/>
        <v>0</v>
      </c>
      <c r="L51" s="73" t="e">
        <f t="shared" si="1"/>
        <v>#DIV/0!</v>
      </c>
      <c r="M51" s="11"/>
    </row>
    <row r="52" spans="2:13" x14ac:dyDescent="0.25">
      <c r="B52" s="7"/>
      <c r="C52" s="19"/>
      <c r="D52" s="85"/>
      <c r="E52" s="89"/>
      <c r="F52" s="89"/>
      <c r="G52" s="88"/>
      <c r="H52" s="81"/>
      <c r="I52" s="54"/>
      <c r="J52" s="54"/>
      <c r="K52" s="55">
        <f t="shared" si="0"/>
        <v>0</v>
      </c>
      <c r="L52" s="73" t="e">
        <f t="shared" si="1"/>
        <v>#DIV/0!</v>
      </c>
      <c r="M52" s="11"/>
    </row>
    <row r="53" spans="2:13" x14ac:dyDescent="0.25">
      <c r="B53" s="7"/>
      <c r="C53" s="19"/>
      <c r="D53" s="90"/>
      <c r="E53" s="91"/>
      <c r="F53" s="91"/>
      <c r="G53" s="92"/>
      <c r="H53" s="96"/>
      <c r="I53" s="82"/>
      <c r="J53" s="37"/>
      <c r="K53" s="55">
        <f t="shared" si="0"/>
        <v>0</v>
      </c>
      <c r="L53" s="73" t="e">
        <f t="shared" si="1"/>
        <v>#DIV/0!</v>
      </c>
      <c r="M53" s="11"/>
    </row>
    <row r="54" spans="2:13" x14ac:dyDescent="0.25">
      <c r="B54" s="7"/>
      <c r="C54" s="19"/>
      <c r="D54" s="85"/>
      <c r="E54" s="89"/>
      <c r="F54" s="89"/>
      <c r="G54" s="20"/>
      <c r="H54" s="81"/>
      <c r="I54" s="54"/>
      <c r="J54" s="52"/>
      <c r="K54" s="55">
        <f t="shared" si="0"/>
        <v>0</v>
      </c>
      <c r="L54" s="73" t="e">
        <f t="shared" si="1"/>
        <v>#DIV/0!</v>
      </c>
      <c r="M54" s="11"/>
    </row>
    <row r="55" spans="2:13" ht="15.75" thickBot="1" x14ac:dyDescent="0.3">
      <c r="B55" s="7"/>
      <c r="C55" s="19"/>
      <c r="D55" s="85"/>
      <c r="E55" s="89"/>
      <c r="F55" s="89"/>
      <c r="G55" s="20"/>
      <c r="H55" s="71"/>
      <c r="I55" s="54"/>
      <c r="J55" s="52"/>
      <c r="K55" s="55">
        <f t="shared" si="0"/>
        <v>0</v>
      </c>
      <c r="L55" s="73" t="e">
        <f t="shared" si="1"/>
        <v>#DIV/0!</v>
      </c>
      <c r="M55" s="11"/>
    </row>
    <row r="56" spans="2:13" ht="15.75" thickBot="1" x14ac:dyDescent="0.3">
      <c r="B56" s="7"/>
      <c r="C56" s="105"/>
      <c r="D56" s="75">
        <f>+COUNT($D$11:$D$55)</f>
        <v>15</v>
      </c>
      <c r="E56" s="105"/>
      <c r="F56" s="105"/>
      <c r="G56" s="69"/>
      <c r="H56" s="56">
        <f>SUM($H$11:$H$55)</f>
        <v>6180</v>
      </c>
      <c r="I56" s="57">
        <f>SUM($I$11:$I$55)</f>
        <v>1800.8999999999999</v>
      </c>
      <c r="J56" s="70">
        <f>SUM($J$11:$J$55)</f>
        <v>1822.6</v>
      </c>
      <c r="K56" s="72">
        <f>SUM($K$11:$K$55)</f>
        <v>3623.5000000000005</v>
      </c>
      <c r="L56" s="74">
        <f t="shared" si="1"/>
        <v>0.58632686084142405</v>
      </c>
      <c r="M56" s="11"/>
    </row>
    <row r="57" spans="2:13" ht="15.75" thickBot="1" x14ac:dyDescent="0.3">
      <c r="B57" s="41"/>
      <c r="C57" s="42"/>
      <c r="D57" s="42"/>
      <c r="E57" s="42"/>
      <c r="F57" s="42"/>
      <c r="G57" s="43"/>
      <c r="H57" s="42"/>
      <c r="I57" s="43"/>
      <c r="J57" s="42"/>
      <c r="K57" s="42"/>
      <c r="L57" s="42"/>
      <c r="M57" s="44"/>
    </row>
    <row r="58" spans="2:13" ht="16.5" thickTop="1" thickBot="1" x14ac:dyDescent="0.3">
      <c r="B58" s="4"/>
      <c r="C58" s="4"/>
      <c r="D58" s="4"/>
      <c r="E58" s="4"/>
      <c r="F58" s="4"/>
      <c r="G58" s="5"/>
      <c r="H58" s="4"/>
      <c r="I58" s="5"/>
      <c r="J58" s="4"/>
      <c r="K58" s="4"/>
      <c r="L58" s="4"/>
      <c r="M58" s="4"/>
    </row>
    <row r="59" spans="2:13" ht="16.5" thickTop="1" thickBot="1" x14ac:dyDescent="0.3">
      <c r="B59" s="3"/>
      <c r="C59" s="4"/>
      <c r="D59" s="4"/>
      <c r="E59" s="4"/>
      <c r="F59" s="4"/>
      <c r="G59" s="5"/>
      <c r="H59" s="4"/>
      <c r="I59" s="5"/>
      <c r="J59" s="4"/>
      <c r="K59" s="4"/>
      <c r="L59" s="4"/>
      <c r="M59" s="6"/>
    </row>
    <row r="60" spans="2:13" ht="15.75" thickBot="1" x14ac:dyDescent="0.3">
      <c r="B60" s="7"/>
      <c r="F60" s="30" t="s">
        <v>12</v>
      </c>
      <c r="G60" s="31" t="s">
        <v>32</v>
      </c>
      <c r="H60" s="51" t="s">
        <v>30</v>
      </c>
      <c r="I60" s="75" t="s">
        <v>54</v>
      </c>
      <c r="J60" s="75" t="s">
        <v>53</v>
      </c>
      <c r="M60" s="11"/>
    </row>
    <row r="61" spans="2:13" x14ac:dyDescent="0.25">
      <c r="B61" s="7"/>
      <c r="F61" s="32" t="s">
        <v>59</v>
      </c>
      <c r="G61" s="97">
        <v>36.6</v>
      </c>
      <c r="H61" s="97">
        <v>35.1</v>
      </c>
      <c r="I61" s="76"/>
      <c r="J61" s="84"/>
      <c r="M61" s="11"/>
    </row>
    <row r="62" spans="2:13" x14ac:dyDescent="0.25">
      <c r="B62" s="7"/>
      <c r="F62" s="33" t="s">
        <v>15</v>
      </c>
      <c r="G62" s="76">
        <v>15</v>
      </c>
      <c r="H62" s="76">
        <v>24.8</v>
      </c>
      <c r="I62" s="76"/>
      <c r="J62" s="21"/>
      <c r="M62" s="11"/>
    </row>
    <row r="63" spans="2:13" x14ac:dyDescent="0.25">
      <c r="B63" s="7"/>
      <c r="F63" s="22" t="s">
        <v>13</v>
      </c>
      <c r="G63" s="76">
        <v>13</v>
      </c>
      <c r="H63" s="76">
        <v>60.02</v>
      </c>
      <c r="I63" s="76">
        <v>2</v>
      </c>
      <c r="J63" s="21">
        <v>11.26</v>
      </c>
      <c r="M63" s="11"/>
    </row>
    <row r="64" spans="2:13" x14ac:dyDescent="0.25">
      <c r="B64" s="7"/>
      <c r="F64" s="22" t="s">
        <v>16</v>
      </c>
      <c r="G64" s="76">
        <v>15</v>
      </c>
      <c r="H64" s="76">
        <v>18.32</v>
      </c>
      <c r="I64" s="76"/>
      <c r="J64" s="21"/>
      <c r="M64" s="11"/>
    </row>
    <row r="65" spans="2:13" x14ac:dyDescent="0.25">
      <c r="B65" s="7"/>
      <c r="F65" s="33" t="s">
        <v>60</v>
      </c>
      <c r="G65" s="76">
        <v>14.04</v>
      </c>
      <c r="H65" s="76">
        <v>13.58</v>
      </c>
      <c r="I65" s="76"/>
      <c r="J65" s="21"/>
      <c r="M65" s="11"/>
    </row>
    <row r="66" spans="2:13" x14ac:dyDescent="0.25">
      <c r="B66" s="7"/>
      <c r="F66" s="33" t="s">
        <v>14</v>
      </c>
      <c r="G66" s="76">
        <v>30</v>
      </c>
      <c r="H66" s="76">
        <v>12.98</v>
      </c>
      <c r="I66" s="76"/>
      <c r="J66" s="21"/>
      <c r="M66" s="11"/>
    </row>
    <row r="67" spans="2:13" x14ac:dyDescent="0.25">
      <c r="B67" s="7"/>
      <c r="F67" s="22" t="s">
        <v>20</v>
      </c>
      <c r="G67" s="76">
        <v>60</v>
      </c>
      <c r="H67" s="76">
        <v>7.08</v>
      </c>
      <c r="I67" s="76"/>
      <c r="J67" s="21"/>
      <c r="M67" s="11"/>
    </row>
    <row r="68" spans="2:13" x14ac:dyDescent="0.25">
      <c r="B68" s="7"/>
      <c r="F68" s="33" t="s">
        <v>17</v>
      </c>
      <c r="G68" s="76">
        <v>15</v>
      </c>
      <c r="H68" s="76">
        <v>11.92</v>
      </c>
      <c r="I68" s="76"/>
      <c r="J68" s="21"/>
      <c r="M68" s="11"/>
    </row>
    <row r="69" spans="2:13" x14ac:dyDescent="0.25">
      <c r="B69" s="7"/>
      <c r="F69" s="33" t="s">
        <v>61</v>
      </c>
      <c r="G69" s="76">
        <v>15</v>
      </c>
      <c r="H69" s="76">
        <v>12.34</v>
      </c>
      <c r="I69" s="76"/>
      <c r="J69" s="21"/>
      <c r="M69" s="11"/>
    </row>
    <row r="70" spans="2:13" x14ac:dyDescent="0.25">
      <c r="B70" s="7"/>
      <c r="F70" s="33" t="s">
        <v>48</v>
      </c>
      <c r="G70" s="76">
        <v>21.9</v>
      </c>
      <c r="H70" s="76">
        <v>20.76</v>
      </c>
      <c r="I70" s="76"/>
      <c r="J70" s="21"/>
      <c r="M70" s="11"/>
    </row>
    <row r="71" spans="2:13" x14ac:dyDescent="0.25">
      <c r="B71" s="7"/>
      <c r="F71" s="22" t="s">
        <v>19</v>
      </c>
      <c r="G71" s="76">
        <v>15</v>
      </c>
      <c r="H71" s="76">
        <v>14.08</v>
      </c>
      <c r="I71" s="76"/>
      <c r="J71" s="21"/>
      <c r="M71" s="11"/>
    </row>
    <row r="72" spans="2:13" x14ac:dyDescent="0.25">
      <c r="B72" s="7"/>
      <c r="F72" s="22" t="s">
        <v>18</v>
      </c>
      <c r="G72" s="76">
        <v>15</v>
      </c>
      <c r="H72" s="76">
        <v>4.92</v>
      </c>
      <c r="I72" s="76"/>
      <c r="J72" s="21"/>
      <c r="M72" s="11"/>
    </row>
    <row r="73" spans="2:13" ht="15.75" thickBot="1" x14ac:dyDescent="0.3">
      <c r="B73" s="7"/>
      <c r="F73" s="33" t="s">
        <v>49</v>
      </c>
      <c r="G73" s="76">
        <v>7.7</v>
      </c>
      <c r="H73" s="76">
        <v>7.84</v>
      </c>
      <c r="I73" s="76"/>
      <c r="J73" s="21"/>
      <c r="M73" s="11"/>
    </row>
    <row r="74" spans="2:13" ht="15.75" thickBot="1" x14ac:dyDescent="0.3">
      <c r="B74" s="7"/>
      <c r="F74" s="39" t="s">
        <v>21</v>
      </c>
      <c r="G74" s="23"/>
      <c r="H74" s="23">
        <f>SUM(H61:H73)</f>
        <v>243.74</v>
      </c>
      <c r="I74" s="80">
        <f>SUM(I61:I73)</f>
        <v>2</v>
      </c>
      <c r="J74" s="23">
        <f>SUM(J61:J73)</f>
        <v>11.26</v>
      </c>
      <c r="M74" s="11"/>
    </row>
    <row r="75" spans="2:13" ht="15.75" thickBot="1" x14ac:dyDescent="0.3">
      <c r="B75" s="41"/>
      <c r="C75" s="42"/>
      <c r="D75" s="42"/>
      <c r="E75" s="42"/>
      <c r="F75" s="42"/>
      <c r="G75" s="43"/>
      <c r="H75" s="42"/>
      <c r="I75" s="43"/>
      <c r="J75" s="42"/>
      <c r="K75" s="42"/>
      <c r="L75" s="42"/>
      <c r="M75" s="44"/>
    </row>
    <row r="76" spans="2:13" ht="16.5" thickTop="1" thickBot="1" x14ac:dyDescent="0.3">
      <c r="B76" s="7"/>
      <c r="F76" s="24"/>
      <c r="G76" s="25"/>
      <c r="H76" s="24"/>
      <c r="I76" s="25"/>
      <c r="M76" s="11"/>
    </row>
    <row r="77" spans="2:13" ht="15.75" thickBot="1" x14ac:dyDescent="0.3">
      <c r="B77" s="7"/>
      <c r="F77" s="34" t="s">
        <v>22</v>
      </c>
      <c r="G77" s="35" t="s">
        <v>33</v>
      </c>
      <c r="H77" s="36" t="s">
        <v>31</v>
      </c>
      <c r="M77" s="11"/>
    </row>
    <row r="78" spans="2:13" x14ac:dyDescent="0.25">
      <c r="B78" s="7"/>
      <c r="F78" s="33" t="s">
        <v>23</v>
      </c>
      <c r="G78" s="38"/>
      <c r="H78" s="21"/>
      <c r="M78" s="11"/>
    </row>
    <row r="79" spans="2:13" x14ac:dyDescent="0.25">
      <c r="B79" s="7"/>
      <c r="F79" s="33" t="s">
        <v>24</v>
      </c>
      <c r="G79" s="37">
        <f>+D56</f>
        <v>15</v>
      </c>
      <c r="H79" s="21"/>
      <c r="M79" s="11"/>
    </row>
    <row r="80" spans="2:13" x14ac:dyDescent="0.25">
      <c r="B80" s="7"/>
      <c r="F80" s="22" t="s">
        <v>34</v>
      </c>
      <c r="G80" s="38"/>
      <c r="H80" s="21"/>
      <c r="M80" s="11"/>
    </row>
    <row r="81" spans="2:13" x14ac:dyDescent="0.25">
      <c r="B81" s="7"/>
      <c r="F81" s="22" t="s">
        <v>35</v>
      </c>
      <c r="G81" s="38"/>
      <c r="H81" s="21"/>
      <c r="M81" s="11"/>
    </row>
    <row r="82" spans="2:13" ht="15.75" thickBot="1" x14ac:dyDescent="0.3">
      <c r="B82" s="7"/>
      <c r="F82" s="22" t="s">
        <v>29</v>
      </c>
      <c r="G82" s="37"/>
      <c r="H82" s="21"/>
      <c r="M82" s="11"/>
    </row>
    <row r="83" spans="2:13" ht="15.75" thickBot="1" x14ac:dyDescent="0.3">
      <c r="B83" s="7"/>
      <c r="F83" s="39" t="s">
        <v>21</v>
      </c>
      <c r="G83" s="40"/>
      <c r="H83" s="23">
        <f>SUM(H78:H82)</f>
        <v>0</v>
      </c>
      <c r="M83" s="11"/>
    </row>
    <row r="84" spans="2:13" ht="15.75" thickBot="1" x14ac:dyDescent="0.3">
      <c r="B84" s="41"/>
      <c r="C84" s="42"/>
      <c r="D84" s="42"/>
      <c r="E84" s="42"/>
      <c r="F84" s="42"/>
      <c r="G84" s="43"/>
      <c r="H84" s="42"/>
      <c r="I84" s="43"/>
      <c r="J84" s="42"/>
      <c r="K84" s="42"/>
      <c r="L84" s="42"/>
      <c r="M84" s="44"/>
    </row>
    <row r="85" spans="2:13" ht="15.75" thickTop="1" x14ac:dyDescent="0.25">
      <c r="H85" s="49"/>
    </row>
  </sheetData>
  <mergeCells count="2">
    <mergeCell ref="J7:L7"/>
    <mergeCell ref="J8:L8"/>
  </mergeCells>
  <conditionalFormatting sqref="L11:L55">
    <cfRule type="cellIs" dxfId="97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P85"/>
  <sheetViews>
    <sheetView topLeftCell="G61" zoomScaleNormal="100" workbookViewId="0">
      <selection activeCell="G64" sqref="G64"/>
    </sheetView>
  </sheetViews>
  <sheetFormatPr baseColWidth="10" defaultColWidth="12.42578125" defaultRowHeight="15" x14ac:dyDescent="0.25"/>
  <cols>
    <col min="1" max="1" width="4" style="1" customWidth="1"/>
    <col min="2" max="2" width="3.7109375" style="1" customWidth="1"/>
    <col min="3" max="3" width="8.5703125" style="1" bestFit="1" customWidth="1"/>
    <col min="4" max="4" width="9" style="1" customWidth="1"/>
    <col min="5" max="5" width="5.7109375" style="1" bestFit="1" customWidth="1"/>
    <col min="6" max="6" width="29.85546875" style="1" bestFit="1" customWidth="1"/>
    <col min="7" max="7" width="17.42578125" style="2" customWidth="1"/>
    <col min="8" max="8" width="12.7109375" style="1" customWidth="1"/>
    <col min="9" max="9" width="12.7109375" style="2" customWidth="1"/>
    <col min="10" max="11" width="12.7109375" style="1" customWidth="1"/>
    <col min="12" max="12" width="12.42578125" style="1"/>
    <col min="13" max="13" width="3.7109375" style="1" customWidth="1"/>
    <col min="14" max="14" width="12.42578125" style="1"/>
    <col min="15" max="15" width="2" style="1" bestFit="1" customWidth="1"/>
    <col min="16" max="16" width="17.140625" style="1" bestFit="1" customWidth="1"/>
    <col min="17" max="16384" width="12.42578125" style="1"/>
  </cols>
  <sheetData>
    <row r="1" spans="2:16" ht="15.75" thickBot="1" x14ac:dyDescent="0.3"/>
    <row r="2" spans="2:16" ht="16.5" thickTop="1" thickBot="1" x14ac:dyDescent="0.3">
      <c r="B2" s="3"/>
      <c r="C2" s="4"/>
      <c r="D2" s="4"/>
      <c r="E2" s="4"/>
      <c r="F2" s="4"/>
      <c r="G2" s="5"/>
      <c r="H2" s="4"/>
      <c r="I2" s="5"/>
      <c r="J2" s="4"/>
      <c r="K2" s="4"/>
      <c r="L2" s="4"/>
      <c r="M2" s="6"/>
    </row>
    <row r="3" spans="2:16" ht="21.75" thickBot="1" x14ac:dyDescent="0.3">
      <c r="B3" s="7"/>
      <c r="F3" s="8" t="s">
        <v>0</v>
      </c>
      <c r="G3" s="9">
        <f>+H56</f>
        <v>6150</v>
      </c>
      <c r="H3" s="10"/>
      <c r="I3" s="46" t="s">
        <v>28</v>
      </c>
      <c r="M3" s="11"/>
    </row>
    <row r="4" spans="2:16" ht="21.75" thickBot="1" x14ac:dyDescent="0.3">
      <c r="B4" s="7"/>
      <c r="F4" s="8" t="s">
        <v>1</v>
      </c>
      <c r="G4" s="9">
        <f>+K56</f>
        <v>3381.6000000000004</v>
      </c>
      <c r="H4" s="10"/>
      <c r="I4" s="47">
        <f>+L56</f>
        <v>0.54985365853658541</v>
      </c>
      <c r="M4" s="11"/>
    </row>
    <row r="5" spans="2:16" ht="21.75" thickBot="1" x14ac:dyDescent="0.3">
      <c r="B5" s="7"/>
      <c r="F5" s="8" t="s">
        <v>2</v>
      </c>
      <c r="G5" s="12">
        <v>46029</v>
      </c>
      <c r="H5" s="10"/>
      <c r="I5" s="58" t="s">
        <v>36</v>
      </c>
      <c r="M5" s="11"/>
    </row>
    <row r="6" spans="2:16" ht="21.75" thickBot="1" x14ac:dyDescent="0.3">
      <c r="B6" s="7"/>
      <c r="F6" s="8" t="s">
        <v>3</v>
      </c>
      <c r="G6" s="65">
        <v>11</v>
      </c>
      <c r="H6" s="10"/>
      <c r="I6" s="63">
        <f>+K56/G7</f>
        <v>169.08</v>
      </c>
      <c r="M6" s="11"/>
    </row>
    <row r="7" spans="2:16" ht="21.75" thickBot="1" x14ac:dyDescent="0.3">
      <c r="B7" s="7"/>
      <c r="F7" s="8" t="s">
        <v>4</v>
      </c>
      <c r="G7" s="48">
        <f>+D56</f>
        <v>20</v>
      </c>
      <c r="H7" s="10"/>
      <c r="I7" s="103" t="s">
        <v>38</v>
      </c>
      <c r="J7" s="338" t="s">
        <v>334</v>
      </c>
      <c r="K7" s="338"/>
      <c r="L7" s="339"/>
      <c r="M7" s="11"/>
    </row>
    <row r="8" spans="2:16" ht="21.75" thickBot="1" x14ac:dyDescent="0.3">
      <c r="B8" s="7"/>
      <c r="F8" s="101"/>
      <c r="G8" s="102"/>
      <c r="H8" s="10"/>
      <c r="I8" s="103" t="s">
        <v>88</v>
      </c>
      <c r="J8" s="338" t="s">
        <v>335</v>
      </c>
      <c r="K8" s="338"/>
      <c r="L8" s="339"/>
      <c r="M8" s="11"/>
    </row>
    <row r="9" spans="2:16" ht="15.75" thickBot="1" x14ac:dyDescent="0.3">
      <c r="B9" s="7"/>
      <c r="M9" s="11"/>
    </row>
    <row r="10" spans="2:16" s="18" customFormat="1" ht="45.75" thickBot="1" x14ac:dyDescent="0.3">
      <c r="B10" s="13"/>
      <c r="C10" s="27" t="s">
        <v>9</v>
      </c>
      <c r="D10" s="26" t="s">
        <v>5</v>
      </c>
      <c r="E10" s="99" t="s">
        <v>63</v>
      </c>
      <c r="F10" s="14" t="s">
        <v>6</v>
      </c>
      <c r="G10" s="16" t="s">
        <v>7</v>
      </c>
      <c r="H10" s="45" t="s">
        <v>26</v>
      </c>
      <c r="I10" s="15" t="s">
        <v>10</v>
      </c>
      <c r="J10" s="27" t="s">
        <v>11</v>
      </c>
      <c r="K10" s="45" t="s">
        <v>25</v>
      </c>
      <c r="L10" s="50" t="s">
        <v>27</v>
      </c>
      <c r="M10" s="17"/>
    </row>
    <row r="11" spans="2:16" x14ac:dyDescent="0.25">
      <c r="B11" s="7"/>
      <c r="C11" s="28">
        <v>1</v>
      </c>
      <c r="D11" s="28">
        <v>11</v>
      </c>
      <c r="E11" s="19" t="s">
        <v>67</v>
      </c>
      <c r="F11" s="59" t="s">
        <v>62</v>
      </c>
      <c r="G11" s="60" t="s">
        <v>314</v>
      </c>
      <c r="H11" s="94">
        <v>269</v>
      </c>
      <c r="I11" s="66">
        <v>75.900000000000006</v>
      </c>
      <c r="J11" s="67">
        <v>76.5</v>
      </c>
      <c r="K11" s="53">
        <f t="shared" ref="K11:K55" si="0">+I11+J11</f>
        <v>152.4</v>
      </c>
      <c r="L11" s="73">
        <f t="shared" ref="L11:L56" si="1">+K11/H11</f>
        <v>0.56654275092936801</v>
      </c>
      <c r="M11" s="11"/>
      <c r="N11" s="64" t="s">
        <v>42</v>
      </c>
      <c r="O11" s="1">
        <f>+COUNTIF($F$11:$F$55,"NOVILLITO (NT)")</f>
        <v>0</v>
      </c>
      <c r="P11" s="59" t="s">
        <v>8</v>
      </c>
    </row>
    <row r="12" spans="2:16" x14ac:dyDescent="0.25">
      <c r="B12" s="7"/>
      <c r="C12" s="29">
        <v>2</v>
      </c>
      <c r="D12" s="29">
        <v>13</v>
      </c>
      <c r="E12" s="19" t="s">
        <v>75</v>
      </c>
      <c r="F12" s="59" t="s">
        <v>81</v>
      </c>
      <c r="G12" s="62" t="s">
        <v>315</v>
      </c>
      <c r="H12" s="95">
        <v>288</v>
      </c>
      <c r="I12" s="19">
        <v>80.400000000000006</v>
      </c>
      <c r="J12" s="67">
        <v>81.7</v>
      </c>
      <c r="K12" s="55">
        <f t="shared" si="0"/>
        <v>162.10000000000002</v>
      </c>
      <c r="L12" s="73">
        <f t="shared" si="1"/>
        <v>0.56284722222222228</v>
      </c>
      <c r="M12" s="11"/>
      <c r="N12" s="64" t="s">
        <v>40</v>
      </c>
      <c r="O12" s="1">
        <f>+COUNTIF($F$11:$F$56,"VAQUILLONA (Vq)")</f>
        <v>0</v>
      </c>
      <c r="P12" s="59" t="s">
        <v>37</v>
      </c>
    </row>
    <row r="13" spans="2:16" x14ac:dyDescent="0.25">
      <c r="B13" s="7"/>
      <c r="C13" s="29">
        <v>3</v>
      </c>
      <c r="D13" s="29">
        <v>4</v>
      </c>
      <c r="E13" s="19" t="s">
        <v>68</v>
      </c>
      <c r="F13" s="59" t="s">
        <v>198</v>
      </c>
      <c r="G13" s="62" t="s">
        <v>316</v>
      </c>
      <c r="H13" s="95">
        <v>395</v>
      </c>
      <c r="I13" s="19">
        <v>106.1</v>
      </c>
      <c r="J13" s="67">
        <v>106.8</v>
      </c>
      <c r="K13" s="55">
        <f t="shared" si="0"/>
        <v>212.89999999999998</v>
      </c>
      <c r="L13" s="73">
        <f t="shared" si="1"/>
        <v>0.5389873417721518</v>
      </c>
      <c r="M13" s="11"/>
      <c r="N13" s="64" t="s">
        <v>44</v>
      </c>
      <c r="O13" s="1">
        <f>+COUNTIF($F$11:$F$56,"TORITO (MEJ)")</f>
        <v>0</v>
      </c>
      <c r="P13" s="59" t="s">
        <v>43</v>
      </c>
    </row>
    <row r="14" spans="2:16" x14ac:dyDescent="0.25">
      <c r="B14" s="7"/>
      <c r="C14" s="29">
        <v>4</v>
      </c>
      <c r="D14" s="29">
        <v>5</v>
      </c>
      <c r="E14" s="19" t="s">
        <v>67</v>
      </c>
      <c r="F14" s="59" t="s">
        <v>81</v>
      </c>
      <c r="G14" s="62" t="s">
        <v>317</v>
      </c>
      <c r="H14" s="95">
        <v>304</v>
      </c>
      <c r="I14" s="19">
        <v>83.5</v>
      </c>
      <c r="J14" s="67">
        <v>84.2</v>
      </c>
      <c r="K14" s="55">
        <f t="shared" si="0"/>
        <v>167.7</v>
      </c>
      <c r="L14" s="73">
        <f t="shared" si="1"/>
        <v>0.55164473684210524</v>
      </c>
      <c r="M14" s="11"/>
      <c r="N14" s="78" t="s">
        <v>45</v>
      </c>
      <c r="O14" s="1">
        <f>+COUNTIF($F$11:$F$56,"NOVILLO (No)")</f>
        <v>0</v>
      </c>
      <c r="P14" s="19" t="s">
        <v>39</v>
      </c>
    </row>
    <row r="15" spans="2:16" x14ac:dyDescent="0.25">
      <c r="B15" s="7"/>
      <c r="C15" s="29">
        <v>5</v>
      </c>
      <c r="D15" s="29">
        <v>12</v>
      </c>
      <c r="E15" s="19" t="s">
        <v>68</v>
      </c>
      <c r="F15" s="59" t="s">
        <v>62</v>
      </c>
      <c r="G15" s="62" t="s">
        <v>318</v>
      </c>
      <c r="H15" s="95">
        <v>299</v>
      </c>
      <c r="I15" s="19">
        <v>79.5</v>
      </c>
      <c r="J15" s="67">
        <v>80.400000000000006</v>
      </c>
      <c r="K15" s="55">
        <f t="shared" si="0"/>
        <v>159.9</v>
      </c>
      <c r="L15" s="73">
        <f t="shared" si="1"/>
        <v>0.5347826086956522</v>
      </c>
      <c r="M15" s="11"/>
      <c r="N15" s="78" t="s">
        <v>46</v>
      </c>
      <c r="O15" s="1">
        <f>+COUNTIF($F$11:$F$56,"VACA (Va)")</f>
        <v>0</v>
      </c>
      <c r="P15" s="83" t="s">
        <v>50</v>
      </c>
    </row>
    <row r="16" spans="2:16" x14ac:dyDescent="0.25">
      <c r="B16" s="7"/>
      <c r="C16" s="29">
        <v>6</v>
      </c>
      <c r="D16" s="29">
        <v>2</v>
      </c>
      <c r="E16" s="19" t="s">
        <v>67</v>
      </c>
      <c r="F16" s="59" t="s">
        <v>81</v>
      </c>
      <c r="G16" s="62" t="s">
        <v>319</v>
      </c>
      <c r="H16" s="95">
        <v>306</v>
      </c>
      <c r="I16" s="19">
        <v>81.099999999999994</v>
      </c>
      <c r="J16" s="67">
        <v>81.3</v>
      </c>
      <c r="K16" s="55">
        <f t="shared" si="0"/>
        <v>162.39999999999998</v>
      </c>
      <c r="L16" s="73">
        <f t="shared" si="1"/>
        <v>0.5307189542483659</v>
      </c>
      <c r="M16" s="11"/>
      <c r="N16" s="64" t="s">
        <v>47</v>
      </c>
      <c r="O16" s="1">
        <f>+COUNTIF($F$11:$F$56,"TORO (To)")</f>
        <v>0</v>
      </c>
      <c r="P16" s="83" t="s">
        <v>51</v>
      </c>
    </row>
    <row r="17" spans="2:16" x14ac:dyDescent="0.25">
      <c r="B17" s="7"/>
      <c r="C17" s="29">
        <v>7</v>
      </c>
      <c r="D17" s="29">
        <v>18</v>
      </c>
      <c r="E17" s="19" t="s">
        <v>67</v>
      </c>
      <c r="F17" s="59" t="s">
        <v>62</v>
      </c>
      <c r="G17" s="62" t="s">
        <v>320</v>
      </c>
      <c r="H17" s="95">
        <v>273</v>
      </c>
      <c r="I17" s="19">
        <v>76.2</v>
      </c>
      <c r="J17" s="67">
        <v>77</v>
      </c>
      <c r="K17" s="55">
        <f t="shared" si="0"/>
        <v>153.19999999999999</v>
      </c>
      <c r="L17" s="73">
        <f t="shared" si="1"/>
        <v>0.56117216117216118</v>
      </c>
      <c r="M17" s="11"/>
      <c r="N17" s="77"/>
      <c r="O17" s="1">
        <f>SUM(O11:O16)</f>
        <v>0</v>
      </c>
    </row>
    <row r="18" spans="2:16" x14ac:dyDescent="0.25">
      <c r="B18" s="7"/>
      <c r="C18" s="29">
        <v>8</v>
      </c>
      <c r="D18" s="29">
        <v>14</v>
      </c>
      <c r="E18" s="19" t="s">
        <v>75</v>
      </c>
      <c r="F18" s="59" t="s">
        <v>198</v>
      </c>
      <c r="G18" s="62" t="s">
        <v>321</v>
      </c>
      <c r="H18" s="95">
        <v>248</v>
      </c>
      <c r="I18" s="19">
        <v>63.8</v>
      </c>
      <c r="J18" s="67">
        <v>64</v>
      </c>
      <c r="K18" s="55">
        <f t="shared" si="0"/>
        <v>127.8</v>
      </c>
      <c r="L18" s="73">
        <f t="shared" si="1"/>
        <v>0.51532258064516123</v>
      </c>
      <c r="M18" s="11"/>
    </row>
    <row r="19" spans="2:16" x14ac:dyDescent="0.25">
      <c r="B19" s="7"/>
      <c r="C19" s="61">
        <v>9</v>
      </c>
      <c r="D19" s="61">
        <v>8</v>
      </c>
      <c r="E19" s="59" t="s">
        <v>75</v>
      </c>
      <c r="F19" s="59" t="s">
        <v>262</v>
      </c>
      <c r="G19" s="62" t="s">
        <v>322</v>
      </c>
      <c r="H19" s="95">
        <v>306</v>
      </c>
      <c r="I19" s="19">
        <v>83.5</v>
      </c>
      <c r="J19" s="67">
        <v>84.3</v>
      </c>
      <c r="K19" s="55">
        <f t="shared" si="0"/>
        <v>167.8</v>
      </c>
      <c r="L19" s="73">
        <f t="shared" si="1"/>
        <v>0.54836601307189548</v>
      </c>
      <c r="M19" s="11"/>
      <c r="P19" s="100" t="s">
        <v>63</v>
      </c>
    </row>
    <row r="20" spans="2:16" x14ac:dyDescent="0.25">
      <c r="B20" s="7"/>
      <c r="C20" s="61">
        <v>10</v>
      </c>
      <c r="D20" s="61">
        <v>20</v>
      </c>
      <c r="E20" s="59" t="s">
        <v>67</v>
      </c>
      <c r="F20" s="59" t="s">
        <v>198</v>
      </c>
      <c r="G20" s="62" t="s">
        <v>323</v>
      </c>
      <c r="H20" s="95">
        <v>351</v>
      </c>
      <c r="I20" s="19">
        <v>104.1</v>
      </c>
      <c r="J20" s="67">
        <v>104.8</v>
      </c>
      <c r="K20" s="55">
        <f t="shared" si="0"/>
        <v>208.89999999999998</v>
      </c>
      <c r="L20" s="73">
        <f t="shared" si="1"/>
        <v>0.59515669515669511</v>
      </c>
      <c r="M20" s="11"/>
      <c r="N20" s="64" t="s">
        <v>67</v>
      </c>
      <c r="P20" s="1" t="s">
        <v>64</v>
      </c>
    </row>
    <row r="21" spans="2:16" x14ac:dyDescent="0.25">
      <c r="B21" s="7"/>
      <c r="C21" s="19">
        <v>11</v>
      </c>
      <c r="D21" s="29">
        <v>3</v>
      </c>
      <c r="E21" s="19" t="s">
        <v>68</v>
      </c>
      <c r="F21" s="59" t="s">
        <v>262</v>
      </c>
      <c r="G21" s="62" t="s">
        <v>324</v>
      </c>
      <c r="H21" s="95">
        <v>288</v>
      </c>
      <c r="I21" s="19">
        <v>79.7</v>
      </c>
      <c r="J21" s="67">
        <v>79</v>
      </c>
      <c r="K21" s="55">
        <f t="shared" si="0"/>
        <v>158.69999999999999</v>
      </c>
      <c r="L21" s="73">
        <f t="shared" si="1"/>
        <v>0.55104166666666665</v>
      </c>
      <c r="M21" s="11"/>
      <c r="N21" s="64" t="s">
        <v>68</v>
      </c>
      <c r="P21" t="s">
        <v>65</v>
      </c>
    </row>
    <row r="22" spans="2:16" x14ac:dyDescent="0.25">
      <c r="B22" s="7"/>
      <c r="C22" s="19">
        <v>12</v>
      </c>
      <c r="D22" s="29">
        <v>16</v>
      </c>
      <c r="E22" s="19" t="s">
        <v>67</v>
      </c>
      <c r="F22" s="59" t="s">
        <v>198</v>
      </c>
      <c r="G22" s="62" t="s">
        <v>325</v>
      </c>
      <c r="H22" s="95">
        <v>240</v>
      </c>
      <c r="I22" s="19">
        <v>68.099999999999994</v>
      </c>
      <c r="J22" s="67">
        <v>68</v>
      </c>
      <c r="K22" s="55">
        <f t="shared" si="0"/>
        <v>136.1</v>
      </c>
      <c r="L22" s="73">
        <f t="shared" si="1"/>
        <v>0.56708333333333327</v>
      </c>
      <c r="M22" s="11"/>
      <c r="N22" s="64" t="s">
        <v>75</v>
      </c>
      <c r="P22" t="s">
        <v>74</v>
      </c>
    </row>
    <row r="23" spans="2:16" x14ac:dyDescent="0.25">
      <c r="B23" s="7"/>
      <c r="C23" s="59">
        <v>13</v>
      </c>
      <c r="D23" s="61">
        <v>19</v>
      </c>
      <c r="E23" s="59" t="s">
        <v>68</v>
      </c>
      <c r="F23" s="59" t="s">
        <v>198</v>
      </c>
      <c r="G23" s="62" t="s">
        <v>326</v>
      </c>
      <c r="H23" s="95">
        <v>269</v>
      </c>
      <c r="I23" s="19">
        <v>71.7</v>
      </c>
      <c r="J23" s="67">
        <v>71.8</v>
      </c>
      <c r="K23" s="55">
        <f t="shared" si="0"/>
        <v>143.5</v>
      </c>
      <c r="L23" s="73">
        <f t="shared" si="1"/>
        <v>0.53345724907063197</v>
      </c>
      <c r="M23" s="11"/>
      <c r="N23" s="64" t="s">
        <v>69</v>
      </c>
      <c r="P23" t="s">
        <v>66</v>
      </c>
    </row>
    <row r="24" spans="2:16" x14ac:dyDescent="0.25">
      <c r="B24" s="7"/>
      <c r="C24" s="19">
        <v>14</v>
      </c>
      <c r="D24" s="29">
        <v>1</v>
      </c>
      <c r="E24" s="19" t="s">
        <v>67</v>
      </c>
      <c r="F24" s="59" t="s">
        <v>198</v>
      </c>
      <c r="G24" s="62" t="s">
        <v>327</v>
      </c>
      <c r="H24" s="95">
        <v>317</v>
      </c>
      <c r="I24" s="19">
        <v>88.3</v>
      </c>
      <c r="J24" s="68">
        <v>89.1</v>
      </c>
      <c r="K24" s="55">
        <f t="shared" si="0"/>
        <v>177.39999999999998</v>
      </c>
      <c r="L24" s="104">
        <f t="shared" si="1"/>
        <v>0.55962145110410089</v>
      </c>
      <c r="M24" s="11"/>
      <c r="N24" s="64" t="s">
        <v>70</v>
      </c>
      <c r="P24" t="s">
        <v>71</v>
      </c>
    </row>
    <row r="25" spans="2:16" x14ac:dyDescent="0.25">
      <c r="B25" s="7"/>
      <c r="C25" s="19">
        <v>15</v>
      </c>
      <c r="D25" s="29">
        <v>10</v>
      </c>
      <c r="E25" s="19" t="s">
        <v>67</v>
      </c>
      <c r="F25" s="59" t="s">
        <v>198</v>
      </c>
      <c r="G25" s="62" t="s">
        <v>328</v>
      </c>
      <c r="H25" s="95">
        <v>327</v>
      </c>
      <c r="I25" s="19">
        <v>89.2</v>
      </c>
      <c r="J25" s="67">
        <v>89.2</v>
      </c>
      <c r="K25" s="55">
        <f t="shared" si="0"/>
        <v>178.4</v>
      </c>
      <c r="L25" s="73">
        <f t="shared" si="1"/>
        <v>0.54556574923547407</v>
      </c>
      <c r="M25" s="11"/>
      <c r="N25" s="64" t="s">
        <v>73</v>
      </c>
      <c r="P25" t="s">
        <v>72</v>
      </c>
    </row>
    <row r="26" spans="2:16" x14ac:dyDescent="0.25">
      <c r="B26" s="7"/>
      <c r="C26" s="19">
        <v>16</v>
      </c>
      <c r="D26" s="29">
        <v>17</v>
      </c>
      <c r="E26" s="19" t="s">
        <v>68</v>
      </c>
      <c r="F26" s="59" t="s">
        <v>198</v>
      </c>
      <c r="G26" s="62" t="s">
        <v>329</v>
      </c>
      <c r="H26" s="95">
        <v>313</v>
      </c>
      <c r="I26" s="19">
        <v>83</v>
      </c>
      <c r="J26" s="67">
        <v>84.8</v>
      </c>
      <c r="K26" s="55">
        <f t="shared" si="0"/>
        <v>167.8</v>
      </c>
      <c r="L26" s="73">
        <f t="shared" si="1"/>
        <v>0.53610223642172528</v>
      </c>
      <c r="M26" s="11"/>
      <c r="N26" s="64" t="s">
        <v>78</v>
      </c>
      <c r="P26" t="s">
        <v>76</v>
      </c>
    </row>
    <row r="27" spans="2:16" x14ac:dyDescent="0.25">
      <c r="B27" s="7"/>
      <c r="C27" s="19">
        <v>17</v>
      </c>
      <c r="D27" s="29">
        <v>7</v>
      </c>
      <c r="E27" s="19" t="s">
        <v>67</v>
      </c>
      <c r="F27" s="59" t="s">
        <v>198</v>
      </c>
      <c r="G27" s="62" t="s">
        <v>330</v>
      </c>
      <c r="H27" s="95">
        <v>297</v>
      </c>
      <c r="I27" s="19">
        <v>85.8</v>
      </c>
      <c r="J27" s="67">
        <v>87</v>
      </c>
      <c r="K27" s="55">
        <f t="shared" si="0"/>
        <v>172.8</v>
      </c>
      <c r="L27" s="73">
        <f t="shared" si="1"/>
        <v>0.5818181818181819</v>
      </c>
      <c r="M27" s="11"/>
    </row>
    <row r="28" spans="2:16" x14ac:dyDescent="0.25">
      <c r="B28" s="7"/>
      <c r="C28" s="19">
        <v>18</v>
      </c>
      <c r="D28" s="29">
        <v>9</v>
      </c>
      <c r="E28" s="19" t="s">
        <v>67</v>
      </c>
      <c r="F28" s="19" t="s">
        <v>198</v>
      </c>
      <c r="G28" s="20" t="s">
        <v>331</v>
      </c>
      <c r="H28" s="71">
        <v>409</v>
      </c>
      <c r="I28" s="19">
        <v>109.4</v>
      </c>
      <c r="J28" s="67">
        <v>112</v>
      </c>
      <c r="K28" s="55">
        <f t="shared" si="0"/>
        <v>221.4</v>
      </c>
      <c r="L28" s="73">
        <f t="shared" si="1"/>
        <v>0.54132029339853305</v>
      </c>
      <c r="M28" s="11"/>
    </row>
    <row r="29" spans="2:16" x14ac:dyDescent="0.25">
      <c r="B29" s="7"/>
      <c r="C29" s="19">
        <v>19</v>
      </c>
      <c r="D29" s="29">
        <v>15</v>
      </c>
      <c r="E29" s="19" t="s">
        <v>67</v>
      </c>
      <c r="F29" s="59" t="s">
        <v>198</v>
      </c>
      <c r="G29" s="62" t="s">
        <v>332</v>
      </c>
      <c r="H29" s="95">
        <v>311</v>
      </c>
      <c r="I29" s="19">
        <v>82.1</v>
      </c>
      <c r="J29" s="67">
        <v>82.8</v>
      </c>
      <c r="K29" s="55">
        <f t="shared" si="0"/>
        <v>164.89999999999998</v>
      </c>
      <c r="L29" s="73">
        <f t="shared" si="1"/>
        <v>0.53022508038585203</v>
      </c>
      <c r="M29" s="11"/>
    </row>
    <row r="30" spans="2:16" x14ac:dyDescent="0.25">
      <c r="B30" s="7"/>
      <c r="C30" s="19">
        <v>20</v>
      </c>
      <c r="D30" s="29">
        <v>6</v>
      </c>
      <c r="E30" s="19" t="s">
        <v>67</v>
      </c>
      <c r="F30" s="59" t="s">
        <v>198</v>
      </c>
      <c r="G30" s="62" t="s">
        <v>333</v>
      </c>
      <c r="H30" s="95">
        <v>340</v>
      </c>
      <c r="I30" s="19">
        <v>92.5</v>
      </c>
      <c r="J30" s="67">
        <v>93</v>
      </c>
      <c r="K30" s="55">
        <f t="shared" si="0"/>
        <v>185.5</v>
      </c>
      <c r="L30" s="73">
        <f t="shared" si="1"/>
        <v>0.5455882352941176</v>
      </c>
      <c r="M30" s="11"/>
    </row>
    <row r="31" spans="2:16" x14ac:dyDescent="0.25">
      <c r="B31" s="7"/>
      <c r="C31" s="19"/>
      <c r="D31" s="29"/>
      <c r="E31" s="19"/>
      <c r="F31" s="59"/>
      <c r="G31" s="62"/>
      <c r="H31" s="95"/>
      <c r="I31" s="19"/>
      <c r="J31" s="67"/>
      <c r="K31" s="55">
        <f t="shared" si="0"/>
        <v>0</v>
      </c>
      <c r="L31" s="73" t="e">
        <f t="shared" si="1"/>
        <v>#DIV/0!</v>
      </c>
      <c r="M31" s="11"/>
    </row>
    <row r="32" spans="2:16" x14ac:dyDescent="0.25">
      <c r="B32" s="7"/>
      <c r="C32" s="59"/>
      <c r="D32" s="61"/>
      <c r="E32" s="59"/>
      <c r="F32" s="59"/>
      <c r="G32" s="62"/>
      <c r="H32" s="95"/>
      <c r="I32" s="19"/>
      <c r="J32" s="67"/>
      <c r="K32" s="55">
        <f t="shared" si="0"/>
        <v>0</v>
      </c>
      <c r="L32" s="73" t="e">
        <f t="shared" si="1"/>
        <v>#DIV/0!</v>
      </c>
      <c r="M32" s="11"/>
    </row>
    <row r="33" spans="2:13" x14ac:dyDescent="0.25">
      <c r="B33" s="7"/>
      <c r="C33" s="19"/>
      <c r="D33" s="29"/>
      <c r="E33" s="19"/>
      <c r="F33" s="59"/>
      <c r="G33" s="62"/>
      <c r="H33" s="95"/>
      <c r="I33" s="19"/>
      <c r="J33" s="67"/>
      <c r="K33" s="55">
        <f t="shared" si="0"/>
        <v>0</v>
      </c>
      <c r="L33" s="73" t="e">
        <f t="shared" si="1"/>
        <v>#DIV/0!</v>
      </c>
      <c r="M33" s="11"/>
    </row>
    <row r="34" spans="2:13" x14ac:dyDescent="0.25">
      <c r="B34" s="7"/>
      <c r="C34" s="59"/>
      <c r="D34" s="61"/>
      <c r="E34" s="59"/>
      <c r="F34" s="59"/>
      <c r="G34" s="62"/>
      <c r="H34" s="95"/>
      <c r="I34" s="19"/>
      <c r="J34" s="67"/>
      <c r="K34" s="55">
        <f t="shared" si="0"/>
        <v>0</v>
      </c>
      <c r="L34" s="73" t="e">
        <f t="shared" si="1"/>
        <v>#DIV/0!</v>
      </c>
      <c r="M34" s="11"/>
    </row>
    <row r="35" spans="2:13" x14ac:dyDescent="0.25">
      <c r="B35" s="7"/>
      <c r="C35" s="59"/>
      <c r="D35" s="61"/>
      <c r="E35" s="59"/>
      <c r="F35" s="59"/>
      <c r="G35" s="62"/>
      <c r="H35" s="95"/>
      <c r="I35" s="19"/>
      <c r="J35" s="67"/>
      <c r="K35" s="55">
        <f t="shared" si="0"/>
        <v>0</v>
      </c>
      <c r="L35" s="73" t="e">
        <f t="shared" si="1"/>
        <v>#DIV/0!</v>
      </c>
      <c r="M35" s="11"/>
    </row>
    <row r="36" spans="2:13" x14ac:dyDescent="0.25">
      <c r="B36" s="7"/>
      <c r="C36" s="59"/>
      <c r="D36" s="61"/>
      <c r="E36" s="59"/>
      <c r="F36" s="59"/>
      <c r="G36" s="62"/>
      <c r="H36" s="95"/>
      <c r="I36" s="19"/>
      <c r="J36" s="67"/>
      <c r="K36" s="55">
        <f t="shared" si="0"/>
        <v>0</v>
      </c>
      <c r="L36" s="73" t="e">
        <f t="shared" si="1"/>
        <v>#DIV/0!</v>
      </c>
      <c r="M36" s="11"/>
    </row>
    <row r="37" spans="2:13" x14ac:dyDescent="0.25">
      <c r="B37" s="7"/>
      <c r="C37" s="59"/>
      <c r="D37" s="61"/>
      <c r="E37" s="59"/>
      <c r="F37" s="59"/>
      <c r="G37" s="62"/>
      <c r="H37" s="95"/>
      <c r="I37" s="19"/>
      <c r="J37" s="67"/>
      <c r="K37" s="55">
        <f t="shared" si="0"/>
        <v>0</v>
      </c>
      <c r="L37" s="73" t="e">
        <f t="shared" si="1"/>
        <v>#DIV/0!</v>
      </c>
      <c r="M37" s="11"/>
    </row>
    <row r="38" spans="2:13" x14ac:dyDescent="0.25">
      <c r="B38" s="7"/>
      <c r="C38" s="59"/>
      <c r="D38" s="61"/>
      <c r="E38" s="59"/>
      <c r="F38" s="59"/>
      <c r="G38" s="62"/>
      <c r="H38" s="95"/>
      <c r="I38" s="19"/>
      <c r="J38" s="67"/>
      <c r="K38" s="55">
        <f t="shared" si="0"/>
        <v>0</v>
      </c>
      <c r="L38" s="73" t="e">
        <f t="shared" si="1"/>
        <v>#DIV/0!</v>
      </c>
      <c r="M38" s="11"/>
    </row>
    <row r="39" spans="2:13" x14ac:dyDescent="0.25">
      <c r="B39" s="7"/>
      <c r="C39" s="59"/>
      <c r="D39" s="61"/>
      <c r="E39" s="59"/>
      <c r="F39" s="59"/>
      <c r="G39" s="62"/>
      <c r="H39" s="95"/>
      <c r="I39" s="19"/>
      <c r="J39" s="67"/>
      <c r="K39" s="55">
        <f t="shared" si="0"/>
        <v>0</v>
      </c>
      <c r="L39" s="73" t="e">
        <f t="shared" si="1"/>
        <v>#DIV/0!</v>
      </c>
      <c r="M39" s="11"/>
    </row>
    <row r="40" spans="2:13" x14ac:dyDescent="0.25">
      <c r="B40" s="7"/>
      <c r="C40" s="19"/>
      <c r="D40" s="29"/>
      <c r="E40" s="19"/>
      <c r="F40" s="59"/>
      <c r="G40" s="62"/>
      <c r="H40" s="95"/>
      <c r="I40" s="19"/>
      <c r="J40" s="67"/>
      <c r="K40" s="55">
        <f t="shared" si="0"/>
        <v>0</v>
      </c>
      <c r="L40" s="73" t="e">
        <f t="shared" si="1"/>
        <v>#DIV/0!</v>
      </c>
      <c r="M40" s="11"/>
    </row>
    <row r="41" spans="2:13" x14ac:dyDescent="0.25">
      <c r="B41" s="7"/>
      <c r="C41" s="19"/>
      <c r="D41" s="29"/>
      <c r="E41" s="19"/>
      <c r="F41" s="59"/>
      <c r="G41" s="20"/>
      <c r="H41" s="71"/>
      <c r="I41" s="19"/>
      <c r="J41" s="67"/>
      <c r="K41" s="55">
        <f t="shared" si="0"/>
        <v>0</v>
      </c>
      <c r="L41" s="73" t="e">
        <f t="shared" si="1"/>
        <v>#DIV/0!</v>
      </c>
      <c r="M41" s="11"/>
    </row>
    <row r="42" spans="2:13" x14ac:dyDescent="0.25">
      <c r="B42" s="7"/>
      <c r="C42" s="19"/>
      <c r="D42" s="61"/>
      <c r="E42" s="59"/>
      <c r="F42" s="59"/>
      <c r="G42" s="20"/>
      <c r="H42" s="71"/>
      <c r="I42" s="19"/>
      <c r="J42" s="67"/>
      <c r="K42" s="55">
        <f t="shared" si="0"/>
        <v>0</v>
      </c>
      <c r="L42" s="73" t="e">
        <f t="shared" si="1"/>
        <v>#DIV/0!</v>
      </c>
      <c r="M42" s="11"/>
    </row>
    <row r="43" spans="2:13" x14ac:dyDescent="0.25">
      <c r="B43" s="7"/>
      <c r="C43" s="19"/>
      <c r="D43" s="61"/>
      <c r="E43" s="59"/>
      <c r="F43" s="59"/>
      <c r="G43" s="20"/>
      <c r="H43" s="71"/>
      <c r="I43" s="19"/>
      <c r="J43" s="67"/>
      <c r="K43" s="55">
        <f t="shared" si="0"/>
        <v>0</v>
      </c>
      <c r="L43" s="73" t="e">
        <f t="shared" si="1"/>
        <v>#DIV/0!</v>
      </c>
      <c r="M43" s="11"/>
    </row>
    <row r="44" spans="2:13" x14ac:dyDescent="0.25">
      <c r="B44" s="7"/>
      <c r="C44" s="19"/>
      <c r="D44" s="61"/>
      <c r="E44" s="59"/>
      <c r="F44" s="59"/>
      <c r="G44" s="20"/>
      <c r="H44" s="71"/>
      <c r="I44" s="19"/>
      <c r="J44" s="67"/>
      <c r="K44" s="55">
        <f t="shared" si="0"/>
        <v>0</v>
      </c>
      <c r="L44" s="73" t="e">
        <f t="shared" si="1"/>
        <v>#DIV/0!</v>
      </c>
      <c r="M44" s="11"/>
    </row>
    <row r="45" spans="2:13" x14ac:dyDescent="0.25">
      <c r="B45" s="7"/>
      <c r="C45" s="19"/>
      <c r="D45" s="61"/>
      <c r="E45" s="59"/>
      <c r="F45" s="59"/>
      <c r="G45" s="20"/>
      <c r="H45" s="71"/>
      <c r="I45" s="19"/>
      <c r="J45" s="67"/>
      <c r="K45" s="55">
        <f t="shared" si="0"/>
        <v>0</v>
      </c>
      <c r="L45" s="73" t="e">
        <f t="shared" si="1"/>
        <v>#DIV/0!</v>
      </c>
      <c r="M45" s="11"/>
    </row>
    <row r="46" spans="2:13" x14ac:dyDescent="0.25">
      <c r="B46" s="7"/>
      <c r="C46" s="19"/>
      <c r="D46" s="61"/>
      <c r="E46" s="59"/>
      <c r="F46" s="59"/>
      <c r="G46" s="20"/>
      <c r="H46" s="71"/>
      <c r="I46" s="19"/>
      <c r="J46" s="67"/>
      <c r="K46" s="55">
        <f t="shared" si="0"/>
        <v>0</v>
      </c>
      <c r="L46" s="73" t="e">
        <f t="shared" si="1"/>
        <v>#DIV/0!</v>
      </c>
      <c r="M46" s="11"/>
    </row>
    <row r="47" spans="2:13" x14ac:dyDescent="0.25">
      <c r="B47" s="7"/>
      <c r="C47" s="19"/>
      <c r="D47" s="29"/>
      <c r="E47" s="19"/>
      <c r="F47" s="59"/>
      <c r="G47" s="20"/>
      <c r="H47" s="71"/>
      <c r="I47" s="19"/>
      <c r="J47" s="67"/>
      <c r="K47" s="55">
        <f t="shared" si="0"/>
        <v>0</v>
      </c>
      <c r="L47" s="73" t="e">
        <f t="shared" si="1"/>
        <v>#DIV/0!</v>
      </c>
      <c r="M47" s="11"/>
    </row>
    <row r="48" spans="2:13" x14ac:dyDescent="0.25">
      <c r="B48" s="7"/>
      <c r="C48" s="19"/>
      <c r="D48" s="29"/>
      <c r="E48" s="19"/>
      <c r="F48" s="59"/>
      <c r="G48" s="20"/>
      <c r="H48" s="71"/>
      <c r="I48" s="19"/>
      <c r="J48" s="67"/>
      <c r="K48" s="55">
        <f t="shared" si="0"/>
        <v>0</v>
      </c>
      <c r="L48" s="73" t="e">
        <f t="shared" si="1"/>
        <v>#DIV/0!</v>
      </c>
      <c r="M48" s="11"/>
    </row>
    <row r="49" spans="2:13" x14ac:dyDescent="0.25">
      <c r="B49" s="7"/>
      <c r="C49" s="19"/>
      <c r="D49" s="85"/>
      <c r="E49" s="89"/>
      <c r="F49" s="86"/>
      <c r="G49" s="20"/>
      <c r="H49" s="71"/>
      <c r="I49" s="19"/>
      <c r="J49" s="67"/>
      <c r="K49" s="55">
        <f t="shared" si="0"/>
        <v>0</v>
      </c>
      <c r="L49" s="73" t="e">
        <f t="shared" si="1"/>
        <v>#DIV/0!</v>
      </c>
      <c r="M49" s="11"/>
    </row>
    <row r="50" spans="2:13" x14ac:dyDescent="0.25">
      <c r="B50" s="7"/>
      <c r="C50" s="19"/>
      <c r="D50" s="85"/>
      <c r="E50" s="89"/>
      <c r="F50" s="86"/>
      <c r="G50" s="20"/>
      <c r="H50" s="71"/>
      <c r="I50" s="19"/>
      <c r="J50" s="67"/>
      <c r="K50" s="55">
        <f t="shared" si="0"/>
        <v>0</v>
      </c>
      <c r="L50" s="73" t="e">
        <f t="shared" si="1"/>
        <v>#DIV/0!</v>
      </c>
      <c r="M50" s="11"/>
    </row>
    <row r="51" spans="2:13" x14ac:dyDescent="0.25">
      <c r="B51" s="7"/>
      <c r="C51" s="29"/>
      <c r="D51" s="85"/>
      <c r="E51" s="85"/>
      <c r="F51" s="87"/>
      <c r="G51" s="20"/>
      <c r="H51" s="71"/>
      <c r="I51" s="29"/>
      <c r="J51" s="79"/>
      <c r="K51" s="55">
        <f t="shared" si="0"/>
        <v>0</v>
      </c>
      <c r="L51" s="73" t="e">
        <f t="shared" si="1"/>
        <v>#DIV/0!</v>
      </c>
      <c r="M51" s="11"/>
    </row>
    <row r="52" spans="2:13" x14ac:dyDescent="0.25">
      <c r="B52" s="7"/>
      <c r="C52" s="19"/>
      <c r="D52" s="85"/>
      <c r="E52" s="89"/>
      <c r="F52" s="89"/>
      <c r="G52" s="88"/>
      <c r="H52" s="81"/>
      <c r="I52" s="54"/>
      <c r="J52" s="54"/>
      <c r="K52" s="55">
        <f t="shared" si="0"/>
        <v>0</v>
      </c>
      <c r="L52" s="73" t="e">
        <f t="shared" si="1"/>
        <v>#DIV/0!</v>
      </c>
      <c r="M52" s="11"/>
    </row>
    <row r="53" spans="2:13" x14ac:dyDescent="0.25">
      <c r="B53" s="7"/>
      <c r="C53" s="19"/>
      <c r="D53" s="90"/>
      <c r="E53" s="91"/>
      <c r="F53" s="91"/>
      <c r="G53" s="92"/>
      <c r="H53" s="96"/>
      <c r="I53" s="82"/>
      <c r="J53" s="37"/>
      <c r="K53" s="55">
        <f t="shared" si="0"/>
        <v>0</v>
      </c>
      <c r="L53" s="73" t="e">
        <f t="shared" si="1"/>
        <v>#DIV/0!</v>
      </c>
      <c r="M53" s="11"/>
    </row>
    <row r="54" spans="2:13" x14ac:dyDescent="0.25">
      <c r="B54" s="7"/>
      <c r="C54" s="19"/>
      <c r="D54" s="85"/>
      <c r="E54" s="89"/>
      <c r="F54" s="89"/>
      <c r="G54" s="20"/>
      <c r="H54" s="81"/>
      <c r="I54" s="54"/>
      <c r="J54" s="52"/>
      <c r="K54" s="55">
        <f t="shared" si="0"/>
        <v>0</v>
      </c>
      <c r="L54" s="73" t="e">
        <f t="shared" si="1"/>
        <v>#DIV/0!</v>
      </c>
      <c r="M54" s="11"/>
    </row>
    <row r="55" spans="2:13" ht="15.75" thickBot="1" x14ac:dyDescent="0.3">
      <c r="B55" s="7"/>
      <c r="C55" s="19"/>
      <c r="D55" s="85"/>
      <c r="E55" s="89"/>
      <c r="F55" s="89"/>
      <c r="G55" s="20"/>
      <c r="H55" s="71"/>
      <c r="I55" s="54"/>
      <c r="J55" s="52"/>
      <c r="K55" s="55">
        <f t="shared" si="0"/>
        <v>0</v>
      </c>
      <c r="L55" s="73" t="e">
        <f t="shared" si="1"/>
        <v>#DIV/0!</v>
      </c>
      <c r="M55" s="11"/>
    </row>
    <row r="56" spans="2:13" ht="15.75" thickBot="1" x14ac:dyDescent="0.3">
      <c r="B56" s="7"/>
      <c r="C56" s="105"/>
      <c r="D56" s="75">
        <f>+COUNT($D$11:$D$55)</f>
        <v>20</v>
      </c>
      <c r="E56" s="105"/>
      <c r="F56" s="105"/>
      <c r="G56" s="69"/>
      <c r="H56" s="56">
        <f>SUM($H$11:$H$55)</f>
        <v>6150</v>
      </c>
      <c r="I56" s="57">
        <f>SUM($I$11:$I$55)</f>
        <v>1683.9</v>
      </c>
      <c r="J56" s="70">
        <f>SUM($J$11:$J$55)</f>
        <v>1697.6999999999998</v>
      </c>
      <c r="K56" s="72">
        <f>SUM($K$11:$K$55)</f>
        <v>3381.6000000000004</v>
      </c>
      <c r="L56" s="74">
        <f t="shared" si="1"/>
        <v>0.54985365853658541</v>
      </c>
      <c r="M56" s="11"/>
    </row>
    <row r="57" spans="2:13" ht="15.75" thickBot="1" x14ac:dyDescent="0.3">
      <c r="B57" s="41"/>
      <c r="C57" s="42"/>
      <c r="D57" s="42"/>
      <c r="E57" s="42"/>
      <c r="F57" s="42"/>
      <c r="G57" s="43"/>
      <c r="H57" s="42"/>
      <c r="I57" s="43"/>
      <c r="J57" s="42"/>
      <c r="K57" s="42"/>
      <c r="L57" s="42"/>
      <c r="M57" s="44"/>
    </row>
    <row r="58" spans="2:13" ht="16.5" thickTop="1" thickBot="1" x14ac:dyDescent="0.3">
      <c r="B58" s="4"/>
      <c r="C58" s="4"/>
      <c r="D58" s="4"/>
      <c r="E58" s="4"/>
      <c r="F58" s="4"/>
      <c r="G58" s="5"/>
      <c r="H58" s="4"/>
      <c r="I58" s="5"/>
      <c r="J58" s="4"/>
      <c r="K58" s="4"/>
      <c r="L58" s="4"/>
      <c r="M58" s="4"/>
    </row>
    <row r="59" spans="2:13" ht="16.5" thickTop="1" thickBot="1" x14ac:dyDescent="0.3">
      <c r="B59" s="3"/>
      <c r="C59" s="4"/>
      <c r="D59" s="4"/>
      <c r="E59" s="4"/>
      <c r="F59" s="4"/>
      <c r="G59" s="5"/>
      <c r="H59" s="4"/>
      <c r="I59" s="5"/>
      <c r="J59" s="4"/>
      <c r="K59" s="4"/>
      <c r="L59" s="4"/>
      <c r="M59" s="6"/>
    </row>
    <row r="60" spans="2:13" ht="15.75" thickBot="1" x14ac:dyDescent="0.3">
      <c r="B60" s="7"/>
      <c r="F60" s="30" t="s">
        <v>12</v>
      </c>
      <c r="G60" s="31" t="s">
        <v>32</v>
      </c>
      <c r="H60" s="51" t="s">
        <v>30</v>
      </c>
      <c r="I60" s="75" t="s">
        <v>54</v>
      </c>
      <c r="J60" s="75" t="s">
        <v>53</v>
      </c>
      <c r="M60" s="11"/>
    </row>
    <row r="61" spans="2:13" x14ac:dyDescent="0.25">
      <c r="B61" s="7"/>
      <c r="F61" s="32" t="s">
        <v>59</v>
      </c>
      <c r="G61" s="97">
        <v>33.980000000000004</v>
      </c>
      <c r="H61" s="97">
        <v>31.119999999999997</v>
      </c>
      <c r="I61" s="76"/>
      <c r="J61" s="84"/>
      <c r="M61" s="11"/>
    </row>
    <row r="62" spans="2:13" x14ac:dyDescent="0.25">
      <c r="B62" s="7"/>
      <c r="F62" s="33" t="s">
        <v>15</v>
      </c>
      <c r="G62" s="76">
        <v>23</v>
      </c>
      <c r="H62" s="76">
        <v>29.439999999999998</v>
      </c>
      <c r="I62" s="76"/>
      <c r="J62" s="21"/>
      <c r="M62" s="11"/>
    </row>
    <row r="63" spans="2:13" x14ac:dyDescent="0.25">
      <c r="B63" s="7"/>
      <c r="F63" s="22" t="s">
        <v>13</v>
      </c>
      <c r="G63" s="76">
        <v>18</v>
      </c>
      <c r="H63" s="76">
        <v>75.139999999999986</v>
      </c>
      <c r="I63" s="76">
        <v>5</v>
      </c>
      <c r="J63" s="21">
        <v>23.78</v>
      </c>
      <c r="M63" s="11"/>
    </row>
    <row r="64" spans="2:13" x14ac:dyDescent="0.25">
      <c r="B64" s="7"/>
      <c r="F64" s="22" t="s">
        <v>16</v>
      </c>
      <c r="G64" s="76">
        <v>23</v>
      </c>
      <c r="H64" s="76">
        <v>20.38</v>
      </c>
      <c r="I64" s="76"/>
      <c r="J64" s="21"/>
      <c r="M64" s="11"/>
    </row>
    <row r="65" spans="2:13" x14ac:dyDescent="0.25">
      <c r="B65" s="7"/>
      <c r="F65" s="33" t="s">
        <v>60</v>
      </c>
      <c r="G65" s="76">
        <v>20.14</v>
      </c>
      <c r="H65" s="76">
        <v>17.3</v>
      </c>
      <c r="I65" s="76"/>
      <c r="J65" s="21"/>
      <c r="M65" s="11"/>
    </row>
    <row r="66" spans="2:13" x14ac:dyDescent="0.25">
      <c r="B66" s="7"/>
      <c r="F66" s="33" t="s">
        <v>14</v>
      </c>
      <c r="G66" s="76">
        <v>46</v>
      </c>
      <c r="H66" s="76">
        <v>17.3</v>
      </c>
      <c r="I66" s="76"/>
      <c r="J66" s="21"/>
      <c r="M66" s="11"/>
    </row>
    <row r="67" spans="2:13" x14ac:dyDescent="0.25">
      <c r="B67" s="7"/>
      <c r="F67" s="22" t="s">
        <v>20</v>
      </c>
      <c r="G67" s="76">
        <v>92</v>
      </c>
      <c r="H67" s="76">
        <v>9.08</v>
      </c>
      <c r="I67" s="76"/>
      <c r="J67" s="21"/>
      <c r="M67" s="11"/>
    </row>
    <row r="68" spans="2:13" x14ac:dyDescent="0.25">
      <c r="B68" s="7"/>
      <c r="F68" s="33" t="s">
        <v>17</v>
      </c>
      <c r="G68" s="76">
        <v>23</v>
      </c>
      <c r="H68" s="76">
        <v>15.62</v>
      </c>
      <c r="I68" s="76"/>
      <c r="J68" s="21"/>
      <c r="M68" s="11"/>
    </row>
    <row r="69" spans="2:13" x14ac:dyDescent="0.25">
      <c r="B69" s="7"/>
      <c r="F69" s="33" t="s">
        <v>61</v>
      </c>
      <c r="G69" s="76">
        <v>23</v>
      </c>
      <c r="H69" s="76">
        <v>13.38</v>
      </c>
      <c r="I69" s="76"/>
      <c r="J69" s="21"/>
      <c r="M69" s="11"/>
    </row>
    <row r="70" spans="2:13" x14ac:dyDescent="0.25">
      <c r="B70" s="7"/>
      <c r="F70" s="33" t="s">
        <v>48</v>
      </c>
      <c r="G70" s="76">
        <v>25.14</v>
      </c>
      <c r="H70" s="76">
        <v>23.68</v>
      </c>
      <c r="I70" s="76"/>
      <c r="J70" s="21"/>
      <c r="M70" s="11"/>
    </row>
    <row r="71" spans="2:13" x14ac:dyDescent="0.25">
      <c r="B71" s="7"/>
      <c r="F71" s="22" t="s">
        <v>19</v>
      </c>
      <c r="G71" s="76">
        <v>23</v>
      </c>
      <c r="H71" s="76">
        <v>17.260000000000002</v>
      </c>
      <c r="I71" s="76"/>
      <c r="J71" s="21"/>
      <c r="M71" s="11"/>
    </row>
    <row r="72" spans="2:13" x14ac:dyDescent="0.25">
      <c r="B72" s="7"/>
      <c r="F72" s="22" t="s">
        <v>18</v>
      </c>
      <c r="G72" s="76">
        <v>23</v>
      </c>
      <c r="H72" s="76">
        <v>7.06</v>
      </c>
      <c r="I72" s="76"/>
      <c r="J72" s="21"/>
      <c r="M72" s="11"/>
    </row>
    <row r="73" spans="2:13" ht="15.75" thickBot="1" x14ac:dyDescent="0.3">
      <c r="B73" s="7"/>
      <c r="F73" s="33" t="s">
        <v>49</v>
      </c>
      <c r="G73" s="76">
        <v>4.72</v>
      </c>
      <c r="H73" s="76">
        <v>8.74</v>
      </c>
      <c r="I73" s="76"/>
      <c r="J73" s="21"/>
      <c r="M73" s="11"/>
    </row>
    <row r="74" spans="2:13" ht="15.75" thickBot="1" x14ac:dyDescent="0.3">
      <c r="B74" s="7"/>
      <c r="F74" s="39" t="s">
        <v>21</v>
      </c>
      <c r="G74" s="23"/>
      <c r="H74" s="23">
        <f>SUM(H61:H73)</f>
        <v>285.50000000000006</v>
      </c>
      <c r="I74" s="80">
        <f>SUM(I61:I73)</f>
        <v>5</v>
      </c>
      <c r="J74" s="23">
        <f>SUM(J61:J73)</f>
        <v>23.78</v>
      </c>
      <c r="M74" s="11"/>
    </row>
    <row r="75" spans="2:13" ht="15.75" thickBot="1" x14ac:dyDescent="0.3">
      <c r="B75" s="41"/>
      <c r="C75" s="42"/>
      <c r="D75" s="42"/>
      <c r="E75" s="42"/>
      <c r="F75" s="42"/>
      <c r="G75" s="43"/>
      <c r="H75" s="42"/>
      <c r="I75" s="43"/>
      <c r="J75" s="42"/>
      <c r="K75" s="42"/>
      <c r="L75" s="42"/>
      <c r="M75" s="44"/>
    </row>
    <row r="76" spans="2:13" ht="16.5" thickTop="1" thickBot="1" x14ac:dyDescent="0.3">
      <c r="B76" s="7"/>
      <c r="F76" s="24"/>
      <c r="G76" s="25"/>
      <c r="H76" s="24"/>
      <c r="I76" s="25"/>
      <c r="M76" s="11"/>
    </row>
    <row r="77" spans="2:13" ht="15.75" thickBot="1" x14ac:dyDescent="0.3">
      <c r="B77" s="7"/>
      <c r="F77" s="34" t="s">
        <v>22</v>
      </c>
      <c r="G77" s="35" t="s">
        <v>33</v>
      </c>
      <c r="H77" s="36" t="s">
        <v>31</v>
      </c>
      <c r="M77" s="11"/>
    </row>
    <row r="78" spans="2:13" x14ac:dyDescent="0.25">
      <c r="B78" s="7"/>
      <c r="F78" s="33" t="s">
        <v>23</v>
      </c>
      <c r="G78" s="38"/>
      <c r="H78" s="21"/>
      <c r="M78" s="11"/>
    </row>
    <row r="79" spans="2:13" x14ac:dyDescent="0.25">
      <c r="B79" s="7"/>
      <c r="F79" s="33" t="s">
        <v>24</v>
      </c>
      <c r="G79" s="37">
        <f>+D56</f>
        <v>20</v>
      </c>
      <c r="H79" s="21"/>
      <c r="M79" s="11"/>
    </row>
    <row r="80" spans="2:13" x14ac:dyDescent="0.25">
      <c r="B80" s="7"/>
      <c r="F80" s="22" t="s">
        <v>34</v>
      </c>
      <c r="G80" s="38"/>
      <c r="H80" s="21"/>
      <c r="M80" s="11"/>
    </row>
    <row r="81" spans="2:13" x14ac:dyDescent="0.25">
      <c r="B81" s="7"/>
      <c r="F81" s="22" t="s">
        <v>35</v>
      </c>
      <c r="G81" s="38"/>
      <c r="H81" s="21"/>
      <c r="M81" s="11"/>
    </row>
    <row r="82" spans="2:13" ht="15.75" thickBot="1" x14ac:dyDescent="0.3">
      <c r="B82" s="7"/>
      <c r="F82" s="22" t="s">
        <v>29</v>
      </c>
      <c r="G82" s="37"/>
      <c r="H82" s="21"/>
      <c r="M82" s="11"/>
    </row>
    <row r="83" spans="2:13" ht="15.75" thickBot="1" x14ac:dyDescent="0.3">
      <c r="B83" s="7"/>
      <c r="F83" s="39" t="s">
        <v>21</v>
      </c>
      <c r="G83" s="40"/>
      <c r="H83" s="23">
        <f>SUM(H78:H82)</f>
        <v>0</v>
      </c>
      <c r="M83" s="11"/>
    </row>
    <row r="84" spans="2:13" ht="15.75" thickBot="1" x14ac:dyDescent="0.3">
      <c r="B84" s="41"/>
      <c r="C84" s="42"/>
      <c r="D84" s="42"/>
      <c r="E84" s="42"/>
      <c r="F84" s="42"/>
      <c r="G84" s="43"/>
      <c r="H84" s="42"/>
      <c r="I84" s="43"/>
      <c r="J84" s="42"/>
      <c r="K84" s="42"/>
      <c r="L84" s="42"/>
      <c r="M84" s="44"/>
    </row>
    <row r="85" spans="2:13" ht="15.75" thickTop="1" x14ac:dyDescent="0.25">
      <c r="H85" s="49"/>
    </row>
  </sheetData>
  <mergeCells count="2">
    <mergeCell ref="J7:L7"/>
    <mergeCell ref="J8:L8"/>
  </mergeCells>
  <conditionalFormatting sqref="L11:L55">
    <cfRule type="cellIs" dxfId="96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P85"/>
  <sheetViews>
    <sheetView topLeftCell="G1" zoomScaleNormal="100" workbookViewId="0">
      <selection activeCell="G14" sqref="G14"/>
    </sheetView>
  </sheetViews>
  <sheetFormatPr baseColWidth="10" defaultColWidth="12.42578125" defaultRowHeight="15" x14ac:dyDescent="0.25"/>
  <cols>
    <col min="1" max="1" width="4" style="1" customWidth="1"/>
    <col min="2" max="2" width="3.7109375" style="1" customWidth="1"/>
    <col min="3" max="3" width="8.5703125" style="1" bestFit="1" customWidth="1"/>
    <col min="4" max="4" width="9" style="1" customWidth="1"/>
    <col min="5" max="5" width="5.7109375" style="1" bestFit="1" customWidth="1"/>
    <col min="6" max="6" width="29.85546875" style="1" bestFit="1" customWidth="1"/>
    <col min="7" max="7" width="17.42578125" style="2" customWidth="1"/>
    <col min="8" max="8" width="12.7109375" style="1" customWidth="1"/>
    <col min="9" max="9" width="12.7109375" style="2" customWidth="1"/>
    <col min="10" max="11" width="12.7109375" style="1" customWidth="1"/>
    <col min="12" max="12" width="12.42578125" style="1"/>
    <col min="13" max="13" width="3.7109375" style="1" customWidth="1"/>
    <col min="14" max="14" width="12.42578125" style="1"/>
    <col min="15" max="15" width="2" style="1" bestFit="1" customWidth="1"/>
    <col min="16" max="16" width="17.140625" style="1" bestFit="1" customWidth="1"/>
    <col min="17" max="16384" width="12.42578125" style="1"/>
  </cols>
  <sheetData>
    <row r="1" spans="2:16" ht="15.75" thickBot="1" x14ac:dyDescent="0.3"/>
    <row r="2" spans="2:16" ht="16.5" thickTop="1" thickBot="1" x14ac:dyDescent="0.3">
      <c r="B2" s="3"/>
      <c r="C2" s="4"/>
      <c r="D2" s="4"/>
      <c r="E2" s="4"/>
      <c r="F2" s="4"/>
      <c r="G2" s="5"/>
      <c r="H2" s="4"/>
      <c r="I2" s="5"/>
      <c r="J2" s="4"/>
      <c r="K2" s="4"/>
      <c r="L2" s="4"/>
      <c r="M2" s="6"/>
    </row>
    <row r="3" spans="2:16" ht="21.75" thickBot="1" x14ac:dyDescent="0.3">
      <c r="B3" s="7"/>
      <c r="F3" s="8" t="s">
        <v>0</v>
      </c>
      <c r="G3" s="9">
        <f>+H56</f>
        <v>825</v>
      </c>
      <c r="H3" s="10"/>
      <c r="I3" s="46" t="s">
        <v>28</v>
      </c>
      <c r="M3" s="11"/>
    </row>
    <row r="4" spans="2:16" ht="21.75" thickBot="1" x14ac:dyDescent="0.3">
      <c r="B4" s="7"/>
      <c r="F4" s="8" t="s">
        <v>1</v>
      </c>
      <c r="G4" s="9">
        <f>+K56</f>
        <v>467.9</v>
      </c>
      <c r="H4" s="10"/>
      <c r="I4" s="47">
        <f>+L56</f>
        <v>0.56715151515151507</v>
      </c>
      <c r="M4" s="11"/>
    </row>
    <row r="5" spans="2:16" ht="21.75" thickBot="1" x14ac:dyDescent="0.3">
      <c r="B5" s="7"/>
      <c r="F5" s="8" t="s">
        <v>2</v>
      </c>
      <c r="G5" s="12">
        <v>46029</v>
      </c>
      <c r="H5" s="10"/>
      <c r="I5" s="58" t="s">
        <v>36</v>
      </c>
      <c r="M5" s="11"/>
    </row>
    <row r="6" spans="2:16" ht="21.75" thickBot="1" x14ac:dyDescent="0.3">
      <c r="B6" s="7"/>
      <c r="F6" s="8" t="s">
        <v>3</v>
      </c>
      <c r="G6" s="65">
        <v>12</v>
      </c>
      <c r="H6" s="10"/>
      <c r="I6" s="63">
        <f>+K56/G7</f>
        <v>155.96666666666667</v>
      </c>
      <c r="M6" s="11"/>
    </row>
    <row r="7" spans="2:16" ht="21.75" thickBot="1" x14ac:dyDescent="0.3">
      <c r="B7" s="7"/>
      <c r="F7" s="8" t="s">
        <v>4</v>
      </c>
      <c r="G7" s="48">
        <f>+D56</f>
        <v>3</v>
      </c>
      <c r="H7" s="10"/>
      <c r="I7" s="103" t="s">
        <v>38</v>
      </c>
      <c r="J7" s="338" t="s">
        <v>338</v>
      </c>
      <c r="K7" s="338"/>
      <c r="L7" s="339"/>
      <c r="M7" s="11"/>
    </row>
    <row r="8" spans="2:16" ht="21.75" thickBot="1" x14ac:dyDescent="0.3">
      <c r="B8" s="7"/>
      <c r="F8" s="101"/>
      <c r="G8" s="102"/>
      <c r="H8" s="10"/>
      <c r="I8" s="103" t="s">
        <v>88</v>
      </c>
      <c r="J8" s="338">
        <v>309553829</v>
      </c>
      <c r="K8" s="338"/>
      <c r="L8" s="339"/>
      <c r="M8" s="11"/>
    </row>
    <row r="9" spans="2:16" ht="15.75" thickBot="1" x14ac:dyDescent="0.3">
      <c r="B9" s="7"/>
      <c r="M9" s="11"/>
    </row>
    <row r="10" spans="2:16" s="18" customFormat="1" ht="45.75" thickBot="1" x14ac:dyDescent="0.3">
      <c r="B10" s="13"/>
      <c r="C10" s="27" t="s">
        <v>9</v>
      </c>
      <c r="D10" s="26" t="s">
        <v>5</v>
      </c>
      <c r="E10" s="99" t="s">
        <v>63</v>
      </c>
      <c r="F10" s="14" t="s">
        <v>6</v>
      </c>
      <c r="G10" s="16" t="s">
        <v>7</v>
      </c>
      <c r="H10" s="45" t="s">
        <v>26</v>
      </c>
      <c r="I10" s="15" t="s">
        <v>10</v>
      </c>
      <c r="J10" s="27" t="s">
        <v>11</v>
      </c>
      <c r="K10" s="45" t="s">
        <v>25</v>
      </c>
      <c r="L10" s="50" t="s">
        <v>27</v>
      </c>
      <c r="M10" s="17"/>
    </row>
    <row r="11" spans="2:16" x14ac:dyDescent="0.25">
      <c r="B11" s="7"/>
      <c r="C11" s="28">
        <v>21</v>
      </c>
      <c r="D11" s="28">
        <v>3</v>
      </c>
      <c r="E11" s="19" t="s">
        <v>67</v>
      </c>
      <c r="F11" s="59" t="s">
        <v>62</v>
      </c>
      <c r="G11" s="60" t="s">
        <v>336</v>
      </c>
      <c r="H11" s="94">
        <v>246</v>
      </c>
      <c r="I11" s="66">
        <v>67.599999999999994</v>
      </c>
      <c r="J11" s="67">
        <v>67.5</v>
      </c>
      <c r="K11" s="53">
        <f t="shared" ref="K11:K55" si="0">+I11+J11</f>
        <v>135.1</v>
      </c>
      <c r="L11" s="73">
        <f t="shared" ref="L11:L56" si="1">+K11/H11</f>
        <v>0.54918699186991871</v>
      </c>
      <c r="M11" s="11"/>
      <c r="N11" s="64" t="s">
        <v>42</v>
      </c>
      <c r="O11" s="1">
        <f>+COUNTIF($F$11:$F$55,"NOVILLITO (NT)")</f>
        <v>0</v>
      </c>
      <c r="P11" s="59" t="s">
        <v>8</v>
      </c>
    </row>
    <row r="12" spans="2:16" x14ac:dyDescent="0.25">
      <c r="B12" s="7"/>
      <c r="C12" s="29">
        <v>22</v>
      </c>
      <c r="D12" s="29">
        <v>1</v>
      </c>
      <c r="E12" s="19" t="s">
        <v>68</v>
      </c>
      <c r="F12" s="59" t="s">
        <v>62</v>
      </c>
      <c r="G12" s="62" t="s">
        <v>274</v>
      </c>
      <c r="H12" s="95">
        <v>268</v>
      </c>
      <c r="I12" s="19">
        <v>74</v>
      </c>
      <c r="J12" s="67">
        <v>75.099999999999994</v>
      </c>
      <c r="K12" s="55">
        <f t="shared" si="0"/>
        <v>149.1</v>
      </c>
      <c r="L12" s="73">
        <f t="shared" si="1"/>
        <v>0.55634328358208951</v>
      </c>
      <c r="M12" s="11"/>
      <c r="N12" s="64" t="s">
        <v>40</v>
      </c>
      <c r="O12" s="1">
        <f>+COUNTIF($F$11:$F$56,"VAQUILLONA (Vq)")</f>
        <v>0</v>
      </c>
      <c r="P12" s="59" t="s">
        <v>37</v>
      </c>
    </row>
    <row r="13" spans="2:16" x14ac:dyDescent="0.25">
      <c r="B13" s="7"/>
      <c r="C13" s="29">
        <v>23</v>
      </c>
      <c r="D13" s="29">
        <v>2</v>
      </c>
      <c r="E13" s="19" t="s">
        <v>67</v>
      </c>
      <c r="F13" s="59" t="s">
        <v>62</v>
      </c>
      <c r="G13" s="62" t="s">
        <v>337</v>
      </c>
      <c r="H13" s="95">
        <v>311</v>
      </c>
      <c r="I13" s="19">
        <v>91.7</v>
      </c>
      <c r="J13" s="67">
        <v>92</v>
      </c>
      <c r="K13" s="55">
        <f t="shared" si="0"/>
        <v>183.7</v>
      </c>
      <c r="L13" s="73">
        <f t="shared" si="1"/>
        <v>0.59067524115755621</v>
      </c>
      <c r="M13" s="11"/>
      <c r="N13" s="64" t="s">
        <v>44</v>
      </c>
      <c r="O13" s="1">
        <f>+COUNTIF($F$11:$F$56,"TORITO (MEJ)")</f>
        <v>0</v>
      </c>
      <c r="P13" s="59" t="s">
        <v>43</v>
      </c>
    </row>
    <row r="14" spans="2:16" x14ac:dyDescent="0.25">
      <c r="B14" s="7"/>
      <c r="C14" s="29"/>
      <c r="D14" s="29"/>
      <c r="E14" s="19"/>
      <c r="F14" s="59"/>
      <c r="G14" s="62"/>
      <c r="H14" s="95"/>
      <c r="I14" s="19"/>
      <c r="J14" s="67"/>
      <c r="K14" s="55">
        <f t="shared" si="0"/>
        <v>0</v>
      </c>
      <c r="L14" s="73" t="e">
        <f t="shared" si="1"/>
        <v>#DIV/0!</v>
      </c>
      <c r="M14" s="11"/>
      <c r="N14" s="78" t="s">
        <v>45</v>
      </c>
      <c r="O14" s="1">
        <f>+COUNTIF($F$11:$F$56,"NOVILLO (No)")</f>
        <v>0</v>
      </c>
      <c r="P14" s="19" t="s">
        <v>39</v>
      </c>
    </row>
    <row r="15" spans="2:16" x14ac:dyDescent="0.25">
      <c r="B15" s="7"/>
      <c r="C15" s="29"/>
      <c r="D15" s="29"/>
      <c r="E15" s="19"/>
      <c r="F15" s="59"/>
      <c r="G15" s="62"/>
      <c r="H15" s="95"/>
      <c r="I15" s="19"/>
      <c r="J15" s="67"/>
      <c r="K15" s="55">
        <f t="shared" si="0"/>
        <v>0</v>
      </c>
      <c r="L15" s="73" t="e">
        <f t="shared" si="1"/>
        <v>#DIV/0!</v>
      </c>
      <c r="M15" s="11"/>
      <c r="N15" s="78" t="s">
        <v>46</v>
      </c>
      <c r="O15" s="1">
        <f>+COUNTIF($F$11:$F$56,"VACA (Va)")</f>
        <v>0</v>
      </c>
      <c r="P15" s="83" t="s">
        <v>50</v>
      </c>
    </row>
    <row r="16" spans="2:16" x14ac:dyDescent="0.25">
      <c r="B16" s="7"/>
      <c r="C16" s="29"/>
      <c r="D16" s="29"/>
      <c r="E16" s="19"/>
      <c r="F16" s="59"/>
      <c r="G16" s="62"/>
      <c r="H16" s="95"/>
      <c r="I16" s="19"/>
      <c r="J16" s="67"/>
      <c r="K16" s="55">
        <f t="shared" si="0"/>
        <v>0</v>
      </c>
      <c r="L16" s="73" t="e">
        <f t="shared" si="1"/>
        <v>#DIV/0!</v>
      </c>
      <c r="M16" s="11"/>
      <c r="N16" s="64" t="s">
        <v>47</v>
      </c>
      <c r="O16" s="1">
        <f>+COUNTIF($F$11:$F$56,"TORO (To)")</f>
        <v>0</v>
      </c>
      <c r="P16" s="83" t="s">
        <v>51</v>
      </c>
    </row>
    <row r="17" spans="2:16" x14ac:dyDescent="0.25">
      <c r="B17" s="7"/>
      <c r="C17" s="29"/>
      <c r="D17" s="29"/>
      <c r="E17" s="19"/>
      <c r="F17" s="59"/>
      <c r="G17" s="62"/>
      <c r="H17" s="95"/>
      <c r="I17" s="19"/>
      <c r="J17" s="67"/>
      <c r="K17" s="55">
        <f t="shared" si="0"/>
        <v>0</v>
      </c>
      <c r="L17" s="73" t="e">
        <f t="shared" si="1"/>
        <v>#DIV/0!</v>
      </c>
      <c r="M17" s="11"/>
      <c r="N17" s="77"/>
      <c r="O17" s="1">
        <f>SUM(O11:O16)</f>
        <v>0</v>
      </c>
    </row>
    <row r="18" spans="2:16" x14ac:dyDescent="0.25">
      <c r="B18" s="7"/>
      <c r="C18" s="29"/>
      <c r="D18" s="29"/>
      <c r="E18" s="19"/>
      <c r="F18" s="59"/>
      <c r="G18" s="62"/>
      <c r="H18" s="95"/>
      <c r="I18" s="19"/>
      <c r="J18" s="67"/>
      <c r="K18" s="55">
        <f t="shared" si="0"/>
        <v>0</v>
      </c>
      <c r="L18" s="73" t="e">
        <f t="shared" si="1"/>
        <v>#DIV/0!</v>
      </c>
      <c r="M18" s="11"/>
    </row>
    <row r="19" spans="2:16" x14ac:dyDescent="0.25">
      <c r="B19" s="7"/>
      <c r="C19" s="61"/>
      <c r="D19" s="61"/>
      <c r="E19" s="59"/>
      <c r="F19" s="59"/>
      <c r="G19" s="62"/>
      <c r="H19" s="95"/>
      <c r="I19" s="19"/>
      <c r="J19" s="67"/>
      <c r="K19" s="55">
        <f t="shared" si="0"/>
        <v>0</v>
      </c>
      <c r="L19" s="73" t="e">
        <f t="shared" si="1"/>
        <v>#DIV/0!</v>
      </c>
      <c r="M19" s="11"/>
      <c r="P19" s="100" t="s">
        <v>63</v>
      </c>
    </row>
    <row r="20" spans="2:16" x14ac:dyDescent="0.25">
      <c r="B20" s="7"/>
      <c r="C20" s="61"/>
      <c r="D20" s="61"/>
      <c r="E20" s="59"/>
      <c r="F20" s="59"/>
      <c r="G20" s="62"/>
      <c r="H20" s="95"/>
      <c r="I20" s="19"/>
      <c r="J20" s="67"/>
      <c r="K20" s="55">
        <f t="shared" si="0"/>
        <v>0</v>
      </c>
      <c r="L20" s="73" t="e">
        <f t="shared" si="1"/>
        <v>#DIV/0!</v>
      </c>
      <c r="M20" s="11"/>
      <c r="N20" s="64" t="s">
        <v>67</v>
      </c>
      <c r="P20" s="1" t="s">
        <v>64</v>
      </c>
    </row>
    <row r="21" spans="2:16" x14ac:dyDescent="0.25">
      <c r="B21" s="7"/>
      <c r="C21" s="19"/>
      <c r="D21" s="29"/>
      <c r="E21" s="19"/>
      <c r="F21" s="59"/>
      <c r="G21" s="62"/>
      <c r="H21" s="95"/>
      <c r="I21" s="19"/>
      <c r="J21" s="67"/>
      <c r="K21" s="55">
        <f t="shared" si="0"/>
        <v>0</v>
      </c>
      <c r="L21" s="73" t="e">
        <f t="shared" si="1"/>
        <v>#DIV/0!</v>
      </c>
      <c r="M21" s="11"/>
      <c r="N21" s="64" t="s">
        <v>68</v>
      </c>
      <c r="P21" t="s">
        <v>65</v>
      </c>
    </row>
    <row r="22" spans="2:16" x14ac:dyDescent="0.25">
      <c r="B22" s="7"/>
      <c r="C22" s="19"/>
      <c r="D22" s="29"/>
      <c r="E22" s="19"/>
      <c r="F22" s="59"/>
      <c r="G22" s="62"/>
      <c r="H22" s="95"/>
      <c r="I22" s="19"/>
      <c r="J22" s="67"/>
      <c r="K22" s="55">
        <f t="shared" si="0"/>
        <v>0</v>
      </c>
      <c r="L22" s="73" t="e">
        <f t="shared" si="1"/>
        <v>#DIV/0!</v>
      </c>
      <c r="M22" s="11"/>
      <c r="N22" s="64" t="s">
        <v>75</v>
      </c>
      <c r="P22" t="s">
        <v>74</v>
      </c>
    </row>
    <row r="23" spans="2:16" x14ac:dyDescent="0.25">
      <c r="B23" s="7"/>
      <c r="C23" s="59"/>
      <c r="D23" s="61"/>
      <c r="E23" s="59"/>
      <c r="F23" s="59"/>
      <c r="G23" s="62"/>
      <c r="H23" s="95"/>
      <c r="I23" s="19"/>
      <c r="J23" s="67"/>
      <c r="K23" s="55">
        <f t="shared" si="0"/>
        <v>0</v>
      </c>
      <c r="L23" s="73" t="e">
        <f t="shared" si="1"/>
        <v>#DIV/0!</v>
      </c>
      <c r="M23" s="11"/>
      <c r="N23" s="64" t="s">
        <v>69</v>
      </c>
      <c r="P23" t="s">
        <v>66</v>
      </c>
    </row>
    <row r="24" spans="2:16" x14ac:dyDescent="0.25">
      <c r="B24" s="7"/>
      <c r="C24" s="19"/>
      <c r="D24" s="29"/>
      <c r="E24" s="19"/>
      <c r="F24" s="59"/>
      <c r="G24" s="62"/>
      <c r="H24" s="95"/>
      <c r="I24" s="19"/>
      <c r="J24" s="68"/>
      <c r="K24" s="55">
        <f t="shared" si="0"/>
        <v>0</v>
      </c>
      <c r="L24" s="104" t="e">
        <f t="shared" si="1"/>
        <v>#DIV/0!</v>
      </c>
      <c r="M24" s="11"/>
      <c r="N24" s="64" t="s">
        <v>70</v>
      </c>
      <c r="P24" t="s">
        <v>71</v>
      </c>
    </row>
    <row r="25" spans="2:16" x14ac:dyDescent="0.25">
      <c r="B25" s="7"/>
      <c r="C25" s="19"/>
      <c r="D25" s="29"/>
      <c r="E25" s="19"/>
      <c r="F25" s="59"/>
      <c r="G25" s="62"/>
      <c r="H25" s="95"/>
      <c r="I25" s="19"/>
      <c r="J25" s="67"/>
      <c r="K25" s="55">
        <f t="shared" si="0"/>
        <v>0</v>
      </c>
      <c r="L25" s="73" t="e">
        <f t="shared" si="1"/>
        <v>#DIV/0!</v>
      </c>
      <c r="M25" s="11"/>
      <c r="N25" s="64" t="s">
        <v>73</v>
      </c>
      <c r="P25" t="s">
        <v>72</v>
      </c>
    </row>
    <row r="26" spans="2:16" x14ac:dyDescent="0.25">
      <c r="B26" s="7"/>
      <c r="C26" s="19"/>
      <c r="D26" s="29"/>
      <c r="E26" s="19"/>
      <c r="F26" s="59"/>
      <c r="G26" s="62"/>
      <c r="H26" s="95"/>
      <c r="I26" s="19"/>
      <c r="J26" s="67"/>
      <c r="K26" s="55">
        <f t="shared" si="0"/>
        <v>0</v>
      </c>
      <c r="L26" s="73" t="e">
        <f t="shared" si="1"/>
        <v>#DIV/0!</v>
      </c>
      <c r="M26" s="11"/>
      <c r="N26" s="64" t="s">
        <v>78</v>
      </c>
      <c r="P26" t="s">
        <v>76</v>
      </c>
    </row>
    <row r="27" spans="2:16" x14ac:dyDescent="0.25">
      <c r="B27" s="7"/>
      <c r="C27" s="19"/>
      <c r="D27" s="29"/>
      <c r="E27" s="19"/>
      <c r="F27" s="59"/>
      <c r="G27" s="62"/>
      <c r="H27" s="95"/>
      <c r="I27" s="19"/>
      <c r="J27" s="67"/>
      <c r="K27" s="55">
        <f t="shared" si="0"/>
        <v>0</v>
      </c>
      <c r="L27" s="73" t="e">
        <f t="shared" si="1"/>
        <v>#DIV/0!</v>
      </c>
      <c r="M27" s="11"/>
    </row>
    <row r="28" spans="2:16" x14ac:dyDescent="0.25">
      <c r="B28" s="7"/>
      <c r="C28" s="19"/>
      <c r="D28" s="29"/>
      <c r="E28" s="19"/>
      <c r="F28" s="19"/>
      <c r="G28" s="20"/>
      <c r="H28" s="71"/>
      <c r="I28" s="54"/>
      <c r="J28" s="52"/>
      <c r="K28" s="55">
        <f t="shared" si="0"/>
        <v>0</v>
      </c>
      <c r="L28" s="73" t="e">
        <f t="shared" si="1"/>
        <v>#DIV/0!</v>
      </c>
      <c r="M28" s="11"/>
    </row>
    <row r="29" spans="2:16" x14ac:dyDescent="0.25">
      <c r="B29" s="7"/>
      <c r="C29" s="19"/>
      <c r="D29" s="29"/>
      <c r="E29" s="19"/>
      <c r="F29" s="59"/>
      <c r="G29" s="62"/>
      <c r="H29" s="95"/>
      <c r="I29" s="19"/>
      <c r="J29" s="67"/>
      <c r="K29" s="55">
        <f t="shared" si="0"/>
        <v>0</v>
      </c>
      <c r="L29" s="73" t="e">
        <f t="shared" si="1"/>
        <v>#DIV/0!</v>
      </c>
      <c r="M29" s="11"/>
    </row>
    <row r="30" spans="2:16" x14ac:dyDescent="0.25">
      <c r="B30" s="7"/>
      <c r="C30" s="19"/>
      <c r="D30" s="29"/>
      <c r="E30" s="19"/>
      <c r="F30" s="59"/>
      <c r="G30" s="62"/>
      <c r="H30" s="95"/>
      <c r="I30" s="19"/>
      <c r="J30" s="67"/>
      <c r="K30" s="55">
        <f t="shared" si="0"/>
        <v>0</v>
      </c>
      <c r="L30" s="73" t="e">
        <f t="shared" si="1"/>
        <v>#DIV/0!</v>
      </c>
      <c r="M30" s="11"/>
    </row>
    <row r="31" spans="2:16" x14ac:dyDescent="0.25">
      <c r="B31" s="7"/>
      <c r="C31" s="19"/>
      <c r="D31" s="29"/>
      <c r="E31" s="19"/>
      <c r="F31" s="59"/>
      <c r="G31" s="62"/>
      <c r="H31" s="95"/>
      <c r="I31" s="19"/>
      <c r="J31" s="67"/>
      <c r="K31" s="55">
        <f t="shared" si="0"/>
        <v>0</v>
      </c>
      <c r="L31" s="73" t="e">
        <f t="shared" si="1"/>
        <v>#DIV/0!</v>
      </c>
      <c r="M31" s="11"/>
    </row>
    <row r="32" spans="2:16" x14ac:dyDescent="0.25">
      <c r="B32" s="7"/>
      <c r="C32" s="59"/>
      <c r="D32" s="61"/>
      <c r="E32" s="59"/>
      <c r="F32" s="59"/>
      <c r="G32" s="62"/>
      <c r="H32" s="95"/>
      <c r="I32" s="19"/>
      <c r="J32" s="67"/>
      <c r="K32" s="55">
        <f t="shared" si="0"/>
        <v>0</v>
      </c>
      <c r="L32" s="73" t="e">
        <f t="shared" si="1"/>
        <v>#DIV/0!</v>
      </c>
      <c r="M32" s="11"/>
    </row>
    <row r="33" spans="2:13" x14ac:dyDescent="0.25">
      <c r="B33" s="7"/>
      <c r="C33" s="19"/>
      <c r="D33" s="29"/>
      <c r="E33" s="19"/>
      <c r="F33" s="59"/>
      <c r="G33" s="62"/>
      <c r="H33" s="95"/>
      <c r="I33" s="19"/>
      <c r="J33" s="67"/>
      <c r="K33" s="55">
        <f t="shared" si="0"/>
        <v>0</v>
      </c>
      <c r="L33" s="73" t="e">
        <f t="shared" si="1"/>
        <v>#DIV/0!</v>
      </c>
      <c r="M33" s="11"/>
    </row>
    <row r="34" spans="2:13" x14ac:dyDescent="0.25">
      <c r="B34" s="7"/>
      <c r="C34" s="59"/>
      <c r="D34" s="61"/>
      <c r="E34" s="59"/>
      <c r="F34" s="59"/>
      <c r="G34" s="62"/>
      <c r="H34" s="95"/>
      <c r="I34" s="19"/>
      <c r="J34" s="67"/>
      <c r="K34" s="55">
        <f t="shared" si="0"/>
        <v>0</v>
      </c>
      <c r="L34" s="73" t="e">
        <f t="shared" si="1"/>
        <v>#DIV/0!</v>
      </c>
      <c r="M34" s="11"/>
    </row>
    <row r="35" spans="2:13" x14ac:dyDescent="0.25">
      <c r="B35" s="7"/>
      <c r="C35" s="59"/>
      <c r="D35" s="61"/>
      <c r="E35" s="59"/>
      <c r="F35" s="59"/>
      <c r="G35" s="62"/>
      <c r="H35" s="95"/>
      <c r="I35" s="19"/>
      <c r="J35" s="67"/>
      <c r="K35" s="55">
        <f t="shared" si="0"/>
        <v>0</v>
      </c>
      <c r="L35" s="73" t="e">
        <f t="shared" si="1"/>
        <v>#DIV/0!</v>
      </c>
      <c r="M35" s="11"/>
    </row>
    <row r="36" spans="2:13" x14ac:dyDescent="0.25">
      <c r="B36" s="7"/>
      <c r="C36" s="59"/>
      <c r="D36" s="61"/>
      <c r="E36" s="59"/>
      <c r="F36" s="59"/>
      <c r="G36" s="62"/>
      <c r="H36" s="95"/>
      <c r="I36" s="19"/>
      <c r="J36" s="67"/>
      <c r="K36" s="55">
        <f t="shared" si="0"/>
        <v>0</v>
      </c>
      <c r="L36" s="73" t="e">
        <f t="shared" si="1"/>
        <v>#DIV/0!</v>
      </c>
      <c r="M36" s="11"/>
    </row>
    <row r="37" spans="2:13" x14ac:dyDescent="0.25">
      <c r="B37" s="7"/>
      <c r="C37" s="59"/>
      <c r="D37" s="61"/>
      <c r="E37" s="59"/>
      <c r="F37" s="59"/>
      <c r="G37" s="62"/>
      <c r="H37" s="95"/>
      <c r="I37" s="19"/>
      <c r="J37" s="67"/>
      <c r="K37" s="55">
        <f t="shared" si="0"/>
        <v>0</v>
      </c>
      <c r="L37" s="73" t="e">
        <f t="shared" si="1"/>
        <v>#DIV/0!</v>
      </c>
      <c r="M37" s="11"/>
    </row>
    <row r="38" spans="2:13" x14ac:dyDescent="0.25">
      <c r="B38" s="7"/>
      <c r="C38" s="59"/>
      <c r="D38" s="61"/>
      <c r="E38" s="59"/>
      <c r="F38" s="59"/>
      <c r="G38" s="62"/>
      <c r="H38" s="95"/>
      <c r="I38" s="19"/>
      <c r="J38" s="67"/>
      <c r="K38" s="55">
        <f t="shared" si="0"/>
        <v>0</v>
      </c>
      <c r="L38" s="73" t="e">
        <f t="shared" si="1"/>
        <v>#DIV/0!</v>
      </c>
      <c r="M38" s="11"/>
    </row>
    <row r="39" spans="2:13" x14ac:dyDescent="0.25">
      <c r="B39" s="7"/>
      <c r="C39" s="59"/>
      <c r="D39" s="61"/>
      <c r="E39" s="59"/>
      <c r="F39" s="59"/>
      <c r="G39" s="62"/>
      <c r="H39" s="95"/>
      <c r="I39" s="19"/>
      <c r="J39" s="67"/>
      <c r="K39" s="55">
        <f t="shared" si="0"/>
        <v>0</v>
      </c>
      <c r="L39" s="73" t="e">
        <f t="shared" si="1"/>
        <v>#DIV/0!</v>
      </c>
      <c r="M39" s="11"/>
    </row>
    <row r="40" spans="2:13" x14ac:dyDescent="0.25">
      <c r="B40" s="7"/>
      <c r="C40" s="19"/>
      <c r="D40" s="29"/>
      <c r="E40" s="19"/>
      <c r="F40" s="59"/>
      <c r="G40" s="62"/>
      <c r="H40" s="95"/>
      <c r="I40" s="19"/>
      <c r="J40" s="67"/>
      <c r="K40" s="55">
        <f t="shared" si="0"/>
        <v>0</v>
      </c>
      <c r="L40" s="73" t="e">
        <f t="shared" si="1"/>
        <v>#DIV/0!</v>
      </c>
      <c r="M40" s="11"/>
    </row>
    <row r="41" spans="2:13" x14ac:dyDescent="0.25">
      <c r="B41" s="7"/>
      <c r="C41" s="19"/>
      <c r="D41" s="29"/>
      <c r="E41" s="19"/>
      <c r="F41" s="59"/>
      <c r="G41" s="20"/>
      <c r="H41" s="71"/>
      <c r="I41" s="19"/>
      <c r="J41" s="67"/>
      <c r="K41" s="55">
        <f t="shared" si="0"/>
        <v>0</v>
      </c>
      <c r="L41" s="73" t="e">
        <f t="shared" si="1"/>
        <v>#DIV/0!</v>
      </c>
      <c r="M41" s="11"/>
    </row>
    <row r="42" spans="2:13" x14ac:dyDescent="0.25">
      <c r="B42" s="7"/>
      <c r="C42" s="19"/>
      <c r="D42" s="61"/>
      <c r="E42" s="59"/>
      <c r="F42" s="59"/>
      <c r="G42" s="20"/>
      <c r="H42" s="71"/>
      <c r="I42" s="19"/>
      <c r="J42" s="67"/>
      <c r="K42" s="55">
        <f t="shared" si="0"/>
        <v>0</v>
      </c>
      <c r="L42" s="73" t="e">
        <f t="shared" si="1"/>
        <v>#DIV/0!</v>
      </c>
      <c r="M42" s="11"/>
    </row>
    <row r="43" spans="2:13" x14ac:dyDescent="0.25">
      <c r="B43" s="7"/>
      <c r="C43" s="19"/>
      <c r="D43" s="61"/>
      <c r="E43" s="59"/>
      <c r="F43" s="59"/>
      <c r="G43" s="20"/>
      <c r="H43" s="71"/>
      <c r="I43" s="19"/>
      <c r="J43" s="67"/>
      <c r="K43" s="55">
        <f t="shared" si="0"/>
        <v>0</v>
      </c>
      <c r="L43" s="73" t="e">
        <f t="shared" si="1"/>
        <v>#DIV/0!</v>
      </c>
      <c r="M43" s="11"/>
    </row>
    <row r="44" spans="2:13" x14ac:dyDescent="0.25">
      <c r="B44" s="7"/>
      <c r="C44" s="19"/>
      <c r="D44" s="61"/>
      <c r="E44" s="59"/>
      <c r="F44" s="59"/>
      <c r="G44" s="20"/>
      <c r="H44" s="71"/>
      <c r="I44" s="19"/>
      <c r="J44" s="67"/>
      <c r="K44" s="55">
        <f t="shared" si="0"/>
        <v>0</v>
      </c>
      <c r="L44" s="73" t="e">
        <f t="shared" si="1"/>
        <v>#DIV/0!</v>
      </c>
      <c r="M44" s="11"/>
    </row>
    <row r="45" spans="2:13" x14ac:dyDescent="0.25">
      <c r="B45" s="7"/>
      <c r="C45" s="19"/>
      <c r="D45" s="61"/>
      <c r="E45" s="59"/>
      <c r="F45" s="59"/>
      <c r="G45" s="20"/>
      <c r="H45" s="71"/>
      <c r="I45" s="19"/>
      <c r="J45" s="67"/>
      <c r="K45" s="55">
        <f t="shared" si="0"/>
        <v>0</v>
      </c>
      <c r="L45" s="73" t="e">
        <f t="shared" si="1"/>
        <v>#DIV/0!</v>
      </c>
      <c r="M45" s="11"/>
    </row>
    <row r="46" spans="2:13" x14ac:dyDescent="0.25">
      <c r="B46" s="7"/>
      <c r="C46" s="19"/>
      <c r="D46" s="61"/>
      <c r="E46" s="59"/>
      <c r="F46" s="59"/>
      <c r="G46" s="20"/>
      <c r="H46" s="71"/>
      <c r="I46" s="19"/>
      <c r="J46" s="67"/>
      <c r="K46" s="55">
        <f t="shared" si="0"/>
        <v>0</v>
      </c>
      <c r="L46" s="73" t="e">
        <f t="shared" si="1"/>
        <v>#DIV/0!</v>
      </c>
      <c r="M46" s="11"/>
    </row>
    <row r="47" spans="2:13" x14ac:dyDescent="0.25">
      <c r="B47" s="7"/>
      <c r="C47" s="19"/>
      <c r="D47" s="29"/>
      <c r="E47" s="19"/>
      <c r="F47" s="59"/>
      <c r="G47" s="20"/>
      <c r="H47" s="71"/>
      <c r="I47" s="19"/>
      <c r="J47" s="67"/>
      <c r="K47" s="55">
        <f t="shared" si="0"/>
        <v>0</v>
      </c>
      <c r="L47" s="73" t="e">
        <f t="shared" si="1"/>
        <v>#DIV/0!</v>
      </c>
      <c r="M47" s="11"/>
    </row>
    <row r="48" spans="2:13" x14ac:dyDescent="0.25">
      <c r="B48" s="7"/>
      <c r="C48" s="19"/>
      <c r="D48" s="29"/>
      <c r="E48" s="19"/>
      <c r="F48" s="59"/>
      <c r="G48" s="20"/>
      <c r="H48" s="71"/>
      <c r="I48" s="19"/>
      <c r="J48" s="67"/>
      <c r="K48" s="55">
        <f t="shared" si="0"/>
        <v>0</v>
      </c>
      <c r="L48" s="73" t="e">
        <f t="shared" si="1"/>
        <v>#DIV/0!</v>
      </c>
      <c r="M48" s="11"/>
    </row>
    <row r="49" spans="2:13" x14ac:dyDescent="0.25">
      <c r="B49" s="7"/>
      <c r="C49" s="19"/>
      <c r="D49" s="85"/>
      <c r="E49" s="89"/>
      <c r="F49" s="86"/>
      <c r="G49" s="20"/>
      <c r="H49" s="71"/>
      <c r="I49" s="19"/>
      <c r="J49" s="67"/>
      <c r="K49" s="55">
        <f t="shared" si="0"/>
        <v>0</v>
      </c>
      <c r="L49" s="73" t="e">
        <f t="shared" si="1"/>
        <v>#DIV/0!</v>
      </c>
      <c r="M49" s="11"/>
    </row>
    <row r="50" spans="2:13" x14ac:dyDescent="0.25">
      <c r="B50" s="7"/>
      <c r="C50" s="19"/>
      <c r="D50" s="85"/>
      <c r="E50" s="89"/>
      <c r="F50" s="86"/>
      <c r="G50" s="20"/>
      <c r="H50" s="71"/>
      <c r="I50" s="19"/>
      <c r="J50" s="67"/>
      <c r="K50" s="55">
        <f t="shared" si="0"/>
        <v>0</v>
      </c>
      <c r="L50" s="73" t="e">
        <f t="shared" si="1"/>
        <v>#DIV/0!</v>
      </c>
      <c r="M50" s="11"/>
    </row>
    <row r="51" spans="2:13" x14ac:dyDescent="0.25">
      <c r="B51" s="7"/>
      <c r="C51" s="29"/>
      <c r="D51" s="85"/>
      <c r="E51" s="85"/>
      <c r="F51" s="87"/>
      <c r="G51" s="20"/>
      <c r="H51" s="71"/>
      <c r="I51" s="29"/>
      <c r="J51" s="79"/>
      <c r="K51" s="55">
        <f t="shared" si="0"/>
        <v>0</v>
      </c>
      <c r="L51" s="73" t="e">
        <f t="shared" si="1"/>
        <v>#DIV/0!</v>
      </c>
      <c r="M51" s="11"/>
    </row>
    <row r="52" spans="2:13" x14ac:dyDescent="0.25">
      <c r="B52" s="7"/>
      <c r="C52" s="19"/>
      <c r="D52" s="85"/>
      <c r="E52" s="89"/>
      <c r="F52" s="89"/>
      <c r="G52" s="88"/>
      <c r="H52" s="81"/>
      <c r="I52" s="54"/>
      <c r="J52" s="54"/>
      <c r="K52" s="55">
        <f t="shared" si="0"/>
        <v>0</v>
      </c>
      <c r="L52" s="73" t="e">
        <f t="shared" si="1"/>
        <v>#DIV/0!</v>
      </c>
      <c r="M52" s="11"/>
    </row>
    <row r="53" spans="2:13" x14ac:dyDescent="0.25">
      <c r="B53" s="7"/>
      <c r="C53" s="19"/>
      <c r="D53" s="90"/>
      <c r="E53" s="91"/>
      <c r="F53" s="91"/>
      <c r="G53" s="92"/>
      <c r="H53" s="96"/>
      <c r="I53" s="82"/>
      <c r="J53" s="37"/>
      <c r="K53" s="55">
        <f t="shared" si="0"/>
        <v>0</v>
      </c>
      <c r="L53" s="73" t="e">
        <f t="shared" si="1"/>
        <v>#DIV/0!</v>
      </c>
      <c r="M53" s="11"/>
    </row>
    <row r="54" spans="2:13" x14ac:dyDescent="0.25">
      <c r="B54" s="7"/>
      <c r="C54" s="19"/>
      <c r="D54" s="85"/>
      <c r="E54" s="89"/>
      <c r="F54" s="89"/>
      <c r="G54" s="20"/>
      <c r="H54" s="81"/>
      <c r="I54" s="54"/>
      <c r="J54" s="52"/>
      <c r="K54" s="55">
        <f t="shared" si="0"/>
        <v>0</v>
      </c>
      <c r="L54" s="73" t="e">
        <f t="shared" si="1"/>
        <v>#DIV/0!</v>
      </c>
      <c r="M54" s="11"/>
    </row>
    <row r="55" spans="2:13" ht="15.75" thickBot="1" x14ac:dyDescent="0.3">
      <c r="B55" s="7"/>
      <c r="C55" s="19"/>
      <c r="D55" s="85"/>
      <c r="E55" s="89"/>
      <c r="F55" s="89"/>
      <c r="G55" s="20"/>
      <c r="H55" s="71"/>
      <c r="I55" s="54"/>
      <c r="J55" s="52"/>
      <c r="K55" s="55">
        <f t="shared" si="0"/>
        <v>0</v>
      </c>
      <c r="L55" s="73" t="e">
        <f t="shared" si="1"/>
        <v>#DIV/0!</v>
      </c>
      <c r="M55" s="11"/>
    </row>
    <row r="56" spans="2:13" ht="15.75" thickBot="1" x14ac:dyDescent="0.3">
      <c r="B56" s="7"/>
      <c r="C56" s="105"/>
      <c r="D56" s="75">
        <f>+COUNT($D$11:$D$55)</f>
        <v>3</v>
      </c>
      <c r="E56" s="105"/>
      <c r="F56" s="105"/>
      <c r="G56" s="69"/>
      <c r="H56" s="56">
        <f>SUM($H$11:$H$55)</f>
        <v>825</v>
      </c>
      <c r="I56" s="57">
        <f>SUM($I$11:$I$55)</f>
        <v>233.3</v>
      </c>
      <c r="J56" s="70">
        <f>SUM($J$11:$J$55)</f>
        <v>234.6</v>
      </c>
      <c r="K56" s="72">
        <f>SUM($K$11:$K$55)</f>
        <v>467.9</v>
      </c>
      <c r="L56" s="74">
        <f t="shared" si="1"/>
        <v>0.56715151515151507</v>
      </c>
      <c r="M56" s="11"/>
    </row>
    <row r="57" spans="2:13" ht="15.75" thickBot="1" x14ac:dyDescent="0.3">
      <c r="B57" s="41"/>
      <c r="C57" s="42"/>
      <c r="D57" s="42"/>
      <c r="E57" s="42"/>
      <c r="F57" s="42"/>
      <c r="G57" s="43"/>
      <c r="H57" s="42"/>
      <c r="I57" s="43"/>
      <c r="J57" s="42"/>
      <c r="K57" s="42"/>
      <c r="L57" s="42"/>
      <c r="M57" s="44"/>
    </row>
    <row r="58" spans="2:13" ht="16.5" thickTop="1" thickBot="1" x14ac:dyDescent="0.3">
      <c r="B58" s="4"/>
      <c r="C58" s="4"/>
      <c r="D58" s="4"/>
      <c r="E58" s="4"/>
      <c r="F58" s="4"/>
      <c r="G58" s="5"/>
      <c r="H58" s="4"/>
      <c r="I58" s="5"/>
      <c r="J58" s="4"/>
      <c r="K58" s="4"/>
      <c r="L58" s="4"/>
      <c r="M58" s="4"/>
    </row>
    <row r="59" spans="2:13" ht="16.5" thickTop="1" thickBot="1" x14ac:dyDescent="0.3">
      <c r="B59" s="3"/>
      <c r="C59" s="4"/>
      <c r="D59" s="4"/>
      <c r="E59" s="4"/>
      <c r="F59" s="4"/>
      <c r="G59" s="5"/>
      <c r="H59" s="4"/>
      <c r="I59" s="5"/>
      <c r="J59" s="4"/>
      <c r="K59" s="4"/>
      <c r="L59" s="4"/>
      <c r="M59" s="6"/>
    </row>
    <row r="60" spans="2:13" ht="15.75" thickBot="1" x14ac:dyDescent="0.3">
      <c r="B60" s="7"/>
      <c r="F60" s="30" t="s">
        <v>12</v>
      </c>
      <c r="G60" s="31" t="s">
        <v>32</v>
      </c>
      <c r="H60" s="51" t="s">
        <v>30</v>
      </c>
      <c r="I60" s="75" t="s">
        <v>54</v>
      </c>
      <c r="J60" s="75" t="s">
        <v>53</v>
      </c>
      <c r="M60" s="11"/>
    </row>
    <row r="61" spans="2:13" x14ac:dyDescent="0.25">
      <c r="B61" s="7"/>
      <c r="F61" s="32" t="s">
        <v>59</v>
      </c>
      <c r="G61" s="97"/>
      <c r="H61" s="97"/>
      <c r="I61" s="76"/>
      <c r="J61" s="84"/>
      <c r="M61" s="11"/>
    </row>
    <row r="62" spans="2:13" x14ac:dyDescent="0.25">
      <c r="B62" s="7"/>
      <c r="F62" s="33" t="s">
        <v>15</v>
      </c>
      <c r="G62" s="76"/>
      <c r="H62" s="76"/>
      <c r="I62" s="76"/>
      <c r="J62" s="21"/>
      <c r="M62" s="11"/>
    </row>
    <row r="63" spans="2:13" x14ac:dyDescent="0.25">
      <c r="B63" s="7"/>
      <c r="F63" s="22" t="s">
        <v>13</v>
      </c>
      <c r="G63" s="76"/>
      <c r="H63" s="76"/>
      <c r="I63" s="76"/>
      <c r="J63" s="21"/>
      <c r="M63" s="11"/>
    </row>
    <row r="64" spans="2:13" x14ac:dyDescent="0.25">
      <c r="B64" s="7"/>
      <c r="F64" s="22" t="s">
        <v>16</v>
      </c>
      <c r="G64" s="76"/>
      <c r="H64" s="76"/>
      <c r="I64" s="76"/>
      <c r="J64" s="21"/>
      <c r="M64" s="11"/>
    </row>
    <row r="65" spans="2:13" x14ac:dyDescent="0.25">
      <c r="B65" s="7"/>
      <c r="F65" s="33" t="s">
        <v>60</v>
      </c>
      <c r="G65" s="76"/>
      <c r="H65" s="76"/>
      <c r="I65" s="76"/>
      <c r="J65" s="21"/>
      <c r="M65" s="11"/>
    </row>
    <row r="66" spans="2:13" x14ac:dyDescent="0.25">
      <c r="B66" s="7"/>
      <c r="F66" s="33" t="s">
        <v>14</v>
      </c>
      <c r="G66" s="76"/>
      <c r="H66" s="76"/>
      <c r="I66" s="76"/>
      <c r="J66" s="21"/>
      <c r="M66" s="11"/>
    </row>
    <row r="67" spans="2:13" x14ac:dyDescent="0.25">
      <c r="B67" s="7"/>
      <c r="F67" s="22" t="s">
        <v>20</v>
      </c>
      <c r="G67" s="76"/>
      <c r="H67" s="76"/>
      <c r="I67" s="76"/>
      <c r="J67" s="21"/>
      <c r="M67" s="11"/>
    </row>
    <row r="68" spans="2:13" x14ac:dyDescent="0.25">
      <c r="B68" s="7"/>
      <c r="F68" s="33" t="s">
        <v>17</v>
      </c>
      <c r="G68" s="76"/>
      <c r="H68" s="76"/>
      <c r="I68" s="76"/>
      <c r="J68" s="21"/>
      <c r="M68" s="11"/>
    </row>
    <row r="69" spans="2:13" x14ac:dyDescent="0.25">
      <c r="B69" s="7"/>
      <c r="F69" s="33" t="s">
        <v>61</v>
      </c>
      <c r="G69" s="76"/>
      <c r="H69" s="76"/>
      <c r="I69" s="76"/>
      <c r="J69" s="21"/>
      <c r="M69" s="11"/>
    </row>
    <row r="70" spans="2:13" x14ac:dyDescent="0.25">
      <c r="B70" s="7"/>
      <c r="F70" s="33" t="s">
        <v>48</v>
      </c>
      <c r="G70" s="76"/>
      <c r="H70" s="76"/>
      <c r="I70" s="76"/>
      <c r="J70" s="21"/>
      <c r="M70" s="11"/>
    </row>
    <row r="71" spans="2:13" x14ac:dyDescent="0.25">
      <c r="B71" s="7"/>
      <c r="F71" s="22" t="s">
        <v>19</v>
      </c>
      <c r="G71" s="76"/>
      <c r="H71" s="76"/>
      <c r="I71" s="76"/>
      <c r="J71" s="21"/>
      <c r="M71" s="11"/>
    </row>
    <row r="72" spans="2:13" x14ac:dyDescent="0.25">
      <c r="B72" s="7"/>
      <c r="F72" s="22" t="s">
        <v>18</v>
      </c>
      <c r="G72" s="76"/>
      <c r="H72" s="76"/>
      <c r="I72" s="76"/>
      <c r="J72" s="21"/>
      <c r="M72" s="11"/>
    </row>
    <row r="73" spans="2:13" ht="15.75" thickBot="1" x14ac:dyDescent="0.3">
      <c r="B73" s="7"/>
      <c r="F73" s="33" t="s">
        <v>49</v>
      </c>
      <c r="G73" s="76"/>
      <c r="H73" s="76"/>
      <c r="I73" s="76"/>
      <c r="J73" s="21"/>
      <c r="M73" s="11"/>
    </row>
    <row r="74" spans="2:13" ht="15.75" thickBot="1" x14ac:dyDescent="0.3">
      <c r="B74" s="7"/>
      <c r="F74" s="39" t="s">
        <v>21</v>
      </c>
      <c r="G74" s="23"/>
      <c r="H74" s="23">
        <f>SUM(H61:H73)</f>
        <v>0</v>
      </c>
      <c r="I74" s="80">
        <f>SUM(I61:I73)</f>
        <v>0</v>
      </c>
      <c r="J74" s="23">
        <f>SUM(J61:J73)</f>
        <v>0</v>
      </c>
      <c r="M74" s="11"/>
    </row>
    <row r="75" spans="2:13" ht="15.75" thickBot="1" x14ac:dyDescent="0.3">
      <c r="B75" s="41"/>
      <c r="C75" s="42"/>
      <c r="D75" s="42"/>
      <c r="E75" s="42"/>
      <c r="F75" s="42"/>
      <c r="G75" s="43"/>
      <c r="H75" s="42"/>
      <c r="I75" s="43"/>
      <c r="J75" s="42"/>
      <c r="K75" s="42"/>
      <c r="L75" s="42"/>
      <c r="M75" s="44"/>
    </row>
    <row r="76" spans="2:13" ht="16.5" thickTop="1" thickBot="1" x14ac:dyDescent="0.3">
      <c r="B76" s="7"/>
      <c r="F76" s="24"/>
      <c r="G76" s="25"/>
      <c r="H76" s="24"/>
      <c r="I76" s="25"/>
      <c r="M76" s="11"/>
    </row>
    <row r="77" spans="2:13" ht="15.75" thickBot="1" x14ac:dyDescent="0.3">
      <c r="B77" s="7"/>
      <c r="F77" s="34" t="s">
        <v>22</v>
      </c>
      <c r="G77" s="35" t="s">
        <v>33</v>
      </c>
      <c r="H77" s="36" t="s">
        <v>31</v>
      </c>
      <c r="M77" s="11"/>
    </row>
    <row r="78" spans="2:13" x14ac:dyDescent="0.25">
      <c r="B78" s="7"/>
      <c r="F78" s="33" t="s">
        <v>23</v>
      </c>
      <c r="G78" s="38"/>
      <c r="H78" s="21"/>
      <c r="M78" s="11"/>
    </row>
    <row r="79" spans="2:13" x14ac:dyDescent="0.25">
      <c r="B79" s="7"/>
      <c r="F79" s="33" t="s">
        <v>24</v>
      </c>
      <c r="G79" s="37">
        <f>+D56</f>
        <v>3</v>
      </c>
      <c r="H79" s="21"/>
      <c r="M79" s="11"/>
    </row>
    <row r="80" spans="2:13" x14ac:dyDescent="0.25">
      <c r="B80" s="7"/>
      <c r="F80" s="22" t="s">
        <v>34</v>
      </c>
      <c r="G80" s="38"/>
      <c r="H80" s="21"/>
      <c r="M80" s="11"/>
    </row>
    <row r="81" spans="2:13" x14ac:dyDescent="0.25">
      <c r="B81" s="7"/>
      <c r="F81" s="22" t="s">
        <v>35</v>
      </c>
      <c r="G81" s="38"/>
      <c r="H81" s="21"/>
      <c r="M81" s="11"/>
    </row>
    <row r="82" spans="2:13" ht="15.75" thickBot="1" x14ac:dyDescent="0.3">
      <c r="B82" s="7"/>
      <c r="F82" s="22" t="s">
        <v>29</v>
      </c>
      <c r="G82" s="37"/>
      <c r="H82" s="21"/>
      <c r="M82" s="11"/>
    </row>
    <row r="83" spans="2:13" ht="15.75" thickBot="1" x14ac:dyDescent="0.3">
      <c r="B83" s="7"/>
      <c r="F83" s="39" t="s">
        <v>21</v>
      </c>
      <c r="G83" s="40"/>
      <c r="H83" s="23">
        <f>SUM(H78:H82)</f>
        <v>0</v>
      </c>
      <c r="M83" s="11"/>
    </row>
    <row r="84" spans="2:13" ht="15.75" thickBot="1" x14ac:dyDescent="0.3">
      <c r="B84" s="41"/>
      <c r="C84" s="42"/>
      <c r="D84" s="42"/>
      <c r="E84" s="42"/>
      <c r="F84" s="42"/>
      <c r="G84" s="43"/>
      <c r="H84" s="42"/>
      <c r="I84" s="43"/>
      <c r="J84" s="42"/>
      <c r="K84" s="42"/>
      <c r="L84" s="42"/>
      <c r="M84" s="44"/>
    </row>
    <row r="85" spans="2:13" ht="15.75" thickTop="1" x14ac:dyDescent="0.25">
      <c r="H85" s="49"/>
    </row>
  </sheetData>
  <mergeCells count="2">
    <mergeCell ref="J7:L7"/>
    <mergeCell ref="J8:L8"/>
  </mergeCells>
  <conditionalFormatting sqref="L11:L55">
    <cfRule type="cellIs" dxfId="95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P85"/>
  <sheetViews>
    <sheetView zoomScaleNormal="100" workbookViewId="0">
      <selection activeCell="G11" sqref="G11"/>
    </sheetView>
  </sheetViews>
  <sheetFormatPr baseColWidth="10" defaultColWidth="12.42578125" defaultRowHeight="15" x14ac:dyDescent="0.25"/>
  <cols>
    <col min="1" max="1" width="4" style="1" customWidth="1"/>
    <col min="2" max="2" width="3.7109375" style="1" customWidth="1"/>
    <col min="3" max="3" width="8.5703125" style="1" bestFit="1" customWidth="1"/>
    <col min="4" max="4" width="9" style="1" customWidth="1"/>
    <col min="5" max="5" width="5.7109375" style="1" bestFit="1" customWidth="1"/>
    <col min="6" max="6" width="29.85546875" style="1" bestFit="1" customWidth="1"/>
    <col min="7" max="7" width="17.42578125" style="2" customWidth="1"/>
    <col min="8" max="8" width="12.7109375" style="1" customWidth="1"/>
    <col min="9" max="9" width="12.7109375" style="2" customWidth="1"/>
    <col min="10" max="11" width="12.7109375" style="1" customWidth="1"/>
    <col min="12" max="12" width="12.42578125" style="1"/>
    <col min="13" max="13" width="3.7109375" style="1" customWidth="1"/>
    <col min="14" max="14" width="12.42578125" style="1"/>
    <col min="15" max="15" width="2" style="1" bestFit="1" customWidth="1"/>
    <col min="16" max="16" width="17.140625" style="1" bestFit="1" customWidth="1"/>
    <col min="17" max="16384" width="12.42578125" style="1"/>
  </cols>
  <sheetData>
    <row r="1" spans="2:16" ht="15.75" thickBot="1" x14ac:dyDescent="0.3"/>
    <row r="2" spans="2:16" ht="16.5" thickTop="1" thickBot="1" x14ac:dyDescent="0.3">
      <c r="B2" s="3"/>
      <c r="C2" s="4"/>
      <c r="D2" s="4"/>
      <c r="E2" s="4"/>
      <c r="F2" s="4"/>
      <c r="G2" s="5"/>
      <c r="H2" s="4"/>
      <c r="I2" s="5"/>
      <c r="J2" s="4"/>
      <c r="K2" s="4"/>
      <c r="L2" s="4"/>
      <c r="M2" s="6"/>
    </row>
    <row r="3" spans="2:16" ht="21.75" thickBot="1" x14ac:dyDescent="0.3">
      <c r="B3" s="7"/>
      <c r="F3" s="8" t="s">
        <v>0</v>
      </c>
      <c r="G3" s="9">
        <f>+H56</f>
        <v>16040</v>
      </c>
      <c r="H3" s="10"/>
      <c r="I3" s="46" t="s">
        <v>28</v>
      </c>
      <c r="M3" s="11"/>
    </row>
    <row r="4" spans="2:16" ht="21.75" thickBot="1" x14ac:dyDescent="0.3">
      <c r="B4" s="7"/>
      <c r="F4" s="8" t="s">
        <v>1</v>
      </c>
      <c r="G4" s="9">
        <f>+K56</f>
        <v>8946.1</v>
      </c>
      <c r="H4" s="10"/>
      <c r="I4" s="47">
        <f>+L56</f>
        <v>0.5577369077306733</v>
      </c>
      <c r="M4" s="11"/>
    </row>
    <row r="5" spans="2:16" ht="21.75" thickBot="1" x14ac:dyDescent="0.3">
      <c r="B5" s="7"/>
      <c r="F5" s="8" t="s">
        <v>2</v>
      </c>
      <c r="G5" s="12">
        <v>46029</v>
      </c>
      <c r="H5" s="10"/>
      <c r="I5" s="58" t="s">
        <v>36</v>
      </c>
      <c r="M5" s="11"/>
    </row>
    <row r="6" spans="2:16" ht="21.75" thickBot="1" x14ac:dyDescent="0.3">
      <c r="B6" s="7"/>
      <c r="F6" s="8" t="s">
        <v>3</v>
      </c>
      <c r="G6" s="65">
        <v>13</v>
      </c>
      <c r="H6" s="10"/>
      <c r="I6" s="63">
        <f>+K56/G7</f>
        <v>223.6525</v>
      </c>
      <c r="M6" s="11"/>
    </row>
    <row r="7" spans="2:16" ht="21.75" thickBot="1" x14ac:dyDescent="0.3">
      <c r="B7" s="7"/>
      <c r="F7" s="8" t="s">
        <v>4</v>
      </c>
      <c r="G7" s="48">
        <f>+D56</f>
        <v>40</v>
      </c>
      <c r="H7" s="10"/>
      <c r="I7" s="103" t="s">
        <v>38</v>
      </c>
      <c r="J7" s="338" t="s">
        <v>85</v>
      </c>
      <c r="K7" s="338"/>
      <c r="L7" s="339"/>
      <c r="M7" s="11"/>
    </row>
    <row r="8" spans="2:16" ht="21.75" thickBot="1" x14ac:dyDescent="0.3">
      <c r="B8" s="7"/>
      <c r="F8" s="101"/>
      <c r="G8" s="102"/>
      <c r="H8" s="10"/>
      <c r="I8" s="103" t="s">
        <v>88</v>
      </c>
      <c r="J8" s="338" t="s">
        <v>363</v>
      </c>
      <c r="K8" s="338"/>
      <c r="L8" s="339"/>
      <c r="M8" s="11"/>
    </row>
    <row r="9" spans="2:16" ht="15.75" thickBot="1" x14ac:dyDescent="0.3">
      <c r="B9" s="7"/>
      <c r="M9" s="11"/>
    </row>
    <row r="10" spans="2:16" s="18" customFormat="1" ht="45.75" thickBot="1" x14ac:dyDescent="0.3">
      <c r="B10" s="13"/>
      <c r="C10" s="27" t="s">
        <v>9</v>
      </c>
      <c r="D10" s="26" t="s">
        <v>5</v>
      </c>
      <c r="E10" s="99" t="s">
        <v>63</v>
      </c>
      <c r="F10" s="14" t="s">
        <v>6</v>
      </c>
      <c r="G10" s="16" t="s">
        <v>7</v>
      </c>
      <c r="H10" s="45" t="s">
        <v>26</v>
      </c>
      <c r="I10" s="15" t="s">
        <v>10</v>
      </c>
      <c r="J10" s="27" t="s">
        <v>11</v>
      </c>
      <c r="K10" s="45" t="s">
        <v>25</v>
      </c>
      <c r="L10" s="50" t="s">
        <v>27</v>
      </c>
      <c r="M10" s="17"/>
    </row>
    <row r="11" spans="2:16" x14ac:dyDescent="0.25">
      <c r="B11" s="7"/>
      <c r="C11" s="28">
        <v>24</v>
      </c>
      <c r="D11" s="28">
        <v>9</v>
      </c>
      <c r="E11" s="19" t="s">
        <v>67</v>
      </c>
      <c r="F11" s="59" t="s">
        <v>130</v>
      </c>
      <c r="G11" s="60">
        <v>6815</v>
      </c>
      <c r="H11" s="94">
        <v>416</v>
      </c>
      <c r="I11" s="66">
        <v>113.9</v>
      </c>
      <c r="J11" s="67">
        <v>115.1</v>
      </c>
      <c r="K11" s="53">
        <f t="shared" ref="K11:K55" si="0">+I11+J11</f>
        <v>229</v>
      </c>
      <c r="L11" s="73">
        <f t="shared" ref="L11:L56" si="1">+K11/H11</f>
        <v>0.55048076923076927</v>
      </c>
      <c r="M11" s="11"/>
      <c r="N11" s="64" t="s">
        <v>42</v>
      </c>
      <c r="O11" s="1">
        <f>+COUNTIF($F$11:$F$55,"NOVILLITO (NT)")</f>
        <v>0</v>
      </c>
      <c r="P11" s="59" t="s">
        <v>8</v>
      </c>
    </row>
    <row r="12" spans="2:16" x14ac:dyDescent="0.25">
      <c r="B12" s="7"/>
      <c r="C12" s="29">
        <v>25</v>
      </c>
      <c r="D12" s="29">
        <v>13</v>
      </c>
      <c r="E12" s="19" t="s">
        <v>67</v>
      </c>
      <c r="F12" s="59" t="s">
        <v>62</v>
      </c>
      <c r="G12" s="62" t="s">
        <v>339</v>
      </c>
      <c r="H12" s="95">
        <v>368</v>
      </c>
      <c r="I12" s="19">
        <v>104.7</v>
      </c>
      <c r="J12" s="67">
        <v>105.1</v>
      </c>
      <c r="K12" s="55">
        <f t="shared" si="0"/>
        <v>209.8</v>
      </c>
      <c r="L12" s="73">
        <f t="shared" si="1"/>
        <v>0.57010869565217392</v>
      </c>
      <c r="M12" s="11"/>
      <c r="N12" s="64" t="s">
        <v>40</v>
      </c>
      <c r="O12" s="1">
        <f>+COUNTIF($F$11:$F$56,"VAQUILLONA (Vq)")</f>
        <v>0</v>
      </c>
      <c r="P12" s="59" t="s">
        <v>37</v>
      </c>
    </row>
    <row r="13" spans="2:16" x14ac:dyDescent="0.25">
      <c r="B13" s="7"/>
      <c r="C13" s="29">
        <v>26</v>
      </c>
      <c r="D13" s="29">
        <v>14</v>
      </c>
      <c r="E13" s="19" t="s">
        <v>67</v>
      </c>
      <c r="F13" s="59" t="s">
        <v>130</v>
      </c>
      <c r="G13" s="62">
        <v>9584</v>
      </c>
      <c r="H13" s="95">
        <v>404</v>
      </c>
      <c r="I13" s="19">
        <v>118</v>
      </c>
      <c r="J13" s="67">
        <v>118.8</v>
      </c>
      <c r="K13" s="55">
        <f t="shared" si="0"/>
        <v>236.8</v>
      </c>
      <c r="L13" s="73">
        <f t="shared" si="1"/>
        <v>0.58613861386138622</v>
      </c>
      <c r="M13" s="11"/>
      <c r="N13" s="64" t="s">
        <v>44</v>
      </c>
      <c r="O13" s="1">
        <f>+COUNTIF($F$11:$F$56,"TORITO (MEJ)")</f>
        <v>0</v>
      </c>
      <c r="P13" s="59" t="s">
        <v>43</v>
      </c>
    </row>
    <row r="14" spans="2:16" x14ac:dyDescent="0.25">
      <c r="B14" s="7"/>
      <c r="C14" s="29">
        <v>27</v>
      </c>
      <c r="D14" s="29">
        <v>1</v>
      </c>
      <c r="E14" s="19" t="s">
        <v>67</v>
      </c>
      <c r="F14" s="59" t="s">
        <v>130</v>
      </c>
      <c r="G14" s="62" t="s">
        <v>340</v>
      </c>
      <c r="H14" s="95">
        <v>418</v>
      </c>
      <c r="I14" s="19">
        <v>113.1</v>
      </c>
      <c r="J14" s="67">
        <v>113.2</v>
      </c>
      <c r="K14" s="55">
        <f t="shared" si="0"/>
        <v>226.3</v>
      </c>
      <c r="L14" s="73">
        <f t="shared" si="1"/>
        <v>0.54138755980861242</v>
      </c>
      <c r="M14" s="11"/>
      <c r="N14" s="78" t="s">
        <v>45</v>
      </c>
      <c r="O14" s="1">
        <f>+COUNTIF($F$11:$F$56,"NOVILLO (No)")</f>
        <v>0</v>
      </c>
      <c r="P14" s="19" t="s">
        <v>39</v>
      </c>
    </row>
    <row r="15" spans="2:16" x14ac:dyDescent="0.25">
      <c r="B15" s="7"/>
      <c r="C15" s="29">
        <v>28</v>
      </c>
      <c r="D15" s="29">
        <v>20</v>
      </c>
      <c r="E15" s="19" t="s">
        <v>67</v>
      </c>
      <c r="F15" s="59" t="s">
        <v>130</v>
      </c>
      <c r="G15" s="62" t="s">
        <v>341</v>
      </c>
      <c r="H15" s="95">
        <v>404</v>
      </c>
      <c r="I15" s="19">
        <v>113.4</v>
      </c>
      <c r="J15" s="67">
        <v>115.7</v>
      </c>
      <c r="K15" s="55">
        <f t="shared" si="0"/>
        <v>229.10000000000002</v>
      </c>
      <c r="L15" s="73">
        <f t="shared" si="1"/>
        <v>0.56707920792079214</v>
      </c>
      <c r="M15" s="11"/>
      <c r="N15" s="78" t="s">
        <v>46</v>
      </c>
      <c r="O15" s="1">
        <f>+COUNTIF($F$11:$F$56,"VACA (Va)")</f>
        <v>0</v>
      </c>
      <c r="P15" s="83" t="s">
        <v>50</v>
      </c>
    </row>
    <row r="16" spans="2:16" x14ac:dyDescent="0.25">
      <c r="B16" s="7"/>
      <c r="C16" s="29">
        <v>29</v>
      </c>
      <c r="D16" s="29">
        <v>7</v>
      </c>
      <c r="E16" s="19" t="s">
        <v>67</v>
      </c>
      <c r="F16" s="59" t="s">
        <v>130</v>
      </c>
      <c r="G16" s="62" t="s">
        <v>342</v>
      </c>
      <c r="H16" s="95">
        <v>419</v>
      </c>
      <c r="I16" s="19">
        <v>117.4</v>
      </c>
      <c r="J16" s="67">
        <v>118.4</v>
      </c>
      <c r="K16" s="55">
        <f t="shared" si="0"/>
        <v>235.8</v>
      </c>
      <c r="L16" s="73">
        <f t="shared" si="1"/>
        <v>0.56276849642004778</v>
      </c>
      <c r="M16" s="11"/>
      <c r="N16" s="64" t="s">
        <v>47</v>
      </c>
      <c r="O16" s="1">
        <f>+COUNTIF($F$11:$F$56,"TORO (To)")</f>
        <v>0</v>
      </c>
      <c r="P16" s="83" t="s">
        <v>51</v>
      </c>
    </row>
    <row r="17" spans="2:16" x14ac:dyDescent="0.25">
      <c r="B17" s="7"/>
      <c r="C17" s="29">
        <v>30</v>
      </c>
      <c r="D17" s="29">
        <v>10</v>
      </c>
      <c r="E17" s="19" t="s">
        <v>67</v>
      </c>
      <c r="F17" s="59" t="s">
        <v>130</v>
      </c>
      <c r="G17" s="62" t="s">
        <v>343</v>
      </c>
      <c r="H17" s="95">
        <v>411</v>
      </c>
      <c r="I17" s="19">
        <v>113.2</v>
      </c>
      <c r="J17" s="67">
        <v>112.8</v>
      </c>
      <c r="K17" s="55">
        <f t="shared" si="0"/>
        <v>226</v>
      </c>
      <c r="L17" s="73">
        <f t="shared" si="1"/>
        <v>0.54987834549878345</v>
      </c>
      <c r="M17" s="11"/>
      <c r="N17" s="77"/>
      <c r="O17" s="1">
        <f>SUM(O11:O16)</f>
        <v>0</v>
      </c>
    </row>
    <row r="18" spans="2:16" x14ac:dyDescent="0.25">
      <c r="B18" s="7"/>
      <c r="C18" s="29">
        <v>31</v>
      </c>
      <c r="D18" s="29">
        <v>6</v>
      </c>
      <c r="E18" s="19" t="s">
        <v>67</v>
      </c>
      <c r="F18" s="59" t="s">
        <v>130</v>
      </c>
      <c r="G18" s="62">
        <v>8882</v>
      </c>
      <c r="H18" s="95">
        <v>420</v>
      </c>
      <c r="I18" s="19">
        <v>116.2</v>
      </c>
      <c r="J18" s="67">
        <v>116.7</v>
      </c>
      <c r="K18" s="55">
        <f t="shared" si="0"/>
        <v>232.9</v>
      </c>
      <c r="L18" s="73">
        <f t="shared" si="1"/>
        <v>0.55452380952380953</v>
      </c>
      <c r="M18" s="11"/>
    </row>
    <row r="19" spans="2:16" x14ac:dyDescent="0.25">
      <c r="B19" s="7"/>
      <c r="C19" s="61">
        <v>32</v>
      </c>
      <c r="D19" s="61">
        <v>17</v>
      </c>
      <c r="E19" s="59" t="s">
        <v>75</v>
      </c>
      <c r="F19" s="59" t="s">
        <v>62</v>
      </c>
      <c r="G19" s="62" t="s">
        <v>344</v>
      </c>
      <c r="H19" s="95">
        <v>364</v>
      </c>
      <c r="I19" s="19">
        <v>102</v>
      </c>
      <c r="J19" s="67">
        <v>102.3</v>
      </c>
      <c r="K19" s="55">
        <f t="shared" si="0"/>
        <v>204.3</v>
      </c>
      <c r="L19" s="73">
        <f t="shared" si="1"/>
        <v>0.56126373626373627</v>
      </c>
      <c r="M19" s="11"/>
      <c r="P19" s="100" t="s">
        <v>63</v>
      </c>
    </row>
    <row r="20" spans="2:16" x14ac:dyDescent="0.25">
      <c r="B20" s="7"/>
      <c r="C20" s="61">
        <v>33</v>
      </c>
      <c r="D20" s="61">
        <v>8</v>
      </c>
      <c r="E20" s="59" t="s">
        <v>67</v>
      </c>
      <c r="F20" s="59" t="s">
        <v>62</v>
      </c>
      <c r="G20" s="62" t="s">
        <v>114</v>
      </c>
      <c r="H20" s="95">
        <v>354</v>
      </c>
      <c r="I20" s="19">
        <v>97.2</v>
      </c>
      <c r="J20" s="67">
        <v>97.9</v>
      </c>
      <c r="K20" s="55">
        <f t="shared" si="0"/>
        <v>195.10000000000002</v>
      </c>
      <c r="L20" s="73">
        <f t="shared" si="1"/>
        <v>0.55112994350282496</v>
      </c>
      <c r="M20" s="11"/>
      <c r="N20" s="64" t="s">
        <v>67</v>
      </c>
      <c r="P20" s="1" t="s">
        <v>64</v>
      </c>
    </row>
    <row r="21" spans="2:16" x14ac:dyDescent="0.25">
      <c r="B21" s="7"/>
      <c r="C21" s="19">
        <v>34</v>
      </c>
      <c r="D21" s="29">
        <v>11</v>
      </c>
      <c r="E21" s="19" t="s">
        <v>68</v>
      </c>
      <c r="F21" s="59" t="s">
        <v>130</v>
      </c>
      <c r="G21" s="62" t="s">
        <v>345</v>
      </c>
      <c r="H21" s="95">
        <v>412</v>
      </c>
      <c r="I21" s="19">
        <v>114.3</v>
      </c>
      <c r="J21" s="67">
        <v>115.6</v>
      </c>
      <c r="K21" s="55">
        <f t="shared" si="0"/>
        <v>229.89999999999998</v>
      </c>
      <c r="L21" s="73">
        <f t="shared" si="1"/>
        <v>0.55800970873786404</v>
      </c>
      <c r="M21" s="11"/>
      <c r="N21" s="64" t="s">
        <v>68</v>
      </c>
      <c r="P21" t="s">
        <v>65</v>
      </c>
    </row>
    <row r="22" spans="2:16" x14ac:dyDescent="0.25">
      <c r="B22" s="7"/>
      <c r="C22" s="19">
        <v>35</v>
      </c>
      <c r="D22" s="29">
        <v>19</v>
      </c>
      <c r="E22" s="19" t="s">
        <v>67</v>
      </c>
      <c r="F22" s="59" t="s">
        <v>62</v>
      </c>
      <c r="G22" s="62" t="s">
        <v>346</v>
      </c>
      <c r="H22" s="95">
        <v>353</v>
      </c>
      <c r="I22" s="19">
        <v>95.6</v>
      </c>
      <c r="J22" s="67">
        <v>96.6</v>
      </c>
      <c r="K22" s="55">
        <f t="shared" si="0"/>
        <v>192.2</v>
      </c>
      <c r="L22" s="73">
        <f t="shared" si="1"/>
        <v>0.5444759206798867</v>
      </c>
      <c r="M22" s="11"/>
      <c r="N22" s="64" t="s">
        <v>75</v>
      </c>
      <c r="P22" t="s">
        <v>74</v>
      </c>
    </row>
    <row r="23" spans="2:16" x14ac:dyDescent="0.25">
      <c r="B23" s="7"/>
      <c r="C23" s="59">
        <v>36</v>
      </c>
      <c r="D23" s="61">
        <v>15</v>
      </c>
      <c r="E23" s="59" t="s">
        <v>67</v>
      </c>
      <c r="F23" s="59" t="s">
        <v>130</v>
      </c>
      <c r="G23" s="62">
        <v>8692</v>
      </c>
      <c r="H23" s="95">
        <v>396</v>
      </c>
      <c r="I23" s="19">
        <v>115.4</v>
      </c>
      <c r="J23" s="67">
        <v>116.5</v>
      </c>
      <c r="K23" s="55">
        <f t="shared" si="0"/>
        <v>231.9</v>
      </c>
      <c r="L23" s="73">
        <f t="shared" si="1"/>
        <v>0.58560606060606057</v>
      </c>
      <c r="M23" s="11"/>
      <c r="N23" s="64" t="s">
        <v>69</v>
      </c>
      <c r="P23" t="s">
        <v>66</v>
      </c>
    </row>
    <row r="24" spans="2:16" x14ac:dyDescent="0.25">
      <c r="B24" s="7"/>
      <c r="C24" s="19">
        <v>37</v>
      </c>
      <c r="D24" s="29">
        <v>3</v>
      </c>
      <c r="E24" s="19" t="s">
        <v>67</v>
      </c>
      <c r="F24" s="59" t="s">
        <v>130</v>
      </c>
      <c r="G24" s="62">
        <v>9048</v>
      </c>
      <c r="H24" s="95">
        <v>418</v>
      </c>
      <c r="I24" s="19">
        <v>113</v>
      </c>
      <c r="J24" s="68">
        <v>115.3</v>
      </c>
      <c r="K24" s="55">
        <f t="shared" si="0"/>
        <v>228.3</v>
      </c>
      <c r="L24" s="104">
        <f t="shared" si="1"/>
        <v>0.54617224880382775</v>
      </c>
      <c r="M24" s="11"/>
      <c r="N24" s="64" t="s">
        <v>70</v>
      </c>
      <c r="P24" t="s">
        <v>71</v>
      </c>
    </row>
    <row r="25" spans="2:16" x14ac:dyDescent="0.25">
      <c r="B25" s="7"/>
      <c r="C25" s="19">
        <v>38</v>
      </c>
      <c r="D25" s="29">
        <v>16</v>
      </c>
      <c r="E25" s="19" t="s">
        <v>67</v>
      </c>
      <c r="F25" s="59" t="s">
        <v>130</v>
      </c>
      <c r="G25" s="62" t="s">
        <v>347</v>
      </c>
      <c r="H25" s="95">
        <v>416</v>
      </c>
      <c r="I25" s="19">
        <v>112.1</v>
      </c>
      <c r="J25" s="67">
        <v>116.8</v>
      </c>
      <c r="K25" s="55">
        <f t="shared" si="0"/>
        <v>228.89999999999998</v>
      </c>
      <c r="L25" s="73">
        <f t="shared" si="1"/>
        <v>0.5502403846153846</v>
      </c>
      <c r="M25" s="11"/>
      <c r="N25" s="64" t="s">
        <v>73</v>
      </c>
      <c r="P25" t="s">
        <v>72</v>
      </c>
    </row>
    <row r="26" spans="2:16" x14ac:dyDescent="0.25">
      <c r="B26" s="7"/>
      <c r="C26" s="19">
        <v>39</v>
      </c>
      <c r="D26" s="29">
        <v>2</v>
      </c>
      <c r="E26" s="19" t="s">
        <v>67</v>
      </c>
      <c r="F26" s="59" t="s">
        <v>130</v>
      </c>
      <c r="G26" s="62" t="s">
        <v>348</v>
      </c>
      <c r="H26" s="95">
        <v>399</v>
      </c>
      <c r="I26" s="19">
        <v>116.1</v>
      </c>
      <c r="J26" s="67">
        <v>116.6</v>
      </c>
      <c r="K26" s="55">
        <f t="shared" si="0"/>
        <v>232.7</v>
      </c>
      <c r="L26" s="73">
        <f t="shared" si="1"/>
        <v>0.58320802005012529</v>
      </c>
      <c r="M26" s="11"/>
      <c r="N26" s="64" t="s">
        <v>78</v>
      </c>
      <c r="P26" t="s">
        <v>76</v>
      </c>
    </row>
    <row r="27" spans="2:16" x14ac:dyDescent="0.25">
      <c r="B27" s="7"/>
      <c r="C27" s="19">
        <v>40</v>
      </c>
      <c r="D27" s="29">
        <v>5</v>
      </c>
      <c r="E27" s="19" t="s">
        <v>67</v>
      </c>
      <c r="F27" s="59" t="s">
        <v>130</v>
      </c>
      <c r="G27" s="62">
        <v>8936</v>
      </c>
      <c r="H27" s="95">
        <v>408</v>
      </c>
      <c r="I27" s="19">
        <v>110.5</v>
      </c>
      <c r="J27" s="67">
        <v>112.7</v>
      </c>
      <c r="K27" s="55">
        <f t="shared" si="0"/>
        <v>223.2</v>
      </c>
      <c r="L27" s="73">
        <f t="shared" si="1"/>
        <v>0.54705882352941171</v>
      </c>
      <c r="M27" s="11"/>
    </row>
    <row r="28" spans="2:16" x14ac:dyDescent="0.25">
      <c r="B28" s="7"/>
      <c r="C28" s="19">
        <v>41</v>
      </c>
      <c r="D28" s="29">
        <v>4</v>
      </c>
      <c r="E28" s="19" t="s">
        <v>68</v>
      </c>
      <c r="F28" s="19" t="s">
        <v>62</v>
      </c>
      <c r="G28" s="20" t="s">
        <v>349</v>
      </c>
      <c r="H28" s="71">
        <v>353</v>
      </c>
      <c r="I28" s="19">
        <v>96.4</v>
      </c>
      <c r="J28" s="67">
        <v>98.1</v>
      </c>
      <c r="K28" s="55">
        <f t="shared" si="0"/>
        <v>194.5</v>
      </c>
      <c r="L28" s="73">
        <f t="shared" si="1"/>
        <v>0.55099150141643061</v>
      </c>
      <c r="M28" s="11"/>
    </row>
    <row r="29" spans="2:16" x14ac:dyDescent="0.25">
      <c r="B29" s="7"/>
      <c r="C29" s="19">
        <v>42</v>
      </c>
      <c r="D29" s="29">
        <v>12</v>
      </c>
      <c r="E29" s="19" t="s">
        <v>67</v>
      </c>
      <c r="F29" s="59" t="s">
        <v>130</v>
      </c>
      <c r="G29" s="62" t="s">
        <v>350</v>
      </c>
      <c r="H29" s="95">
        <v>420</v>
      </c>
      <c r="I29" s="19">
        <v>116.8</v>
      </c>
      <c r="J29" s="67">
        <v>118.8</v>
      </c>
      <c r="K29" s="55">
        <f t="shared" si="0"/>
        <v>235.6</v>
      </c>
      <c r="L29" s="73">
        <f t="shared" si="1"/>
        <v>0.56095238095238098</v>
      </c>
      <c r="M29" s="11"/>
    </row>
    <row r="30" spans="2:16" x14ac:dyDescent="0.25">
      <c r="B30" s="7"/>
      <c r="C30" s="19">
        <v>43</v>
      </c>
      <c r="D30" s="29">
        <v>18</v>
      </c>
      <c r="E30" s="19" t="s">
        <v>67</v>
      </c>
      <c r="F30" s="59" t="s">
        <v>130</v>
      </c>
      <c r="G30" s="62">
        <v>9010</v>
      </c>
      <c r="H30" s="95">
        <v>401</v>
      </c>
      <c r="I30" s="19">
        <v>112.1</v>
      </c>
      <c r="J30" s="67">
        <v>114.1</v>
      </c>
      <c r="K30" s="55">
        <f t="shared" si="0"/>
        <v>226.2</v>
      </c>
      <c r="L30" s="73">
        <f t="shared" si="1"/>
        <v>0.56408977556109718</v>
      </c>
      <c r="M30" s="11"/>
    </row>
    <row r="31" spans="2:16" x14ac:dyDescent="0.25">
      <c r="B31" s="7"/>
      <c r="C31" s="19">
        <v>44</v>
      </c>
      <c r="D31" s="29">
        <v>24</v>
      </c>
      <c r="E31" s="19" t="s">
        <v>75</v>
      </c>
      <c r="F31" s="59" t="s">
        <v>62</v>
      </c>
      <c r="G31" s="62" t="s">
        <v>351</v>
      </c>
      <c r="H31" s="95">
        <v>373</v>
      </c>
      <c r="I31" s="19">
        <v>101.4</v>
      </c>
      <c r="J31" s="67">
        <v>101.2</v>
      </c>
      <c r="K31" s="55">
        <f t="shared" si="0"/>
        <v>202.60000000000002</v>
      </c>
      <c r="L31" s="73">
        <f t="shared" si="1"/>
        <v>0.54316353887399471</v>
      </c>
      <c r="M31" s="11"/>
    </row>
    <row r="32" spans="2:16" x14ac:dyDescent="0.25">
      <c r="B32" s="7"/>
      <c r="C32" s="59">
        <v>45</v>
      </c>
      <c r="D32" s="61">
        <v>38</v>
      </c>
      <c r="E32" s="59" t="s">
        <v>67</v>
      </c>
      <c r="F32" s="59" t="s">
        <v>130</v>
      </c>
      <c r="G32" s="62" t="s">
        <v>352</v>
      </c>
      <c r="H32" s="95">
        <v>406</v>
      </c>
      <c r="I32" s="19">
        <v>113.4</v>
      </c>
      <c r="J32" s="67">
        <v>115.6</v>
      </c>
      <c r="K32" s="55">
        <f t="shared" si="0"/>
        <v>229</v>
      </c>
      <c r="L32" s="73">
        <f t="shared" si="1"/>
        <v>0.56403940886699511</v>
      </c>
      <c r="M32" s="11"/>
    </row>
    <row r="33" spans="2:13" x14ac:dyDescent="0.25">
      <c r="B33" s="7"/>
      <c r="C33" s="19">
        <v>46</v>
      </c>
      <c r="D33" s="29">
        <v>33</v>
      </c>
      <c r="E33" s="19" t="s">
        <v>67</v>
      </c>
      <c r="F33" s="59" t="s">
        <v>130</v>
      </c>
      <c r="G33" s="62">
        <v>9468</v>
      </c>
      <c r="H33" s="95">
        <v>414</v>
      </c>
      <c r="I33" s="19">
        <v>111.3</v>
      </c>
      <c r="J33" s="67">
        <v>113.4</v>
      </c>
      <c r="K33" s="55">
        <f t="shared" si="0"/>
        <v>224.7</v>
      </c>
      <c r="L33" s="73">
        <f t="shared" si="1"/>
        <v>0.54275362318840581</v>
      </c>
      <c r="M33" s="11"/>
    </row>
    <row r="34" spans="2:13" x14ac:dyDescent="0.25">
      <c r="B34" s="7"/>
      <c r="C34" s="59">
        <v>47</v>
      </c>
      <c r="D34" s="61">
        <v>21</v>
      </c>
      <c r="E34" s="59" t="s">
        <v>68</v>
      </c>
      <c r="F34" s="59" t="s">
        <v>130</v>
      </c>
      <c r="G34" s="62" t="s">
        <v>353</v>
      </c>
      <c r="H34" s="95">
        <v>419</v>
      </c>
      <c r="I34" s="19">
        <v>123.1</v>
      </c>
      <c r="J34" s="67">
        <v>124.1</v>
      </c>
      <c r="K34" s="55">
        <f t="shared" si="0"/>
        <v>247.2</v>
      </c>
      <c r="L34" s="73">
        <f t="shared" si="1"/>
        <v>0.58997613365155133</v>
      </c>
      <c r="M34" s="11"/>
    </row>
    <row r="35" spans="2:13" x14ac:dyDescent="0.25">
      <c r="B35" s="7"/>
      <c r="C35" s="59">
        <v>48</v>
      </c>
      <c r="D35" s="61">
        <v>31</v>
      </c>
      <c r="E35" s="59" t="s">
        <v>67</v>
      </c>
      <c r="F35" s="59" t="s">
        <v>130</v>
      </c>
      <c r="G35" s="62" t="s">
        <v>354</v>
      </c>
      <c r="H35" s="95">
        <v>400</v>
      </c>
      <c r="I35" s="19">
        <v>107.6</v>
      </c>
      <c r="J35" s="67">
        <v>112.1</v>
      </c>
      <c r="K35" s="55">
        <f t="shared" si="0"/>
        <v>219.7</v>
      </c>
      <c r="L35" s="73">
        <f t="shared" si="1"/>
        <v>0.54925000000000002</v>
      </c>
      <c r="M35" s="11"/>
    </row>
    <row r="36" spans="2:13" x14ac:dyDescent="0.25">
      <c r="B36" s="7"/>
      <c r="C36" s="59">
        <v>49</v>
      </c>
      <c r="D36" s="61">
        <v>27</v>
      </c>
      <c r="E36" s="59" t="s">
        <v>67</v>
      </c>
      <c r="F36" s="59" t="s">
        <v>130</v>
      </c>
      <c r="G36" s="62">
        <v>9168</v>
      </c>
      <c r="H36" s="95">
        <v>406</v>
      </c>
      <c r="I36" s="19">
        <v>117.7</v>
      </c>
      <c r="J36" s="67">
        <v>119.1</v>
      </c>
      <c r="K36" s="55">
        <f t="shared" si="0"/>
        <v>236.8</v>
      </c>
      <c r="L36" s="73">
        <f t="shared" si="1"/>
        <v>0.58325123152709357</v>
      </c>
      <c r="M36" s="11"/>
    </row>
    <row r="37" spans="2:13" x14ac:dyDescent="0.25">
      <c r="B37" s="7"/>
      <c r="C37" s="59">
        <v>50</v>
      </c>
      <c r="D37" s="61">
        <v>34</v>
      </c>
      <c r="E37" s="59" t="s">
        <v>67</v>
      </c>
      <c r="F37" s="59" t="s">
        <v>130</v>
      </c>
      <c r="G37" s="62">
        <v>4418</v>
      </c>
      <c r="H37" s="95">
        <v>417</v>
      </c>
      <c r="I37" s="19">
        <v>112.1</v>
      </c>
      <c r="J37" s="67">
        <v>114.7</v>
      </c>
      <c r="K37" s="55">
        <f t="shared" si="0"/>
        <v>226.8</v>
      </c>
      <c r="L37" s="73">
        <f t="shared" si="1"/>
        <v>0.54388489208633095</v>
      </c>
      <c r="M37" s="11"/>
    </row>
    <row r="38" spans="2:13" x14ac:dyDescent="0.25">
      <c r="B38" s="7"/>
      <c r="C38" s="59">
        <v>51</v>
      </c>
      <c r="D38" s="61">
        <v>40</v>
      </c>
      <c r="E38" s="59" t="s">
        <v>67</v>
      </c>
      <c r="F38" s="59" t="s">
        <v>130</v>
      </c>
      <c r="G38" s="62">
        <v>8984</v>
      </c>
      <c r="H38" s="95">
        <v>406</v>
      </c>
      <c r="I38" s="19">
        <v>118.6</v>
      </c>
      <c r="J38" s="67">
        <v>119.8</v>
      </c>
      <c r="K38" s="55">
        <f t="shared" si="0"/>
        <v>238.39999999999998</v>
      </c>
      <c r="L38" s="73">
        <f t="shared" si="1"/>
        <v>0.58719211822660089</v>
      </c>
      <c r="M38" s="11"/>
    </row>
    <row r="39" spans="2:13" x14ac:dyDescent="0.25">
      <c r="B39" s="7"/>
      <c r="C39" s="59">
        <v>52</v>
      </c>
      <c r="D39" s="61">
        <v>36</v>
      </c>
      <c r="E39" s="59" t="s">
        <v>68</v>
      </c>
      <c r="F39" s="59" t="s">
        <v>130</v>
      </c>
      <c r="G39" s="62" t="s">
        <v>355</v>
      </c>
      <c r="H39" s="95">
        <v>415</v>
      </c>
      <c r="I39" s="19">
        <v>115</v>
      </c>
      <c r="J39" s="67">
        <v>117.1</v>
      </c>
      <c r="K39" s="55">
        <f t="shared" si="0"/>
        <v>232.1</v>
      </c>
      <c r="L39" s="73">
        <f t="shared" si="1"/>
        <v>0.5592771084337349</v>
      </c>
      <c r="M39" s="11"/>
    </row>
    <row r="40" spans="2:13" x14ac:dyDescent="0.25">
      <c r="B40" s="7"/>
      <c r="C40" s="19">
        <v>53</v>
      </c>
      <c r="D40" s="29">
        <v>39</v>
      </c>
      <c r="E40" s="19" t="s">
        <v>68</v>
      </c>
      <c r="F40" s="59" t="s">
        <v>130</v>
      </c>
      <c r="G40" s="62" t="s">
        <v>356</v>
      </c>
      <c r="H40" s="95">
        <v>420</v>
      </c>
      <c r="I40" s="19">
        <v>114.1</v>
      </c>
      <c r="J40" s="67">
        <v>114.2</v>
      </c>
      <c r="K40" s="55">
        <f t="shared" si="0"/>
        <v>228.3</v>
      </c>
      <c r="L40" s="73">
        <f t="shared" si="1"/>
        <v>0.54357142857142859</v>
      </c>
      <c r="M40" s="11"/>
    </row>
    <row r="41" spans="2:13" x14ac:dyDescent="0.25">
      <c r="B41" s="7"/>
      <c r="C41" s="19">
        <v>54</v>
      </c>
      <c r="D41" s="29">
        <v>35</v>
      </c>
      <c r="E41" s="19" t="s">
        <v>68</v>
      </c>
      <c r="F41" s="59" t="s">
        <v>130</v>
      </c>
      <c r="G41" s="20" t="s">
        <v>357</v>
      </c>
      <c r="H41" s="71">
        <v>405</v>
      </c>
      <c r="I41" s="19">
        <v>115.1</v>
      </c>
      <c r="J41" s="67">
        <v>118</v>
      </c>
      <c r="K41" s="55">
        <f t="shared" si="0"/>
        <v>233.1</v>
      </c>
      <c r="L41" s="73">
        <f t="shared" si="1"/>
        <v>0.57555555555555549</v>
      </c>
      <c r="M41" s="11"/>
    </row>
    <row r="42" spans="2:13" x14ac:dyDescent="0.25">
      <c r="B42" s="7"/>
      <c r="C42" s="19">
        <v>55</v>
      </c>
      <c r="D42" s="61">
        <v>26</v>
      </c>
      <c r="E42" s="59" t="s">
        <v>67</v>
      </c>
      <c r="F42" s="59" t="s">
        <v>130</v>
      </c>
      <c r="G42" s="20" t="s">
        <v>358</v>
      </c>
      <c r="H42" s="71">
        <v>413</v>
      </c>
      <c r="I42" s="19">
        <v>110.6</v>
      </c>
      <c r="J42" s="67">
        <v>111.6</v>
      </c>
      <c r="K42" s="55">
        <f t="shared" si="0"/>
        <v>222.2</v>
      </c>
      <c r="L42" s="73">
        <f t="shared" si="1"/>
        <v>0.53801452784503634</v>
      </c>
      <c r="M42" s="11"/>
    </row>
    <row r="43" spans="2:13" x14ac:dyDescent="0.25">
      <c r="B43" s="7"/>
      <c r="C43" s="19">
        <v>56</v>
      </c>
      <c r="D43" s="61">
        <v>32</v>
      </c>
      <c r="E43" s="59" t="s">
        <v>68</v>
      </c>
      <c r="F43" s="59" t="s">
        <v>130</v>
      </c>
      <c r="G43" s="20">
        <v>6656</v>
      </c>
      <c r="H43" s="71">
        <v>414</v>
      </c>
      <c r="I43" s="19">
        <v>115.5</v>
      </c>
      <c r="J43" s="67">
        <v>116.8</v>
      </c>
      <c r="K43" s="55">
        <f t="shared" si="0"/>
        <v>232.3</v>
      </c>
      <c r="L43" s="73">
        <f t="shared" si="1"/>
        <v>0.56111111111111112</v>
      </c>
      <c r="M43" s="11"/>
    </row>
    <row r="44" spans="2:13" x14ac:dyDescent="0.25">
      <c r="B44" s="7"/>
      <c r="C44" s="19">
        <v>57</v>
      </c>
      <c r="D44" s="61">
        <v>37</v>
      </c>
      <c r="E44" s="59" t="s">
        <v>67</v>
      </c>
      <c r="F44" s="59" t="s">
        <v>130</v>
      </c>
      <c r="G44" s="20" t="s">
        <v>359</v>
      </c>
      <c r="H44" s="71">
        <v>408</v>
      </c>
      <c r="I44" s="19">
        <v>113.5</v>
      </c>
      <c r="J44" s="67">
        <v>114.1</v>
      </c>
      <c r="K44" s="55">
        <f t="shared" si="0"/>
        <v>227.6</v>
      </c>
      <c r="L44" s="73">
        <f t="shared" si="1"/>
        <v>0.55784313725490198</v>
      </c>
      <c r="M44" s="11"/>
    </row>
    <row r="45" spans="2:13" x14ac:dyDescent="0.25">
      <c r="B45" s="7"/>
      <c r="C45" s="19">
        <v>58</v>
      </c>
      <c r="D45" s="61">
        <v>22</v>
      </c>
      <c r="E45" s="59" t="s">
        <v>68</v>
      </c>
      <c r="F45" s="59" t="s">
        <v>130</v>
      </c>
      <c r="G45" s="20" t="s">
        <v>360</v>
      </c>
      <c r="H45" s="71">
        <v>412</v>
      </c>
      <c r="I45" s="19">
        <v>114.5</v>
      </c>
      <c r="J45" s="67">
        <v>113.9</v>
      </c>
      <c r="K45" s="55">
        <f t="shared" si="0"/>
        <v>228.4</v>
      </c>
      <c r="L45" s="73">
        <f t="shared" si="1"/>
        <v>0.55436893203883497</v>
      </c>
      <c r="M45" s="11"/>
    </row>
    <row r="46" spans="2:13" x14ac:dyDescent="0.25">
      <c r="B46" s="7"/>
      <c r="C46" s="19">
        <v>59</v>
      </c>
      <c r="D46" s="61">
        <v>25</v>
      </c>
      <c r="E46" s="59" t="s">
        <v>67</v>
      </c>
      <c r="F46" s="59" t="s">
        <v>62</v>
      </c>
      <c r="G46" s="20">
        <v>8725</v>
      </c>
      <c r="H46" s="71">
        <v>354</v>
      </c>
      <c r="I46" s="19">
        <v>95.5</v>
      </c>
      <c r="J46" s="67">
        <v>96.3</v>
      </c>
      <c r="K46" s="55">
        <f t="shared" si="0"/>
        <v>191.8</v>
      </c>
      <c r="L46" s="73">
        <f t="shared" si="1"/>
        <v>0.54180790960451986</v>
      </c>
      <c r="M46" s="11"/>
    </row>
    <row r="47" spans="2:13" x14ac:dyDescent="0.25">
      <c r="B47" s="7"/>
      <c r="C47" s="19">
        <v>60</v>
      </c>
      <c r="D47" s="29">
        <v>23</v>
      </c>
      <c r="E47" s="19" t="s">
        <v>67</v>
      </c>
      <c r="F47" s="59" t="s">
        <v>62</v>
      </c>
      <c r="G47" s="20" t="s">
        <v>361</v>
      </c>
      <c r="H47" s="71">
        <v>371</v>
      </c>
      <c r="I47" s="19">
        <v>95.6</v>
      </c>
      <c r="J47" s="67">
        <v>96.2</v>
      </c>
      <c r="K47" s="55">
        <f t="shared" si="0"/>
        <v>191.8</v>
      </c>
      <c r="L47" s="73">
        <f t="shared" si="1"/>
        <v>0.51698113207547169</v>
      </c>
      <c r="M47" s="11"/>
    </row>
    <row r="48" spans="2:13" x14ac:dyDescent="0.25">
      <c r="B48" s="7"/>
      <c r="C48" s="19">
        <v>61</v>
      </c>
      <c r="D48" s="29">
        <v>29</v>
      </c>
      <c r="E48" s="19" t="s">
        <v>67</v>
      </c>
      <c r="F48" s="59" t="s">
        <v>130</v>
      </c>
      <c r="G48" s="20">
        <v>8536</v>
      </c>
      <c r="H48" s="71">
        <v>405</v>
      </c>
      <c r="I48" s="19">
        <v>110.4</v>
      </c>
      <c r="J48" s="67">
        <v>111.5</v>
      </c>
      <c r="K48" s="55">
        <f t="shared" si="0"/>
        <v>221.9</v>
      </c>
      <c r="L48" s="73">
        <f t="shared" si="1"/>
        <v>0.5479012345679013</v>
      </c>
      <c r="M48" s="11"/>
    </row>
    <row r="49" spans="2:13" x14ac:dyDescent="0.25">
      <c r="B49" s="7"/>
      <c r="C49" s="19">
        <v>62</v>
      </c>
      <c r="D49" s="85">
        <v>28</v>
      </c>
      <c r="E49" s="89" t="s">
        <v>67</v>
      </c>
      <c r="F49" s="86" t="s">
        <v>130</v>
      </c>
      <c r="G49" s="20" t="s">
        <v>362</v>
      </c>
      <c r="H49" s="71">
        <v>418</v>
      </c>
      <c r="I49" s="19">
        <v>117.1</v>
      </c>
      <c r="J49" s="67">
        <v>117.3</v>
      </c>
      <c r="K49" s="55">
        <f t="shared" si="0"/>
        <v>234.39999999999998</v>
      </c>
      <c r="L49" s="73">
        <f t="shared" si="1"/>
        <v>0.56076555023923436</v>
      </c>
      <c r="M49" s="11"/>
    </row>
    <row r="50" spans="2:13" x14ac:dyDescent="0.25">
      <c r="B50" s="7"/>
      <c r="C50" s="19">
        <v>63</v>
      </c>
      <c r="D50" s="85">
        <v>30</v>
      </c>
      <c r="E50" s="89" t="s">
        <v>67</v>
      </c>
      <c r="F50" s="86" t="s">
        <v>130</v>
      </c>
      <c r="G50" s="20">
        <v>9256</v>
      </c>
      <c r="H50" s="71">
        <v>410</v>
      </c>
      <c r="I50" s="19">
        <v>113.7</v>
      </c>
      <c r="J50" s="67">
        <v>114.8</v>
      </c>
      <c r="K50" s="55">
        <f t="shared" si="0"/>
        <v>228.5</v>
      </c>
      <c r="L50" s="73">
        <f t="shared" si="1"/>
        <v>0.55731707317073176</v>
      </c>
      <c r="M50" s="11"/>
    </row>
    <row r="51" spans="2:13" x14ac:dyDescent="0.25">
      <c r="B51" s="7"/>
      <c r="C51" s="29"/>
      <c r="D51" s="85"/>
      <c r="E51" s="85"/>
      <c r="F51" s="87"/>
      <c r="G51" s="20"/>
      <c r="H51" s="71"/>
      <c r="I51" s="29"/>
      <c r="J51" s="79"/>
      <c r="K51" s="55">
        <f t="shared" si="0"/>
        <v>0</v>
      </c>
      <c r="L51" s="73" t="e">
        <f t="shared" si="1"/>
        <v>#DIV/0!</v>
      </c>
      <c r="M51" s="11"/>
    </row>
    <row r="52" spans="2:13" x14ac:dyDescent="0.25">
      <c r="B52" s="7"/>
      <c r="C52" s="19"/>
      <c r="D52" s="85"/>
      <c r="E52" s="89"/>
      <c r="F52" s="89"/>
      <c r="G52" s="88"/>
      <c r="H52" s="81"/>
      <c r="I52" s="54"/>
      <c r="J52" s="54"/>
      <c r="K52" s="55">
        <f t="shared" si="0"/>
        <v>0</v>
      </c>
      <c r="L52" s="73" t="e">
        <f t="shared" si="1"/>
        <v>#DIV/0!</v>
      </c>
      <c r="M52" s="11"/>
    </row>
    <row r="53" spans="2:13" x14ac:dyDescent="0.25">
      <c r="B53" s="7"/>
      <c r="C53" s="19"/>
      <c r="D53" s="90"/>
      <c r="E53" s="91"/>
      <c r="F53" s="91"/>
      <c r="G53" s="92"/>
      <c r="H53" s="96"/>
      <c r="I53" s="82"/>
      <c r="J53" s="37"/>
      <c r="K53" s="55">
        <f t="shared" si="0"/>
        <v>0</v>
      </c>
      <c r="L53" s="73" t="e">
        <f t="shared" si="1"/>
        <v>#DIV/0!</v>
      </c>
      <c r="M53" s="11"/>
    </row>
    <row r="54" spans="2:13" x14ac:dyDescent="0.25">
      <c r="B54" s="7"/>
      <c r="C54" s="19"/>
      <c r="D54" s="85"/>
      <c r="E54" s="89"/>
      <c r="F54" s="89"/>
      <c r="G54" s="20"/>
      <c r="H54" s="81"/>
      <c r="I54" s="54"/>
      <c r="J54" s="52"/>
      <c r="K54" s="55">
        <f t="shared" si="0"/>
        <v>0</v>
      </c>
      <c r="L54" s="73" t="e">
        <f t="shared" si="1"/>
        <v>#DIV/0!</v>
      </c>
      <c r="M54" s="11"/>
    </row>
    <row r="55" spans="2:13" ht="15.75" thickBot="1" x14ac:dyDescent="0.3">
      <c r="B55" s="7"/>
      <c r="C55" s="19"/>
      <c r="D55" s="85"/>
      <c r="E55" s="89"/>
      <c r="F55" s="89"/>
      <c r="G55" s="20"/>
      <c r="H55" s="71"/>
      <c r="I55" s="54"/>
      <c r="J55" s="52"/>
      <c r="K55" s="55">
        <f t="shared" si="0"/>
        <v>0</v>
      </c>
      <c r="L55" s="73" t="e">
        <f t="shared" si="1"/>
        <v>#DIV/0!</v>
      </c>
      <c r="M55" s="11"/>
    </row>
    <row r="56" spans="2:13" ht="15.75" thickBot="1" x14ac:dyDescent="0.3">
      <c r="B56" s="7"/>
      <c r="C56" s="105"/>
      <c r="D56" s="75">
        <f>+COUNT($D$11:$D$55)</f>
        <v>40</v>
      </c>
      <c r="E56" s="105"/>
      <c r="F56" s="105"/>
      <c r="G56" s="69"/>
      <c r="H56" s="56">
        <f>SUM($H$11:$H$55)</f>
        <v>16040</v>
      </c>
      <c r="I56" s="57">
        <f>SUM($I$11:$I$55)</f>
        <v>4447.2</v>
      </c>
      <c r="J56" s="70">
        <f>SUM($J$11:$J$55)</f>
        <v>4498.8999999999996</v>
      </c>
      <c r="K56" s="72">
        <f>SUM($K$11:$K$55)</f>
        <v>8946.1</v>
      </c>
      <c r="L56" s="74">
        <f t="shared" si="1"/>
        <v>0.5577369077306733</v>
      </c>
      <c r="M56" s="11"/>
    </row>
    <row r="57" spans="2:13" ht="15.75" thickBot="1" x14ac:dyDescent="0.3">
      <c r="B57" s="41"/>
      <c r="C57" s="42"/>
      <c r="D57" s="42"/>
      <c r="E57" s="42"/>
      <c r="F57" s="42"/>
      <c r="G57" s="43"/>
      <c r="H57" s="42"/>
      <c r="I57" s="43"/>
      <c r="J57" s="42"/>
      <c r="K57" s="42"/>
      <c r="L57" s="42"/>
      <c r="M57" s="44"/>
    </row>
    <row r="58" spans="2:13" ht="16.5" thickTop="1" thickBot="1" x14ac:dyDescent="0.3">
      <c r="B58" s="4"/>
      <c r="C58" s="4"/>
      <c r="D58" s="4"/>
      <c r="E58" s="4"/>
      <c r="F58" s="4"/>
      <c r="G58" s="5"/>
      <c r="H58" s="4"/>
      <c r="I58" s="5"/>
      <c r="J58" s="4"/>
      <c r="K58" s="4"/>
      <c r="L58" s="4"/>
      <c r="M58" s="4"/>
    </row>
    <row r="59" spans="2:13" ht="16.5" thickTop="1" thickBot="1" x14ac:dyDescent="0.3">
      <c r="B59" s="3"/>
      <c r="C59" s="4"/>
      <c r="D59" s="4"/>
      <c r="E59" s="4"/>
      <c r="F59" s="4"/>
      <c r="G59" s="5"/>
      <c r="H59" s="4"/>
      <c r="I59" s="5"/>
      <c r="J59" s="4"/>
      <c r="K59" s="4"/>
      <c r="L59" s="4"/>
      <c r="M59" s="6"/>
    </row>
    <row r="60" spans="2:13" ht="15.75" thickBot="1" x14ac:dyDescent="0.3">
      <c r="B60" s="7"/>
      <c r="F60" s="30" t="s">
        <v>12</v>
      </c>
      <c r="G60" s="31" t="s">
        <v>32</v>
      </c>
      <c r="H60" s="51" t="s">
        <v>30</v>
      </c>
      <c r="I60" s="75" t="s">
        <v>54</v>
      </c>
      <c r="J60" s="75" t="s">
        <v>53</v>
      </c>
      <c r="M60" s="11"/>
    </row>
    <row r="61" spans="2:13" x14ac:dyDescent="0.25">
      <c r="B61" s="7"/>
      <c r="F61" s="32" t="s">
        <v>59</v>
      </c>
      <c r="G61" s="97">
        <v>105.80000000000001</v>
      </c>
      <c r="H61" s="97">
        <v>101.01999999999998</v>
      </c>
      <c r="I61" s="76"/>
      <c r="J61" s="84"/>
      <c r="M61" s="11"/>
    </row>
    <row r="62" spans="2:13" x14ac:dyDescent="0.25">
      <c r="B62" s="7"/>
      <c r="F62" s="33" t="s">
        <v>15</v>
      </c>
      <c r="G62" s="76">
        <v>40</v>
      </c>
      <c r="H62" s="76">
        <v>67.2</v>
      </c>
      <c r="I62" s="76"/>
      <c r="J62" s="21"/>
      <c r="M62" s="11"/>
    </row>
    <row r="63" spans="2:13" x14ac:dyDescent="0.25">
      <c r="B63" s="7"/>
      <c r="F63" s="22" t="s">
        <v>13</v>
      </c>
      <c r="G63" s="76">
        <v>33</v>
      </c>
      <c r="H63" s="76">
        <v>186.9</v>
      </c>
      <c r="I63" s="76">
        <v>7</v>
      </c>
      <c r="J63" s="21">
        <v>43.88</v>
      </c>
      <c r="M63" s="11"/>
    </row>
    <row r="64" spans="2:13" x14ac:dyDescent="0.25">
      <c r="B64" s="7"/>
      <c r="F64" s="22" t="s">
        <v>16</v>
      </c>
      <c r="G64" s="76">
        <v>40</v>
      </c>
      <c r="H64" s="76">
        <v>43.099999999999994</v>
      </c>
      <c r="I64" s="76"/>
      <c r="J64" s="21"/>
      <c r="M64" s="11"/>
    </row>
    <row r="65" spans="2:13" x14ac:dyDescent="0.25">
      <c r="B65" s="7"/>
      <c r="F65" s="33" t="s">
        <v>60</v>
      </c>
      <c r="G65" s="76">
        <f>22.98+14.06</f>
        <v>37.04</v>
      </c>
      <c r="H65" s="76">
        <v>36.1</v>
      </c>
      <c r="I65" s="76"/>
      <c r="J65" s="21"/>
      <c r="M65" s="11"/>
    </row>
    <row r="66" spans="2:13" x14ac:dyDescent="0.25">
      <c r="B66" s="7"/>
      <c r="F66" s="33" t="s">
        <v>14</v>
      </c>
      <c r="G66" s="76">
        <v>80</v>
      </c>
      <c r="H66" s="76">
        <v>38.54</v>
      </c>
      <c r="I66" s="76"/>
      <c r="J66" s="21"/>
      <c r="M66" s="11"/>
    </row>
    <row r="67" spans="2:13" x14ac:dyDescent="0.25">
      <c r="B67" s="7"/>
      <c r="F67" s="22" t="s">
        <v>20</v>
      </c>
      <c r="G67" s="76">
        <v>160</v>
      </c>
      <c r="H67" s="76">
        <v>22.12</v>
      </c>
      <c r="I67" s="76"/>
      <c r="J67" s="21"/>
      <c r="M67" s="11"/>
    </row>
    <row r="68" spans="2:13" x14ac:dyDescent="0.25">
      <c r="B68" s="7"/>
      <c r="F68" s="33" t="s">
        <v>17</v>
      </c>
      <c r="G68" s="76">
        <v>40</v>
      </c>
      <c r="H68" s="76">
        <v>33.68</v>
      </c>
      <c r="I68" s="76"/>
      <c r="J68" s="21"/>
      <c r="M68" s="11"/>
    </row>
    <row r="69" spans="2:13" x14ac:dyDescent="0.25">
      <c r="B69" s="7"/>
      <c r="F69" s="33" t="s">
        <v>61</v>
      </c>
      <c r="G69" s="76">
        <v>40</v>
      </c>
      <c r="H69" s="76">
        <v>32.340000000000003</v>
      </c>
      <c r="I69" s="76"/>
      <c r="J69" s="21"/>
      <c r="M69" s="11"/>
    </row>
    <row r="70" spans="2:13" x14ac:dyDescent="0.25">
      <c r="B70" s="7"/>
      <c r="F70" s="33" t="s">
        <v>48</v>
      </c>
      <c r="G70" s="76">
        <v>54.72</v>
      </c>
      <c r="H70" s="76">
        <v>51.78</v>
      </c>
      <c r="I70" s="76"/>
      <c r="J70" s="21"/>
      <c r="M70" s="11"/>
    </row>
    <row r="71" spans="2:13" x14ac:dyDescent="0.25">
      <c r="B71" s="7"/>
      <c r="F71" s="22" t="s">
        <v>19</v>
      </c>
      <c r="G71" s="76">
        <v>40</v>
      </c>
      <c r="H71" s="76">
        <v>37.58</v>
      </c>
      <c r="I71" s="76"/>
      <c r="J71" s="21"/>
      <c r="M71" s="11"/>
    </row>
    <row r="72" spans="2:13" x14ac:dyDescent="0.25">
      <c r="B72" s="7"/>
      <c r="F72" s="22" t="s">
        <v>18</v>
      </c>
      <c r="G72" s="76">
        <v>40</v>
      </c>
      <c r="H72" s="21">
        <v>13</v>
      </c>
      <c r="I72" s="76"/>
      <c r="J72" s="21"/>
      <c r="M72" s="11"/>
    </row>
    <row r="73" spans="2:13" ht="15.75" thickBot="1" x14ac:dyDescent="0.3">
      <c r="B73" s="7"/>
      <c r="F73" s="33" t="s">
        <v>49</v>
      </c>
      <c r="G73" s="76">
        <v>18.399999999999999</v>
      </c>
      <c r="H73" s="76">
        <v>17.28</v>
      </c>
      <c r="I73" s="76"/>
      <c r="J73" s="21"/>
      <c r="M73" s="11"/>
    </row>
    <row r="74" spans="2:13" ht="15.75" thickBot="1" x14ac:dyDescent="0.3">
      <c r="B74" s="7"/>
      <c r="F74" s="39" t="s">
        <v>21</v>
      </c>
      <c r="G74" s="23"/>
      <c r="H74" s="23">
        <f>SUM(H61:H73)</f>
        <v>680.6400000000001</v>
      </c>
      <c r="I74" s="80">
        <f>SUM(I61:I73)</f>
        <v>7</v>
      </c>
      <c r="J74" s="23">
        <f>SUM(J61:J73)</f>
        <v>43.88</v>
      </c>
      <c r="M74" s="11"/>
    </row>
    <row r="75" spans="2:13" ht="15.75" thickBot="1" x14ac:dyDescent="0.3">
      <c r="B75" s="41"/>
      <c r="C75" s="42"/>
      <c r="D75" s="42"/>
      <c r="E75" s="42"/>
      <c r="F75" s="42"/>
      <c r="G75" s="43"/>
      <c r="H75" s="42"/>
      <c r="I75" s="43"/>
      <c r="J75" s="42"/>
      <c r="K75" s="42"/>
      <c r="L75" s="42"/>
      <c r="M75" s="44"/>
    </row>
    <row r="76" spans="2:13" ht="16.5" thickTop="1" thickBot="1" x14ac:dyDescent="0.3">
      <c r="B76" s="7"/>
      <c r="F76" s="24"/>
      <c r="G76" s="25"/>
      <c r="H76" s="24"/>
      <c r="I76" s="25"/>
      <c r="M76" s="11"/>
    </row>
    <row r="77" spans="2:13" ht="15.75" thickBot="1" x14ac:dyDescent="0.3">
      <c r="B77" s="7"/>
      <c r="F77" s="34" t="s">
        <v>22</v>
      </c>
      <c r="G77" s="35" t="s">
        <v>33</v>
      </c>
      <c r="H77" s="36" t="s">
        <v>31</v>
      </c>
      <c r="M77" s="11"/>
    </row>
    <row r="78" spans="2:13" x14ac:dyDescent="0.25">
      <c r="B78" s="7"/>
      <c r="F78" s="33" t="s">
        <v>23</v>
      </c>
      <c r="G78" s="38"/>
      <c r="H78" s="21"/>
      <c r="M78" s="11"/>
    </row>
    <row r="79" spans="2:13" x14ac:dyDescent="0.25">
      <c r="B79" s="7"/>
      <c r="F79" s="33" t="s">
        <v>24</v>
      </c>
      <c r="G79" s="37">
        <f>+D56</f>
        <v>40</v>
      </c>
      <c r="H79" s="21"/>
      <c r="M79" s="11"/>
    </row>
    <row r="80" spans="2:13" x14ac:dyDescent="0.25">
      <c r="B80" s="7"/>
      <c r="F80" s="22" t="s">
        <v>34</v>
      </c>
      <c r="G80" s="38"/>
      <c r="H80" s="21"/>
      <c r="M80" s="11"/>
    </row>
    <row r="81" spans="2:13" x14ac:dyDescent="0.25">
      <c r="B81" s="7"/>
      <c r="F81" s="22" t="s">
        <v>35</v>
      </c>
      <c r="G81" s="38"/>
      <c r="H81" s="21"/>
      <c r="M81" s="11"/>
    </row>
    <row r="82" spans="2:13" ht="15.75" thickBot="1" x14ac:dyDescent="0.3">
      <c r="B82" s="7"/>
      <c r="F82" s="22" t="s">
        <v>29</v>
      </c>
      <c r="G82" s="37"/>
      <c r="H82" s="21"/>
      <c r="M82" s="11"/>
    </row>
    <row r="83" spans="2:13" ht="15.75" thickBot="1" x14ac:dyDescent="0.3">
      <c r="B83" s="7"/>
      <c r="F83" s="39" t="s">
        <v>21</v>
      </c>
      <c r="G83" s="40"/>
      <c r="H83" s="23">
        <f>SUM(H78:H82)</f>
        <v>0</v>
      </c>
      <c r="M83" s="11"/>
    </row>
    <row r="84" spans="2:13" ht="15.75" thickBot="1" x14ac:dyDescent="0.3">
      <c r="B84" s="41"/>
      <c r="C84" s="42"/>
      <c r="D84" s="42"/>
      <c r="E84" s="42"/>
      <c r="F84" s="42"/>
      <c r="G84" s="43"/>
      <c r="H84" s="42"/>
      <c r="I84" s="43"/>
      <c r="J84" s="42"/>
      <c r="K84" s="42"/>
      <c r="L84" s="42"/>
      <c r="M84" s="44"/>
    </row>
    <row r="85" spans="2:13" ht="15.75" thickTop="1" x14ac:dyDescent="0.25">
      <c r="H85" s="49"/>
    </row>
  </sheetData>
  <mergeCells count="2">
    <mergeCell ref="J7:L7"/>
    <mergeCell ref="J8:L8"/>
  </mergeCells>
  <conditionalFormatting sqref="L11:L55">
    <cfRule type="cellIs" dxfId="94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P85"/>
  <sheetViews>
    <sheetView zoomScaleNormal="100" workbookViewId="0">
      <selection activeCell="G7" sqref="G7"/>
    </sheetView>
  </sheetViews>
  <sheetFormatPr baseColWidth="10" defaultColWidth="12.42578125" defaultRowHeight="15" x14ac:dyDescent="0.25"/>
  <cols>
    <col min="1" max="1" width="4" style="1" customWidth="1"/>
    <col min="2" max="2" width="3.7109375" style="1" customWidth="1"/>
    <col min="3" max="3" width="8.5703125" style="1" bestFit="1" customWidth="1"/>
    <col min="4" max="4" width="9" style="1" customWidth="1"/>
    <col min="5" max="5" width="5.7109375" style="1" bestFit="1" customWidth="1"/>
    <col min="6" max="6" width="29.85546875" style="1" bestFit="1" customWidth="1"/>
    <col min="7" max="7" width="17.42578125" style="2" customWidth="1"/>
    <col min="8" max="8" width="12.7109375" style="1" customWidth="1"/>
    <col min="9" max="9" width="12.7109375" style="2" customWidth="1"/>
    <col min="10" max="11" width="12.7109375" style="1" customWidth="1"/>
    <col min="12" max="12" width="12.42578125" style="1"/>
    <col min="13" max="13" width="3.7109375" style="1" customWidth="1"/>
    <col min="14" max="14" width="12.42578125" style="1"/>
    <col min="15" max="15" width="2" style="1" bestFit="1" customWidth="1"/>
    <col min="16" max="16" width="17.140625" style="1" bestFit="1" customWidth="1"/>
    <col min="17" max="16384" width="12.42578125" style="1"/>
  </cols>
  <sheetData>
    <row r="1" spans="2:16" ht="15.75" thickBot="1" x14ac:dyDescent="0.3"/>
    <row r="2" spans="2:16" ht="16.5" thickTop="1" thickBot="1" x14ac:dyDescent="0.3">
      <c r="B2" s="3"/>
      <c r="C2" s="4"/>
      <c r="D2" s="4"/>
      <c r="E2" s="4"/>
      <c r="F2" s="4"/>
      <c r="G2" s="5"/>
      <c r="H2" s="4"/>
      <c r="I2" s="5"/>
      <c r="J2" s="4"/>
      <c r="K2" s="4"/>
      <c r="L2" s="4"/>
      <c r="M2" s="6"/>
    </row>
    <row r="3" spans="2:16" ht="21.75" thickBot="1" x14ac:dyDescent="0.3">
      <c r="B3" s="7"/>
      <c r="F3" s="8" t="s">
        <v>0</v>
      </c>
      <c r="G3" s="9">
        <f>+H56</f>
        <v>10198</v>
      </c>
      <c r="H3" s="10"/>
      <c r="I3" s="46" t="s">
        <v>28</v>
      </c>
      <c r="M3" s="11"/>
    </row>
    <row r="4" spans="2:16" ht="21.75" thickBot="1" x14ac:dyDescent="0.3">
      <c r="B4" s="7"/>
      <c r="F4" s="8" t="s">
        <v>1</v>
      </c>
      <c r="G4" s="9">
        <f>+K56</f>
        <v>5797.4</v>
      </c>
      <c r="H4" s="10"/>
      <c r="I4" s="47">
        <f>+L56</f>
        <v>0.56848401647381841</v>
      </c>
      <c r="M4" s="11"/>
    </row>
    <row r="5" spans="2:16" ht="21.75" thickBot="1" x14ac:dyDescent="0.3">
      <c r="B5" s="7"/>
      <c r="F5" s="8" t="s">
        <v>2</v>
      </c>
      <c r="G5" s="12">
        <v>46030</v>
      </c>
      <c r="H5" s="10"/>
      <c r="I5" s="58" t="s">
        <v>36</v>
      </c>
      <c r="M5" s="11"/>
    </row>
    <row r="6" spans="2:16" ht="21.75" thickBot="1" x14ac:dyDescent="0.3">
      <c r="B6" s="7"/>
      <c r="F6" s="8" t="s">
        <v>3</v>
      </c>
      <c r="G6" s="65">
        <v>14</v>
      </c>
      <c r="H6" s="10"/>
      <c r="I6" s="63">
        <f>+K56/G7</f>
        <v>165.64</v>
      </c>
      <c r="M6" s="11"/>
    </row>
    <row r="7" spans="2:16" ht="21.75" thickBot="1" x14ac:dyDescent="0.3">
      <c r="B7" s="7"/>
      <c r="F7" s="8" t="s">
        <v>4</v>
      </c>
      <c r="G7" s="48">
        <f>+D56</f>
        <v>35</v>
      </c>
      <c r="H7" s="10"/>
      <c r="I7" s="103" t="s">
        <v>38</v>
      </c>
      <c r="J7" s="338" t="s">
        <v>396</v>
      </c>
      <c r="K7" s="338"/>
      <c r="L7" s="339"/>
      <c r="M7" s="11"/>
    </row>
    <row r="8" spans="2:16" ht="21.75" thickBot="1" x14ac:dyDescent="0.3">
      <c r="B8" s="7"/>
      <c r="F8" s="101"/>
      <c r="G8" s="102"/>
      <c r="H8" s="10"/>
      <c r="I8" s="103" t="s">
        <v>88</v>
      </c>
      <c r="J8" s="338" t="s">
        <v>395</v>
      </c>
      <c r="K8" s="338"/>
      <c r="L8" s="339"/>
      <c r="M8" s="11"/>
    </row>
    <row r="9" spans="2:16" ht="15.75" thickBot="1" x14ac:dyDescent="0.3">
      <c r="B9" s="7"/>
      <c r="M9" s="11"/>
    </row>
    <row r="10" spans="2:16" s="18" customFormat="1" ht="45.75" thickBot="1" x14ac:dyDescent="0.3">
      <c r="B10" s="13"/>
      <c r="C10" s="27" t="s">
        <v>9</v>
      </c>
      <c r="D10" s="26" t="s">
        <v>5</v>
      </c>
      <c r="E10" s="99" t="s">
        <v>63</v>
      </c>
      <c r="F10" s="14" t="s">
        <v>6</v>
      </c>
      <c r="G10" s="16" t="s">
        <v>7</v>
      </c>
      <c r="H10" s="45" t="s">
        <v>26</v>
      </c>
      <c r="I10" s="15" t="s">
        <v>10</v>
      </c>
      <c r="J10" s="27" t="s">
        <v>11</v>
      </c>
      <c r="K10" s="45" t="s">
        <v>25</v>
      </c>
      <c r="L10" s="50" t="s">
        <v>27</v>
      </c>
      <c r="M10" s="17"/>
    </row>
    <row r="11" spans="2:16" x14ac:dyDescent="0.25">
      <c r="B11" s="7"/>
      <c r="C11" s="28">
        <v>1</v>
      </c>
      <c r="D11" s="28">
        <v>6</v>
      </c>
      <c r="E11" s="19" t="s">
        <v>75</v>
      </c>
      <c r="F11" s="59" t="s">
        <v>62</v>
      </c>
      <c r="G11" s="60" t="s">
        <v>364</v>
      </c>
      <c r="H11" s="94">
        <v>284</v>
      </c>
      <c r="I11" s="66">
        <v>78.2</v>
      </c>
      <c r="J11" s="67">
        <v>78.400000000000006</v>
      </c>
      <c r="K11" s="53">
        <f t="shared" ref="K11:K55" si="0">+I11+J11</f>
        <v>156.60000000000002</v>
      </c>
      <c r="L11" s="73">
        <f t="shared" ref="L11:L56" si="1">+K11/H11</f>
        <v>0.55140845070422539</v>
      </c>
      <c r="M11" s="11"/>
      <c r="N11" s="64" t="s">
        <v>42</v>
      </c>
      <c r="O11" s="1">
        <f>+COUNTIF($F$11:$F$55,"NOVILLITO (NT)")</f>
        <v>0</v>
      </c>
      <c r="P11" s="59" t="s">
        <v>8</v>
      </c>
    </row>
    <row r="12" spans="2:16" x14ac:dyDescent="0.25">
      <c r="B12" s="7"/>
      <c r="C12" s="29">
        <v>2</v>
      </c>
      <c r="D12" s="29">
        <v>10</v>
      </c>
      <c r="E12" s="19" t="s">
        <v>75</v>
      </c>
      <c r="F12" s="59" t="s">
        <v>62</v>
      </c>
      <c r="G12" s="62" t="s">
        <v>365</v>
      </c>
      <c r="H12" s="95">
        <v>271</v>
      </c>
      <c r="I12" s="19">
        <v>75.5</v>
      </c>
      <c r="J12" s="67">
        <v>76.3</v>
      </c>
      <c r="K12" s="55">
        <f t="shared" si="0"/>
        <v>151.80000000000001</v>
      </c>
      <c r="L12" s="73">
        <f t="shared" si="1"/>
        <v>0.56014760147601483</v>
      </c>
      <c r="M12" s="11"/>
      <c r="N12" s="64" t="s">
        <v>40</v>
      </c>
      <c r="O12" s="1">
        <f>+COUNTIF($F$11:$F$56,"VAQUILLONA (Vq)")</f>
        <v>0</v>
      </c>
      <c r="P12" s="59" t="s">
        <v>37</v>
      </c>
    </row>
    <row r="13" spans="2:16" x14ac:dyDescent="0.25">
      <c r="B13" s="7"/>
      <c r="C13" s="29">
        <v>3</v>
      </c>
      <c r="D13" s="29">
        <v>5</v>
      </c>
      <c r="E13" s="19" t="s">
        <v>75</v>
      </c>
      <c r="F13" s="59" t="s">
        <v>62</v>
      </c>
      <c r="G13" s="62" t="s">
        <v>366</v>
      </c>
      <c r="H13" s="95">
        <v>269</v>
      </c>
      <c r="I13" s="19">
        <v>76.7</v>
      </c>
      <c r="J13" s="67">
        <v>77.599999999999994</v>
      </c>
      <c r="K13" s="55">
        <f t="shared" si="0"/>
        <v>154.30000000000001</v>
      </c>
      <c r="L13" s="73">
        <f t="shared" si="1"/>
        <v>0.57360594795539033</v>
      </c>
      <c r="M13" s="11"/>
      <c r="N13" s="64" t="s">
        <v>44</v>
      </c>
      <c r="O13" s="1">
        <f>+COUNTIF($F$11:$F$56,"TORITO (MEJ)")</f>
        <v>0</v>
      </c>
      <c r="P13" s="59" t="s">
        <v>43</v>
      </c>
    </row>
    <row r="14" spans="2:16" x14ac:dyDescent="0.25">
      <c r="B14" s="7"/>
      <c r="C14" s="29">
        <v>4</v>
      </c>
      <c r="D14" s="29">
        <v>12</v>
      </c>
      <c r="E14" s="19" t="s">
        <v>75</v>
      </c>
      <c r="F14" s="59" t="s">
        <v>62</v>
      </c>
      <c r="G14" s="62" t="s">
        <v>367</v>
      </c>
      <c r="H14" s="95">
        <v>274</v>
      </c>
      <c r="I14" s="19">
        <v>77.099999999999994</v>
      </c>
      <c r="J14" s="67">
        <v>77.900000000000006</v>
      </c>
      <c r="K14" s="55">
        <f t="shared" si="0"/>
        <v>155</v>
      </c>
      <c r="L14" s="73">
        <f t="shared" si="1"/>
        <v>0.56569343065693434</v>
      </c>
      <c r="M14" s="11"/>
      <c r="N14" s="78" t="s">
        <v>45</v>
      </c>
      <c r="O14" s="1">
        <f>+COUNTIF($F$11:$F$56,"NOVILLO (No)")</f>
        <v>0</v>
      </c>
      <c r="P14" s="19" t="s">
        <v>39</v>
      </c>
    </row>
    <row r="15" spans="2:16" x14ac:dyDescent="0.25">
      <c r="B15" s="7"/>
      <c r="C15" s="29">
        <v>5</v>
      </c>
      <c r="D15" s="29">
        <v>9</v>
      </c>
      <c r="E15" s="19" t="s">
        <v>75</v>
      </c>
      <c r="F15" s="59" t="s">
        <v>62</v>
      </c>
      <c r="G15" s="62" t="s">
        <v>368</v>
      </c>
      <c r="H15" s="95">
        <v>267</v>
      </c>
      <c r="I15" s="19">
        <v>74</v>
      </c>
      <c r="J15" s="67">
        <v>74.900000000000006</v>
      </c>
      <c r="K15" s="55">
        <f t="shared" si="0"/>
        <v>148.9</v>
      </c>
      <c r="L15" s="73">
        <f t="shared" si="1"/>
        <v>0.5576779026217229</v>
      </c>
      <c r="M15" s="11"/>
      <c r="N15" s="78" t="s">
        <v>46</v>
      </c>
      <c r="O15" s="1">
        <f>+COUNTIF($F$11:$F$56,"VACA (Va)")</f>
        <v>0</v>
      </c>
      <c r="P15" s="83" t="s">
        <v>50</v>
      </c>
    </row>
    <row r="16" spans="2:16" x14ac:dyDescent="0.25">
      <c r="B16" s="7"/>
      <c r="C16" s="29">
        <v>6</v>
      </c>
      <c r="D16" s="29">
        <v>13</v>
      </c>
      <c r="E16" s="19" t="s">
        <v>75</v>
      </c>
      <c r="F16" s="59" t="s">
        <v>81</v>
      </c>
      <c r="G16" s="62" t="s">
        <v>369</v>
      </c>
      <c r="H16" s="95">
        <v>330</v>
      </c>
      <c r="I16" s="19">
        <v>90.3</v>
      </c>
      <c r="J16" s="67">
        <v>91.1</v>
      </c>
      <c r="K16" s="55">
        <f t="shared" si="0"/>
        <v>181.39999999999998</v>
      </c>
      <c r="L16" s="73">
        <f t="shared" si="1"/>
        <v>0.54969696969696957</v>
      </c>
      <c r="M16" s="11"/>
      <c r="N16" s="64" t="s">
        <v>47</v>
      </c>
      <c r="O16" s="1">
        <f>+COUNTIF($F$11:$F$56,"TORO (To)")</f>
        <v>0</v>
      </c>
      <c r="P16" s="83" t="s">
        <v>51</v>
      </c>
    </row>
    <row r="17" spans="2:16" x14ac:dyDescent="0.25">
      <c r="B17" s="7"/>
      <c r="C17" s="29">
        <v>7</v>
      </c>
      <c r="D17" s="29">
        <v>1</v>
      </c>
      <c r="E17" s="19" t="s">
        <v>75</v>
      </c>
      <c r="F17" s="59" t="s">
        <v>62</v>
      </c>
      <c r="G17" s="62" t="s">
        <v>370</v>
      </c>
      <c r="H17" s="95">
        <v>295</v>
      </c>
      <c r="I17" s="19">
        <v>84.3</v>
      </c>
      <c r="J17" s="67">
        <v>85.4</v>
      </c>
      <c r="K17" s="55">
        <f t="shared" si="0"/>
        <v>169.7</v>
      </c>
      <c r="L17" s="73">
        <f t="shared" si="1"/>
        <v>0.57525423728813552</v>
      </c>
      <c r="M17" s="11"/>
      <c r="N17" s="77"/>
      <c r="O17" s="1">
        <f>SUM(O11:O16)</f>
        <v>0</v>
      </c>
    </row>
    <row r="18" spans="2:16" x14ac:dyDescent="0.25">
      <c r="B18" s="7"/>
      <c r="C18" s="29">
        <v>8</v>
      </c>
      <c r="D18" s="29">
        <v>11</v>
      </c>
      <c r="E18" s="19" t="s">
        <v>75</v>
      </c>
      <c r="F18" s="59" t="s">
        <v>62</v>
      </c>
      <c r="G18" s="62" t="s">
        <v>371</v>
      </c>
      <c r="H18" s="95">
        <v>291</v>
      </c>
      <c r="I18" s="19">
        <v>80.5</v>
      </c>
      <c r="J18" s="67">
        <v>80.5</v>
      </c>
      <c r="K18" s="55">
        <f t="shared" si="0"/>
        <v>161</v>
      </c>
      <c r="L18" s="73">
        <f t="shared" si="1"/>
        <v>0.5532646048109966</v>
      </c>
      <c r="M18" s="11"/>
    </row>
    <row r="19" spans="2:16" x14ac:dyDescent="0.25">
      <c r="B19" s="7"/>
      <c r="C19" s="61">
        <v>9</v>
      </c>
      <c r="D19" s="61">
        <v>8</v>
      </c>
      <c r="E19" s="59" t="s">
        <v>75</v>
      </c>
      <c r="F19" s="59" t="s">
        <v>62</v>
      </c>
      <c r="G19" s="62" t="s">
        <v>372</v>
      </c>
      <c r="H19" s="95">
        <v>229</v>
      </c>
      <c r="I19" s="19">
        <v>63.8</v>
      </c>
      <c r="J19" s="67">
        <v>64.8</v>
      </c>
      <c r="K19" s="55">
        <f t="shared" si="0"/>
        <v>128.6</v>
      </c>
      <c r="L19" s="73">
        <f t="shared" si="1"/>
        <v>0.56157205240174668</v>
      </c>
      <c r="M19" s="11"/>
      <c r="P19" s="100" t="s">
        <v>63</v>
      </c>
    </row>
    <row r="20" spans="2:16" x14ac:dyDescent="0.25">
      <c r="B20" s="7"/>
      <c r="C20" s="61">
        <v>10</v>
      </c>
      <c r="D20" s="61">
        <v>14</v>
      </c>
      <c r="E20" s="59" t="s">
        <v>75</v>
      </c>
      <c r="F20" s="59" t="s">
        <v>62</v>
      </c>
      <c r="G20" s="62" t="s">
        <v>373</v>
      </c>
      <c r="H20" s="95">
        <v>290</v>
      </c>
      <c r="I20" s="19">
        <v>83.8</v>
      </c>
      <c r="J20" s="67">
        <v>83.7</v>
      </c>
      <c r="K20" s="55">
        <f t="shared" si="0"/>
        <v>167.5</v>
      </c>
      <c r="L20" s="73">
        <f t="shared" si="1"/>
        <v>0.57758620689655171</v>
      </c>
      <c r="M20" s="11"/>
      <c r="N20" s="64" t="s">
        <v>67</v>
      </c>
      <c r="P20" s="1" t="s">
        <v>64</v>
      </c>
    </row>
    <row r="21" spans="2:16" x14ac:dyDescent="0.25">
      <c r="B21" s="7"/>
      <c r="C21" s="19">
        <v>11</v>
      </c>
      <c r="D21" s="29">
        <v>2</v>
      </c>
      <c r="E21" s="19" t="s">
        <v>75</v>
      </c>
      <c r="F21" s="59" t="s">
        <v>62</v>
      </c>
      <c r="G21" s="62" t="s">
        <v>374</v>
      </c>
      <c r="H21" s="95">
        <v>272</v>
      </c>
      <c r="I21" s="19">
        <v>75.599999999999994</v>
      </c>
      <c r="J21" s="67">
        <v>75.599999999999994</v>
      </c>
      <c r="K21" s="55">
        <f t="shared" si="0"/>
        <v>151.19999999999999</v>
      </c>
      <c r="L21" s="73">
        <f t="shared" si="1"/>
        <v>0.55588235294117638</v>
      </c>
      <c r="M21" s="11"/>
      <c r="N21" s="64" t="s">
        <v>68</v>
      </c>
      <c r="P21" t="s">
        <v>65</v>
      </c>
    </row>
    <row r="22" spans="2:16" x14ac:dyDescent="0.25">
      <c r="B22" s="7"/>
      <c r="C22" s="19">
        <v>12</v>
      </c>
      <c r="D22" s="29">
        <v>3</v>
      </c>
      <c r="E22" s="19" t="s">
        <v>68</v>
      </c>
      <c r="F22" s="59" t="s">
        <v>62</v>
      </c>
      <c r="G22" s="62" t="s">
        <v>375</v>
      </c>
      <c r="H22" s="95">
        <v>266</v>
      </c>
      <c r="I22" s="19">
        <v>75.599999999999994</v>
      </c>
      <c r="J22" s="67">
        <v>75.8</v>
      </c>
      <c r="K22" s="55">
        <f t="shared" si="0"/>
        <v>151.39999999999998</v>
      </c>
      <c r="L22" s="73">
        <f t="shared" si="1"/>
        <v>0.569172932330827</v>
      </c>
      <c r="M22" s="11"/>
      <c r="N22" s="64" t="s">
        <v>75</v>
      </c>
      <c r="P22" t="s">
        <v>74</v>
      </c>
    </row>
    <row r="23" spans="2:16" x14ac:dyDescent="0.25">
      <c r="B23" s="7"/>
      <c r="C23" s="59">
        <v>13</v>
      </c>
      <c r="D23" s="61">
        <v>35</v>
      </c>
      <c r="E23" s="59" t="s">
        <v>75</v>
      </c>
      <c r="F23" s="59" t="s">
        <v>81</v>
      </c>
      <c r="G23" s="62" t="s">
        <v>278</v>
      </c>
      <c r="H23" s="95">
        <v>316</v>
      </c>
      <c r="I23" s="19">
        <v>90.2</v>
      </c>
      <c r="J23" s="67">
        <v>91.4</v>
      </c>
      <c r="K23" s="55">
        <f t="shared" si="0"/>
        <v>181.60000000000002</v>
      </c>
      <c r="L23" s="73">
        <f t="shared" si="1"/>
        <v>0.57468354430379753</v>
      </c>
      <c r="M23" s="11"/>
      <c r="N23" s="64" t="s">
        <v>69</v>
      </c>
      <c r="P23" t="s">
        <v>66</v>
      </c>
    </row>
    <row r="24" spans="2:16" x14ac:dyDescent="0.25">
      <c r="B24" s="7"/>
      <c r="C24" s="19">
        <v>14</v>
      </c>
      <c r="D24" s="29">
        <v>4</v>
      </c>
      <c r="E24" s="19" t="s">
        <v>75</v>
      </c>
      <c r="F24" s="59" t="s">
        <v>62</v>
      </c>
      <c r="G24" s="62" t="s">
        <v>376</v>
      </c>
      <c r="H24" s="95">
        <v>304</v>
      </c>
      <c r="I24" s="19">
        <v>90.2</v>
      </c>
      <c r="J24" s="68">
        <v>91.4</v>
      </c>
      <c r="K24" s="55">
        <f t="shared" si="0"/>
        <v>181.60000000000002</v>
      </c>
      <c r="L24" s="104">
        <f t="shared" si="1"/>
        <v>0.59736842105263166</v>
      </c>
      <c r="M24" s="11"/>
      <c r="N24" s="64" t="s">
        <v>70</v>
      </c>
      <c r="P24" t="s">
        <v>71</v>
      </c>
    </row>
    <row r="25" spans="2:16" x14ac:dyDescent="0.25">
      <c r="B25" s="7"/>
      <c r="C25" s="19">
        <v>15</v>
      </c>
      <c r="D25" s="29">
        <v>29</v>
      </c>
      <c r="E25" s="19" t="s">
        <v>75</v>
      </c>
      <c r="F25" s="59" t="s">
        <v>81</v>
      </c>
      <c r="G25" s="62" t="s">
        <v>377</v>
      </c>
      <c r="H25" s="95">
        <v>289</v>
      </c>
      <c r="I25" s="19">
        <v>86</v>
      </c>
      <c r="J25" s="67">
        <v>87.1</v>
      </c>
      <c r="K25" s="55">
        <f t="shared" si="0"/>
        <v>173.1</v>
      </c>
      <c r="L25" s="73">
        <f t="shared" si="1"/>
        <v>0.59896193771626294</v>
      </c>
      <c r="M25" s="11"/>
      <c r="N25" s="64" t="s">
        <v>73</v>
      </c>
      <c r="P25" t="s">
        <v>72</v>
      </c>
    </row>
    <row r="26" spans="2:16" x14ac:dyDescent="0.25">
      <c r="B26" s="7"/>
      <c r="C26" s="19">
        <v>16</v>
      </c>
      <c r="D26" s="29">
        <v>7</v>
      </c>
      <c r="E26" s="19" t="s">
        <v>75</v>
      </c>
      <c r="F26" s="59" t="s">
        <v>62</v>
      </c>
      <c r="G26" s="62" t="s">
        <v>378</v>
      </c>
      <c r="H26" s="95">
        <v>307</v>
      </c>
      <c r="I26" s="19">
        <v>88.2</v>
      </c>
      <c r="J26" s="67">
        <v>89.9</v>
      </c>
      <c r="K26" s="55">
        <f t="shared" si="0"/>
        <v>178.10000000000002</v>
      </c>
      <c r="L26" s="73">
        <f t="shared" si="1"/>
        <v>0.58013029315960918</v>
      </c>
      <c r="M26" s="11"/>
      <c r="N26" s="64" t="s">
        <v>78</v>
      </c>
      <c r="P26" t="s">
        <v>76</v>
      </c>
    </row>
    <row r="27" spans="2:16" x14ac:dyDescent="0.25">
      <c r="B27" s="7"/>
      <c r="C27" s="19">
        <v>17</v>
      </c>
      <c r="D27" s="29">
        <v>28</v>
      </c>
      <c r="E27" s="19" t="s">
        <v>75</v>
      </c>
      <c r="F27" s="59" t="s">
        <v>62</v>
      </c>
      <c r="G27" s="62" t="s">
        <v>379</v>
      </c>
      <c r="H27" s="95">
        <v>255</v>
      </c>
      <c r="I27" s="19">
        <v>71.7</v>
      </c>
      <c r="J27" s="67">
        <v>71.400000000000006</v>
      </c>
      <c r="K27" s="55">
        <f t="shared" si="0"/>
        <v>143.10000000000002</v>
      </c>
      <c r="L27" s="73">
        <f t="shared" si="1"/>
        <v>0.56117647058823539</v>
      </c>
      <c r="M27" s="11"/>
    </row>
    <row r="28" spans="2:16" x14ac:dyDescent="0.25">
      <c r="B28" s="7"/>
      <c r="C28" s="19">
        <v>18</v>
      </c>
      <c r="D28" s="29">
        <v>18</v>
      </c>
      <c r="E28" s="19" t="s">
        <v>75</v>
      </c>
      <c r="F28" s="19" t="s">
        <v>81</v>
      </c>
      <c r="G28" s="20" t="s">
        <v>380</v>
      </c>
      <c r="H28" s="71">
        <v>311</v>
      </c>
      <c r="I28" s="19">
        <v>91.2</v>
      </c>
      <c r="J28" s="67">
        <v>90.6</v>
      </c>
      <c r="K28" s="55">
        <f t="shared" si="0"/>
        <v>181.8</v>
      </c>
      <c r="L28" s="73">
        <f t="shared" si="1"/>
        <v>0.58456591639871391</v>
      </c>
      <c r="M28" s="11"/>
    </row>
    <row r="29" spans="2:16" x14ac:dyDescent="0.25">
      <c r="B29" s="7"/>
      <c r="C29" s="19">
        <v>19</v>
      </c>
      <c r="D29" s="29">
        <v>21</v>
      </c>
      <c r="E29" s="19" t="s">
        <v>75</v>
      </c>
      <c r="F29" s="59" t="s">
        <v>62</v>
      </c>
      <c r="G29" s="62" t="s">
        <v>381</v>
      </c>
      <c r="H29" s="95">
        <v>299</v>
      </c>
      <c r="I29" s="19">
        <v>83.3</v>
      </c>
      <c r="J29" s="67">
        <v>83.6</v>
      </c>
      <c r="K29" s="55">
        <f t="shared" si="0"/>
        <v>166.89999999999998</v>
      </c>
      <c r="L29" s="73">
        <f t="shared" si="1"/>
        <v>0.55819397993311026</v>
      </c>
      <c r="M29" s="11"/>
    </row>
    <row r="30" spans="2:16" x14ac:dyDescent="0.25">
      <c r="B30" s="7"/>
      <c r="C30" s="19">
        <v>20</v>
      </c>
      <c r="D30" s="29">
        <v>31</v>
      </c>
      <c r="E30" s="19" t="s">
        <v>68</v>
      </c>
      <c r="F30" s="59" t="s">
        <v>81</v>
      </c>
      <c r="G30" s="62" t="s">
        <v>380</v>
      </c>
      <c r="H30" s="95">
        <v>321</v>
      </c>
      <c r="I30" s="19">
        <v>89.6</v>
      </c>
      <c r="J30" s="67">
        <v>90</v>
      </c>
      <c r="K30" s="55">
        <f t="shared" si="0"/>
        <v>179.6</v>
      </c>
      <c r="L30" s="73">
        <f t="shared" si="1"/>
        <v>0.55950155763239873</v>
      </c>
      <c r="M30" s="11"/>
    </row>
    <row r="31" spans="2:16" x14ac:dyDescent="0.25">
      <c r="B31" s="7"/>
      <c r="C31" s="19">
        <v>21</v>
      </c>
      <c r="D31" s="29">
        <v>23</v>
      </c>
      <c r="E31" s="19" t="s">
        <v>75</v>
      </c>
      <c r="F31" s="59" t="s">
        <v>62</v>
      </c>
      <c r="G31" s="62" t="s">
        <v>382</v>
      </c>
      <c r="H31" s="95">
        <v>262</v>
      </c>
      <c r="I31" s="19">
        <v>72.3</v>
      </c>
      <c r="J31" s="67">
        <v>72.599999999999994</v>
      </c>
      <c r="K31" s="55">
        <f t="shared" si="0"/>
        <v>144.89999999999998</v>
      </c>
      <c r="L31" s="73">
        <f t="shared" si="1"/>
        <v>0.55305343511450378</v>
      </c>
      <c r="M31" s="11"/>
    </row>
    <row r="32" spans="2:16" x14ac:dyDescent="0.25">
      <c r="B32" s="7"/>
      <c r="C32" s="59">
        <v>22</v>
      </c>
      <c r="D32" s="61">
        <v>20</v>
      </c>
      <c r="E32" s="59" t="s">
        <v>75</v>
      </c>
      <c r="F32" s="59" t="s">
        <v>62</v>
      </c>
      <c r="G32" s="62" t="s">
        <v>383</v>
      </c>
      <c r="H32" s="95">
        <v>301</v>
      </c>
      <c r="I32" s="19">
        <v>86</v>
      </c>
      <c r="J32" s="67">
        <v>86.1</v>
      </c>
      <c r="K32" s="55">
        <f t="shared" si="0"/>
        <v>172.1</v>
      </c>
      <c r="L32" s="73">
        <f t="shared" si="1"/>
        <v>0.57176079734219265</v>
      </c>
      <c r="M32" s="11"/>
    </row>
    <row r="33" spans="2:13" x14ac:dyDescent="0.25">
      <c r="B33" s="7"/>
      <c r="C33" s="19">
        <v>23</v>
      </c>
      <c r="D33" s="29">
        <v>19</v>
      </c>
      <c r="E33" s="19" t="s">
        <v>75</v>
      </c>
      <c r="F33" s="59" t="s">
        <v>81</v>
      </c>
      <c r="G33" s="62" t="s">
        <v>384</v>
      </c>
      <c r="H33" s="95">
        <v>347</v>
      </c>
      <c r="I33" s="19">
        <v>97.7</v>
      </c>
      <c r="J33" s="67">
        <v>97</v>
      </c>
      <c r="K33" s="55">
        <f t="shared" si="0"/>
        <v>194.7</v>
      </c>
      <c r="L33" s="73">
        <f t="shared" si="1"/>
        <v>0.56109510086455328</v>
      </c>
      <c r="M33" s="11"/>
    </row>
    <row r="34" spans="2:13" x14ac:dyDescent="0.25">
      <c r="B34" s="7"/>
      <c r="C34" s="59">
        <v>24</v>
      </c>
      <c r="D34" s="61">
        <v>22</v>
      </c>
      <c r="E34" s="59" t="s">
        <v>75</v>
      </c>
      <c r="F34" s="59" t="s">
        <v>62</v>
      </c>
      <c r="G34" s="62" t="s">
        <v>385</v>
      </c>
      <c r="H34" s="95">
        <v>275</v>
      </c>
      <c r="I34" s="19">
        <v>76.3</v>
      </c>
      <c r="J34" s="67">
        <v>76.5</v>
      </c>
      <c r="K34" s="55">
        <f t="shared" si="0"/>
        <v>152.80000000000001</v>
      </c>
      <c r="L34" s="73">
        <f t="shared" si="1"/>
        <v>0.55563636363636371</v>
      </c>
      <c r="M34" s="11"/>
    </row>
    <row r="35" spans="2:13" x14ac:dyDescent="0.25">
      <c r="B35" s="7"/>
      <c r="C35" s="59">
        <v>25</v>
      </c>
      <c r="D35" s="61">
        <v>15</v>
      </c>
      <c r="E35" s="59" t="s">
        <v>75</v>
      </c>
      <c r="F35" s="59" t="s">
        <v>81</v>
      </c>
      <c r="G35" s="62" t="s">
        <v>386</v>
      </c>
      <c r="H35" s="95">
        <v>305</v>
      </c>
      <c r="I35" s="19">
        <v>83.2</v>
      </c>
      <c r="J35" s="67">
        <v>87.4</v>
      </c>
      <c r="K35" s="55">
        <f t="shared" si="0"/>
        <v>170.60000000000002</v>
      </c>
      <c r="L35" s="73">
        <f t="shared" si="1"/>
        <v>0.55934426229508205</v>
      </c>
      <c r="M35" s="11"/>
    </row>
    <row r="36" spans="2:13" x14ac:dyDescent="0.25">
      <c r="B36" s="7"/>
      <c r="C36" s="59">
        <v>26</v>
      </c>
      <c r="D36" s="61">
        <v>24</v>
      </c>
      <c r="E36" s="59" t="s">
        <v>75</v>
      </c>
      <c r="F36" s="59" t="s">
        <v>81</v>
      </c>
      <c r="G36" s="62" t="s">
        <v>387</v>
      </c>
      <c r="H36" s="95">
        <v>348</v>
      </c>
      <c r="I36" s="19">
        <v>100.8</v>
      </c>
      <c r="J36" s="67">
        <v>102.7</v>
      </c>
      <c r="K36" s="55">
        <f t="shared" si="0"/>
        <v>203.5</v>
      </c>
      <c r="L36" s="73">
        <f t="shared" si="1"/>
        <v>0.58477011494252873</v>
      </c>
      <c r="M36" s="11"/>
    </row>
    <row r="37" spans="2:13" x14ac:dyDescent="0.25">
      <c r="B37" s="7"/>
      <c r="C37" s="59">
        <v>27</v>
      </c>
      <c r="D37" s="61">
        <v>33</v>
      </c>
      <c r="E37" s="59" t="s">
        <v>75</v>
      </c>
      <c r="F37" s="59" t="s">
        <v>81</v>
      </c>
      <c r="G37" s="62" t="s">
        <v>388</v>
      </c>
      <c r="H37" s="95">
        <v>334</v>
      </c>
      <c r="I37" s="19">
        <v>93.5</v>
      </c>
      <c r="J37" s="67">
        <v>94.4</v>
      </c>
      <c r="K37" s="55">
        <f t="shared" si="0"/>
        <v>187.9</v>
      </c>
      <c r="L37" s="73">
        <f t="shared" si="1"/>
        <v>0.56257485029940124</v>
      </c>
      <c r="M37" s="11"/>
    </row>
    <row r="38" spans="2:13" x14ac:dyDescent="0.25">
      <c r="B38" s="7"/>
      <c r="C38" s="59">
        <v>28</v>
      </c>
      <c r="D38" s="61">
        <v>26</v>
      </c>
      <c r="E38" s="59" t="s">
        <v>75</v>
      </c>
      <c r="F38" s="59" t="s">
        <v>62</v>
      </c>
      <c r="G38" s="62" t="s">
        <v>389</v>
      </c>
      <c r="H38" s="95">
        <v>310</v>
      </c>
      <c r="I38" s="19">
        <v>89.5</v>
      </c>
      <c r="J38" s="67">
        <v>91</v>
      </c>
      <c r="K38" s="55">
        <f t="shared" si="0"/>
        <v>180.5</v>
      </c>
      <c r="L38" s="73">
        <f t="shared" si="1"/>
        <v>0.58225806451612905</v>
      </c>
      <c r="M38" s="11"/>
    </row>
    <row r="39" spans="2:13" x14ac:dyDescent="0.25">
      <c r="B39" s="7"/>
      <c r="C39" s="59">
        <v>29</v>
      </c>
      <c r="D39" s="61">
        <v>30</v>
      </c>
      <c r="E39" s="59" t="s">
        <v>75</v>
      </c>
      <c r="F39" s="59" t="s">
        <v>62</v>
      </c>
      <c r="G39" s="62" t="s">
        <v>390</v>
      </c>
      <c r="H39" s="95">
        <v>263</v>
      </c>
      <c r="I39" s="19">
        <v>72.900000000000006</v>
      </c>
      <c r="J39" s="67">
        <v>73.900000000000006</v>
      </c>
      <c r="K39" s="55">
        <f t="shared" si="0"/>
        <v>146.80000000000001</v>
      </c>
      <c r="L39" s="73">
        <f t="shared" si="1"/>
        <v>0.55817490494296584</v>
      </c>
      <c r="M39" s="11"/>
    </row>
    <row r="40" spans="2:13" x14ac:dyDescent="0.25">
      <c r="B40" s="7"/>
      <c r="C40" s="19">
        <v>30</v>
      </c>
      <c r="D40" s="29">
        <v>16</v>
      </c>
      <c r="E40" s="19" t="s">
        <v>75</v>
      </c>
      <c r="F40" s="59" t="s">
        <v>62</v>
      </c>
      <c r="G40" s="62" t="s">
        <v>41</v>
      </c>
      <c r="H40" s="95">
        <v>300</v>
      </c>
      <c r="I40" s="19">
        <v>84.5</v>
      </c>
      <c r="J40" s="67">
        <v>84.7</v>
      </c>
      <c r="K40" s="55">
        <f t="shared" si="0"/>
        <v>169.2</v>
      </c>
      <c r="L40" s="73">
        <f t="shared" si="1"/>
        <v>0.56399999999999995</v>
      </c>
      <c r="M40" s="11"/>
    </row>
    <row r="41" spans="2:13" x14ac:dyDescent="0.25">
      <c r="B41" s="7"/>
      <c r="C41" s="19">
        <v>31</v>
      </c>
      <c r="D41" s="29">
        <v>25</v>
      </c>
      <c r="E41" s="19" t="s">
        <v>75</v>
      </c>
      <c r="F41" s="59" t="s">
        <v>62</v>
      </c>
      <c r="G41" s="20" t="s">
        <v>391</v>
      </c>
      <c r="H41" s="71">
        <v>250</v>
      </c>
      <c r="I41" s="19">
        <v>71.5</v>
      </c>
      <c r="J41" s="67">
        <v>71.900000000000006</v>
      </c>
      <c r="K41" s="55">
        <f t="shared" si="0"/>
        <v>143.4</v>
      </c>
      <c r="L41" s="73">
        <f t="shared" si="1"/>
        <v>0.5736</v>
      </c>
      <c r="M41" s="11"/>
    </row>
    <row r="42" spans="2:13" x14ac:dyDescent="0.25">
      <c r="B42" s="7"/>
      <c r="C42" s="19">
        <v>32</v>
      </c>
      <c r="D42" s="61">
        <v>27</v>
      </c>
      <c r="E42" s="59" t="s">
        <v>75</v>
      </c>
      <c r="F42" s="59" t="s">
        <v>62</v>
      </c>
      <c r="G42" s="20" t="s">
        <v>392</v>
      </c>
      <c r="H42" s="71">
        <v>257</v>
      </c>
      <c r="I42" s="19">
        <v>72.8</v>
      </c>
      <c r="J42" s="67">
        <v>73.5</v>
      </c>
      <c r="K42" s="55">
        <f t="shared" si="0"/>
        <v>146.30000000000001</v>
      </c>
      <c r="L42" s="73">
        <f t="shared" si="1"/>
        <v>0.56926070038910515</v>
      </c>
      <c r="M42" s="11"/>
    </row>
    <row r="43" spans="2:13" x14ac:dyDescent="0.25">
      <c r="B43" s="7"/>
      <c r="C43" s="19">
        <v>33</v>
      </c>
      <c r="D43" s="61">
        <v>17</v>
      </c>
      <c r="E43" s="59" t="s">
        <v>75</v>
      </c>
      <c r="F43" s="59" t="s">
        <v>62</v>
      </c>
      <c r="G43" s="20" t="s">
        <v>393</v>
      </c>
      <c r="H43" s="71">
        <v>278</v>
      </c>
      <c r="I43" s="19">
        <v>82</v>
      </c>
      <c r="J43" s="67">
        <v>80.900000000000006</v>
      </c>
      <c r="K43" s="55">
        <f t="shared" si="0"/>
        <v>162.9</v>
      </c>
      <c r="L43" s="73">
        <f t="shared" si="1"/>
        <v>0.58597122302158278</v>
      </c>
      <c r="M43" s="11"/>
    </row>
    <row r="44" spans="2:13" x14ac:dyDescent="0.25">
      <c r="B44" s="7"/>
      <c r="C44" s="19">
        <v>34</v>
      </c>
      <c r="D44" s="61">
        <v>32</v>
      </c>
      <c r="E44" s="59" t="s">
        <v>68</v>
      </c>
      <c r="F44" s="59" t="s">
        <v>62</v>
      </c>
      <c r="G44" s="20" t="s">
        <v>307</v>
      </c>
      <c r="H44" s="71">
        <v>281</v>
      </c>
      <c r="I44" s="19">
        <v>80.3</v>
      </c>
      <c r="J44" s="67">
        <v>80.7</v>
      </c>
      <c r="K44" s="55">
        <f t="shared" si="0"/>
        <v>161</v>
      </c>
      <c r="L44" s="73">
        <f t="shared" si="1"/>
        <v>0.57295373665480431</v>
      </c>
      <c r="M44" s="11"/>
    </row>
    <row r="45" spans="2:13" x14ac:dyDescent="0.25">
      <c r="B45" s="7"/>
      <c r="C45" s="19">
        <v>35</v>
      </c>
      <c r="D45" s="61">
        <v>34</v>
      </c>
      <c r="E45" s="59" t="s">
        <v>75</v>
      </c>
      <c r="F45" s="59" t="s">
        <v>81</v>
      </c>
      <c r="G45" s="20" t="s">
        <v>394</v>
      </c>
      <c r="H45" s="71">
        <v>347</v>
      </c>
      <c r="I45" s="19">
        <v>98.2</v>
      </c>
      <c r="J45" s="67">
        <v>99.4</v>
      </c>
      <c r="K45" s="55">
        <f t="shared" si="0"/>
        <v>197.60000000000002</v>
      </c>
      <c r="L45" s="73">
        <f t="shared" si="1"/>
        <v>0.56945244956772345</v>
      </c>
      <c r="M45" s="11"/>
    </row>
    <row r="46" spans="2:13" x14ac:dyDescent="0.25">
      <c r="B46" s="7"/>
      <c r="C46" s="19"/>
      <c r="D46" s="61"/>
      <c r="E46" s="59"/>
      <c r="F46" s="59"/>
      <c r="G46" s="20"/>
      <c r="H46" s="71"/>
      <c r="I46" s="19"/>
      <c r="J46" s="67"/>
      <c r="K46" s="55">
        <f t="shared" si="0"/>
        <v>0</v>
      </c>
      <c r="L46" s="73" t="e">
        <f t="shared" si="1"/>
        <v>#DIV/0!</v>
      </c>
      <c r="M46" s="11"/>
    </row>
    <row r="47" spans="2:13" x14ac:dyDescent="0.25">
      <c r="B47" s="7"/>
      <c r="C47" s="19"/>
      <c r="D47" s="29"/>
      <c r="E47" s="19"/>
      <c r="F47" s="59"/>
      <c r="G47" s="20"/>
      <c r="H47" s="71"/>
      <c r="I47" s="19"/>
      <c r="J47" s="67"/>
      <c r="K47" s="55">
        <f t="shared" si="0"/>
        <v>0</v>
      </c>
      <c r="L47" s="73" t="e">
        <f t="shared" si="1"/>
        <v>#DIV/0!</v>
      </c>
      <c r="M47" s="11"/>
    </row>
    <row r="48" spans="2:13" x14ac:dyDescent="0.25">
      <c r="B48" s="7"/>
      <c r="C48" s="19"/>
      <c r="D48" s="29"/>
      <c r="E48" s="19"/>
      <c r="F48" s="59"/>
      <c r="G48" s="20"/>
      <c r="H48" s="71"/>
      <c r="I48" s="19"/>
      <c r="J48" s="67"/>
      <c r="K48" s="55">
        <f t="shared" si="0"/>
        <v>0</v>
      </c>
      <c r="L48" s="73" t="e">
        <f t="shared" si="1"/>
        <v>#DIV/0!</v>
      </c>
      <c r="M48" s="11"/>
    </row>
    <row r="49" spans="2:13" x14ac:dyDescent="0.25">
      <c r="B49" s="7"/>
      <c r="C49" s="19"/>
      <c r="D49" s="85"/>
      <c r="E49" s="89"/>
      <c r="F49" s="86"/>
      <c r="G49" s="20"/>
      <c r="H49" s="71"/>
      <c r="I49" s="19"/>
      <c r="J49" s="67"/>
      <c r="K49" s="55">
        <f t="shared" si="0"/>
        <v>0</v>
      </c>
      <c r="L49" s="73" t="e">
        <f t="shared" si="1"/>
        <v>#DIV/0!</v>
      </c>
      <c r="M49" s="11"/>
    </row>
    <row r="50" spans="2:13" x14ac:dyDescent="0.25">
      <c r="B50" s="7"/>
      <c r="C50" s="19"/>
      <c r="D50" s="85"/>
      <c r="E50" s="89"/>
      <c r="F50" s="86"/>
      <c r="G50" s="20"/>
      <c r="H50" s="71"/>
      <c r="I50" s="19"/>
      <c r="J50" s="67"/>
      <c r="K50" s="55">
        <f t="shared" si="0"/>
        <v>0</v>
      </c>
      <c r="L50" s="73" t="e">
        <f t="shared" si="1"/>
        <v>#DIV/0!</v>
      </c>
      <c r="M50" s="11"/>
    </row>
    <row r="51" spans="2:13" x14ac:dyDescent="0.25">
      <c r="B51" s="7"/>
      <c r="C51" s="29"/>
      <c r="D51" s="85"/>
      <c r="E51" s="85"/>
      <c r="F51" s="87"/>
      <c r="G51" s="20"/>
      <c r="H51" s="71"/>
      <c r="I51" s="29"/>
      <c r="J51" s="79"/>
      <c r="K51" s="55">
        <f t="shared" si="0"/>
        <v>0</v>
      </c>
      <c r="L51" s="73" t="e">
        <f t="shared" si="1"/>
        <v>#DIV/0!</v>
      </c>
      <c r="M51" s="11"/>
    </row>
    <row r="52" spans="2:13" x14ac:dyDescent="0.25">
      <c r="B52" s="7"/>
      <c r="C52" s="19"/>
      <c r="D52" s="85"/>
      <c r="E52" s="89"/>
      <c r="F52" s="89"/>
      <c r="G52" s="88"/>
      <c r="H52" s="81"/>
      <c r="I52" s="54"/>
      <c r="J52" s="54"/>
      <c r="K52" s="55">
        <f t="shared" si="0"/>
        <v>0</v>
      </c>
      <c r="L52" s="73" t="e">
        <f t="shared" si="1"/>
        <v>#DIV/0!</v>
      </c>
      <c r="M52" s="11"/>
    </row>
    <row r="53" spans="2:13" x14ac:dyDescent="0.25">
      <c r="B53" s="7"/>
      <c r="C53" s="19"/>
      <c r="D53" s="90"/>
      <c r="E53" s="91"/>
      <c r="F53" s="91"/>
      <c r="G53" s="92"/>
      <c r="H53" s="96"/>
      <c r="I53" s="82"/>
      <c r="J53" s="37"/>
      <c r="K53" s="55">
        <f t="shared" si="0"/>
        <v>0</v>
      </c>
      <c r="L53" s="73" t="e">
        <f t="shared" si="1"/>
        <v>#DIV/0!</v>
      </c>
      <c r="M53" s="11"/>
    </row>
    <row r="54" spans="2:13" x14ac:dyDescent="0.25">
      <c r="B54" s="7"/>
      <c r="C54" s="19"/>
      <c r="D54" s="85"/>
      <c r="E54" s="89"/>
      <c r="F54" s="89"/>
      <c r="G54" s="20"/>
      <c r="H54" s="81"/>
      <c r="I54" s="54"/>
      <c r="J54" s="52"/>
      <c r="K54" s="55">
        <f t="shared" si="0"/>
        <v>0</v>
      </c>
      <c r="L54" s="73" t="e">
        <f t="shared" si="1"/>
        <v>#DIV/0!</v>
      </c>
      <c r="M54" s="11"/>
    </row>
    <row r="55" spans="2:13" ht="15.75" thickBot="1" x14ac:dyDescent="0.3">
      <c r="B55" s="7"/>
      <c r="C55" s="19"/>
      <c r="D55" s="85"/>
      <c r="E55" s="89"/>
      <c r="F55" s="89"/>
      <c r="G55" s="20"/>
      <c r="H55" s="71"/>
      <c r="I55" s="54"/>
      <c r="J55" s="52"/>
      <c r="K55" s="55">
        <f t="shared" si="0"/>
        <v>0</v>
      </c>
      <c r="L55" s="73" t="e">
        <f t="shared" si="1"/>
        <v>#DIV/0!</v>
      </c>
      <c r="M55" s="11"/>
    </row>
    <row r="56" spans="2:13" ht="15.75" thickBot="1" x14ac:dyDescent="0.3">
      <c r="B56" s="7"/>
      <c r="C56" s="105"/>
      <c r="D56" s="75">
        <f>+COUNT($D$11:$D$55)</f>
        <v>35</v>
      </c>
      <c r="E56" s="105"/>
      <c r="F56" s="105"/>
      <c r="G56" s="69"/>
      <c r="H56" s="56">
        <f>SUM($H$11:$H$55)</f>
        <v>10198</v>
      </c>
      <c r="I56" s="57">
        <f>SUM($I$11:$I$55)</f>
        <v>2887.3</v>
      </c>
      <c r="J56" s="70">
        <f>SUM($J$11:$J$55)</f>
        <v>2910.1</v>
      </c>
      <c r="K56" s="72">
        <f>SUM($K$11:$K$55)</f>
        <v>5797.4</v>
      </c>
      <c r="L56" s="74">
        <f t="shared" si="1"/>
        <v>0.56848401647381841</v>
      </c>
      <c r="M56" s="11"/>
    </row>
    <row r="57" spans="2:13" ht="15.75" thickBot="1" x14ac:dyDescent="0.3">
      <c r="B57" s="41"/>
      <c r="C57" s="42"/>
      <c r="D57" s="42"/>
      <c r="E57" s="42"/>
      <c r="F57" s="42"/>
      <c r="G57" s="43"/>
      <c r="H57" s="42"/>
      <c r="I57" s="43"/>
      <c r="J57" s="42"/>
      <c r="K57" s="42"/>
      <c r="L57" s="42"/>
      <c r="M57" s="44"/>
    </row>
    <row r="58" spans="2:13" ht="16.5" thickTop="1" thickBot="1" x14ac:dyDescent="0.3">
      <c r="B58" s="4"/>
      <c r="C58" s="4"/>
      <c r="D58" s="4"/>
      <c r="E58" s="4"/>
      <c r="F58" s="4"/>
      <c r="G58" s="5"/>
      <c r="H58" s="4"/>
      <c r="I58" s="5"/>
      <c r="J58" s="4"/>
      <c r="K58" s="4"/>
      <c r="L58" s="4"/>
      <c r="M58" s="4"/>
    </row>
    <row r="59" spans="2:13" ht="16.5" thickTop="1" thickBot="1" x14ac:dyDescent="0.3">
      <c r="B59" s="3"/>
      <c r="C59" s="4"/>
      <c r="D59" s="4"/>
      <c r="E59" s="4"/>
      <c r="F59" s="4"/>
      <c r="G59" s="5"/>
      <c r="H59" s="4"/>
      <c r="I59" s="5"/>
      <c r="J59" s="4"/>
      <c r="K59" s="4"/>
      <c r="L59" s="4"/>
      <c r="M59" s="6"/>
    </row>
    <row r="60" spans="2:13" ht="15.75" thickBot="1" x14ac:dyDescent="0.3">
      <c r="B60" s="7"/>
      <c r="F60" s="30" t="s">
        <v>12</v>
      </c>
      <c r="G60" s="31" t="s">
        <v>32</v>
      </c>
      <c r="H60" s="51" t="s">
        <v>30</v>
      </c>
      <c r="I60" s="75" t="s">
        <v>54</v>
      </c>
      <c r="J60" s="75" t="s">
        <v>53</v>
      </c>
      <c r="M60" s="11"/>
    </row>
    <row r="61" spans="2:13" x14ac:dyDescent="0.25">
      <c r="B61" s="7"/>
      <c r="F61" s="32" t="s">
        <v>59</v>
      </c>
      <c r="G61" s="97">
        <v>87.12</v>
      </c>
      <c r="H61" s="97">
        <v>83.88</v>
      </c>
      <c r="I61" s="76"/>
      <c r="J61" s="84"/>
      <c r="M61" s="11"/>
    </row>
    <row r="62" spans="2:13" x14ac:dyDescent="0.25">
      <c r="B62" s="7"/>
      <c r="F62" s="33" t="s">
        <v>15</v>
      </c>
      <c r="G62" s="76">
        <v>35</v>
      </c>
      <c r="H62" s="76">
        <v>41.86</v>
      </c>
      <c r="I62" s="76"/>
      <c r="J62" s="21"/>
      <c r="M62" s="11"/>
    </row>
    <row r="63" spans="2:13" x14ac:dyDescent="0.25">
      <c r="B63" s="7"/>
      <c r="F63" s="22" t="s">
        <v>13</v>
      </c>
      <c r="G63" s="76">
        <v>35</v>
      </c>
      <c r="H63" s="76">
        <v>130.98000000000002</v>
      </c>
      <c r="I63" s="76"/>
      <c r="J63" s="21"/>
      <c r="M63" s="11"/>
    </row>
    <row r="64" spans="2:13" x14ac:dyDescent="0.25">
      <c r="B64" s="7"/>
      <c r="F64" s="22" t="s">
        <v>16</v>
      </c>
      <c r="G64" s="76">
        <v>35</v>
      </c>
      <c r="H64" s="76">
        <v>27.740000000000002</v>
      </c>
      <c r="I64" s="76"/>
      <c r="J64" s="21"/>
      <c r="M64" s="11"/>
    </row>
    <row r="65" spans="2:13" x14ac:dyDescent="0.25">
      <c r="B65" s="7"/>
      <c r="F65" s="33" t="s">
        <v>60</v>
      </c>
      <c r="G65" s="76">
        <v>19.64</v>
      </c>
      <c r="H65" s="76">
        <v>19.12</v>
      </c>
      <c r="I65" s="76"/>
      <c r="J65" s="21"/>
      <c r="M65" s="11"/>
    </row>
    <row r="66" spans="2:13" x14ac:dyDescent="0.25">
      <c r="B66" s="7"/>
      <c r="F66" s="33" t="s">
        <v>14</v>
      </c>
      <c r="G66" s="76">
        <v>70</v>
      </c>
      <c r="H66" s="76">
        <v>27.82</v>
      </c>
      <c r="I66" s="76"/>
      <c r="J66" s="21"/>
      <c r="M66" s="11"/>
    </row>
    <row r="67" spans="2:13" x14ac:dyDescent="0.25">
      <c r="B67" s="7"/>
      <c r="F67" s="22" t="s">
        <v>20</v>
      </c>
      <c r="G67" s="76">
        <v>140</v>
      </c>
      <c r="H67" s="76">
        <v>13.4</v>
      </c>
      <c r="I67" s="76"/>
      <c r="J67" s="21"/>
      <c r="M67" s="11"/>
    </row>
    <row r="68" spans="2:13" x14ac:dyDescent="0.25">
      <c r="B68" s="7"/>
      <c r="F68" s="33" t="s">
        <v>17</v>
      </c>
      <c r="G68" s="76">
        <v>35</v>
      </c>
      <c r="H68" s="76">
        <v>19.78</v>
      </c>
      <c r="I68" s="76"/>
      <c r="J68" s="21"/>
      <c r="M68" s="11"/>
    </row>
    <row r="69" spans="2:13" x14ac:dyDescent="0.25">
      <c r="B69" s="7"/>
      <c r="F69" s="33" t="s">
        <v>61</v>
      </c>
      <c r="G69" s="76">
        <v>35</v>
      </c>
      <c r="H69" s="76">
        <v>19.96</v>
      </c>
      <c r="I69" s="76"/>
      <c r="J69" s="21"/>
      <c r="M69" s="11"/>
    </row>
    <row r="70" spans="2:13" x14ac:dyDescent="0.25">
      <c r="B70" s="7"/>
      <c r="F70" s="33" t="s">
        <v>48</v>
      </c>
      <c r="G70" s="76">
        <v>40.760000000000005</v>
      </c>
      <c r="H70" s="76">
        <v>38.74</v>
      </c>
      <c r="I70" s="76"/>
      <c r="J70" s="21"/>
      <c r="M70" s="11"/>
    </row>
    <row r="71" spans="2:13" x14ac:dyDescent="0.25">
      <c r="B71" s="7"/>
      <c r="F71" s="22" t="s">
        <v>19</v>
      </c>
      <c r="G71" s="76">
        <v>35</v>
      </c>
      <c r="H71" s="76">
        <v>26.439999999999998</v>
      </c>
      <c r="I71" s="76"/>
      <c r="J71" s="21"/>
      <c r="M71" s="11"/>
    </row>
    <row r="72" spans="2:13" x14ac:dyDescent="0.25">
      <c r="B72" s="7"/>
      <c r="F72" s="22" t="s">
        <v>18</v>
      </c>
      <c r="G72" s="76">
        <v>35</v>
      </c>
      <c r="H72" s="76">
        <v>10.46</v>
      </c>
      <c r="I72" s="76"/>
      <c r="J72" s="21"/>
      <c r="M72" s="11"/>
    </row>
    <row r="73" spans="2:13" ht="15.75" thickBot="1" x14ac:dyDescent="0.3">
      <c r="B73" s="7"/>
      <c r="F73" s="33" t="s">
        <v>49</v>
      </c>
      <c r="G73" s="76">
        <v>16.72</v>
      </c>
      <c r="H73" s="76">
        <v>15.58</v>
      </c>
      <c r="I73" s="76"/>
      <c r="J73" s="21"/>
      <c r="M73" s="11"/>
    </row>
    <row r="74" spans="2:13" ht="15.75" thickBot="1" x14ac:dyDescent="0.3">
      <c r="B74" s="7"/>
      <c r="F74" s="39" t="s">
        <v>21</v>
      </c>
      <c r="G74" s="23"/>
      <c r="H74" s="23">
        <f>SUM(H61:H73)</f>
        <v>475.76</v>
      </c>
      <c r="I74" s="80">
        <f>SUM(I61:I73)</f>
        <v>0</v>
      </c>
      <c r="J74" s="23">
        <f>SUM(J61:J73)</f>
        <v>0</v>
      </c>
      <c r="M74" s="11"/>
    </row>
    <row r="75" spans="2:13" ht="15.75" thickBot="1" x14ac:dyDescent="0.3">
      <c r="B75" s="41"/>
      <c r="C75" s="42"/>
      <c r="D75" s="42"/>
      <c r="E75" s="42"/>
      <c r="F75" s="42"/>
      <c r="G75" s="43"/>
      <c r="H75" s="42"/>
      <c r="I75" s="43"/>
      <c r="J75" s="42"/>
      <c r="K75" s="42"/>
      <c r="L75" s="42"/>
      <c r="M75" s="44"/>
    </row>
    <row r="76" spans="2:13" ht="16.5" thickTop="1" thickBot="1" x14ac:dyDescent="0.3">
      <c r="B76" s="7"/>
      <c r="F76" s="24"/>
      <c r="G76" s="25"/>
      <c r="H76" s="24"/>
      <c r="I76" s="25"/>
      <c r="M76" s="11"/>
    </row>
    <row r="77" spans="2:13" ht="15.75" thickBot="1" x14ac:dyDescent="0.3">
      <c r="B77" s="7"/>
      <c r="F77" s="34" t="s">
        <v>22</v>
      </c>
      <c r="G77" s="35" t="s">
        <v>33</v>
      </c>
      <c r="H77" s="36" t="s">
        <v>31</v>
      </c>
      <c r="M77" s="11"/>
    </row>
    <row r="78" spans="2:13" x14ac:dyDescent="0.25">
      <c r="B78" s="7"/>
      <c r="F78" s="33" t="s">
        <v>23</v>
      </c>
      <c r="G78" s="38"/>
      <c r="H78" s="21"/>
      <c r="M78" s="11"/>
    </row>
    <row r="79" spans="2:13" x14ac:dyDescent="0.25">
      <c r="B79" s="7"/>
      <c r="F79" s="33" t="s">
        <v>24</v>
      </c>
      <c r="G79" s="37">
        <f>+D56</f>
        <v>35</v>
      </c>
      <c r="H79" s="21"/>
      <c r="M79" s="11"/>
    </row>
    <row r="80" spans="2:13" x14ac:dyDescent="0.25">
      <c r="B80" s="7"/>
      <c r="F80" s="22" t="s">
        <v>34</v>
      </c>
      <c r="G80" s="38"/>
      <c r="H80" s="21"/>
      <c r="M80" s="11"/>
    </row>
    <row r="81" spans="2:13" x14ac:dyDescent="0.25">
      <c r="B81" s="7"/>
      <c r="F81" s="22" t="s">
        <v>35</v>
      </c>
      <c r="G81" s="38"/>
      <c r="H81" s="21"/>
      <c r="M81" s="11"/>
    </row>
    <row r="82" spans="2:13" ht="15.75" thickBot="1" x14ac:dyDescent="0.3">
      <c r="B82" s="7"/>
      <c r="F82" s="22" t="s">
        <v>29</v>
      </c>
      <c r="G82" s="37"/>
      <c r="H82" s="21"/>
      <c r="M82" s="11"/>
    </row>
    <row r="83" spans="2:13" ht="15.75" thickBot="1" x14ac:dyDescent="0.3">
      <c r="B83" s="7"/>
      <c r="F83" s="39" t="s">
        <v>21</v>
      </c>
      <c r="G83" s="40"/>
      <c r="H83" s="23">
        <f>SUM(H78:H82)</f>
        <v>0</v>
      </c>
      <c r="M83" s="11"/>
    </row>
    <row r="84" spans="2:13" ht="15.75" thickBot="1" x14ac:dyDescent="0.3">
      <c r="B84" s="41"/>
      <c r="C84" s="42"/>
      <c r="D84" s="42"/>
      <c r="E84" s="42"/>
      <c r="F84" s="42"/>
      <c r="G84" s="43"/>
      <c r="H84" s="42"/>
      <c r="I84" s="43"/>
      <c r="J84" s="42"/>
      <c r="K84" s="42"/>
      <c r="L84" s="42"/>
      <c r="M84" s="44"/>
    </row>
    <row r="85" spans="2:13" ht="15.75" thickTop="1" x14ac:dyDescent="0.25">
      <c r="H85" s="49"/>
    </row>
  </sheetData>
  <mergeCells count="2">
    <mergeCell ref="J7:L7"/>
    <mergeCell ref="J8:L8"/>
  </mergeCells>
  <conditionalFormatting sqref="L11:L55">
    <cfRule type="cellIs" dxfId="93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P86"/>
  <sheetViews>
    <sheetView topLeftCell="G1" zoomScaleNormal="100" workbookViewId="0">
      <selection activeCell="J8" sqref="J8:L8"/>
    </sheetView>
  </sheetViews>
  <sheetFormatPr baseColWidth="10" defaultColWidth="12.42578125" defaultRowHeight="15" x14ac:dyDescent="0.25"/>
  <cols>
    <col min="1" max="1" width="4" style="1" customWidth="1"/>
    <col min="2" max="2" width="3.7109375" style="1" customWidth="1"/>
    <col min="3" max="3" width="8.5703125" style="1" bestFit="1" customWidth="1"/>
    <col min="4" max="4" width="9" style="1" customWidth="1"/>
    <col min="5" max="5" width="5.7109375" style="1" bestFit="1" customWidth="1"/>
    <col min="6" max="6" width="29.85546875" style="1" bestFit="1" customWidth="1"/>
    <col min="7" max="7" width="17.42578125" style="2" customWidth="1"/>
    <col min="8" max="8" width="12.7109375" style="1" customWidth="1"/>
    <col min="9" max="9" width="12.7109375" style="2" customWidth="1"/>
    <col min="10" max="11" width="12.7109375" style="1" customWidth="1"/>
    <col min="12" max="12" width="12.42578125" style="1"/>
    <col min="13" max="13" width="3.7109375" style="1" customWidth="1"/>
    <col min="14" max="14" width="12.42578125" style="1"/>
    <col min="15" max="15" width="2" style="1" bestFit="1" customWidth="1"/>
    <col min="16" max="16" width="17.140625" style="1" bestFit="1" customWidth="1"/>
    <col min="17" max="16384" width="12.42578125" style="1"/>
  </cols>
  <sheetData>
    <row r="1" spans="2:16" ht="15.75" thickBot="1" x14ac:dyDescent="0.3"/>
    <row r="2" spans="2:16" ht="16.5" thickTop="1" thickBot="1" x14ac:dyDescent="0.3">
      <c r="B2" s="3"/>
      <c r="C2" s="4"/>
      <c r="D2" s="4"/>
      <c r="E2" s="4"/>
      <c r="F2" s="4"/>
      <c r="G2" s="5"/>
      <c r="H2" s="4"/>
      <c r="I2" s="5"/>
      <c r="J2" s="4"/>
      <c r="K2" s="4"/>
      <c r="L2" s="4"/>
      <c r="M2" s="6"/>
    </row>
    <row r="3" spans="2:16" ht="21.75" thickBot="1" x14ac:dyDescent="0.3">
      <c r="B3" s="7"/>
      <c r="F3" s="8" t="s">
        <v>0</v>
      </c>
      <c r="G3" s="9">
        <f>+H57</f>
        <v>16054</v>
      </c>
      <c r="H3" s="10"/>
      <c r="I3" s="46" t="s">
        <v>28</v>
      </c>
      <c r="M3" s="11"/>
    </row>
    <row r="4" spans="2:16" ht="21.75" thickBot="1" x14ac:dyDescent="0.3">
      <c r="B4" s="7"/>
      <c r="F4" s="8" t="s">
        <v>1</v>
      </c>
      <c r="G4" s="9">
        <f>+K57</f>
        <v>9276.2000000000025</v>
      </c>
      <c r="H4" s="10"/>
      <c r="I4" s="47">
        <f>+L57</f>
        <v>0.5778123832066776</v>
      </c>
      <c r="M4" s="11"/>
    </row>
    <row r="5" spans="2:16" ht="21.75" thickBot="1" x14ac:dyDescent="0.3">
      <c r="B5" s="7"/>
      <c r="F5" s="8" t="s">
        <v>2</v>
      </c>
      <c r="G5" s="12">
        <v>46031</v>
      </c>
      <c r="H5" s="10"/>
      <c r="I5" s="58" t="s">
        <v>36</v>
      </c>
      <c r="M5" s="11"/>
    </row>
    <row r="6" spans="2:16" ht="21.75" thickBot="1" x14ac:dyDescent="0.3">
      <c r="B6" s="7"/>
      <c r="F6" s="8" t="s">
        <v>3</v>
      </c>
      <c r="G6" s="65">
        <v>15</v>
      </c>
      <c r="H6" s="10"/>
      <c r="I6" s="63">
        <f>+K57/G7</f>
        <v>201.65652173913048</v>
      </c>
      <c r="M6" s="11"/>
    </row>
    <row r="7" spans="2:16" ht="21.75" thickBot="1" x14ac:dyDescent="0.3">
      <c r="B7" s="7"/>
      <c r="F7" s="8" t="s">
        <v>4</v>
      </c>
      <c r="G7" s="48">
        <f>+D57</f>
        <v>46</v>
      </c>
      <c r="H7" s="10"/>
      <c r="I7" s="103" t="s">
        <v>38</v>
      </c>
      <c r="J7" s="338" t="s">
        <v>85</v>
      </c>
      <c r="K7" s="338"/>
      <c r="L7" s="339"/>
      <c r="M7" s="11"/>
    </row>
    <row r="8" spans="2:16" ht="21.75" thickBot="1" x14ac:dyDescent="0.3">
      <c r="B8" s="7"/>
      <c r="F8" s="101"/>
      <c r="G8" s="102"/>
      <c r="H8" s="10"/>
      <c r="I8" s="103" t="s">
        <v>88</v>
      </c>
      <c r="J8" s="338" t="s">
        <v>437</v>
      </c>
      <c r="K8" s="338"/>
      <c r="L8" s="339"/>
      <c r="M8" s="11"/>
    </row>
    <row r="9" spans="2:16" ht="15.75" thickBot="1" x14ac:dyDescent="0.3">
      <c r="B9" s="7"/>
      <c r="M9" s="11"/>
    </row>
    <row r="10" spans="2:16" s="18" customFormat="1" ht="45.75" thickBot="1" x14ac:dyDescent="0.3">
      <c r="B10" s="13"/>
      <c r="C10" s="27" t="s">
        <v>9</v>
      </c>
      <c r="D10" s="26" t="s">
        <v>5</v>
      </c>
      <c r="E10" s="99" t="s">
        <v>63</v>
      </c>
      <c r="F10" s="14" t="s">
        <v>6</v>
      </c>
      <c r="G10" s="16" t="s">
        <v>7</v>
      </c>
      <c r="H10" s="45" t="s">
        <v>26</v>
      </c>
      <c r="I10" s="15" t="s">
        <v>10</v>
      </c>
      <c r="J10" s="27" t="s">
        <v>11</v>
      </c>
      <c r="K10" s="45" t="s">
        <v>25</v>
      </c>
      <c r="L10" s="50" t="s">
        <v>27</v>
      </c>
      <c r="M10" s="17"/>
    </row>
    <row r="11" spans="2:16" x14ac:dyDescent="0.25">
      <c r="B11" s="7"/>
      <c r="C11" s="28">
        <v>1</v>
      </c>
      <c r="D11" s="28">
        <v>12</v>
      </c>
      <c r="E11" s="19" t="s">
        <v>68</v>
      </c>
      <c r="F11" s="59" t="s">
        <v>81</v>
      </c>
      <c r="G11" s="60" t="s">
        <v>397</v>
      </c>
      <c r="H11" s="94">
        <v>369</v>
      </c>
      <c r="I11" s="66">
        <v>106.7</v>
      </c>
      <c r="J11" s="67">
        <v>107.5</v>
      </c>
      <c r="K11" s="53">
        <f t="shared" ref="K11:K56" si="0">+I11+J11</f>
        <v>214.2</v>
      </c>
      <c r="L11" s="73">
        <f t="shared" ref="L11:L57" si="1">+K11/H11</f>
        <v>0.58048780487804874</v>
      </c>
      <c r="M11" s="11"/>
      <c r="N11" s="64" t="s">
        <v>42</v>
      </c>
      <c r="O11" s="1">
        <f>+COUNTIF($F$11:$F$56,"NOVILLITO (NT)")</f>
        <v>0</v>
      </c>
      <c r="P11" s="59" t="s">
        <v>8</v>
      </c>
    </row>
    <row r="12" spans="2:16" x14ac:dyDescent="0.25">
      <c r="B12" s="7"/>
      <c r="C12" s="29">
        <v>2</v>
      </c>
      <c r="D12" s="29">
        <v>16</v>
      </c>
      <c r="E12" s="19" t="s">
        <v>67</v>
      </c>
      <c r="F12" s="59" t="s">
        <v>81</v>
      </c>
      <c r="G12" s="62" t="s">
        <v>398</v>
      </c>
      <c r="H12" s="95">
        <v>379</v>
      </c>
      <c r="I12" s="19">
        <v>112.7</v>
      </c>
      <c r="J12" s="67">
        <v>113.8</v>
      </c>
      <c r="K12" s="55">
        <f t="shared" si="0"/>
        <v>226.5</v>
      </c>
      <c r="L12" s="73">
        <f t="shared" si="1"/>
        <v>0.59762532981530347</v>
      </c>
      <c r="M12" s="11"/>
      <c r="N12" s="64" t="s">
        <v>40</v>
      </c>
      <c r="O12" s="1">
        <f>+COUNTIF($F$11:$F$57,"VAQUILLONA (Vq)")</f>
        <v>0</v>
      </c>
      <c r="P12" s="59" t="s">
        <v>37</v>
      </c>
    </row>
    <row r="13" spans="2:16" x14ac:dyDescent="0.25">
      <c r="B13" s="7"/>
      <c r="C13" s="29">
        <v>3</v>
      </c>
      <c r="D13" s="29">
        <v>15</v>
      </c>
      <c r="E13" s="19" t="s">
        <v>67</v>
      </c>
      <c r="F13" s="59" t="s">
        <v>81</v>
      </c>
      <c r="G13" s="62" t="s">
        <v>399</v>
      </c>
      <c r="H13" s="95">
        <v>331</v>
      </c>
      <c r="I13" s="19">
        <v>96.7</v>
      </c>
      <c r="J13" s="67">
        <v>98</v>
      </c>
      <c r="K13" s="55">
        <f t="shared" si="0"/>
        <v>194.7</v>
      </c>
      <c r="L13" s="73">
        <f t="shared" si="1"/>
        <v>0.58821752265861027</v>
      </c>
      <c r="M13" s="11"/>
      <c r="N13" s="64" t="s">
        <v>44</v>
      </c>
      <c r="O13" s="1">
        <f>+COUNTIF($F$11:$F$57,"TORITO (MEJ)")</f>
        <v>0</v>
      </c>
      <c r="P13" s="59" t="s">
        <v>43</v>
      </c>
    </row>
    <row r="14" spans="2:16" x14ac:dyDescent="0.25">
      <c r="B14" s="7"/>
      <c r="C14" s="29">
        <v>4</v>
      </c>
      <c r="D14" s="29">
        <v>14</v>
      </c>
      <c r="E14" s="19" t="s">
        <v>67</v>
      </c>
      <c r="F14" s="59" t="s">
        <v>81</v>
      </c>
      <c r="G14" s="62" t="s">
        <v>400</v>
      </c>
      <c r="H14" s="95">
        <v>371</v>
      </c>
      <c r="I14" s="19">
        <v>108.2</v>
      </c>
      <c r="J14" s="67">
        <v>109.3</v>
      </c>
      <c r="K14" s="55">
        <f t="shared" si="0"/>
        <v>217.5</v>
      </c>
      <c r="L14" s="73">
        <f t="shared" si="1"/>
        <v>0.58625336927223715</v>
      </c>
      <c r="M14" s="11"/>
      <c r="N14" s="78" t="s">
        <v>45</v>
      </c>
      <c r="O14" s="1">
        <f>+COUNTIF($F$11:$F$57,"NOVILLO (No)")</f>
        <v>0</v>
      </c>
      <c r="P14" s="19" t="s">
        <v>39</v>
      </c>
    </row>
    <row r="15" spans="2:16" x14ac:dyDescent="0.25">
      <c r="B15" s="7"/>
      <c r="C15" s="29">
        <v>5</v>
      </c>
      <c r="D15" s="29">
        <v>13</v>
      </c>
      <c r="E15" s="19" t="s">
        <v>68</v>
      </c>
      <c r="F15" s="59" t="s">
        <v>81</v>
      </c>
      <c r="G15" s="62" t="s">
        <v>401</v>
      </c>
      <c r="H15" s="95">
        <v>336</v>
      </c>
      <c r="I15" s="19">
        <v>97.3</v>
      </c>
      <c r="J15" s="67">
        <v>97.5</v>
      </c>
      <c r="K15" s="55">
        <f t="shared" si="0"/>
        <v>194.8</v>
      </c>
      <c r="L15" s="73">
        <f t="shared" si="1"/>
        <v>0.57976190476190481</v>
      </c>
      <c r="M15" s="11"/>
      <c r="N15" s="78" t="s">
        <v>46</v>
      </c>
      <c r="O15" s="1">
        <f>+COUNTIF($F$11:$F$57,"VACA (Va)")</f>
        <v>0</v>
      </c>
      <c r="P15" s="83" t="s">
        <v>50</v>
      </c>
    </row>
    <row r="16" spans="2:16" x14ac:dyDescent="0.25">
      <c r="B16" s="7"/>
      <c r="C16" s="29">
        <v>6</v>
      </c>
      <c r="D16" s="29">
        <v>1</v>
      </c>
      <c r="E16" s="19" t="s">
        <v>67</v>
      </c>
      <c r="F16" s="59" t="s">
        <v>81</v>
      </c>
      <c r="G16" s="62" t="s">
        <v>402</v>
      </c>
      <c r="H16" s="95">
        <v>289</v>
      </c>
      <c r="I16" s="19">
        <v>84.7</v>
      </c>
      <c r="J16" s="67">
        <v>85.4</v>
      </c>
      <c r="K16" s="55">
        <f t="shared" si="0"/>
        <v>170.10000000000002</v>
      </c>
      <c r="L16" s="73">
        <f t="shared" si="1"/>
        <v>0.58858131487889276</v>
      </c>
      <c r="M16" s="11"/>
      <c r="N16" s="64" t="s">
        <v>47</v>
      </c>
      <c r="O16" s="1">
        <f>+COUNTIF($F$11:$F$57,"TORO (To)")</f>
        <v>0</v>
      </c>
      <c r="P16" s="83" t="s">
        <v>51</v>
      </c>
    </row>
    <row r="17" spans="2:16" x14ac:dyDescent="0.25">
      <c r="B17" s="7"/>
      <c r="C17" s="29">
        <v>7</v>
      </c>
      <c r="D17" s="29">
        <v>4</v>
      </c>
      <c r="E17" s="19" t="s">
        <v>67</v>
      </c>
      <c r="F17" s="59" t="s">
        <v>81</v>
      </c>
      <c r="G17" s="62" t="s">
        <v>403</v>
      </c>
      <c r="H17" s="95">
        <v>351</v>
      </c>
      <c r="I17" s="19">
        <v>98.5</v>
      </c>
      <c r="J17" s="67">
        <v>99.7</v>
      </c>
      <c r="K17" s="55">
        <f t="shared" si="0"/>
        <v>198.2</v>
      </c>
      <c r="L17" s="73">
        <f t="shared" si="1"/>
        <v>0.56467236467236459</v>
      </c>
      <c r="M17" s="11"/>
      <c r="N17" s="77"/>
      <c r="O17" s="1">
        <f>SUM(O11:O16)</f>
        <v>0</v>
      </c>
    </row>
    <row r="18" spans="2:16" x14ac:dyDescent="0.25">
      <c r="B18" s="7"/>
      <c r="C18" s="29">
        <v>8</v>
      </c>
      <c r="D18" s="29">
        <v>2</v>
      </c>
      <c r="E18" s="19" t="s">
        <v>67</v>
      </c>
      <c r="F18" s="59" t="s">
        <v>81</v>
      </c>
      <c r="G18" s="62" t="s">
        <v>404</v>
      </c>
      <c r="H18" s="95">
        <v>455</v>
      </c>
      <c r="I18" s="19">
        <v>134.9</v>
      </c>
      <c r="J18" s="67">
        <v>137.19999999999999</v>
      </c>
      <c r="K18" s="55">
        <f t="shared" si="0"/>
        <v>272.10000000000002</v>
      </c>
      <c r="L18" s="73">
        <f t="shared" si="1"/>
        <v>0.5980219780219781</v>
      </c>
      <c r="M18" s="11"/>
    </row>
    <row r="19" spans="2:16" x14ac:dyDescent="0.25">
      <c r="B19" s="7"/>
      <c r="C19" s="61">
        <v>9</v>
      </c>
      <c r="D19" s="61">
        <v>8</v>
      </c>
      <c r="E19" s="59" t="s">
        <v>67</v>
      </c>
      <c r="F19" s="59" t="s">
        <v>81</v>
      </c>
      <c r="G19" s="62" t="s">
        <v>405</v>
      </c>
      <c r="H19" s="95">
        <v>306</v>
      </c>
      <c r="I19" s="19">
        <v>86.3</v>
      </c>
      <c r="J19" s="67">
        <v>86.8</v>
      </c>
      <c r="K19" s="55">
        <f t="shared" si="0"/>
        <v>173.1</v>
      </c>
      <c r="L19" s="73">
        <f t="shared" si="1"/>
        <v>0.56568627450980391</v>
      </c>
      <c r="M19" s="11"/>
      <c r="P19" s="100" t="s">
        <v>63</v>
      </c>
    </row>
    <row r="20" spans="2:16" x14ac:dyDescent="0.25">
      <c r="B20" s="7"/>
      <c r="C20" s="61">
        <v>10</v>
      </c>
      <c r="D20" s="61">
        <v>3</v>
      </c>
      <c r="E20" s="59" t="s">
        <v>67</v>
      </c>
      <c r="F20" s="59" t="s">
        <v>81</v>
      </c>
      <c r="G20" s="62" t="s">
        <v>406</v>
      </c>
      <c r="H20" s="95">
        <v>331</v>
      </c>
      <c r="I20" s="19">
        <v>95.6</v>
      </c>
      <c r="J20" s="67">
        <v>97.4</v>
      </c>
      <c r="K20" s="55">
        <f t="shared" si="0"/>
        <v>193</v>
      </c>
      <c r="L20" s="73">
        <f t="shared" si="1"/>
        <v>0.58308157099697888</v>
      </c>
      <c r="M20" s="11"/>
      <c r="N20" s="64" t="s">
        <v>67</v>
      </c>
      <c r="P20" s="1" t="s">
        <v>64</v>
      </c>
    </row>
    <row r="21" spans="2:16" x14ac:dyDescent="0.25">
      <c r="B21" s="7"/>
      <c r="C21" s="19">
        <v>11</v>
      </c>
      <c r="D21" s="29">
        <v>9</v>
      </c>
      <c r="E21" s="19" t="s">
        <v>68</v>
      </c>
      <c r="F21" s="59" t="s">
        <v>81</v>
      </c>
      <c r="G21" s="62" t="s">
        <v>407</v>
      </c>
      <c r="H21" s="95">
        <v>416</v>
      </c>
      <c r="I21" s="19">
        <v>119.2</v>
      </c>
      <c r="J21" s="67">
        <v>120.9</v>
      </c>
      <c r="K21" s="55">
        <f t="shared" si="0"/>
        <v>240.10000000000002</v>
      </c>
      <c r="L21" s="73">
        <f t="shared" si="1"/>
        <v>0.57716346153846154</v>
      </c>
      <c r="M21" s="11"/>
      <c r="N21" s="64" t="s">
        <v>68</v>
      </c>
      <c r="P21" t="s">
        <v>65</v>
      </c>
    </row>
    <row r="22" spans="2:16" x14ac:dyDescent="0.25">
      <c r="B22" s="7"/>
      <c r="C22" s="19">
        <v>12</v>
      </c>
      <c r="D22" s="29">
        <v>6</v>
      </c>
      <c r="E22" s="19" t="s">
        <v>67</v>
      </c>
      <c r="F22" s="59" t="s">
        <v>81</v>
      </c>
      <c r="G22" s="62" t="s">
        <v>408</v>
      </c>
      <c r="H22" s="95">
        <v>310</v>
      </c>
      <c r="I22" s="19">
        <v>89</v>
      </c>
      <c r="J22" s="67">
        <v>91</v>
      </c>
      <c r="K22" s="55">
        <f t="shared" si="0"/>
        <v>180</v>
      </c>
      <c r="L22" s="73">
        <f t="shared" si="1"/>
        <v>0.58064516129032262</v>
      </c>
      <c r="M22" s="11"/>
      <c r="N22" s="64" t="s">
        <v>75</v>
      </c>
      <c r="P22" t="s">
        <v>74</v>
      </c>
    </row>
    <row r="23" spans="2:16" x14ac:dyDescent="0.25">
      <c r="B23" s="7"/>
      <c r="C23" s="59">
        <v>13</v>
      </c>
      <c r="D23" s="61">
        <v>11</v>
      </c>
      <c r="E23" s="59" t="s">
        <v>67</v>
      </c>
      <c r="F23" s="59" t="s">
        <v>81</v>
      </c>
      <c r="G23" s="62" t="s">
        <v>409</v>
      </c>
      <c r="H23" s="95">
        <v>388</v>
      </c>
      <c r="I23" s="19">
        <v>113.2</v>
      </c>
      <c r="J23" s="67">
        <v>112.3</v>
      </c>
      <c r="K23" s="55">
        <f t="shared" si="0"/>
        <v>225.5</v>
      </c>
      <c r="L23" s="73">
        <f t="shared" si="1"/>
        <v>0.58118556701030932</v>
      </c>
      <c r="M23" s="11"/>
      <c r="N23" s="64" t="s">
        <v>69</v>
      </c>
      <c r="P23" t="s">
        <v>66</v>
      </c>
    </row>
    <row r="24" spans="2:16" x14ac:dyDescent="0.25">
      <c r="B24" s="7"/>
      <c r="C24" s="19">
        <v>14</v>
      </c>
      <c r="D24" s="29">
        <v>5</v>
      </c>
      <c r="E24" s="19" t="s">
        <v>67</v>
      </c>
      <c r="F24" s="59" t="s">
        <v>81</v>
      </c>
      <c r="G24" s="62" t="s">
        <v>410</v>
      </c>
      <c r="H24" s="95">
        <v>335</v>
      </c>
      <c r="I24" s="19">
        <v>98.3</v>
      </c>
      <c r="J24" s="68">
        <v>99.6</v>
      </c>
      <c r="K24" s="55">
        <f t="shared" si="0"/>
        <v>197.89999999999998</v>
      </c>
      <c r="L24" s="104">
        <f t="shared" si="1"/>
        <v>0.59074626865671631</v>
      </c>
      <c r="M24" s="11"/>
      <c r="N24" s="64" t="s">
        <v>70</v>
      </c>
      <c r="P24" t="s">
        <v>71</v>
      </c>
    </row>
    <row r="25" spans="2:16" x14ac:dyDescent="0.25">
      <c r="B25" s="7"/>
      <c r="C25" s="19">
        <v>15</v>
      </c>
      <c r="D25" s="29">
        <v>10</v>
      </c>
      <c r="E25" s="19" t="s">
        <v>67</v>
      </c>
      <c r="F25" s="59" t="s">
        <v>81</v>
      </c>
      <c r="G25" s="62" t="s">
        <v>411</v>
      </c>
      <c r="H25" s="95">
        <v>292</v>
      </c>
      <c r="I25" s="19">
        <v>85.5</v>
      </c>
      <c r="J25" s="67">
        <v>86.8</v>
      </c>
      <c r="K25" s="55">
        <f t="shared" si="0"/>
        <v>172.3</v>
      </c>
      <c r="L25" s="73">
        <f t="shared" si="1"/>
        <v>0.59006849315068499</v>
      </c>
      <c r="M25" s="11"/>
      <c r="N25" s="64" t="s">
        <v>73</v>
      </c>
      <c r="P25" t="s">
        <v>72</v>
      </c>
    </row>
    <row r="26" spans="2:16" x14ac:dyDescent="0.25">
      <c r="B26" s="7"/>
      <c r="C26" s="19">
        <v>16</v>
      </c>
      <c r="D26" s="29">
        <v>17</v>
      </c>
      <c r="E26" s="19" t="s">
        <v>68</v>
      </c>
      <c r="F26" s="59" t="s">
        <v>81</v>
      </c>
      <c r="G26" s="62" t="s">
        <v>412</v>
      </c>
      <c r="H26" s="95">
        <v>313</v>
      </c>
      <c r="I26" s="19">
        <v>88.2</v>
      </c>
      <c r="J26" s="67">
        <v>90</v>
      </c>
      <c r="K26" s="55">
        <f t="shared" si="0"/>
        <v>178.2</v>
      </c>
      <c r="L26" s="73">
        <f t="shared" si="1"/>
        <v>0.56932907348242812</v>
      </c>
      <c r="M26" s="11"/>
      <c r="N26" s="64" t="s">
        <v>78</v>
      </c>
      <c r="P26" t="s">
        <v>76</v>
      </c>
    </row>
    <row r="27" spans="2:16" x14ac:dyDescent="0.25">
      <c r="B27" s="7"/>
      <c r="C27" s="19">
        <v>17</v>
      </c>
      <c r="D27" s="29">
        <v>25</v>
      </c>
      <c r="E27" s="19" t="s">
        <v>67</v>
      </c>
      <c r="F27" s="59" t="s">
        <v>81</v>
      </c>
      <c r="G27" s="62" t="s">
        <v>413</v>
      </c>
      <c r="H27" s="95">
        <v>383</v>
      </c>
      <c r="I27" s="19">
        <v>110.1</v>
      </c>
      <c r="J27" s="67">
        <v>110.8</v>
      </c>
      <c r="K27" s="55">
        <f t="shared" si="0"/>
        <v>220.89999999999998</v>
      </c>
      <c r="L27" s="73">
        <f t="shared" si="1"/>
        <v>0.57676240208877283</v>
      </c>
      <c r="M27" s="11"/>
    </row>
    <row r="28" spans="2:16" x14ac:dyDescent="0.25">
      <c r="B28" s="7"/>
      <c r="C28" s="19">
        <v>18</v>
      </c>
      <c r="D28" s="29">
        <v>38</v>
      </c>
      <c r="E28" s="19" t="s">
        <v>67</v>
      </c>
      <c r="F28" s="19" t="s">
        <v>81</v>
      </c>
      <c r="G28" s="20" t="s">
        <v>406</v>
      </c>
      <c r="H28" s="71">
        <v>397</v>
      </c>
      <c r="I28" s="19">
        <v>118.7</v>
      </c>
      <c r="J28" s="67">
        <v>118.2</v>
      </c>
      <c r="K28" s="55">
        <f t="shared" si="0"/>
        <v>236.9</v>
      </c>
      <c r="L28" s="73">
        <f t="shared" si="1"/>
        <v>0.59672544080604539</v>
      </c>
      <c r="M28" s="11"/>
    </row>
    <row r="29" spans="2:16" x14ac:dyDescent="0.25">
      <c r="B29" s="7"/>
      <c r="C29" s="19">
        <v>19</v>
      </c>
      <c r="D29" s="29">
        <v>7</v>
      </c>
      <c r="E29" s="19" t="s">
        <v>67</v>
      </c>
      <c r="F29" s="59" t="s">
        <v>81</v>
      </c>
      <c r="G29" s="62" t="s">
        <v>414</v>
      </c>
      <c r="H29" s="95">
        <v>307</v>
      </c>
      <c r="I29" s="19">
        <v>86.8</v>
      </c>
      <c r="J29" s="67">
        <v>88.3</v>
      </c>
      <c r="K29" s="55">
        <f t="shared" si="0"/>
        <v>175.1</v>
      </c>
      <c r="L29" s="73">
        <f t="shared" si="1"/>
        <v>0.57035830618892502</v>
      </c>
      <c r="M29" s="11"/>
    </row>
    <row r="30" spans="2:16" x14ac:dyDescent="0.25">
      <c r="B30" s="7"/>
      <c r="C30" s="19">
        <v>20</v>
      </c>
      <c r="D30" s="29">
        <v>19</v>
      </c>
      <c r="E30" s="19" t="s">
        <v>68</v>
      </c>
      <c r="F30" s="59" t="s">
        <v>81</v>
      </c>
      <c r="G30" s="62" t="s">
        <v>415</v>
      </c>
      <c r="H30" s="95">
        <v>374</v>
      </c>
      <c r="I30" s="19">
        <v>105.6</v>
      </c>
      <c r="J30" s="67">
        <v>108.4</v>
      </c>
      <c r="K30" s="55">
        <f t="shared" si="0"/>
        <v>214</v>
      </c>
      <c r="L30" s="73">
        <f t="shared" si="1"/>
        <v>0.57219251336898391</v>
      </c>
      <c r="M30" s="11"/>
    </row>
    <row r="31" spans="2:16" x14ac:dyDescent="0.25">
      <c r="B31" s="7"/>
      <c r="C31" s="19">
        <v>21</v>
      </c>
      <c r="D31" s="29">
        <v>18</v>
      </c>
      <c r="E31" s="19" t="s">
        <v>75</v>
      </c>
      <c r="F31" s="59" t="s">
        <v>81</v>
      </c>
      <c r="G31" s="62" t="s">
        <v>416</v>
      </c>
      <c r="H31" s="95">
        <v>335</v>
      </c>
      <c r="I31" s="19">
        <v>100</v>
      </c>
      <c r="J31" s="67">
        <v>99.7</v>
      </c>
      <c r="K31" s="55">
        <f t="shared" si="0"/>
        <v>199.7</v>
      </c>
      <c r="L31" s="73">
        <f t="shared" si="1"/>
        <v>0.5961194029850746</v>
      </c>
      <c r="M31" s="11"/>
    </row>
    <row r="32" spans="2:16" x14ac:dyDescent="0.25">
      <c r="B32" s="7"/>
      <c r="C32" s="59">
        <v>22</v>
      </c>
      <c r="D32" s="61">
        <v>20</v>
      </c>
      <c r="E32" s="59" t="s">
        <v>67</v>
      </c>
      <c r="F32" s="59" t="s">
        <v>81</v>
      </c>
      <c r="G32" s="62" t="s">
        <v>417</v>
      </c>
      <c r="H32" s="95">
        <v>320</v>
      </c>
      <c r="I32" s="19">
        <v>95.4</v>
      </c>
      <c r="J32" s="67">
        <v>97.3</v>
      </c>
      <c r="K32" s="55">
        <f t="shared" si="0"/>
        <v>192.7</v>
      </c>
      <c r="L32" s="73">
        <f t="shared" si="1"/>
        <v>0.60218749999999999</v>
      </c>
      <c r="M32" s="11"/>
    </row>
    <row r="33" spans="2:13" x14ac:dyDescent="0.25">
      <c r="B33" s="7"/>
      <c r="C33" s="19">
        <v>23</v>
      </c>
      <c r="D33" s="29">
        <v>24</v>
      </c>
      <c r="E33" s="19" t="s">
        <v>67</v>
      </c>
      <c r="F33" s="59" t="s">
        <v>81</v>
      </c>
      <c r="G33" s="62" t="s">
        <v>418</v>
      </c>
      <c r="H33" s="95">
        <v>297</v>
      </c>
      <c r="I33" s="19">
        <v>83.7</v>
      </c>
      <c r="J33" s="67">
        <v>84.8</v>
      </c>
      <c r="K33" s="55">
        <f t="shared" si="0"/>
        <v>168.5</v>
      </c>
      <c r="L33" s="73">
        <f t="shared" si="1"/>
        <v>0.56734006734006737</v>
      </c>
      <c r="M33" s="11"/>
    </row>
    <row r="34" spans="2:13" x14ac:dyDescent="0.25">
      <c r="B34" s="7"/>
      <c r="C34" s="59">
        <v>24</v>
      </c>
      <c r="D34" s="61">
        <v>42</v>
      </c>
      <c r="E34" s="59" t="s">
        <v>67</v>
      </c>
      <c r="F34" s="59" t="s">
        <v>81</v>
      </c>
      <c r="G34" s="62" t="s">
        <v>419</v>
      </c>
      <c r="H34" s="95">
        <v>351</v>
      </c>
      <c r="I34" s="19">
        <v>100.3</v>
      </c>
      <c r="J34" s="67">
        <v>102.5</v>
      </c>
      <c r="K34" s="55">
        <f t="shared" si="0"/>
        <v>202.8</v>
      </c>
      <c r="L34" s="73">
        <f t="shared" si="1"/>
        <v>0.57777777777777783</v>
      </c>
      <c r="M34" s="11"/>
    </row>
    <row r="35" spans="2:13" x14ac:dyDescent="0.25">
      <c r="B35" s="7"/>
      <c r="C35" s="59">
        <v>25</v>
      </c>
      <c r="D35" s="61">
        <v>29</v>
      </c>
      <c r="E35" s="59" t="s">
        <v>67</v>
      </c>
      <c r="F35" s="59" t="s">
        <v>81</v>
      </c>
      <c r="G35" s="62" t="s">
        <v>420</v>
      </c>
      <c r="H35" s="95">
        <v>330</v>
      </c>
      <c r="I35" s="19">
        <v>94.2</v>
      </c>
      <c r="J35" s="67">
        <v>93.9</v>
      </c>
      <c r="K35" s="55">
        <f t="shared" si="0"/>
        <v>188.10000000000002</v>
      </c>
      <c r="L35" s="73">
        <f t="shared" si="1"/>
        <v>0.57000000000000006</v>
      </c>
      <c r="M35" s="11"/>
    </row>
    <row r="36" spans="2:13" x14ac:dyDescent="0.25">
      <c r="B36" s="7"/>
      <c r="C36" s="59">
        <v>26</v>
      </c>
      <c r="D36" s="61">
        <v>23</v>
      </c>
      <c r="E36" s="59" t="s">
        <v>67</v>
      </c>
      <c r="F36" s="59" t="s">
        <v>81</v>
      </c>
      <c r="G36" s="62" t="s">
        <v>421</v>
      </c>
      <c r="H36" s="95">
        <v>310</v>
      </c>
      <c r="I36" s="19">
        <v>88.6</v>
      </c>
      <c r="J36" s="67">
        <v>90.6</v>
      </c>
      <c r="K36" s="55">
        <f t="shared" si="0"/>
        <v>179.2</v>
      </c>
      <c r="L36" s="73">
        <f t="shared" si="1"/>
        <v>0.5780645161290322</v>
      </c>
      <c r="M36" s="11"/>
    </row>
    <row r="37" spans="2:13" x14ac:dyDescent="0.25">
      <c r="B37" s="7"/>
      <c r="C37" s="59">
        <v>27</v>
      </c>
      <c r="D37" s="61">
        <v>33</v>
      </c>
      <c r="E37" s="59" t="s">
        <v>68</v>
      </c>
      <c r="F37" s="59" t="s">
        <v>81</v>
      </c>
      <c r="G37" s="62" t="s">
        <v>422</v>
      </c>
      <c r="H37" s="95">
        <v>286</v>
      </c>
      <c r="I37" s="19">
        <v>85.5</v>
      </c>
      <c r="J37" s="67">
        <v>86.4</v>
      </c>
      <c r="K37" s="55">
        <f t="shared" si="0"/>
        <v>171.9</v>
      </c>
      <c r="L37" s="73">
        <f t="shared" si="1"/>
        <v>0.60104895104895106</v>
      </c>
      <c r="M37" s="11"/>
    </row>
    <row r="38" spans="2:13" x14ac:dyDescent="0.25">
      <c r="B38" s="7"/>
      <c r="C38" s="59">
        <v>28</v>
      </c>
      <c r="D38" s="61">
        <v>39</v>
      </c>
      <c r="E38" s="59" t="s">
        <v>67</v>
      </c>
      <c r="F38" s="59" t="s">
        <v>81</v>
      </c>
      <c r="G38" s="62" t="s">
        <v>41</v>
      </c>
      <c r="H38" s="95">
        <v>347</v>
      </c>
      <c r="I38" s="19">
        <v>94.2</v>
      </c>
      <c r="J38" s="67">
        <v>96.6</v>
      </c>
      <c r="K38" s="55">
        <f t="shared" si="0"/>
        <v>190.8</v>
      </c>
      <c r="L38" s="73">
        <f t="shared" si="1"/>
        <v>0.54985590778097981</v>
      </c>
      <c r="M38" s="11"/>
    </row>
    <row r="39" spans="2:13" x14ac:dyDescent="0.25">
      <c r="B39" s="7"/>
      <c r="C39" s="59">
        <v>29</v>
      </c>
      <c r="D39" s="61">
        <v>22</v>
      </c>
      <c r="E39" s="59" t="s">
        <v>67</v>
      </c>
      <c r="F39" s="59" t="s">
        <v>81</v>
      </c>
      <c r="G39" s="62" t="s">
        <v>423</v>
      </c>
      <c r="H39" s="95">
        <v>314</v>
      </c>
      <c r="I39" s="19">
        <v>89.9</v>
      </c>
      <c r="J39" s="67">
        <v>91.7</v>
      </c>
      <c r="K39" s="55">
        <f t="shared" si="0"/>
        <v>181.60000000000002</v>
      </c>
      <c r="L39" s="73">
        <f t="shared" si="1"/>
        <v>0.57834394904458608</v>
      </c>
      <c r="M39" s="11"/>
    </row>
    <row r="40" spans="2:13" x14ac:dyDescent="0.25">
      <c r="B40" s="7"/>
      <c r="C40" s="19">
        <v>30</v>
      </c>
      <c r="D40" s="29">
        <v>34</v>
      </c>
      <c r="E40" s="19" t="s">
        <v>68</v>
      </c>
      <c r="F40" s="59" t="s">
        <v>81</v>
      </c>
      <c r="G40" s="62" t="s">
        <v>416</v>
      </c>
      <c r="H40" s="95">
        <v>359</v>
      </c>
      <c r="I40" s="19">
        <v>101.7</v>
      </c>
      <c r="J40" s="67">
        <v>101.3</v>
      </c>
      <c r="K40" s="55">
        <f t="shared" si="0"/>
        <v>203</v>
      </c>
      <c r="L40" s="73">
        <f t="shared" si="1"/>
        <v>0.56545961002785516</v>
      </c>
      <c r="M40" s="11"/>
    </row>
    <row r="41" spans="2:13" x14ac:dyDescent="0.25">
      <c r="B41" s="7"/>
      <c r="C41" s="19">
        <v>31</v>
      </c>
      <c r="D41" s="29">
        <v>27</v>
      </c>
      <c r="E41" s="19" t="s">
        <v>67</v>
      </c>
      <c r="F41" s="59" t="s">
        <v>81</v>
      </c>
      <c r="G41" s="20" t="s">
        <v>424</v>
      </c>
      <c r="H41" s="71">
        <v>369</v>
      </c>
      <c r="I41" s="19">
        <v>106.9</v>
      </c>
      <c r="J41" s="67">
        <v>108.1</v>
      </c>
      <c r="K41" s="55">
        <f t="shared" si="0"/>
        <v>215</v>
      </c>
      <c r="L41" s="73">
        <f t="shared" si="1"/>
        <v>0.58265582655826553</v>
      </c>
      <c r="M41" s="11"/>
    </row>
    <row r="42" spans="2:13" x14ac:dyDescent="0.25">
      <c r="B42" s="7"/>
      <c r="C42" s="19">
        <v>32</v>
      </c>
      <c r="D42" s="61">
        <v>40</v>
      </c>
      <c r="E42" s="59" t="s">
        <v>67</v>
      </c>
      <c r="F42" s="59" t="s">
        <v>81</v>
      </c>
      <c r="G42" s="20" t="s">
        <v>425</v>
      </c>
      <c r="H42" s="71">
        <v>321</v>
      </c>
      <c r="I42" s="19">
        <v>91.9</v>
      </c>
      <c r="J42" s="67">
        <v>92.2</v>
      </c>
      <c r="K42" s="55">
        <f t="shared" si="0"/>
        <v>184.10000000000002</v>
      </c>
      <c r="L42" s="73">
        <f t="shared" si="1"/>
        <v>0.57352024922118383</v>
      </c>
      <c r="M42" s="11"/>
    </row>
    <row r="43" spans="2:13" x14ac:dyDescent="0.25">
      <c r="B43" s="7"/>
      <c r="C43" s="19">
        <v>33</v>
      </c>
      <c r="D43" s="61">
        <v>31</v>
      </c>
      <c r="E43" s="59" t="s">
        <v>68</v>
      </c>
      <c r="F43" s="59" t="s">
        <v>81</v>
      </c>
      <c r="G43" s="20" t="s">
        <v>426</v>
      </c>
      <c r="H43" s="71">
        <v>281</v>
      </c>
      <c r="I43" s="19">
        <v>81.5</v>
      </c>
      <c r="J43" s="67">
        <v>83.6</v>
      </c>
      <c r="K43" s="55">
        <f t="shared" si="0"/>
        <v>165.1</v>
      </c>
      <c r="L43" s="73">
        <f t="shared" si="1"/>
        <v>0.58754448398576509</v>
      </c>
      <c r="M43" s="11"/>
    </row>
    <row r="44" spans="2:13" x14ac:dyDescent="0.25">
      <c r="B44" s="7"/>
      <c r="C44" s="19">
        <v>34</v>
      </c>
      <c r="D44" s="61">
        <v>26</v>
      </c>
      <c r="E44" s="59" t="s">
        <v>68</v>
      </c>
      <c r="F44" s="59" t="s">
        <v>81</v>
      </c>
      <c r="G44" s="20" t="s">
        <v>427</v>
      </c>
      <c r="H44" s="71">
        <v>360</v>
      </c>
      <c r="I44" s="19">
        <v>93</v>
      </c>
      <c r="J44" s="67">
        <v>94.5</v>
      </c>
      <c r="K44" s="55">
        <f t="shared" si="0"/>
        <v>187.5</v>
      </c>
      <c r="L44" s="73">
        <f t="shared" si="1"/>
        <v>0.52083333333333337</v>
      </c>
      <c r="M44" s="11"/>
    </row>
    <row r="45" spans="2:13" x14ac:dyDescent="0.25">
      <c r="B45" s="7"/>
      <c r="C45" s="19">
        <v>35</v>
      </c>
      <c r="D45" s="61">
        <v>41</v>
      </c>
      <c r="E45" s="59" t="s">
        <v>67</v>
      </c>
      <c r="F45" s="59" t="s">
        <v>81</v>
      </c>
      <c r="G45" s="20" t="s">
        <v>428</v>
      </c>
      <c r="H45" s="71">
        <v>324</v>
      </c>
      <c r="I45" s="19">
        <v>92.3</v>
      </c>
      <c r="J45" s="67">
        <v>93.5</v>
      </c>
      <c r="K45" s="55">
        <f t="shared" si="0"/>
        <v>185.8</v>
      </c>
      <c r="L45" s="73">
        <f t="shared" si="1"/>
        <v>0.57345679012345685</v>
      </c>
      <c r="M45" s="11"/>
    </row>
    <row r="46" spans="2:13" x14ac:dyDescent="0.25">
      <c r="B46" s="7"/>
      <c r="C46" s="19">
        <v>36</v>
      </c>
      <c r="D46" s="61">
        <v>35</v>
      </c>
      <c r="E46" s="59" t="s">
        <v>67</v>
      </c>
      <c r="F46" s="59" t="s">
        <v>81</v>
      </c>
      <c r="G46" s="20" t="s">
        <v>403</v>
      </c>
      <c r="H46" s="71">
        <v>335</v>
      </c>
      <c r="I46" s="19">
        <v>94.3</v>
      </c>
      <c r="J46" s="67">
        <v>95.2</v>
      </c>
      <c r="K46" s="55">
        <f t="shared" si="0"/>
        <v>189.5</v>
      </c>
      <c r="L46" s="73">
        <f t="shared" si="1"/>
        <v>0.56567164179104479</v>
      </c>
      <c r="M46" s="11"/>
    </row>
    <row r="47" spans="2:13" x14ac:dyDescent="0.25">
      <c r="B47" s="7"/>
      <c r="C47" s="19">
        <v>37</v>
      </c>
      <c r="D47" s="61">
        <v>32</v>
      </c>
      <c r="E47" s="59" t="s">
        <v>67</v>
      </c>
      <c r="F47" s="59" t="s">
        <v>81</v>
      </c>
      <c r="G47" s="20" t="s">
        <v>269</v>
      </c>
      <c r="H47" s="71">
        <v>356</v>
      </c>
      <c r="I47" s="19">
        <v>103.7</v>
      </c>
      <c r="J47" s="67">
        <v>103.9</v>
      </c>
      <c r="K47" s="55">
        <f t="shared" ref="K47" si="2">+I47+J47</f>
        <v>207.60000000000002</v>
      </c>
      <c r="L47" s="73">
        <f t="shared" ref="L47" si="3">+K47/H47</f>
        <v>0.58314606741573038</v>
      </c>
      <c r="M47" s="11"/>
    </row>
    <row r="48" spans="2:13" x14ac:dyDescent="0.25">
      <c r="B48" s="7"/>
      <c r="C48" s="19">
        <v>38</v>
      </c>
      <c r="D48" s="29">
        <v>30</v>
      </c>
      <c r="E48" s="19" t="s">
        <v>67</v>
      </c>
      <c r="F48" s="59" t="s">
        <v>81</v>
      </c>
      <c r="G48" s="20" t="s">
        <v>429</v>
      </c>
      <c r="H48" s="71">
        <v>325</v>
      </c>
      <c r="I48" s="19">
        <v>94.2</v>
      </c>
      <c r="J48" s="67">
        <v>94.5</v>
      </c>
      <c r="K48" s="55">
        <f t="shared" si="0"/>
        <v>188.7</v>
      </c>
      <c r="L48" s="73">
        <f t="shared" si="1"/>
        <v>0.58061538461538453</v>
      </c>
      <c r="M48" s="11"/>
    </row>
    <row r="49" spans="2:13" x14ac:dyDescent="0.25">
      <c r="B49" s="7"/>
      <c r="C49" s="19">
        <v>39</v>
      </c>
      <c r="D49" s="29">
        <v>44</v>
      </c>
      <c r="E49" s="19" t="s">
        <v>68</v>
      </c>
      <c r="F49" s="59" t="s">
        <v>81</v>
      </c>
      <c r="G49" s="20" t="s">
        <v>430</v>
      </c>
      <c r="H49" s="71">
        <v>337</v>
      </c>
      <c r="I49" s="19">
        <v>93</v>
      </c>
      <c r="J49" s="67">
        <v>93.8</v>
      </c>
      <c r="K49" s="55">
        <f t="shared" si="0"/>
        <v>186.8</v>
      </c>
      <c r="L49" s="73">
        <f t="shared" si="1"/>
        <v>0.55430267062314542</v>
      </c>
      <c r="M49" s="11"/>
    </row>
    <row r="50" spans="2:13" x14ac:dyDescent="0.25">
      <c r="B50" s="7"/>
      <c r="C50" s="19">
        <v>40</v>
      </c>
      <c r="D50" s="85">
        <v>37</v>
      </c>
      <c r="E50" s="89" t="s">
        <v>67</v>
      </c>
      <c r="F50" s="86" t="s">
        <v>81</v>
      </c>
      <c r="G50" s="20" t="s">
        <v>431</v>
      </c>
      <c r="H50" s="71">
        <v>326</v>
      </c>
      <c r="I50" s="19">
        <v>99.6</v>
      </c>
      <c r="J50" s="67">
        <v>99</v>
      </c>
      <c r="K50" s="55">
        <f t="shared" si="0"/>
        <v>198.6</v>
      </c>
      <c r="L50" s="73">
        <f t="shared" si="1"/>
        <v>0.6092024539877301</v>
      </c>
      <c r="M50" s="11"/>
    </row>
    <row r="51" spans="2:13" x14ac:dyDescent="0.25">
      <c r="B51" s="7"/>
      <c r="C51" s="19">
        <v>41</v>
      </c>
      <c r="D51" s="85">
        <v>43</v>
      </c>
      <c r="E51" s="89" t="s">
        <v>67</v>
      </c>
      <c r="F51" s="86" t="s">
        <v>81</v>
      </c>
      <c r="G51" s="20" t="s">
        <v>432</v>
      </c>
      <c r="H51" s="71">
        <v>436</v>
      </c>
      <c r="I51" s="19">
        <v>118.6</v>
      </c>
      <c r="J51" s="67">
        <v>118.8</v>
      </c>
      <c r="K51" s="55">
        <f t="shared" si="0"/>
        <v>237.39999999999998</v>
      </c>
      <c r="L51" s="73">
        <f t="shared" si="1"/>
        <v>0.54449541284403669</v>
      </c>
      <c r="M51" s="11"/>
    </row>
    <row r="52" spans="2:13" x14ac:dyDescent="0.25">
      <c r="B52" s="7"/>
      <c r="C52" s="29">
        <v>42</v>
      </c>
      <c r="D52" s="85">
        <v>46</v>
      </c>
      <c r="E52" s="85" t="s">
        <v>67</v>
      </c>
      <c r="F52" s="87" t="s">
        <v>433</v>
      </c>
      <c r="G52" s="20" t="s">
        <v>434</v>
      </c>
      <c r="H52" s="71">
        <v>489</v>
      </c>
      <c r="I52" s="29">
        <v>129.9</v>
      </c>
      <c r="J52" s="79">
        <v>132.5</v>
      </c>
      <c r="K52" s="55">
        <f t="shared" si="0"/>
        <v>262.39999999999998</v>
      </c>
      <c r="L52" s="73">
        <f t="shared" si="1"/>
        <v>0.53660531697341507</v>
      </c>
      <c r="M52" s="11"/>
    </row>
    <row r="53" spans="2:13" x14ac:dyDescent="0.25">
      <c r="B53" s="7"/>
      <c r="C53" s="19">
        <v>43</v>
      </c>
      <c r="D53" s="85">
        <v>28</v>
      </c>
      <c r="E53" s="89" t="s">
        <v>67</v>
      </c>
      <c r="F53" s="89" t="s">
        <v>81</v>
      </c>
      <c r="G53" s="20" t="s">
        <v>435</v>
      </c>
      <c r="H53" s="71">
        <v>387</v>
      </c>
      <c r="I53" s="19">
        <v>111.9</v>
      </c>
      <c r="J53" s="19">
        <v>112.3</v>
      </c>
      <c r="K53" s="55">
        <f t="shared" si="0"/>
        <v>224.2</v>
      </c>
      <c r="L53" s="73">
        <f t="shared" si="1"/>
        <v>0.57932816537467702</v>
      </c>
      <c r="M53" s="11"/>
    </row>
    <row r="54" spans="2:13" x14ac:dyDescent="0.25">
      <c r="B54" s="7"/>
      <c r="C54" s="19">
        <v>44</v>
      </c>
      <c r="D54" s="90">
        <v>36</v>
      </c>
      <c r="E54" s="91" t="s">
        <v>68</v>
      </c>
      <c r="F54" s="91" t="s">
        <v>81</v>
      </c>
      <c r="G54" s="93" t="s">
        <v>436</v>
      </c>
      <c r="H54" s="98">
        <v>422</v>
      </c>
      <c r="I54" s="37">
        <v>125.4</v>
      </c>
      <c r="J54" s="37">
        <v>128.19999999999999</v>
      </c>
      <c r="K54" s="55">
        <f t="shared" si="0"/>
        <v>253.6</v>
      </c>
      <c r="L54" s="73">
        <f t="shared" si="1"/>
        <v>0.60094786729857819</v>
      </c>
      <c r="M54" s="11"/>
    </row>
    <row r="55" spans="2:13" x14ac:dyDescent="0.25">
      <c r="B55" s="7"/>
      <c r="C55" s="19">
        <v>45</v>
      </c>
      <c r="D55" s="85">
        <v>21</v>
      </c>
      <c r="E55" s="89" t="s">
        <v>67</v>
      </c>
      <c r="F55" s="89" t="s">
        <v>81</v>
      </c>
      <c r="G55" s="20" t="s">
        <v>436</v>
      </c>
      <c r="H55" s="71">
        <v>384</v>
      </c>
      <c r="I55" s="19">
        <v>121.3</v>
      </c>
      <c r="J55" s="67">
        <v>119.2</v>
      </c>
      <c r="K55" s="55">
        <f t="shared" si="0"/>
        <v>240.5</v>
      </c>
      <c r="L55" s="73">
        <f t="shared" si="1"/>
        <v>0.62630208333333337</v>
      </c>
      <c r="M55" s="11"/>
    </row>
    <row r="56" spans="2:13" ht="15.75" thickBot="1" x14ac:dyDescent="0.3">
      <c r="B56" s="7"/>
      <c r="C56" s="19">
        <v>46</v>
      </c>
      <c r="D56" s="85">
        <v>45</v>
      </c>
      <c r="E56" s="89" t="s">
        <v>67</v>
      </c>
      <c r="F56" s="89" t="s">
        <v>81</v>
      </c>
      <c r="G56" s="20" t="s">
        <v>41</v>
      </c>
      <c r="H56" s="71">
        <v>320</v>
      </c>
      <c r="I56" s="19">
        <v>87.2</v>
      </c>
      <c r="J56" s="67">
        <v>88.8</v>
      </c>
      <c r="K56" s="55">
        <f t="shared" si="0"/>
        <v>176</v>
      </c>
      <c r="L56" s="73">
        <f t="shared" si="1"/>
        <v>0.55000000000000004</v>
      </c>
      <c r="M56" s="11"/>
    </row>
    <row r="57" spans="2:13" ht="15.75" thickBot="1" x14ac:dyDescent="0.3">
      <c r="B57" s="7"/>
      <c r="C57" s="105"/>
      <c r="D57" s="75">
        <f>+COUNT($D$11:$D$56)</f>
        <v>46</v>
      </c>
      <c r="E57" s="105"/>
      <c r="F57" s="105"/>
      <c r="G57" s="69"/>
      <c r="H57" s="56">
        <f>SUM($H$11:$H$56)</f>
        <v>16054</v>
      </c>
      <c r="I57" s="57">
        <f>SUM($I$11:$I$56)</f>
        <v>4614.3999999999987</v>
      </c>
      <c r="J57" s="70">
        <f>SUM($J$11:$J$56)</f>
        <v>4661.8</v>
      </c>
      <c r="K57" s="72">
        <f>SUM($K$11:$K$56)</f>
        <v>9276.2000000000025</v>
      </c>
      <c r="L57" s="74">
        <f t="shared" si="1"/>
        <v>0.5778123832066776</v>
      </c>
      <c r="M57" s="11"/>
    </row>
    <row r="58" spans="2:13" ht="15.75" thickBot="1" x14ac:dyDescent="0.3">
      <c r="B58" s="41"/>
      <c r="C58" s="42"/>
      <c r="D58" s="42"/>
      <c r="E58" s="42"/>
      <c r="F58" s="42"/>
      <c r="G58" s="43"/>
      <c r="H58" s="42"/>
      <c r="I58" s="43"/>
      <c r="J58" s="42"/>
      <c r="K58" s="42"/>
      <c r="L58" s="42"/>
      <c r="M58" s="44"/>
    </row>
    <row r="59" spans="2:13" ht="16.5" thickTop="1" thickBot="1" x14ac:dyDescent="0.3">
      <c r="B59" s="4"/>
      <c r="C59" s="4"/>
      <c r="D59" s="4"/>
      <c r="E59" s="4"/>
      <c r="F59" s="4"/>
      <c r="G59" s="5"/>
      <c r="H59" s="4"/>
      <c r="I59" s="5"/>
      <c r="J59" s="4"/>
      <c r="K59" s="4"/>
      <c r="L59" s="4"/>
      <c r="M59" s="4"/>
    </row>
    <row r="60" spans="2:13" ht="16.5" thickTop="1" thickBot="1" x14ac:dyDescent="0.3">
      <c r="B60" s="3"/>
      <c r="C60" s="4"/>
      <c r="D60" s="4"/>
      <c r="E60" s="4"/>
      <c r="F60" s="4"/>
      <c r="G60" s="5"/>
      <c r="H60" s="4"/>
      <c r="I60" s="5"/>
      <c r="J60" s="4"/>
      <c r="K60" s="4"/>
      <c r="L60" s="4"/>
      <c r="M60" s="6"/>
    </row>
    <row r="61" spans="2:13" ht="15.75" thickBot="1" x14ac:dyDescent="0.3">
      <c r="B61" s="7"/>
      <c r="F61" s="30" t="s">
        <v>12</v>
      </c>
      <c r="G61" s="31" t="s">
        <v>32</v>
      </c>
      <c r="H61" s="51" t="s">
        <v>30</v>
      </c>
      <c r="I61" s="75" t="s">
        <v>54</v>
      </c>
      <c r="J61" s="75" t="s">
        <v>53</v>
      </c>
      <c r="M61" s="11"/>
    </row>
    <row r="62" spans="2:13" x14ac:dyDescent="0.25">
      <c r="B62" s="7"/>
      <c r="F62" s="32" t="s">
        <v>59</v>
      </c>
      <c r="G62" s="97">
        <v>102.86</v>
      </c>
      <c r="H62" s="97">
        <v>99.14</v>
      </c>
      <c r="I62" s="76"/>
      <c r="J62" s="84"/>
      <c r="M62" s="11"/>
    </row>
    <row r="63" spans="2:13" x14ac:dyDescent="0.25">
      <c r="B63" s="7"/>
      <c r="F63" s="33" t="s">
        <v>15</v>
      </c>
      <c r="G63" s="76">
        <v>46</v>
      </c>
      <c r="H63" s="76">
        <v>63.239999999999995</v>
      </c>
      <c r="I63" s="76"/>
      <c r="J63" s="21"/>
      <c r="M63" s="11"/>
    </row>
    <row r="64" spans="2:13" x14ac:dyDescent="0.25">
      <c r="B64" s="7"/>
      <c r="F64" s="22" t="s">
        <v>13</v>
      </c>
      <c r="G64" s="76">
        <v>45</v>
      </c>
      <c r="H64" s="76">
        <v>199.01999999999998</v>
      </c>
      <c r="I64" s="76">
        <v>1</v>
      </c>
      <c r="J64" s="21">
        <v>4.88</v>
      </c>
      <c r="M64" s="11"/>
    </row>
    <row r="65" spans="2:13" x14ac:dyDescent="0.25">
      <c r="B65" s="7"/>
      <c r="F65" s="22" t="s">
        <v>16</v>
      </c>
      <c r="G65" s="76">
        <v>46</v>
      </c>
      <c r="H65" s="76">
        <v>43</v>
      </c>
      <c r="I65" s="76"/>
      <c r="J65" s="21"/>
      <c r="M65" s="11"/>
    </row>
    <row r="66" spans="2:13" x14ac:dyDescent="0.25">
      <c r="B66" s="7"/>
      <c r="F66" s="33" t="s">
        <v>60</v>
      </c>
      <c r="G66" s="76">
        <v>28.04</v>
      </c>
      <c r="H66" s="76">
        <v>27.36</v>
      </c>
      <c r="I66" s="76"/>
      <c r="J66" s="21"/>
      <c r="M66" s="11"/>
    </row>
    <row r="67" spans="2:13" x14ac:dyDescent="0.25">
      <c r="B67" s="7"/>
      <c r="F67" s="33" t="s">
        <v>14</v>
      </c>
      <c r="G67" s="76">
        <v>90</v>
      </c>
      <c r="H67" s="76">
        <v>38.159999999999997</v>
      </c>
      <c r="I67" s="76">
        <v>2</v>
      </c>
      <c r="J67" s="21">
        <v>2.46</v>
      </c>
      <c r="M67" s="11"/>
    </row>
    <row r="68" spans="2:13" x14ac:dyDescent="0.25">
      <c r="B68" s="7"/>
      <c r="F68" s="22" t="s">
        <v>20</v>
      </c>
      <c r="G68" s="76">
        <v>184</v>
      </c>
      <c r="H68" s="76">
        <v>20.48</v>
      </c>
      <c r="I68" s="76"/>
      <c r="J68" s="21"/>
      <c r="M68" s="11"/>
    </row>
    <row r="69" spans="2:13" x14ac:dyDescent="0.25">
      <c r="B69" s="7"/>
      <c r="F69" s="33" t="s">
        <v>17</v>
      </c>
      <c r="G69" s="76">
        <v>46</v>
      </c>
      <c r="H69" s="76">
        <v>28.46</v>
      </c>
      <c r="I69" s="76"/>
      <c r="J69" s="21"/>
      <c r="M69" s="11"/>
    </row>
    <row r="70" spans="2:13" x14ac:dyDescent="0.25">
      <c r="B70" s="7"/>
      <c r="F70" s="33" t="s">
        <v>61</v>
      </c>
      <c r="G70" s="76">
        <v>46</v>
      </c>
      <c r="H70" s="76">
        <v>29.44</v>
      </c>
      <c r="I70" s="76"/>
      <c r="J70" s="21"/>
      <c r="M70" s="11"/>
    </row>
    <row r="71" spans="2:13" x14ac:dyDescent="0.25">
      <c r="B71" s="7"/>
      <c r="F71" s="33" t="s">
        <v>48</v>
      </c>
      <c r="G71" s="76">
        <v>57.08</v>
      </c>
      <c r="H71" s="76">
        <v>55.019999999999996</v>
      </c>
      <c r="I71" s="76"/>
      <c r="J71" s="21"/>
      <c r="M71" s="11"/>
    </row>
    <row r="72" spans="2:13" x14ac:dyDescent="0.25">
      <c r="B72" s="7"/>
      <c r="F72" s="22" t="s">
        <v>19</v>
      </c>
      <c r="G72" s="76">
        <v>46</v>
      </c>
      <c r="H72" s="76">
        <v>37.340000000000003</v>
      </c>
      <c r="I72" s="76"/>
      <c r="J72" s="21"/>
      <c r="M72" s="11"/>
    </row>
    <row r="73" spans="2:13" x14ac:dyDescent="0.25">
      <c r="B73" s="7"/>
      <c r="F73" s="22" t="s">
        <v>18</v>
      </c>
      <c r="G73" s="76">
        <v>46</v>
      </c>
      <c r="H73" s="76">
        <v>13.8</v>
      </c>
      <c r="I73" s="76"/>
      <c r="J73" s="21"/>
      <c r="M73" s="11"/>
    </row>
    <row r="74" spans="2:13" ht="15.75" thickBot="1" x14ac:dyDescent="0.3">
      <c r="B74" s="7"/>
      <c r="F74" s="33" t="s">
        <v>49</v>
      </c>
      <c r="G74" s="76">
        <v>27.3</v>
      </c>
      <c r="H74" s="76">
        <v>25.86</v>
      </c>
      <c r="I74" s="76"/>
      <c r="J74" s="21"/>
      <c r="M74" s="11"/>
    </row>
    <row r="75" spans="2:13" ht="15.75" thickBot="1" x14ac:dyDescent="0.3">
      <c r="B75" s="7"/>
      <c r="F75" s="39" t="s">
        <v>21</v>
      </c>
      <c r="G75" s="23"/>
      <c r="H75" s="23">
        <f>SUM(H62:H74)</f>
        <v>680.32</v>
      </c>
      <c r="I75" s="80">
        <f>SUM(I62:I74)</f>
        <v>3</v>
      </c>
      <c r="J75" s="23">
        <f>SUM(J62:J74)</f>
        <v>7.34</v>
      </c>
      <c r="M75" s="11"/>
    </row>
    <row r="76" spans="2:13" ht="15.75" thickBot="1" x14ac:dyDescent="0.3">
      <c r="B76" s="41"/>
      <c r="C76" s="42"/>
      <c r="D76" s="42"/>
      <c r="E76" s="42"/>
      <c r="F76" s="42"/>
      <c r="G76" s="43"/>
      <c r="H76" s="42"/>
      <c r="I76" s="43"/>
      <c r="J76" s="42"/>
      <c r="K76" s="42"/>
      <c r="L76" s="42"/>
      <c r="M76" s="44"/>
    </row>
    <row r="77" spans="2:13" ht="16.5" thickTop="1" thickBot="1" x14ac:dyDescent="0.3">
      <c r="B77" s="7"/>
      <c r="F77" s="24"/>
      <c r="G77" s="25"/>
      <c r="H77" s="24"/>
      <c r="I77" s="25"/>
      <c r="M77" s="11"/>
    </row>
    <row r="78" spans="2:13" ht="15.75" thickBot="1" x14ac:dyDescent="0.3">
      <c r="B78" s="7"/>
      <c r="F78" s="34" t="s">
        <v>22</v>
      </c>
      <c r="G78" s="35" t="s">
        <v>33</v>
      </c>
      <c r="H78" s="36" t="s">
        <v>31</v>
      </c>
      <c r="M78" s="11"/>
    </row>
    <row r="79" spans="2:13" x14ac:dyDescent="0.25">
      <c r="B79" s="7"/>
      <c r="F79" s="33" t="s">
        <v>23</v>
      </c>
      <c r="G79" s="38"/>
      <c r="H79" s="21"/>
      <c r="M79" s="11"/>
    </row>
    <row r="80" spans="2:13" x14ac:dyDescent="0.25">
      <c r="B80" s="7"/>
      <c r="F80" s="33" t="s">
        <v>24</v>
      </c>
      <c r="G80" s="37">
        <f>+D57</f>
        <v>46</v>
      </c>
      <c r="H80" s="21"/>
      <c r="M80" s="11"/>
    </row>
    <row r="81" spans="2:13" x14ac:dyDescent="0.25">
      <c r="B81" s="7"/>
      <c r="F81" s="22" t="s">
        <v>34</v>
      </c>
      <c r="G81" s="38"/>
      <c r="H81" s="21"/>
      <c r="M81" s="11"/>
    </row>
    <row r="82" spans="2:13" x14ac:dyDescent="0.25">
      <c r="B82" s="7"/>
      <c r="F82" s="22" t="s">
        <v>35</v>
      </c>
      <c r="G82" s="38"/>
      <c r="H82" s="21"/>
      <c r="M82" s="11"/>
    </row>
    <row r="83" spans="2:13" ht="15.75" thickBot="1" x14ac:dyDescent="0.3">
      <c r="B83" s="7"/>
      <c r="F83" s="22" t="s">
        <v>29</v>
      </c>
      <c r="G83" s="37"/>
      <c r="H83" s="21"/>
      <c r="M83" s="11"/>
    </row>
    <row r="84" spans="2:13" ht="15.75" thickBot="1" x14ac:dyDescent="0.3">
      <c r="B84" s="7"/>
      <c r="F84" s="39" t="s">
        <v>21</v>
      </c>
      <c r="G84" s="40"/>
      <c r="H84" s="23">
        <f>SUM(H79:H83)</f>
        <v>0</v>
      </c>
      <c r="M84" s="11"/>
    </row>
    <row r="85" spans="2:13" ht="15.75" thickBot="1" x14ac:dyDescent="0.3">
      <c r="B85" s="41"/>
      <c r="C85" s="42"/>
      <c r="D85" s="42"/>
      <c r="E85" s="42"/>
      <c r="F85" s="42"/>
      <c r="G85" s="43"/>
      <c r="H85" s="42"/>
      <c r="I85" s="43"/>
      <c r="J85" s="42"/>
      <c r="K85" s="42"/>
      <c r="L85" s="42"/>
      <c r="M85" s="44"/>
    </row>
    <row r="86" spans="2:13" ht="15.75" thickTop="1" x14ac:dyDescent="0.25">
      <c r="H86" s="49"/>
    </row>
  </sheetData>
  <mergeCells count="2">
    <mergeCell ref="J7:L7"/>
    <mergeCell ref="J8:L8"/>
  </mergeCells>
  <conditionalFormatting sqref="L11:L56">
    <cfRule type="cellIs" dxfId="92" priority="1" operator="greaterThan">
      <formula>0.7</formula>
    </cfRule>
  </conditionalFormatting>
  <pageMargins left="0" right="0" top="0" bottom="0" header="0.31496062992125984" footer="0.31496062992125984"/>
  <pageSetup paperSize="9" scale="69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P85"/>
  <sheetViews>
    <sheetView topLeftCell="G1" zoomScaleNormal="100" workbookViewId="0">
      <selection activeCell="G61" sqref="G61:H73"/>
    </sheetView>
  </sheetViews>
  <sheetFormatPr baseColWidth="10" defaultColWidth="12.42578125" defaultRowHeight="15" x14ac:dyDescent="0.25"/>
  <cols>
    <col min="1" max="1" width="4" style="1" customWidth="1"/>
    <col min="2" max="2" width="3.7109375" style="1" customWidth="1"/>
    <col min="3" max="3" width="8.5703125" style="1" bestFit="1" customWidth="1"/>
    <col min="4" max="4" width="9" style="1" customWidth="1"/>
    <col min="5" max="5" width="5.7109375" style="1" bestFit="1" customWidth="1"/>
    <col min="6" max="6" width="29.85546875" style="1" bestFit="1" customWidth="1"/>
    <col min="7" max="7" width="17.42578125" style="2" customWidth="1"/>
    <col min="8" max="8" width="12.7109375" style="1" customWidth="1"/>
    <col min="9" max="9" width="12.7109375" style="2" customWidth="1"/>
    <col min="10" max="11" width="12.7109375" style="1" customWidth="1"/>
    <col min="12" max="12" width="12.42578125" style="1"/>
    <col min="13" max="13" width="3.7109375" style="1" customWidth="1"/>
    <col min="14" max="14" width="12.42578125" style="1"/>
    <col min="15" max="15" width="2" style="1" bestFit="1" customWidth="1"/>
    <col min="16" max="16" width="17.140625" style="1" bestFit="1" customWidth="1"/>
    <col min="17" max="16384" width="12.42578125" style="1"/>
  </cols>
  <sheetData>
    <row r="1" spans="2:16" ht="15.75" thickBot="1" x14ac:dyDescent="0.3"/>
    <row r="2" spans="2:16" ht="16.5" thickTop="1" thickBot="1" x14ac:dyDescent="0.3">
      <c r="B2" s="3"/>
      <c r="C2" s="4"/>
      <c r="D2" s="4"/>
      <c r="E2" s="4"/>
      <c r="F2" s="4"/>
      <c r="G2" s="5"/>
      <c r="H2" s="4"/>
      <c r="I2" s="5"/>
      <c r="J2" s="4"/>
      <c r="K2" s="4"/>
      <c r="L2" s="4"/>
      <c r="M2" s="6"/>
    </row>
    <row r="3" spans="2:16" ht="21.75" thickBot="1" x14ac:dyDescent="0.3">
      <c r="B3" s="7"/>
      <c r="F3" s="8" t="s">
        <v>0</v>
      </c>
      <c r="G3" s="9">
        <f>+H56</f>
        <v>6402</v>
      </c>
      <c r="H3" s="10"/>
      <c r="I3" s="46" t="s">
        <v>28</v>
      </c>
      <c r="M3" s="11"/>
    </row>
    <row r="4" spans="2:16" ht="21.75" thickBot="1" x14ac:dyDescent="0.3">
      <c r="B4" s="7"/>
      <c r="F4" s="8" t="s">
        <v>1</v>
      </c>
      <c r="G4" s="9">
        <f>+K56</f>
        <v>3771.7</v>
      </c>
      <c r="H4" s="10"/>
      <c r="I4" s="47">
        <f>+L56</f>
        <v>0.58914401749453293</v>
      </c>
      <c r="M4" s="11"/>
    </row>
    <row r="5" spans="2:16" ht="21.75" thickBot="1" x14ac:dyDescent="0.3">
      <c r="B5" s="7"/>
      <c r="F5" s="8" t="s">
        <v>2</v>
      </c>
      <c r="G5" s="12">
        <v>46031</v>
      </c>
      <c r="H5" s="10"/>
      <c r="I5" s="58" t="s">
        <v>36</v>
      </c>
      <c r="M5" s="11"/>
    </row>
    <row r="6" spans="2:16" ht="21.75" thickBot="1" x14ac:dyDescent="0.3">
      <c r="B6" s="7"/>
      <c r="F6" s="8" t="s">
        <v>3</v>
      </c>
      <c r="G6" s="65">
        <v>16</v>
      </c>
      <c r="H6" s="10"/>
      <c r="I6" s="63">
        <f>+K56/G7</f>
        <v>251.44666666666666</v>
      </c>
      <c r="M6" s="11"/>
    </row>
    <row r="7" spans="2:16" ht="21.75" thickBot="1" x14ac:dyDescent="0.3">
      <c r="B7" s="7"/>
      <c r="F7" s="8" t="s">
        <v>4</v>
      </c>
      <c r="G7" s="48">
        <f>+D56</f>
        <v>15</v>
      </c>
      <c r="H7" s="10"/>
      <c r="I7" s="103" t="s">
        <v>38</v>
      </c>
      <c r="J7" s="338" t="s">
        <v>83</v>
      </c>
      <c r="K7" s="338"/>
      <c r="L7" s="339"/>
      <c r="M7" s="11"/>
    </row>
    <row r="8" spans="2:16" ht="21.75" thickBot="1" x14ac:dyDescent="0.3">
      <c r="B8" s="7"/>
      <c r="F8" s="101"/>
      <c r="G8" s="102"/>
      <c r="H8" s="10"/>
      <c r="I8" s="103" t="s">
        <v>88</v>
      </c>
      <c r="J8" s="338" t="s">
        <v>451</v>
      </c>
      <c r="K8" s="338"/>
      <c r="L8" s="339"/>
      <c r="M8" s="11"/>
    </row>
    <row r="9" spans="2:16" ht="15.75" thickBot="1" x14ac:dyDescent="0.3">
      <c r="B9" s="7"/>
      <c r="M9" s="11"/>
    </row>
    <row r="10" spans="2:16" s="18" customFormat="1" ht="45.75" thickBot="1" x14ac:dyDescent="0.3">
      <c r="B10" s="13"/>
      <c r="C10" s="27" t="s">
        <v>9</v>
      </c>
      <c r="D10" s="26" t="s">
        <v>5</v>
      </c>
      <c r="E10" s="99" t="s">
        <v>63</v>
      </c>
      <c r="F10" s="14" t="s">
        <v>6</v>
      </c>
      <c r="G10" s="16" t="s">
        <v>7</v>
      </c>
      <c r="H10" s="45" t="s">
        <v>26</v>
      </c>
      <c r="I10" s="15" t="s">
        <v>10</v>
      </c>
      <c r="J10" s="27" t="s">
        <v>11</v>
      </c>
      <c r="K10" s="45" t="s">
        <v>25</v>
      </c>
      <c r="L10" s="50" t="s">
        <v>27</v>
      </c>
      <c r="M10" s="17"/>
    </row>
    <row r="11" spans="2:16" x14ac:dyDescent="0.25">
      <c r="B11" s="7"/>
      <c r="C11" s="28">
        <v>47</v>
      </c>
      <c r="D11" s="28">
        <v>12</v>
      </c>
      <c r="E11" s="19" t="s">
        <v>75</v>
      </c>
      <c r="F11" s="59" t="s">
        <v>198</v>
      </c>
      <c r="G11" s="60" t="s">
        <v>438</v>
      </c>
      <c r="H11" s="94">
        <v>440</v>
      </c>
      <c r="I11" s="66">
        <v>135.6</v>
      </c>
      <c r="J11" s="67">
        <v>134.9</v>
      </c>
      <c r="K11" s="53">
        <f t="shared" ref="K11:K55" si="0">+I11+J11</f>
        <v>270.5</v>
      </c>
      <c r="L11" s="73">
        <f t="shared" ref="L11:L56" si="1">+K11/H11</f>
        <v>0.61477272727272725</v>
      </c>
      <c r="M11" s="11"/>
      <c r="N11" s="64" t="s">
        <v>42</v>
      </c>
      <c r="O11" s="1">
        <f>+COUNTIF($F$11:$F$55,"NOVILLITO (NT)")</f>
        <v>0</v>
      </c>
      <c r="P11" s="59" t="s">
        <v>8</v>
      </c>
    </row>
    <row r="12" spans="2:16" x14ac:dyDescent="0.25">
      <c r="B12" s="7"/>
      <c r="C12" s="29">
        <v>48</v>
      </c>
      <c r="D12" s="29">
        <v>15</v>
      </c>
      <c r="E12" s="19" t="s">
        <v>75</v>
      </c>
      <c r="F12" s="59" t="s">
        <v>198</v>
      </c>
      <c r="G12" s="62" t="s">
        <v>439</v>
      </c>
      <c r="H12" s="95">
        <v>428</v>
      </c>
      <c r="I12" s="19">
        <v>124.6</v>
      </c>
      <c r="J12" s="67">
        <v>126.4</v>
      </c>
      <c r="K12" s="55">
        <f t="shared" si="0"/>
        <v>251</v>
      </c>
      <c r="L12" s="73">
        <f t="shared" si="1"/>
        <v>0.58644859813084116</v>
      </c>
      <c r="M12" s="11"/>
      <c r="N12" s="64" t="s">
        <v>40</v>
      </c>
      <c r="O12" s="1">
        <f>+COUNTIF($F$11:$F$56,"VAQUILLONA (Vq)")</f>
        <v>0</v>
      </c>
      <c r="P12" s="59" t="s">
        <v>37</v>
      </c>
    </row>
    <row r="13" spans="2:16" x14ac:dyDescent="0.25">
      <c r="B13" s="7"/>
      <c r="C13" s="29">
        <v>49</v>
      </c>
      <c r="D13" s="29">
        <v>6</v>
      </c>
      <c r="E13" s="19" t="s">
        <v>68</v>
      </c>
      <c r="F13" s="59" t="s">
        <v>198</v>
      </c>
      <c r="G13" s="62" t="s">
        <v>440</v>
      </c>
      <c r="H13" s="95">
        <v>389</v>
      </c>
      <c r="I13" s="19">
        <v>113.6</v>
      </c>
      <c r="J13" s="67">
        <v>115.6</v>
      </c>
      <c r="K13" s="55">
        <f t="shared" si="0"/>
        <v>229.2</v>
      </c>
      <c r="L13" s="73">
        <f t="shared" si="1"/>
        <v>0.58920308483290484</v>
      </c>
      <c r="M13" s="11"/>
      <c r="N13" s="64" t="s">
        <v>44</v>
      </c>
      <c r="O13" s="1">
        <f>+COUNTIF($F$11:$F$56,"TORITO (MEJ)")</f>
        <v>0</v>
      </c>
      <c r="P13" s="59" t="s">
        <v>43</v>
      </c>
    </row>
    <row r="14" spans="2:16" x14ac:dyDescent="0.25">
      <c r="B14" s="7"/>
      <c r="C14" s="29">
        <v>50</v>
      </c>
      <c r="D14" s="29">
        <v>1</v>
      </c>
      <c r="E14" s="19" t="s">
        <v>68</v>
      </c>
      <c r="F14" s="59" t="s">
        <v>198</v>
      </c>
      <c r="G14" s="62" t="s">
        <v>441</v>
      </c>
      <c r="H14" s="95">
        <v>435</v>
      </c>
      <c r="I14" s="19">
        <v>128.6</v>
      </c>
      <c r="J14" s="67">
        <v>129.5</v>
      </c>
      <c r="K14" s="55">
        <f t="shared" si="0"/>
        <v>258.10000000000002</v>
      </c>
      <c r="L14" s="73">
        <f t="shared" si="1"/>
        <v>0.59333333333333338</v>
      </c>
      <c r="M14" s="11"/>
      <c r="N14" s="78" t="s">
        <v>45</v>
      </c>
      <c r="O14" s="1">
        <f>+COUNTIF($F$11:$F$56,"NOVILLO (No)")</f>
        <v>0</v>
      </c>
      <c r="P14" s="19" t="s">
        <v>39</v>
      </c>
    </row>
    <row r="15" spans="2:16" x14ac:dyDescent="0.25">
      <c r="B15" s="7"/>
      <c r="C15" s="29">
        <v>51</v>
      </c>
      <c r="D15" s="29">
        <v>11</v>
      </c>
      <c r="E15" s="19" t="s">
        <v>75</v>
      </c>
      <c r="F15" s="59" t="s">
        <v>198</v>
      </c>
      <c r="G15" s="62" t="s">
        <v>442</v>
      </c>
      <c r="H15" s="95">
        <v>493</v>
      </c>
      <c r="I15" s="19">
        <v>150.19999999999999</v>
      </c>
      <c r="J15" s="67">
        <v>150.1</v>
      </c>
      <c r="K15" s="55">
        <f t="shared" si="0"/>
        <v>300.29999999999995</v>
      </c>
      <c r="L15" s="73">
        <f t="shared" si="1"/>
        <v>0.6091277890466531</v>
      </c>
      <c r="M15" s="11"/>
      <c r="N15" s="78" t="s">
        <v>46</v>
      </c>
      <c r="O15" s="1">
        <f>+COUNTIF($F$11:$F$56,"VACA (Va)")</f>
        <v>0</v>
      </c>
      <c r="P15" s="83" t="s">
        <v>50</v>
      </c>
    </row>
    <row r="16" spans="2:16" x14ac:dyDescent="0.25">
      <c r="B16" s="7"/>
      <c r="C16" s="29">
        <v>52</v>
      </c>
      <c r="D16" s="29">
        <v>10</v>
      </c>
      <c r="E16" s="19" t="s">
        <v>67</v>
      </c>
      <c r="F16" s="59" t="s">
        <v>198</v>
      </c>
      <c r="G16" s="62" t="s">
        <v>443</v>
      </c>
      <c r="H16" s="95">
        <v>401</v>
      </c>
      <c r="I16" s="19">
        <v>122.2</v>
      </c>
      <c r="J16" s="67">
        <v>120.9</v>
      </c>
      <c r="K16" s="55">
        <f t="shared" si="0"/>
        <v>243.10000000000002</v>
      </c>
      <c r="L16" s="73">
        <f t="shared" si="1"/>
        <v>0.60623441396508737</v>
      </c>
      <c r="M16" s="11"/>
      <c r="N16" s="64" t="s">
        <v>47</v>
      </c>
      <c r="O16" s="1">
        <f>+COUNTIF($F$11:$F$56,"TORO (To)")</f>
        <v>0</v>
      </c>
      <c r="P16" s="83" t="s">
        <v>51</v>
      </c>
    </row>
    <row r="17" spans="2:16" x14ac:dyDescent="0.25">
      <c r="B17" s="7"/>
      <c r="C17" s="29">
        <v>53</v>
      </c>
      <c r="D17" s="29">
        <v>7</v>
      </c>
      <c r="E17" s="19" t="s">
        <v>75</v>
      </c>
      <c r="F17" s="59" t="s">
        <v>198</v>
      </c>
      <c r="G17" s="62" t="s">
        <v>444</v>
      </c>
      <c r="H17" s="95">
        <v>422</v>
      </c>
      <c r="I17" s="19">
        <v>126</v>
      </c>
      <c r="J17" s="67">
        <v>126.7</v>
      </c>
      <c r="K17" s="55">
        <f t="shared" si="0"/>
        <v>252.7</v>
      </c>
      <c r="L17" s="73">
        <f t="shared" si="1"/>
        <v>0.59881516587677719</v>
      </c>
      <c r="M17" s="11"/>
      <c r="N17" s="77"/>
      <c r="O17" s="1">
        <f>SUM(O11:O16)</f>
        <v>0</v>
      </c>
    </row>
    <row r="18" spans="2:16" x14ac:dyDescent="0.25">
      <c r="B18" s="7"/>
      <c r="C18" s="29">
        <v>54</v>
      </c>
      <c r="D18" s="29">
        <v>13</v>
      </c>
      <c r="E18" s="19" t="s">
        <v>68</v>
      </c>
      <c r="F18" s="59" t="s">
        <v>198</v>
      </c>
      <c r="G18" s="62" t="s">
        <v>309</v>
      </c>
      <c r="H18" s="95">
        <v>414</v>
      </c>
      <c r="I18" s="19">
        <v>117.4</v>
      </c>
      <c r="J18" s="67">
        <v>118.6</v>
      </c>
      <c r="K18" s="55">
        <f t="shared" si="0"/>
        <v>236</v>
      </c>
      <c r="L18" s="73">
        <f t="shared" si="1"/>
        <v>0.57004830917874394</v>
      </c>
      <c r="M18" s="11"/>
    </row>
    <row r="19" spans="2:16" x14ac:dyDescent="0.25">
      <c r="B19" s="7"/>
      <c r="C19" s="61">
        <v>55</v>
      </c>
      <c r="D19" s="61">
        <v>3</v>
      </c>
      <c r="E19" s="59" t="s">
        <v>68</v>
      </c>
      <c r="F19" s="59" t="s">
        <v>198</v>
      </c>
      <c r="G19" s="62" t="s">
        <v>445</v>
      </c>
      <c r="H19" s="95">
        <v>449</v>
      </c>
      <c r="I19" s="19">
        <v>115.1</v>
      </c>
      <c r="J19" s="67">
        <v>116.5</v>
      </c>
      <c r="K19" s="55">
        <f t="shared" si="0"/>
        <v>231.6</v>
      </c>
      <c r="L19" s="73">
        <f t="shared" si="1"/>
        <v>0.51581291759465475</v>
      </c>
      <c r="M19" s="11"/>
      <c r="P19" s="100" t="s">
        <v>63</v>
      </c>
    </row>
    <row r="20" spans="2:16" x14ac:dyDescent="0.25">
      <c r="B20" s="7"/>
      <c r="C20" s="61">
        <v>56</v>
      </c>
      <c r="D20" s="61">
        <v>5</v>
      </c>
      <c r="E20" s="59" t="s">
        <v>68</v>
      </c>
      <c r="F20" s="59" t="s">
        <v>198</v>
      </c>
      <c r="G20" s="62" t="s">
        <v>446</v>
      </c>
      <c r="H20" s="95">
        <v>443</v>
      </c>
      <c r="I20" s="19">
        <v>130.9</v>
      </c>
      <c r="J20" s="67">
        <v>133.5</v>
      </c>
      <c r="K20" s="55">
        <f t="shared" si="0"/>
        <v>264.39999999999998</v>
      </c>
      <c r="L20" s="73">
        <f t="shared" si="1"/>
        <v>0.59683972911963878</v>
      </c>
      <c r="M20" s="11"/>
      <c r="N20" s="64" t="s">
        <v>67</v>
      </c>
      <c r="P20" s="1" t="s">
        <v>64</v>
      </c>
    </row>
    <row r="21" spans="2:16" x14ac:dyDescent="0.25">
      <c r="B21" s="7"/>
      <c r="C21" s="19">
        <v>57</v>
      </c>
      <c r="D21" s="29">
        <v>2</v>
      </c>
      <c r="E21" s="19" t="s">
        <v>68</v>
      </c>
      <c r="F21" s="59" t="s">
        <v>198</v>
      </c>
      <c r="G21" s="62" t="s">
        <v>447</v>
      </c>
      <c r="H21" s="95">
        <v>418</v>
      </c>
      <c r="I21" s="19">
        <v>122.9</v>
      </c>
      <c r="J21" s="67">
        <v>124.6</v>
      </c>
      <c r="K21" s="55">
        <f t="shared" si="0"/>
        <v>247.5</v>
      </c>
      <c r="L21" s="73">
        <f t="shared" si="1"/>
        <v>0.59210526315789469</v>
      </c>
      <c r="M21" s="11"/>
      <c r="N21" s="64" t="s">
        <v>68</v>
      </c>
      <c r="P21" t="s">
        <v>65</v>
      </c>
    </row>
    <row r="22" spans="2:16" x14ac:dyDescent="0.25">
      <c r="B22" s="7"/>
      <c r="C22" s="19">
        <v>58</v>
      </c>
      <c r="D22" s="29">
        <v>8</v>
      </c>
      <c r="E22" s="19" t="s">
        <v>67</v>
      </c>
      <c r="F22" s="59" t="s">
        <v>198</v>
      </c>
      <c r="G22" s="62" t="s">
        <v>372</v>
      </c>
      <c r="H22" s="95">
        <v>403</v>
      </c>
      <c r="I22" s="19">
        <v>118.1</v>
      </c>
      <c r="J22" s="67">
        <v>120.1</v>
      </c>
      <c r="K22" s="55">
        <f t="shared" si="0"/>
        <v>238.2</v>
      </c>
      <c r="L22" s="73">
        <f t="shared" si="1"/>
        <v>0.59106699751861036</v>
      </c>
      <c r="M22" s="11"/>
      <c r="N22" s="64" t="s">
        <v>75</v>
      </c>
      <c r="P22" t="s">
        <v>74</v>
      </c>
    </row>
    <row r="23" spans="2:16" x14ac:dyDescent="0.25">
      <c r="B23" s="7"/>
      <c r="C23" s="59">
        <v>59</v>
      </c>
      <c r="D23" s="61">
        <v>14</v>
      </c>
      <c r="E23" s="59" t="s">
        <v>67</v>
      </c>
      <c r="F23" s="59" t="s">
        <v>198</v>
      </c>
      <c r="G23" s="62" t="s">
        <v>448</v>
      </c>
      <c r="H23" s="95">
        <v>445</v>
      </c>
      <c r="I23" s="19">
        <v>133.5</v>
      </c>
      <c r="J23" s="67">
        <v>134.69999999999999</v>
      </c>
      <c r="K23" s="55">
        <f t="shared" si="0"/>
        <v>268.2</v>
      </c>
      <c r="L23" s="73">
        <f t="shared" si="1"/>
        <v>0.6026966292134831</v>
      </c>
      <c r="M23" s="11"/>
      <c r="N23" s="64" t="s">
        <v>69</v>
      </c>
      <c r="P23" t="s">
        <v>66</v>
      </c>
    </row>
    <row r="24" spans="2:16" x14ac:dyDescent="0.25">
      <c r="B24" s="7"/>
      <c r="C24" s="19">
        <v>60</v>
      </c>
      <c r="D24" s="29">
        <v>4</v>
      </c>
      <c r="E24" s="19" t="s">
        <v>75</v>
      </c>
      <c r="F24" s="59" t="s">
        <v>198</v>
      </c>
      <c r="G24" s="62" t="s">
        <v>449</v>
      </c>
      <c r="H24" s="95">
        <v>406</v>
      </c>
      <c r="I24" s="19">
        <v>118.7</v>
      </c>
      <c r="J24" s="68">
        <v>120.3</v>
      </c>
      <c r="K24" s="55">
        <f t="shared" si="0"/>
        <v>239</v>
      </c>
      <c r="L24" s="104">
        <f t="shared" si="1"/>
        <v>0.58866995073891626</v>
      </c>
      <c r="M24" s="11"/>
      <c r="N24" s="64" t="s">
        <v>70</v>
      </c>
      <c r="P24" t="s">
        <v>71</v>
      </c>
    </row>
    <row r="25" spans="2:16" x14ac:dyDescent="0.25">
      <c r="B25" s="7"/>
      <c r="C25" s="19">
        <v>61</v>
      </c>
      <c r="D25" s="29">
        <v>9</v>
      </c>
      <c r="E25" s="19" t="s">
        <v>68</v>
      </c>
      <c r="F25" s="59" t="s">
        <v>198</v>
      </c>
      <c r="G25" s="62" t="s">
        <v>450</v>
      </c>
      <c r="H25" s="95">
        <v>416</v>
      </c>
      <c r="I25" s="19">
        <v>119.8</v>
      </c>
      <c r="J25" s="67">
        <v>122.1</v>
      </c>
      <c r="K25" s="55">
        <f t="shared" si="0"/>
        <v>241.89999999999998</v>
      </c>
      <c r="L25" s="73">
        <f t="shared" si="1"/>
        <v>0.5814903846153846</v>
      </c>
      <c r="M25" s="11"/>
      <c r="N25" s="64" t="s">
        <v>73</v>
      </c>
      <c r="P25" t="s">
        <v>72</v>
      </c>
    </row>
    <row r="26" spans="2:16" x14ac:dyDescent="0.25">
      <c r="B26" s="7"/>
      <c r="C26" s="19"/>
      <c r="D26" s="29"/>
      <c r="E26" s="19"/>
      <c r="F26" s="59"/>
      <c r="G26" s="62"/>
      <c r="H26" s="95"/>
      <c r="I26" s="19"/>
      <c r="J26" s="67"/>
      <c r="K26" s="55">
        <f t="shared" si="0"/>
        <v>0</v>
      </c>
      <c r="L26" s="73" t="e">
        <f t="shared" si="1"/>
        <v>#DIV/0!</v>
      </c>
      <c r="M26" s="11"/>
      <c r="N26" s="64" t="s">
        <v>78</v>
      </c>
      <c r="P26" t="s">
        <v>76</v>
      </c>
    </row>
    <row r="27" spans="2:16" x14ac:dyDescent="0.25">
      <c r="B27" s="7"/>
      <c r="C27" s="19"/>
      <c r="D27" s="29"/>
      <c r="E27" s="19"/>
      <c r="F27" s="59"/>
      <c r="G27" s="62"/>
      <c r="H27" s="95"/>
      <c r="I27" s="19"/>
      <c r="J27" s="67"/>
      <c r="K27" s="55">
        <f t="shared" si="0"/>
        <v>0</v>
      </c>
      <c r="L27" s="73" t="e">
        <f t="shared" si="1"/>
        <v>#DIV/0!</v>
      </c>
      <c r="M27" s="11"/>
    </row>
    <row r="28" spans="2:16" x14ac:dyDescent="0.25">
      <c r="B28" s="7"/>
      <c r="C28" s="19"/>
      <c r="D28" s="29"/>
      <c r="E28" s="19"/>
      <c r="F28" s="19"/>
      <c r="G28" s="20"/>
      <c r="H28" s="71"/>
      <c r="I28" s="54"/>
      <c r="J28" s="52"/>
      <c r="K28" s="55">
        <f t="shared" si="0"/>
        <v>0</v>
      </c>
      <c r="L28" s="73" t="e">
        <f t="shared" si="1"/>
        <v>#DIV/0!</v>
      </c>
      <c r="M28" s="11"/>
    </row>
    <row r="29" spans="2:16" x14ac:dyDescent="0.25">
      <c r="B29" s="7"/>
      <c r="C29" s="19"/>
      <c r="D29" s="29"/>
      <c r="E29" s="19"/>
      <c r="F29" s="59"/>
      <c r="G29" s="62"/>
      <c r="H29" s="95"/>
      <c r="I29" s="19"/>
      <c r="J29" s="67"/>
      <c r="K29" s="55">
        <f t="shared" si="0"/>
        <v>0</v>
      </c>
      <c r="L29" s="73" t="e">
        <f t="shared" si="1"/>
        <v>#DIV/0!</v>
      </c>
      <c r="M29" s="11"/>
    </row>
    <row r="30" spans="2:16" x14ac:dyDescent="0.25">
      <c r="B30" s="7"/>
      <c r="C30" s="19"/>
      <c r="D30" s="29"/>
      <c r="E30" s="19"/>
      <c r="F30" s="59"/>
      <c r="G30" s="62"/>
      <c r="H30" s="95"/>
      <c r="I30" s="19"/>
      <c r="J30" s="67"/>
      <c r="K30" s="55">
        <f t="shared" si="0"/>
        <v>0</v>
      </c>
      <c r="L30" s="73" t="e">
        <f t="shared" si="1"/>
        <v>#DIV/0!</v>
      </c>
      <c r="M30" s="11"/>
    </row>
    <row r="31" spans="2:16" x14ac:dyDescent="0.25">
      <c r="B31" s="7"/>
      <c r="C31" s="19"/>
      <c r="D31" s="29"/>
      <c r="E31" s="19"/>
      <c r="F31" s="59"/>
      <c r="G31" s="62"/>
      <c r="H31" s="95"/>
      <c r="I31" s="19"/>
      <c r="J31" s="67"/>
      <c r="K31" s="55">
        <f t="shared" si="0"/>
        <v>0</v>
      </c>
      <c r="L31" s="73" t="e">
        <f t="shared" si="1"/>
        <v>#DIV/0!</v>
      </c>
      <c r="M31" s="11"/>
    </row>
    <row r="32" spans="2:16" x14ac:dyDescent="0.25">
      <c r="B32" s="7"/>
      <c r="C32" s="59"/>
      <c r="D32" s="61"/>
      <c r="E32" s="59"/>
      <c r="F32" s="59"/>
      <c r="G32" s="62"/>
      <c r="H32" s="95"/>
      <c r="I32" s="19"/>
      <c r="J32" s="67"/>
      <c r="K32" s="55">
        <f t="shared" si="0"/>
        <v>0</v>
      </c>
      <c r="L32" s="73" t="e">
        <f t="shared" si="1"/>
        <v>#DIV/0!</v>
      </c>
      <c r="M32" s="11"/>
    </row>
    <row r="33" spans="2:13" x14ac:dyDescent="0.25">
      <c r="B33" s="7"/>
      <c r="C33" s="19"/>
      <c r="D33" s="29"/>
      <c r="E33" s="19"/>
      <c r="F33" s="59"/>
      <c r="G33" s="62"/>
      <c r="H33" s="95"/>
      <c r="I33" s="19"/>
      <c r="J33" s="67"/>
      <c r="K33" s="55">
        <f t="shared" si="0"/>
        <v>0</v>
      </c>
      <c r="L33" s="73" t="e">
        <f t="shared" si="1"/>
        <v>#DIV/0!</v>
      </c>
      <c r="M33" s="11"/>
    </row>
    <row r="34" spans="2:13" x14ac:dyDescent="0.25">
      <c r="B34" s="7"/>
      <c r="C34" s="59"/>
      <c r="D34" s="61"/>
      <c r="E34" s="59"/>
      <c r="F34" s="59"/>
      <c r="G34" s="62"/>
      <c r="H34" s="95"/>
      <c r="I34" s="19"/>
      <c r="J34" s="67"/>
      <c r="K34" s="55">
        <f t="shared" si="0"/>
        <v>0</v>
      </c>
      <c r="L34" s="73" t="e">
        <f t="shared" si="1"/>
        <v>#DIV/0!</v>
      </c>
      <c r="M34" s="11"/>
    </row>
    <row r="35" spans="2:13" x14ac:dyDescent="0.25">
      <c r="B35" s="7"/>
      <c r="C35" s="59"/>
      <c r="D35" s="61"/>
      <c r="E35" s="59"/>
      <c r="F35" s="59"/>
      <c r="G35" s="62"/>
      <c r="H35" s="95"/>
      <c r="I35" s="19"/>
      <c r="J35" s="67"/>
      <c r="K35" s="55">
        <f t="shared" si="0"/>
        <v>0</v>
      </c>
      <c r="L35" s="73" t="e">
        <f t="shared" si="1"/>
        <v>#DIV/0!</v>
      </c>
      <c r="M35" s="11"/>
    </row>
    <row r="36" spans="2:13" x14ac:dyDescent="0.25">
      <c r="B36" s="7"/>
      <c r="C36" s="59"/>
      <c r="D36" s="61"/>
      <c r="E36" s="59"/>
      <c r="F36" s="59"/>
      <c r="G36" s="62"/>
      <c r="H36" s="95"/>
      <c r="I36" s="19"/>
      <c r="J36" s="67"/>
      <c r="K36" s="55">
        <f t="shared" si="0"/>
        <v>0</v>
      </c>
      <c r="L36" s="73" t="e">
        <f t="shared" si="1"/>
        <v>#DIV/0!</v>
      </c>
      <c r="M36" s="11"/>
    </row>
    <row r="37" spans="2:13" x14ac:dyDescent="0.25">
      <c r="B37" s="7"/>
      <c r="C37" s="59"/>
      <c r="D37" s="61"/>
      <c r="E37" s="59"/>
      <c r="F37" s="59"/>
      <c r="G37" s="62"/>
      <c r="H37" s="95"/>
      <c r="I37" s="19"/>
      <c r="J37" s="67"/>
      <c r="K37" s="55">
        <f t="shared" si="0"/>
        <v>0</v>
      </c>
      <c r="L37" s="73" t="e">
        <f t="shared" si="1"/>
        <v>#DIV/0!</v>
      </c>
      <c r="M37" s="11"/>
    </row>
    <row r="38" spans="2:13" x14ac:dyDescent="0.25">
      <c r="B38" s="7"/>
      <c r="C38" s="59"/>
      <c r="D38" s="61"/>
      <c r="E38" s="59"/>
      <c r="F38" s="59"/>
      <c r="G38" s="62"/>
      <c r="H38" s="95"/>
      <c r="I38" s="19"/>
      <c r="J38" s="67"/>
      <c r="K38" s="55">
        <f t="shared" si="0"/>
        <v>0</v>
      </c>
      <c r="L38" s="73" t="e">
        <f t="shared" si="1"/>
        <v>#DIV/0!</v>
      </c>
      <c r="M38" s="11"/>
    </row>
    <row r="39" spans="2:13" x14ac:dyDescent="0.25">
      <c r="B39" s="7"/>
      <c r="C39" s="59"/>
      <c r="D39" s="61"/>
      <c r="E39" s="59"/>
      <c r="F39" s="59"/>
      <c r="G39" s="62"/>
      <c r="H39" s="95"/>
      <c r="I39" s="19"/>
      <c r="J39" s="67"/>
      <c r="K39" s="55">
        <f t="shared" si="0"/>
        <v>0</v>
      </c>
      <c r="L39" s="73" t="e">
        <f t="shared" si="1"/>
        <v>#DIV/0!</v>
      </c>
      <c r="M39" s="11"/>
    </row>
    <row r="40" spans="2:13" x14ac:dyDescent="0.25">
      <c r="B40" s="7"/>
      <c r="C40" s="19"/>
      <c r="D40" s="29"/>
      <c r="E40" s="19"/>
      <c r="F40" s="59"/>
      <c r="G40" s="62"/>
      <c r="H40" s="95"/>
      <c r="I40" s="19"/>
      <c r="J40" s="67"/>
      <c r="K40" s="55">
        <f t="shared" si="0"/>
        <v>0</v>
      </c>
      <c r="L40" s="73" t="e">
        <f t="shared" si="1"/>
        <v>#DIV/0!</v>
      </c>
      <c r="M40" s="11"/>
    </row>
    <row r="41" spans="2:13" x14ac:dyDescent="0.25">
      <c r="B41" s="7"/>
      <c r="C41" s="19"/>
      <c r="D41" s="29"/>
      <c r="E41" s="19"/>
      <c r="F41" s="59"/>
      <c r="G41" s="20"/>
      <c r="H41" s="71"/>
      <c r="I41" s="19"/>
      <c r="J41" s="67"/>
      <c r="K41" s="55">
        <f t="shared" si="0"/>
        <v>0</v>
      </c>
      <c r="L41" s="73" t="e">
        <f t="shared" si="1"/>
        <v>#DIV/0!</v>
      </c>
      <c r="M41" s="11"/>
    </row>
    <row r="42" spans="2:13" x14ac:dyDescent="0.25">
      <c r="B42" s="7"/>
      <c r="C42" s="19"/>
      <c r="D42" s="61"/>
      <c r="E42" s="59"/>
      <c r="F42" s="59"/>
      <c r="G42" s="20"/>
      <c r="H42" s="71"/>
      <c r="I42" s="19"/>
      <c r="J42" s="67"/>
      <c r="K42" s="55">
        <f t="shared" si="0"/>
        <v>0</v>
      </c>
      <c r="L42" s="73" t="e">
        <f t="shared" si="1"/>
        <v>#DIV/0!</v>
      </c>
      <c r="M42" s="11"/>
    </row>
    <row r="43" spans="2:13" x14ac:dyDescent="0.25">
      <c r="B43" s="7"/>
      <c r="C43" s="19"/>
      <c r="D43" s="61"/>
      <c r="E43" s="59"/>
      <c r="F43" s="59"/>
      <c r="G43" s="20"/>
      <c r="H43" s="71"/>
      <c r="I43" s="19"/>
      <c r="J43" s="67"/>
      <c r="K43" s="55">
        <f t="shared" si="0"/>
        <v>0</v>
      </c>
      <c r="L43" s="73" t="e">
        <f t="shared" si="1"/>
        <v>#DIV/0!</v>
      </c>
      <c r="M43" s="11"/>
    </row>
    <row r="44" spans="2:13" x14ac:dyDescent="0.25">
      <c r="B44" s="7"/>
      <c r="C44" s="19"/>
      <c r="D44" s="61"/>
      <c r="E44" s="59"/>
      <c r="F44" s="59"/>
      <c r="G44" s="20"/>
      <c r="H44" s="71"/>
      <c r="I44" s="19"/>
      <c r="J44" s="67"/>
      <c r="K44" s="55">
        <f t="shared" si="0"/>
        <v>0</v>
      </c>
      <c r="L44" s="73" t="e">
        <f t="shared" si="1"/>
        <v>#DIV/0!</v>
      </c>
      <c r="M44" s="11"/>
    </row>
    <row r="45" spans="2:13" x14ac:dyDescent="0.25">
      <c r="B45" s="7"/>
      <c r="C45" s="19"/>
      <c r="D45" s="61"/>
      <c r="E45" s="59"/>
      <c r="F45" s="59"/>
      <c r="G45" s="20"/>
      <c r="H45" s="71"/>
      <c r="I45" s="19"/>
      <c r="J45" s="67"/>
      <c r="K45" s="55">
        <f t="shared" si="0"/>
        <v>0</v>
      </c>
      <c r="L45" s="73" t="e">
        <f t="shared" si="1"/>
        <v>#DIV/0!</v>
      </c>
      <c r="M45" s="11"/>
    </row>
    <row r="46" spans="2:13" x14ac:dyDescent="0.25">
      <c r="B46" s="7"/>
      <c r="C46" s="19"/>
      <c r="D46" s="61"/>
      <c r="E46" s="59"/>
      <c r="F46" s="59"/>
      <c r="G46" s="20"/>
      <c r="H46" s="71"/>
      <c r="I46" s="19"/>
      <c r="J46" s="67"/>
      <c r="K46" s="55">
        <f t="shared" si="0"/>
        <v>0</v>
      </c>
      <c r="L46" s="73" t="e">
        <f t="shared" si="1"/>
        <v>#DIV/0!</v>
      </c>
      <c r="M46" s="11"/>
    </row>
    <row r="47" spans="2:13" x14ac:dyDescent="0.25">
      <c r="B47" s="7"/>
      <c r="C47" s="19"/>
      <c r="D47" s="29"/>
      <c r="E47" s="19"/>
      <c r="F47" s="59"/>
      <c r="G47" s="20"/>
      <c r="H47" s="71"/>
      <c r="I47" s="19"/>
      <c r="J47" s="67"/>
      <c r="K47" s="55">
        <f t="shared" si="0"/>
        <v>0</v>
      </c>
      <c r="L47" s="73" t="e">
        <f t="shared" si="1"/>
        <v>#DIV/0!</v>
      </c>
      <c r="M47" s="11"/>
    </row>
    <row r="48" spans="2:13" x14ac:dyDescent="0.25">
      <c r="B48" s="7"/>
      <c r="C48" s="19"/>
      <c r="D48" s="29"/>
      <c r="E48" s="19"/>
      <c r="F48" s="59"/>
      <c r="G48" s="20"/>
      <c r="H48" s="71"/>
      <c r="I48" s="19"/>
      <c r="J48" s="67"/>
      <c r="K48" s="55">
        <f t="shared" si="0"/>
        <v>0</v>
      </c>
      <c r="L48" s="73" t="e">
        <f t="shared" si="1"/>
        <v>#DIV/0!</v>
      </c>
      <c r="M48" s="11"/>
    </row>
    <row r="49" spans="2:13" x14ac:dyDescent="0.25">
      <c r="B49" s="7"/>
      <c r="C49" s="19"/>
      <c r="D49" s="85"/>
      <c r="E49" s="89"/>
      <c r="F49" s="86"/>
      <c r="G49" s="20"/>
      <c r="H49" s="71"/>
      <c r="I49" s="19"/>
      <c r="J49" s="67"/>
      <c r="K49" s="55">
        <f t="shared" si="0"/>
        <v>0</v>
      </c>
      <c r="L49" s="73" t="e">
        <f t="shared" si="1"/>
        <v>#DIV/0!</v>
      </c>
      <c r="M49" s="11"/>
    </row>
    <row r="50" spans="2:13" x14ac:dyDescent="0.25">
      <c r="B50" s="7"/>
      <c r="C50" s="19"/>
      <c r="D50" s="85"/>
      <c r="E50" s="89"/>
      <c r="F50" s="86"/>
      <c r="G50" s="20"/>
      <c r="H50" s="71"/>
      <c r="I50" s="19"/>
      <c r="J50" s="67"/>
      <c r="K50" s="55">
        <f t="shared" si="0"/>
        <v>0</v>
      </c>
      <c r="L50" s="73" t="e">
        <f t="shared" si="1"/>
        <v>#DIV/0!</v>
      </c>
      <c r="M50" s="11"/>
    </row>
    <row r="51" spans="2:13" x14ac:dyDescent="0.25">
      <c r="B51" s="7"/>
      <c r="C51" s="29"/>
      <c r="D51" s="85"/>
      <c r="E51" s="85"/>
      <c r="F51" s="87"/>
      <c r="G51" s="20"/>
      <c r="H51" s="71"/>
      <c r="I51" s="29"/>
      <c r="J51" s="79"/>
      <c r="K51" s="55">
        <f t="shared" si="0"/>
        <v>0</v>
      </c>
      <c r="L51" s="73" t="e">
        <f t="shared" si="1"/>
        <v>#DIV/0!</v>
      </c>
      <c r="M51" s="11"/>
    </row>
    <row r="52" spans="2:13" x14ac:dyDescent="0.25">
      <c r="B52" s="7"/>
      <c r="C52" s="19"/>
      <c r="D52" s="85"/>
      <c r="E52" s="89"/>
      <c r="F52" s="89"/>
      <c r="G52" s="88"/>
      <c r="H52" s="81"/>
      <c r="I52" s="54"/>
      <c r="J52" s="54"/>
      <c r="K52" s="55">
        <f t="shared" si="0"/>
        <v>0</v>
      </c>
      <c r="L52" s="73" t="e">
        <f t="shared" si="1"/>
        <v>#DIV/0!</v>
      </c>
      <c r="M52" s="11"/>
    </row>
    <row r="53" spans="2:13" x14ac:dyDescent="0.25">
      <c r="B53" s="7"/>
      <c r="C53" s="19"/>
      <c r="D53" s="90"/>
      <c r="E53" s="91"/>
      <c r="F53" s="91"/>
      <c r="G53" s="92"/>
      <c r="H53" s="96"/>
      <c r="I53" s="82"/>
      <c r="J53" s="37"/>
      <c r="K53" s="55">
        <f t="shared" si="0"/>
        <v>0</v>
      </c>
      <c r="L53" s="73" t="e">
        <f t="shared" si="1"/>
        <v>#DIV/0!</v>
      </c>
      <c r="M53" s="11"/>
    </row>
    <row r="54" spans="2:13" x14ac:dyDescent="0.25">
      <c r="B54" s="7"/>
      <c r="C54" s="19"/>
      <c r="D54" s="85"/>
      <c r="E54" s="89"/>
      <c r="F54" s="89"/>
      <c r="G54" s="20"/>
      <c r="H54" s="81"/>
      <c r="I54" s="54"/>
      <c r="J54" s="52"/>
      <c r="K54" s="55">
        <f t="shared" si="0"/>
        <v>0</v>
      </c>
      <c r="L54" s="73" t="e">
        <f t="shared" si="1"/>
        <v>#DIV/0!</v>
      </c>
      <c r="M54" s="11"/>
    </row>
    <row r="55" spans="2:13" ht="15.75" thickBot="1" x14ac:dyDescent="0.3">
      <c r="B55" s="7"/>
      <c r="C55" s="19"/>
      <c r="D55" s="85"/>
      <c r="E55" s="89"/>
      <c r="F55" s="89"/>
      <c r="G55" s="20"/>
      <c r="H55" s="71"/>
      <c r="I55" s="54"/>
      <c r="J55" s="52"/>
      <c r="K55" s="55">
        <f t="shared" si="0"/>
        <v>0</v>
      </c>
      <c r="L55" s="73" t="e">
        <f t="shared" si="1"/>
        <v>#DIV/0!</v>
      </c>
      <c r="M55" s="11"/>
    </row>
    <row r="56" spans="2:13" ht="15.75" thickBot="1" x14ac:dyDescent="0.3">
      <c r="B56" s="7"/>
      <c r="C56" s="105"/>
      <c r="D56" s="75">
        <f>+COUNT($D$11:$D$55)</f>
        <v>15</v>
      </c>
      <c r="E56" s="105"/>
      <c r="F56" s="105"/>
      <c r="G56" s="69"/>
      <c r="H56" s="56">
        <f>SUM($H$11:$H$55)</f>
        <v>6402</v>
      </c>
      <c r="I56" s="57">
        <f>SUM($I$11:$I$55)</f>
        <v>1877.2</v>
      </c>
      <c r="J56" s="70">
        <f>SUM($J$11:$J$55)</f>
        <v>1894.4999999999998</v>
      </c>
      <c r="K56" s="72">
        <f>SUM($K$11:$K$55)</f>
        <v>3771.7</v>
      </c>
      <c r="L56" s="74">
        <f t="shared" si="1"/>
        <v>0.58914401749453293</v>
      </c>
      <c r="M56" s="11"/>
    </row>
    <row r="57" spans="2:13" ht="15.75" thickBot="1" x14ac:dyDescent="0.3">
      <c r="B57" s="41"/>
      <c r="C57" s="42"/>
      <c r="D57" s="42"/>
      <c r="E57" s="42"/>
      <c r="F57" s="42"/>
      <c r="G57" s="43"/>
      <c r="H57" s="42"/>
      <c r="I57" s="43"/>
      <c r="J57" s="42"/>
      <c r="K57" s="42"/>
      <c r="L57" s="42"/>
      <c r="M57" s="44"/>
    </row>
    <row r="58" spans="2:13" ht="16.5" thickTop="1" thickBot="1" x14ac:dyDescent="0.3">
      <c r="B58" s="4"/>
      <c r="C58" s="4"/>
      <c r="D58" s="4"/>
      <c r="E58" s="4"/>
      <c r="F58" s="4"/>
      <c r="G58" s="5"/>
      <c r="H58" s="4"/>
      <c r="I58" s="5"/>
      <c r="J58" s="4"/>
      <c r="K58" s="4"/>
      <c r="L58" s="4"/>
      <c r="M58" s="4"/>
    </row>
    <row r="59" spans="2:13" ht="16.5" thickTop="1" thickBot="1" x14ac:dyDescent="0.3">
      <c r="B59" s="3"/>
      <c r="C59" s="4"/>
      <c r="D59" s="4"/>
      <c r="E59" s="4"/>
      <c r="F59" s="4"/>
      <c r="G59" s="5"/>
      <c r="H59" s="4"/>
      <c r="I59" s="5"/>
      <c r="J59" s="4"/>
      <c r="K59" s="4"/>
      <c r="L59" s="4"/>
      <c r="M59" s="6"/>
    </row>
    <row r="60" spans="2:13" ht="15.75" thickBot="1" x14ac:dyDescent="0.3">
      <c r="B60" s="7"/>
      <c r="F60" s="30" t="s">
        <v>12</v>
      </c>
      <c r="G60" s="31" t="s">
        <v>32</v>
      </c>
      <c r="H60" s="51" t="s">
        <v>30</v>
      </c>
      <c r="I60" s="75" t="s">
        <v>54</v>
      </c>
      <c r="J60" s="75" t="s">
        <v>53</v>
      </c>
      <c r="M60" s="11"/>
    </row>
    <row r="61" spans="2:13" x14ac:dyDescent="0.25">
      <c r="B61" s="7"/>
      <c r="F61" s="32" t="s">
        <v>59</v>
      </c>
      <c r="G61" s="97">
        <v>40.200000000000003</v>
      </c>
      <c r="H61" s="97">
        <v>38.840000000000003</v>
      </c>
      <c r="I61" s="76"/>
      <c r="J61" s="84"/>
      <c r="M61" s="11"/>
    </row>
    <row r="62" spans="2:13" x14ac:dyDescent="0.25">
      <c r="B62" s="7"/>
      <c r="F62" s="33" t="s">
        <v>15</v>
      </c>
      <c r="G62" s="76">
        <v>15</v>
      </c>
      <c r="H62" s="76">
        <v>24.740000000000002</v>
      </c>
      <c r="I62" s="76"/>
      <c r="J62" s="21"/>
      <c r="M62" s="11"/>
    </row>
    <row r="63" spans="2:13" x14ac:dyDescent="0.25">
      <c r="B63" s="7"/>
      <c r="F63" s="22" t="s">
        <v>13</v>
      </c>
      <c r="G63" s="76">
        <v>15</v>
      </c>
      <c r="H63" s="76">
        <v>68.92</v>
      </c>
      <c r="I63" s="76"/>
      <c r="J63" s="21"/>
      <c r="M63" s="11"/>
    </row>
    <row r="64" spans="2:13" x14ac:dyDescent="0.25">
      <c r="B64" s="7"/>
      <c r="F64" s="22" t="s">
        <v>16</v>
      </c>
      <c r="G64" s="76">
        <v>15</v>
      </c>
      <c r="H64" s="76">
        <v>17.899999999999999</v>
      </c>
      <c r="I64" s="76"/>
      <c r="J64" s="21"/>
      <c r="M64" s="11"/>
    </row>
    <row r="65" spans="2:13" x14ac:dyDescent="0.25">
      <c r="B65" s="7"/>
      <c r="F65" s="33" t="s">
        <v>60</v>
      </c>
      <c r="G65" s="76">
        <v>13.76</v>
      </c>
      <c r="H65" s="76">
        <v>13.02</v>
      </c>
      <c r="I65" s="76"/>
      <c r="J65" s="21"/>
      <c r="M65" s="11"/>
    </row>
    <row r="66" spans="2:13" x14ac:dyDescent="0.25">
      <c r="B66" s="7"/>
      <c r="F66" s="33" t="s">
        <v>14</v>
      </c>
      <c r="G66" s="76">
        <v>30</v>
      </c>
      <c r="H66" s="76">
        <v>13.96</v>
      </c>
      <c r="I66" s="76"/>
      <c r="J66" s="21"/>
      <c r="M66" s="11"/>
    </row>
    <row r="67" spans="2:13" x14ac:dyDescent="0.25">
      <c r="B67" s="7"/>
      <c r="F67" s="22" t="s">
        <v>20</v>
      </c>
      <c r="G67" s="76">
        <v>60</v>
      </c>
      <c r="H67" s="76">
        <v>8.4</v>
      </c>
      <c r="I67" s="76"/>
      <c r="J67" s="21"/>
      <c r="M67" s="11"/>
    </row>
    <row r="68" spans="2:13" x14ac:dyDescent="0.25">
      <c r="B68" s="7"/>
      <c r="F68" s="33" t="s">
        <v>17</v>
      </c>
      <c r="G68" s="76">
        <v>15</v>
      </c>
      <c r="H68" s="76">
        <v>11.82</v>
      </c>
      <c r="I68" s="76"/>
      <c r="J68" s="21"/>
      <c r="M68" s="11"/>
    </row>
    <row r="69" spans="2:13" x14ac:dyDescent="0.25">
      <c r="B69" s="7"/>
      <c r="F69" s="33" t="s">
        <v>61</v>
      </c>
      <c r="G69" s="76">
        <v>15</v>
      </c>
      <c r="H69" s="76">
        <v>12.62</v>
      </c>
      <c r="I69" s="76"/>
      <c r="J69" s="21"/>
      <c r="M69" s="11"/>
    </row>
    <row r="70" spans="2:13" x14ac:dyDescent="0.25">
      <c r="B70" s="7"/>
      <c r="F70" s="33" t="s">
        <v>48</v>
      </c>
      <c r="G70" s="76">
        <v>24.16</v>
      </c>
      <c r="H70" s="76">
        <v>21.2</v>
      </c>
      <c r="I70" s="76"/>
      <c r="J70" s="21"/>
      <c r="M70" s="11"/>
    </row>
    <row r="71" spans="2:13" x14ac:dyDescent="0.25">
      <c r="B71" s="7"/>
      <c r="F71" s="22" t="s">
        <v>19</v>
      </c>
      <c r="G71" s="76">
        <v>15</v>
      </c>
      <c r="H71" s="76">
        <v>14.9</v>
      </c>
      <c r="I71" s="76"/>
      <c r="J71" s="21"/>
      <c r="M71" s="11"/>
    </row>
    <row r="72" spans="2:13" x14ac:dyDescent="0.25">
      <c r="B72" s="7"/>
      <c r="F72" s="22" t="s">
        <v>18</v>
      </c>
      <c r="G72" s="76">
        <v>15</v>
      </c>
      <c r="H72" s="76">
        <v>4.84</v>
      </c>
      <c r="I72" s="76"/>
      <c r="J72" s="21"/>
      <c r="M72" s="11"/>
    </row>
    <row r="73" spans="2:13" ht="15.75" thickBot="1" x14ac:dyDescent="0.3">
      <c r="B73" s="7"/>
      <c r="F73" s="33" t="s">
        <v>49</v>
      </c>
      <c r="G73" s="76">
        <v>14.14</v>
      </c>
      <c r="H73" s="76">
        <v>11.36</v>
      </c>
      <c r="I73" s="76"/>
      <c r="J73" s="21"/>
      <c r="M73" s="11"/>
    </row>
    <row r="74" spans="2:13" ht="15.75" thickBot="1" x14ac:dyDescent="0.3">
      <c r="B74" s="7"/>
      <c r="F74" s="39" t="s">
        <v>21</v>
      </c>
      <c r="G74" s="23"/>
      <c r="H74" s="23">
        <f>SUM(H61:H73)</f>
        <v>262.52000000000004</v>
      </c>
      <c r="I74" s="80">
        <f>SUM(I61:I73)</f>
        <v>0</v>
      </c>
      <c r="J74" s="23">
        <f>SUM(J61:J73)</f>
        <v>0</v>
      </c>
      <c r="M74" s="11"/>
    </row>
    <row r="75" spans="2:13" ht="15.75" thickBot="1" x14ac:dyDescent="0.3">
      <c r="B75" s="41"/>
      <c r="C75" s="42"/>
      <c r="D75" s="42"/>
      <c r="E75" s="42"/>
      <c r="F75" s="42"/>
      <c r="G75" s="43"/>
      <c r="H75" s="42"/>
      <c r="I75" s="43"/>
      <c r="J75" s="42"/>
      <c r="K75" s="42"/>
      <c r="L75" s="42"/>
      <c r="M75" s="44"/>
    </row>
    <row r="76" spans="2:13" ht="16.5" thickTop="1" thickBot="1" x14ac:dyDescent="0.3">
      <c r="B76" s="7"/>
      <c r="F76" s="24"/>
      <c r="G76" s="25"/>
      <c r="H76" s="24"/>
      <c r="I76" s="25"/>
      <c r="M76" s="11"/>
    </row>
    <row r="77" spans="2:13" ht="15.75" thickBot="1" x14ac:dyDescent="0.3">
      <c r="B77" s="7"/>
      <c r="F77" s="34" t="s">
        <v>22</v>
      </c>
      <c r="G77" s="35" t="s">
        <v>33</v>
      </c>
      <c r="H77" s="36" t="s">
        <v>31</v>
      </c>
      <c r="M77" s="11"/>
    </row>
    <row r="78" spans="2:13" x14ac:dyDescent="0.25">
      <c r="B78" s="7"/>
      <c r="F78" s="33" t="s">
        <v>23</v>
      </c>
      <c r="G78" s="38"/>
      <c r="H78" s="21"/>
      <c r="M78" s="11"/>
    </row>
    <row r="79" spans="2:13" x14ac:dyDescent="0.25">
      <c r="B79" s="7"/>
      <c r="F79" s="33" t="s">
        <v>24</v>
      </c>
      <c r="G79" s="37">
        <f>+D56</f>
        <v>15</v>
      </c>
      <c r="H79" s="21"/>
      <c r="M79" s="11"/>
    </row>
    <row r="80" spans="2:13" x14ac:dyDescent="0.25">
      <c r="B80" s="7"/>
      <c r="F80" s="22" t="s">
        <v>34</v>
      </c>
      <c r="G80" s="38"/>
      <c r="H80" s="21"/>
      <c r="M80" s="11"/>
    </row>
    <row r="81" spans="2:13" x14ac:dyDescent="0.25">
      <c r="B81" s="7"/>
      <c r="F81" s="22" t="s">
        <v>35</v>
      </c>
      <c r="G81" s="38"/>
      <c r="H81" s="21"/>
      <c r="M81" s="11"/>
    </row>
    <row r="82" spans="2:13" ht="15.75" thickBot="1" x14ac:dyDescent="0.3">
      <c r="B82" s="7"/>
      <c r="F82" s="22" t="s">
        <v>29</v>
      </c>
      <c r="G82" s="37"/>
      <c r="H82" s="21"/>
      <c r="M82" s="11"/>
    </row>
    <row r="83" spans="2:13" ht="15.75" thickBot="1" x14ac:dyDescent="0.3">
      <c r="B83" s="7"/>
      <c r="F83" s="39" t="s">
        <v>21</v>
      </c>
      <c r="G83" s="40"/>
      <c r="H83" s="23">
        <f>SUM(H78:H82)</f>
        <v>0</v>
      </c>
      <c r="M83" s="11"/>
    </row>
    <row r="84" spans="2:13" ht="15.75" thickBot="1" x14ac:dyDescent="0.3">
      <c r="B84" s="41"/>
      <c r="C84" s="42"/>
      <c r="D84" s="42"/>
      <c r="E84" s="42"/>
      <c r="F84" s="42"/>
      <c r="G84" s="43"/>
      <c r="H84" s="42"/>
      <c r="I84" s="43"/>
      <c r="J84" s="42"/>
      <c r="K84" s="42"/>
      <c r="L84" s="42"/>
      <c r="M84" s="44"/>
    </row>
    <row r="85" spans="2:13" ht="15.75" thickTop="1" x14ac:dyDescent="0.25">
      <c r="H85" s="49"/>
    </row>
  </sheetData>
  <mergeCells count="2">
    <mergeCell ref="J7:L7"/>
    <mergeCell ref="J8:L8"/>
  </mergeCells>
  <conditionalFormatting sqref="L11:L55">
    <cfRule type="cellIs" dxfId="91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P85"/>
  <sheetViews>
    <sheetView topLeftCell="D1" zoomScaleNormal="100" workbookViewId="0">
      <selection activeCell="I6" sqref="I6"/>
    </sheetView>
  </sheetViews>
  <sheetFormatPr baseColWidth="10" defaultColWidth="12.42578125" defaultRowHeight="15" x14ac:dyDescent="0.25"/>
  <cols>
    <col min="1" max="1" width="4" style="1" customWidth="1"/>
    <col min="2" max="2" width="3.7109375" style="1" customWidth="1"/>
    <col min="3" max="3" width="8.5703125" style="1" bestFit="1" customWidth="1"/>
    <col min="4" max="4" width="9" style="1" customWidth="1"/>
    <col min="5" max="5" width="5.7109375" style="1" bestFit="1" customWidth="1"/>
    <col min="6" max="6" width="29.85546875" style="1" bestFit="1" customWidth="1"/>
    <col min="7" max="7" width="17.42578125" style="2" customWidth="1"/>
    <col min="8" max="8" width="12.7109375" style="1" customWidth="1"/>
    <col min="9" max="9" width="12.7109375" style="2" customWidth="1"/>
    <col min="10" max="11" width="12.7109375" style="1" customWidth="1"/>
    <col min="12" max="12" width="12.42578125" style="1"/>
    <col min="13" max="13" width="3.7109375" style="1" customWidth="1"/>
    <col min="14" max="14" width="12.42578125" style="1"/>
    <col min="15" max="15" width="2" style="1" bestFit="1" customWidth="1"/>
    <col min="16" max="16" width="17.140625" style="1" bestFit="1" customWidth="1"/>
    <col min="17" max="16384" width="12.42578125" style="1"/>
  </cols>
  <sheetData>
    <row r="1" spans="2:16" ht="15.75" thickBot="1" x14ac:dyDescent="0.3"/>
    <row r="2" spans="2:16" ht="16.5" thickTop="1" thickBot="1" x14ac:dyDescent="0.3">
      <c r="B2" s="3"/>
      <c r="C2" s="4"/>
      <c r="D2" s="4"/>
      <c r="E2" s="4"/>
      <c r="F2" s="4"/>
      <c r="G2" s="5"/>
      <c r="H2" s="4"/>
      <c r="I2" s="5"/>
      <c r="J2" s="4"/>
      <c r="K2" s="4"/>
      <c r="L2" s="4"/>
      <c r="M2" s="6"/>
    </row>
    <row r="3" spans="2:16" ht="21.75" thickBot="1" x14ac:dyDescent="0.3">
      <c r="B3" s="7"/>
      <c r="F3" s="8" t="s">
        <v>0</v>
      </c>
      <c r="G3" s="9">
        <f>+H56</f>
        <v>6546</v>
      </c>
      <c r="H3" s="10"/>
      <c r="I3" s="46" t="s">
        <v>28</v>
      </c>
      <c r="M3" s="11"/>
    </row>
    <row r="4" spans="2:16" ht="21.75" thickBot="1" x14ac:dyDescent="0.3">
      <c r="B4" s="7"/>
      <c r="F4" s="8" t="s">
        <v>1</v>
      </c>
      <c r="G4" s="9">
        <f>+K56</f>
        <v>3815.0000000000005</v>
      </c>
      <c r="H4" s="10"/>
      <c r="I4" s="47">
        <f>+L56</f>
        <v>0.58279865566758338</v>
      </c>
      <c r="M4" s="11"/>
    </row>
    <row r="5" spans="2:16" ht="21.75" thickBot="1" x14ac:dyDescent="0.3">
      <c r="B5" s="7"/>
      <c r="F5" s="8" t="s">
        <v>2</v>
      </c>
      <c r="G5" s="12">
        <v>46031</v>
      </c>
      <c r="H5" s="10"/>
      <c r="I5" s="58" t="s">
        <v>36</v>
      </c>
      <c r="M5" s="11"/>
    </row>
    <row r="6" spans="2:16" ht="21.75" thickBot="1" x14ac:dyDescent="0.3">
      <c r="B6" s="7"/>
      <c r="F6" s="8" t="s">
        <v>3</v>
      </c>
      <c r="G6" s="65">
        <v>17</v>
      </c>
      <c r="H6" s="10"/>
      <c r="I6" s="63">
        <f>+K56/G7</f>
        <v>224.41176470588238</v>
      </c>
      <c r="M6" s="11"/>
    </row>
    <row r="7" spans="2:16" ht="21.75" thickBot="1" x14ac:dyDescent="0.3">
      <c r="B7" s="7"/>
      <c r="F7" s="8" t="s">
        <v>4</v>
      </c>
      <c r="G7" s="48">
        <f>+D56</f>
        <v>17</v>
      </c>
      <c r="H7" s="10"/>
      <c r="I7" s="103" t="s">
        <v>38</v>
      </c>
      <c r="J7" s="338" t="s">
        <v>469</v>
      </c>
      <c r="K7" s="338"/>
      <c r="L7" s="339"/>
      <c r="M7" s="11"/>
    </row>
    <row r="8" spans="2:16" ht="21.75" thickBot="1" x14ac:dyDescent="0.3">
      <c r="B8" s="7"/>
      <c r="F8" s="101"/>
      <c r="G8" s="102"/>
      <c r="H8" s="10"/>
      <c r="I8" s="103" t="s">
        <v>88</v>
      </c>
      <c r="J8" s="338" t="s">
        <v>468</v>
      </c>
      <c r="K8" s="338"/>
      <c r="L8" s="339"/>
      <c r="M8" s="11"/>
    </row>
    <row r="9" spans="2:16" ht="15.75" thickBot="1" x14ac:dyDescent="0.3">
      <c r="B9" s="7"/>
      <c r="M9" s="11"/>
    </row>
    <row r="10" spans="2:16" s="18" customFormat="1" ht="45.75" thickBot="1" x14ac:dyDescent="0.3">
      <c r="B10" s="13"/>
      <c r="C10" s="27" t="s">
        <v>9</v>
      </c>
      <c r="D10" s="26" t="s">
        <v>5</v>
      </c>
      <c r="E10" s="99" t="s">
        <v>63</v>
      </c>
      <c r="F10" s="14" t="s">
        <v>6</v>
      </c>
      <c r="G10" s="16" t="s">
        <v>7</v>
      </c>
      <c r="H10" s="45" t="s">
        <v>26</v>
      </c>
      <c r="I10" s="15" t="s">
        <v>10</v>
      </c>
      <c r="J10" s="27" t="s">
        <v>11</v>
      </c>
      <c r="K10" s="45" t="s">
        <v>25</v>
      </c>
      <c r="L10" s="50" t="s">
        <v>27</v>
      </c>
      <c r="M10" s="17"/>
    </row>
    <row r="11" spans="2:16" x14ac:dyDescent="0.25">
      <c r="B11" s="7"/>
      <c r="C11" s="28">
        <v>62</v>
      </c>
      <c r="D11" s="28">
        <v>11</v>
      </c>
      <c r="E11" s="19" t="s">
        <v>68</v>
      </c>
      <c r="F11" s="59" t="s">
        <v>130</v>
      </c>
      <c r="G11" s="60" t="s">
        <v>452</v>
      </c>
      <c r="H11" s="94">
        <v>462</v>
      </c>
      <c r="I11" s="66">
        <v>133.5</v>
      </c>
      <c r="J11" s="67">
        <v>135</v>
      </c>
      <c r="K11" s="53">
        <f t="shared" ref="K11:K55" si="0">+I11+J11</f>
        <v>268.5</v>
      </c>
      <c r="L11" s="73">
        <f t="shared" ref="L11:L56" si="1">+K11/H11</f>
        <v>0.58116883116883122</v>
      </c>
      <c r="M11" s="11"/>
      <c r="N11" s="64" t="s">
        <v>42</v>
      </c>
      <c r="O11" s="1">
        <f>+COUNTIF($F$11:$F$55,"NOVILLITO (NT)")</f>
        <v>0</v>
      </c>
      <c r="P11" s="59" t="s">
        <v>8</v>
      </c>
    </row>
    <row r="12" spans="2:16" x14ac:dyDescent="0.25">
      <c r="B12" s="7"/>
      <c r="C12" s="29">
        <v>63</v>
      </c>
      <c r="D12" s="29">
        <v>8</v>
      </c>
      <c r="E12" s="19" t="s">
        <v>67</v>
      </c>
      <c r="F12" s="59" t="s">
        <v>130</v>
      </c>
      <c r="G12" s="62" t="s">
        <v>453</v>
      </c>
      <c r="H12" s="95">
        <v>351</v>
      </c>
      <c r="I12" s="19">
        <v>102</v>
      </c>
      <c r="J12" s="67">
        <v>104</v>
      </c>
      <c r="K12" s="55">
        <f t="shared" si="0"/>
        <v>206</v>
      </c>
      <c r="L12" s="73">
        <f t="shared" si="1"/>
        <v>0.58689458689458684</v>
      </c>
      <c r="M12" s="11"/>
      <c r="N12" s="64" t="s">
        <v>40</v>
      </c>
      <c r="O12" s="1">
        <f>+COUNTIF($F$11:$F$56,"VAQUILLONA (Vq)")</f>
        <v>0</v>
      </c>
      <c r="P12" s="59" t="s">
        <v>37</v>
      </c>
    </row>
    <row r="13" spans="2:16" x14ac:dyDescent="0.25">
      <c r="B13" s="7"/>
      <c r="C13" s="29">
        <v>64</v>
      </c>
      <c r="D13" s="29">
        <v>4</v>
      </c>
      <c r="E13" s="19" t="s">
        <v>68</v>
      </c>
      <c r="F13" s="59" t="s">
        <v>130</v>
      </c>
      <c r="G13" s="62" t="s">
        <v>454</v>
      </c>
      <c r="H13" s="95">
        <v>366</v>
      </c>
      <c r="I13" s="19">
        <v>111.3</v>
      </c>
      <c r="J13" s="67">
        <v>112.3</v>
      </c>
      <c r="K13" s="55">
        <f t="shared" si="0"/>
        <v>223.6</v>
      </c>
      <c r="L13" s="73">
        <f t="shared" si="1"/>
        <v>0.61092896174863387</v>
      </c>
      <c r="M13" s="11"/>
      <c r="N13" s="64" t="s">
        <v>44</v>
      </c>
      <c r="O13" s="1">
        <f>+COUNTIF($F$11:$F$56,"TORITO (MEJ)")</f>
        <v>0</v>
      </c>
      <c r="P13" s="59" t="s">
        <v>43</v>
      </c>
    </row>
    <row r="14" spans="2:16" x14ac:dyDescent="0.25">
      <c r="B14" s="7"/>
      <c r="C14" s="29">
        <v>65</v>
      </c>
      <c r="D14" s="29">
        <v>16</v>
      </c>
      <c r="E14" s="19" t="s">
        <v>68</v>
      </c>
      <c r="F14" s="59" t="s">
        <v>130</v>
      </c>
      <c r="G14" s="62" t="s">
        <v>455</v>
      </c>
      <c r="H14" s="95">
        <v>443</v>
      </c>
      <c r="I14" s="19">
        <v>127.1</v>
      </c>
      <c r="J14" s="67">
        <v>128.5</v>
      </c>
      <c r="K14" s="55">
        <f t="shared" si="0"/>
        <v>255.6</v>
      </c>
      <c r="L14" s="73">
        <f t="shared" si="1"/>
        <v>0.57697516930022574</v>
      </c>
      <c r="M14" s="11"/>
      <c r="N14" s="78" t="s">
        <v>45</v>
      </c>
      <c r="O14" s="1">
        <f>+COUNTIF($F$11:$F$56,"NOVILLO (No)")</f>
        <v>0</v>
      </c>
      <c r="P14" s="19" t="s">
        <v>39</v>
      </c>
    </row>
    <row r="15" spans="2:16" x14ac:dyDescent="0.25">
      <c r="B15" s="7"/>
      <c r="C15" s="29">
        <v>66</v>
      </c>
      <c r="D15" s="29">
        <v>10</v>
      </c>
      <c r="E15" s="19" t="s">
        <v>67</v>
      </c>
      <c r="F15" s="59" t="s">
        <v>130</v>
      </c>
      <c r="G15" s="62" t="s">
        <v>456</v>
      </c>
      <c r="H15" s="95">
        <v>374</v>
      </c>
      <c r="I15" s="19">
        <v>107.1</v>
      </c>
      <c r="J15" s="67">
        <v>110.1</v>
      </c>
      <c r="K15" s="55">
        <f t="shared" si="0"/>
        <v>217.2</v>
      </c>
      <c r="L15" s="73">
        <f t="shared" si="1"/>
        <v>0.58074866310160422</v>
      </c>
      <c r="M15" s="11"/>
      <c r="N15" s="78" t="s">
        <v>46</v>
      </c>
      <c r="O15" s="1">
        <f>+COUNTIF($F$11:$F$56,"VACA (Va)")</f>
        <v>0</v>
      </c>
      <c r="P15" s="83" t="s">
        <v>50</v>
      </c>
    </row>
    <row r="16" spans="2:16" x14ac:dyDescent="0.25">
      <c r="B16" s="7"/>
      <c r="C16" s="29">
        <v>67</v>
      </c>
      <c r="D16" s="29">
        <v>12</v>
      </c>
      <c r="E16" s="19" t="s">
        <v>68</v>
      </c>
      <c r="F16" s="59" t="s">
        <v>130</v>
      </c>
      <c r="G16" s="62" t="s">
        <v>457</v>
      </c>
      <c r="H16" s="95">
        <v>394</v>
      </c>
      <c r="I16" s="19">
        <v>115.5</v>
      </c>
      <c r="J16" s="67">
        <v>116.9</v>
      </c>
      <c r="K16" s="55">
        <f t="shared" si="0"/>
        <v>232.4</v>
      </c>
      <c r="L16" s="73">
        <f t="shared" si="1"/>
        <v>0.58984771573604067</v>
      </c>
      <c r="M16" s="11"/>
      <c r="N16" s="64" t="s">
        <v>47</v>
      </c>
      <c r="O16" s="1">
        <f>+COUNTIF($F$11:$F$56,"TORO (To)")</f>
        <v>0</v>
      </c>
      <c r="P16" s="83" t="s">
        <v>51</v>
      </c>
    </row>
    <row r="17" spans="2:16" x14ac:dyDescent="0.25">
      <c r="B17" s="7"/>
      <c r="C17" s="29">
        <v>68</v>
      </c>
      <c r="D17" s="29">
        <v>14</v>
      </c>
      <c r="E17" s="19" t="s">
        <v>68</v>
      </c>
      <c r="F17" s="59" t="s">
        <v>130</v>
      </c>
      <c r="G17" s="62" t="s">
        <v>458</v>
      </c>
      <c r="H17" s="95">
        <v>374</v>
      </c>
      <c r="I17" s="19">
        <v>105.4</v>
      </c>
      <c r="J17" s="67">
        <v>106.2</v>
      </c>
      <c r="K17" s="55">
        <f t="shared" si="0"/>
        <v>211.60000000000002</v>
      </c>
      <c r="L17" s="73">
        <f t="shared" si="1"/>
        <v>0.56577540106951874</v>
      </c>
      <c r="M17" s="11"/>
      <c r="N17" s="77"/>
      <c r="O17" s="1">
        <f>SUM(O11:O16)</f>
        <v>0</v>
      </c>
    </row>
    <row r="18" spans="2:16" x14ac:dyDescent="0.25">
      <c r="B18" s="7"/>
      <c r="C18" s="29">
        <v>69</v>
      </c>
      <c r="D18" s="29">
        <v>17</v>
      </c>
      <c r="E18" s="19" t="s">
        <v>68</v>
      </c>
      <c r="F18" s="59" t="s">
        <v>130</v>
      </c>
      <c r="G18" s="62" t="s">
        <v>459</v>
      </c>
      <c r="H18" s="95">
        <v>443</v>
      </c>
      <c r="I18" s="19">
        <v>126.9</v>
      </c>
      <c r="J18" s="67">
        <v>129.19999999999999</v>
      </c>
      <c r="K18" s="55">
        <f t="shared" si="0"/>
        <v>256.10000000000002</v>
      </c>
      <c r="L18" s="73">
        <f t="shared" si="1"/>
        <v>0.5781038374717834</v>
      </c>
      <c r="M18" s="11"/>
    </row>
    <row r="19" spans="2:16" x14ac:dyDescent="0.25">
      <c r="B19" s="7"/>
      <c r="C19" s="61">
        <v>70</v>
      </c>
      <c r="D19" s="61">
        <v>2</v>
      </c>
      <c r="E19" s="59" t="s">
        <v>68</v>
      </c>
      <c r="F19" s="59" t="s">
        <v>130</v>
      </c>
      <c r="G19" s="62" t="s">
        <v>460</v>
      </c>
      <c r="H19" s="95">
        <v>425</v>
      </c>
      <c r="I19" s="19">
        <v>125.1</v>
      </c>
      <c r="J19" s="67">
        <v>127.3</v>
      </c>
      <c r="K19" s="55">
        <f t="shared" si="0"/>
        <v>252.39999999999998</v>
      </c>
      <c r="L19" s="73">
        <f t="shared" si="1"/>
        <v>0.59388235294117642</v>
      </c>
      <c r="M19" s="11"/>
      <c r="P19" s="100" t="s">
        <v>63</v>
      </c>
    </row>
    <row r="20" spans="2:16" x14ac:dyDescent="0.25">
      <c r="B20" s="7"/>
      <c r="C20" s="61">
        <v>71</v>
      </c>
      <c r="D20" s="61">
        <v>5</v>
      </c>
      <c r="E20" s="59" t="s">
        <v>68</v>
      </c>
      <c r="F20" s="59" t="s">
        <v>130</v>
      </c>
      <c r="G20" s="62" t="s">
        <v>461</v>
      </c>
      <c r="H20" s="95">
        <v>381</v>
      </c>
      <c r="I20" s="19">
        <v>103.8</v>
      </c>
      <c r="J20" s="67">
        <v>104.7</v>
      </c>
      <c r="K20" s="55">
        <f t="shared" si="0"/>
        <v>208.5</v>
      </c>
      <c r="L20" s="73">
        <f t="shared" si="1"/>
        <v>0.547244094488189</v>
      </c>
      <c r="M20" s="11"/>
      <c r="N20" s="64" t="s">
        <v>67</v>
      </c>
      <c r="P20" s="1" t="s">
        <v>64</v>
      </c>
    </row>
    <row r="21" spans="2:16" x14ac:dyDescent="0.25">
      <c r="B21" s="7"/>
      <c r="C21" s="19">
        <v>72</v>
      </c>
      <c r="D21" s="29">
        <v>9</v>
      </c>
      <c r="E21" s="19" t="s">
        <v>67</v>
      </c>
      <c r="F21" s="59" t="s">
        <v>130</v>
      </c>
      <c r="G21" s="62" t="s">
        <v>462</v>
      </c>
      <c r="H21" s="95">
        <v>314</v>
      </c>
      <c r="I21" s="19">
        <v>91.6</v>
      </c>
      <c r="J21" s="67">
        <v>93.8</v>
      </c>
      <c r="K21" s="55">
        <f t="shared" si="0"/>
        <v>185.39999999999998</v>
      </c>
      <c r="L21" s="73">
        <f t="shared" si="1"/>
        <v>0.59044585987261144</v>
      </c>
      <c r="M21" s="11"/>
      <c r="N21" s="64" t="s">
        <v>68</v>
      </c>
      <c r="P21" t="s">
        <v>65</v>
      </c>
    </row>
    <row r="22" spans="2:16" x14ac:dyDescent="0.25">
      <c r="B22" s="7"/>
      <c r="C22" s="19">
        <v>73</v>
      </c>
      <c r="D22" s="29">
        <v>15</v>
      </c>
      <c r="E22" s="19" t="s">
        <v>68</v>
      </c>
      <c r="F22" s="59" t="s">
        <v>130</v>
      </c>
      <c r="G22" s="62" t="s">
        <v>463</v>
      </c>
      <c r="H22" s="95">
        <v>317</v>
      </c>
      <c r="I22" s="19">
        <v>81.8</v>
      </c>
      <c r="J22" s="67">
        <v>93.5</v>
      </c>
      <c r="K22" s="55">
        <f t="shared" si="0"/>
        <v>175.3</v>
      </c>
      <c r="L22" s="73">
        <f t="shared" si="1"/>
        <v>0.55299684542586758</v>
      </c>
      <c r="M22" s="11"/>
      <c r="N22" s="64" t="s">
        <v>75</v>
      </c>
      <c r="P22" t="s">
        <v>74</v>
      </c>
    </row>
    <row r="23" spans="2:16" x14ac:dyDescent="0.25">
      <c r="B23" s="7"/>
      <c r="C23" s="59">
        <v>74</v>
      </c>
      <c r="D23" s="61">
        <v>13</v>
      </c>
      <c r="E23" s="59" t="s">
        <v>75</v>
      </c>
      <c r="F23" s="59" t="s">
        <v>130</v>
      </c>
      <c r="G23" s="62" t="s">
        <v>237</v>
      </c>
      <c r="H23" s="95">
        <v>346</v>
      </c>
      <c r="I23" s="19">
        <v>104.3</v>
      </c>
      <c r="J23" s="67">
        <v>106.8</v>
      </c>
      <c r="K23" s="55">
        <f t="shared" si="0"/>
        <v>211.1</v>
      </c>
      <c r="L23" s="73">
        <f t="shared" si="1"/>
        <v>0.6101156069364162</v>
      </c>
      <c r="M23" s="11"/>
      <c r="N23" s="64" t="s">
        <v>69</v>
      </c>
      <c r="P23" t="s">
        <v>66</v>
      </c>
    </row>
    <row r="24" spans="2:16" x14ac:dyDescent="0.25">
      <c r="B24" s="7"/>
      <c r="C24" s="19">
        <v>75</v>
      </c>
      <c r="D24" s="29">
        <v>7</v>
      </c>
      <c r="E24" s="19" t="s">
        <v>67</v>
      </c>
      <c r="F24" s="59" t="s">
        <v>130</v>
      </c>
      <c r="G24" s="62" t="s">
        <v>464</v>
      </c>
      <c r="H24" s="95">
        <v>442</v>
      </c>
      <c r="I24" s="19">
        <v>132.6</v>
      </c>
      <c r="J24" s="68">
        <v>133.9</v>
      </c>
      <c r="K24" s="55">
        <f t="shared" si="0"/>
        <v>266.5</v>
      </c>
      <c r="L24" s="104">
        <f t="shared" si="1"/>
        <v>0.6029411764705882</v>
      </c>
      <c r="M24" s="11"/>
      <c r="N24" s="64" t="s">
        <v>70</v>
      </c>
      <c r="P24" t="s">
        <v>71</v>
      </c>
    </row>
    <row r="25" spans="2:16" x14ac:dyDescent="0.25">
      <c r="B25" s="7"/>
      <c r="C25" s="19">
        <v>76</v>
      </c>
      <c r="D25" s="29">
        <v>3</v>
      </c>
      <c r="E25" s="19" t="s">
        <v>67</v>
      </c>
      <c r="F25" s="59" t="s">
        <v>130</v>
      </c>
      <c r="G25" s="62" t="s">
        <v>465</v>
      </c>
      <c r="H25" s="95">
        <v>362</v>
      </c>
      <c r="I25" s="19">
        <v>105.9</v>
      </c>
      <c r="J25" s="67">
        <v>105.9</v>
      </c>
      <c r="K25" s="55">
        <f t="shared" si="0"/>
        <v>211.8</v>
      </c>
      <c r="L25" s="73">
        <f t="shared" si="1"/>
        <v>0.58508287292817684</v>
      </c>
      <c r="M25" s="11"/>
      <c r="N25" s="64" t="s">
        <v>73</v>
      </c>
      <c r="P25" t="s">
        <v>72</v>
      </c>
    </row>
    <row r="26" spans="2:16" x14ac:dyDescent="0.25">
      <c r="B26" s="7"/>
      <c r="C26" s="19">
        <v>77</v>
      </c>
      <c r="D26" s="29">
        <v>1</v>
      </c>
      <c r="E26" s="19" t="s">
        <v>67</v>
      </c>
      <c r="F26" s="59" t="s">
        <v>130</v>
      </c>
      <c r="G26" s="62" t="s">
        <v>466</v>
      </c>
      <c r="H26" s="95">
        <v>369</v>
      </c>
      <c r="I26" s="19">
        <v>106.4</v>
      </c>
      <c r="J26" s="67">
        <v>106.9</v>
      </c>
      <c r="K26" s="55">
        <f t="shared" si="0"/>
        <v>213.3</v>
      </c>
      <c r="L26" s="73">
        <f t="shared" si="1"/>
        <v>0.57804878048780495</v>
      </c>
      <c r="M26" s="11"/>
      <c r="N26" s="64" t="s">
        <v>78</v>
      </c>
      <c r="P26" t="s">
        <v>76</v>
      </c>
    </row>
    <row r="27" spans="2:16" x14ac:dyDescent="0.25">
      <c r="B27" s="7"/>
      <c r="C27" s="19">
        <v>78</v>
      </c>
      <c r="D27" s="29">
        <v>6</v>
      </c>
      <c r="E27" s="19" t="s">
        <v>67</v>
      </c>
      <c r="F27" s="59" t="s">
        <v>130</v>
      </c>
      <c r="G27" s="62" t="s">
        <v>467</v>
      </c>
      <c r="H27" s="95">
        <v>383</v>
      </c>
      <c r="I27" s="19">
        <v>109.4</v>
      </c>
      <c r="J27" s="67">
        <v>110.3</v>
      </c>
      <c r="K27" s="55">
        <f t="shared" si="0"/>
        <v>219.7</v>
      </c>
      <c r="L27" s="73">
        <f t="shared" si="1"/>
        <v>0.57362924281984329</v>
      </c>
      <c r="M27" s="11"/>
    </row>
    <row r="28" spans="2:16" x14ac:dyDescent="0.25">
      <c r="B28" s="7"/>
      <c r="C28" s="19"/>
      <c r="D28" s="29"/>
      <c r="E28" s="19"/>
      <c r="F28" s="19"/>
      <c r="G28" s="20"/>
      <c r="H28" s="71"/>
      <c r="I28" s="54"/>
      <c r="J28" s="52"/>
      <c r="K28" s="55">
        <f t="shared" si="0"/>
        <v>0</v>
      </c>
      <c r="L28" s="73" t="e">
        <f t="shared" si="1"/>
        <v>#DIV/0!</v>
      </c>
      <c r="M28" s="11"/>
    </row>
    <row r="29" spans="2:16" x14ac:dyDescent="0.25">
      <c r="B29" s="7"/>
      <c r="C29" s="19"/>
      <c r="D29" s="29"/>
      <c r="E29" s="19"/>
      <c r="F29" s="59"/>
      <c r="G29" s="62"/>
      <c r="H29" s="95"/>
      <c r="I29" s="19"/>
      <c r="J29" s="67"/>
      <c r="K29" s="55">
        <f t="shared" si="0"/>
        <v>0</v>
      </c>
      <c r="L29" s="73" t="e">
        <f t="shared" si="1"/>
        <v>#DIV/0!</v>
      </c>
      <c r="M29" s="11"/>
    </row>
    <row r="30" spans="2:16" x14ac:dyDescent="0.25">
      <c r="B30" s="7"/>
      <c r="C30" s="19"/>
      <c r="D30" s="29"/>
      <c r="E30" s="19"/>
      <c r="F30" s="59"/>
      <c r="G30" s="62"/>
      <c r="H30" s="95"/>
      <c r="I30" s="19"/>
      <c r="J30" s="67"/>
      <c r="K30" s="55">
        <f t="shared" si="0"/>
        <v>0</v>
      </c>
      <c r="L30" s="73" t="e">
        <f t="shared" si="1"/>
        <v>#DIV/0!</v>
      </c>
      <c r="M30" s="11"/>
    </row>
    <row r="31" spans="2:16" x14ac:dyDescent="0.25">
      <c r="B31" s="7"/>
      <c r="C31" s="19"/>
      <c r="D31" s="29"/>
      <c r="E31" s="19"/>
      <c r="F31" s="59"/>
      <c r="G31" s="62"/>
      <c r="H31" s="95"/>
      <c r="I31" s="19"/>
      <c r="J31" s="67"/>
      <c r="K31" s="55">
        <f t="shared" si="0"/>
        <v>0</v>
      </c>
      <c r="L31" s="73" t="e">
        <f t="shared" si="1"/>
        <v>#DIV/0!</v>
      </c>
      <c r="M31" s="11"/>
    </row>
    <row r="32" spans="2:16" x14ac:dyDescent="0.25">
      <c r="B32" s="7"/>
      <c r="C32" s="59"/>
      <c r="D32" s="61"/>
      <c r="E32" s="59"/>
      <c r="F32" s="59"/>
      <c r="G32" s="62"/>
      <c r="H32" s="95"/>
      <c r="I32" s="19"/>
      <c r="J32" s="67"/>
      <c r="K32" s="55">
        <f t="shared" si="0"/>
        <v>0</v>
      </c>
      <c r="L32" s="73" t="e">
        <f t="shared" si="1"/>
        <v>#DIV/0!</v>
      </c>
      <c r="M32" s="11"/>
    </row>
    <row r="33" spans="2:13" x14ac:dyDescent="0.25">
      <c r="B33" s="7"/>
      <c r="C33" s="19"/>
      <c r="D33" s="29"/>
      <c r="E33" s="19"/>
      <c r="F33" s="59"/>
      <c r="G33" s="62"/>
      <c r="H33" s="95"/>
      <c r="I33" s="19"/>
      <c r="J33" s="67"/>
      <c r="K33" s="55">
        <f t="shared" si="0"/>
        <v>0</v>
      </c>
      <c r="L33" s="73" t="e">
        <f t="shared" si="1"/>
        <v>#DIV/0!</v>
      </c>
      <c r="M33" s="11"/>
    </row>
    <row r="34" spans="2:13" x14ac:dyDescent="0.25">
      <c r="B34" s="7"/>
      <c r="C34" s="59"/>
      <c r="D34" s="61"/>
      <c r="E34" s="59"/>
      <c r="F34" s="59"/>
      <c r="G34" s="62"/>
      <c r="H34" s="95"/>
      <c r="I34" s="19"/>
      <c r="J34" s="67"/>
      <c r="K34" s="55">
        <f t="shared" si="0"/>
        <v>0</v>
      </c>
      <c r="L34" s="73" t="e">
        <f t="shared" si="1"/>
        <v>#DIV/0!</v>
      </c>
      <c r="M34" s="11"/>
    </row>
    <row r="35" spans="2:13" x14ac:dyDescent="0.25">
      <c r="B35" s="7"/>
      <c r="C35" s="59"/>
      <c r="D35" s="61"/>
      <c r="E35" s="59"/>
      <c r="F35" s="59"/>
      <c r="G35" s="62"/>
      <c r="H35" s="95"/>
      <c r="I35" s="19"/>
      <c r="J35" s="67"/>
      <c r="K35" s="55">
        <f t="shared" si="0"/>
        <v>0</v>
      </c>
      <c r="L35" s="73" t="e">
        <f t="shared" si="1"/>
        <v>#DIV/0!</v>
      </c>
      <c r="M35" s="11"/>
    </row>
    <row r="36" spans="2:13" x14ac:dyDescent="0.25">
      <c r="B36" s="7"/>
      <c r="C36" s="59"/>
      <c r="D36" s="61"/>
      <c r="E36" s="59"/>
      <c r="F36" s="59"/>
      <c r="G36" s="62"/>
      <c r="H36" s="95"/>
      <c r="I36" s="19"/>
      <c r="J36" s="67"/>
      <c r="K36" s="55">
        <f t="shared" si="0"/>
        <v>0</v>
      </c>
      <c r="L36" s="73" t="e">
        <f t="shared" si="1"/>
        <v>#DIV/0!</v>
      </c>
      <c r="M36" s="11"/>
    </row>
    <row r="37" spans="2:13" x14ac:dyDescent="0.25">
      <c r="B37" s="7"/>
      <c r="C37" s="59"/>
      <c r="D37" s="61"/>
      <c r="E37" s="59"/>
      <c r="F37" s="59"/>
      <c r="G37" s="62"/>
      <c r="H37" s="95"/>
      <c r="I37" s="19"/>
      <c r="J37" s="67"/>
      <c r="K37" s="55">
        <f t="shared" si="0"/>
        <v>0</v>
      </c>
      <c r="L37" s="73" t="e">
        <f t="shared" si="1"/>
        <v>#DIV/0!</v>
      </c>
      <c r="M37" s="11"/>
    </row>
    <row r="38" spans="2:13" x14ac:dyDescent="0.25">
      <c r="B38" s="7"/>
      <c r="C38" s="59"/>
      <c r="D38" s="61"/>
      <c r="E38" s="59"/>
      <c r="F38" s="59"/>
      <c r="G38" s="62"/>
      <c r="H38" s="95"/>
      <c r="I38" s="19"/>
      <c r="J38" s="67"/>
      <c r="K38" s="55">
        <f t="shared" si="0"/>
        <v>0</v>
      </c>
      <c r="L38" s="73" t="e">
        <f t="shared" si="1"/>
        <v>#DIV/0!</v>
      </c>
      <c r="M38" s="11"/>
    </row>
    <row r="39" spans="2:13" x14ac:dyDescent="0.25">
      <c r="B39" s="7"/>
      <c r="C39" s="59"/>
      <c r="D39" s="61"/>
      <c r="E39" s="59"/>
      <c r="F39" s="59"/>
      <c r="G39" s="62"/>
      <c r="H39" s="95"/>
      <c r="I39" s="19"/>
      <c r="J39" s="67"/>
      <c r="K39" s="55">
        <f t="shared" si="0"/>
        <v>0</v>
      </c>
      <c r="L39" s="73" t="e">
        <f t="shared" si="1"/>
        <v>#DIV/0!</v>
      </c>
      <c r="M39" s="11"/>
    </row>
    <row r="40" spans="2:13" x14ac:dyDescent="0.25">
      <c r="B40" s="7"/>
      <c r="C40" s="19"/>
      <c r="D40" s="29"/>
      <c r="E40" s="19"/>
      <c r="F40" s="59"/>
      <c r="G40" s="62"/>
      <c r="H40" s="95"/>
      <c r="I40" s="19"/>
      <c r="J40" s="67"/>
      <c r="K40" s="55">
        <f t="shared" si="0"/>
        <v>0</v>
      </c>
      <c r="L40" s="73" t="e">
        <f t="shared" si="1"/>
        <v>#DIV/0!</v>
      </c>
      <c r="M40" s="11"/>
    </row>
    <row r="41" spans="2:13" x14ac:dyDescent="0.25">
      <c r="B41" s="7"/>
      <c r="C41" s="19"/>
      <c r="D41" s="29"/>
      <c r="E41" s="19"/>
      <c r="F41" s="59"/>
      <c r="G41" s="20"/>
      <c r="H41" s="71"/>
      <c r="I41" s="19"/>
      <c r="J41" s="67"/>
      <c r="K41" s="55">
        <f t="shared" si="0"/>
        <v>0</v>
      </c>
      <c r="L41" s="73" t="e">
        <f t="shared" si="1"/>
        <v>#DIV/0!</v>
      </c>
      <c r="M41" s="11"/>
    </row>
    <row r="42" spans="2:13" x14ac:dyDescent="0.25">
      <c r="B42" s="7"/>
      <c r="C42" s="19"/>
      <c r="D42" s="61"/>
      <c r="E42" s="59"/>
      <c r="F42" s="59"/>
      <c r="G42" s="20"/>
      <c r="H42" s="71"/>
      <c r="I42" s="19"/>
      <c r="J42" s="67"/>
      <c r="K42" s="55">
        <f t="shared" si="0"/>
        <v>0</v>
      </c>
      <c r="L42" s="73" t="e">
        <f t="shared" si="1"/>
        <v>#DIV/0!</v>
      </c>
      <c r="M42" s="11"/>
    </row>
    <row r="43" spans="2:13" x14ac:dyDescent="0.25">
      <c r="B43" s="7"/>
      <c r="C43" s="19"/>
      <c r="D43" s="61"/>
      <c r="E43" s="59"/>
      <c r="F43" s="59"/>
      <c r="G43" s="20"/>
      <c r="H43" s="71"/>
      <c r="I43" s="19"/>
      <c r="J43" s="67"/>
      <c r="K43" s="55">
        <f t="shared" si="0"/>
        <v>0</v>
      </c>
      <c r="L43" s="73" t="e">
        <f t="shared" si="1"/>
        <v>#DIV/0!</v>
      </c>
      <c r="M43" s="11"/>
    </row>
    <row r="44" spans="2:13" x14ac:dyDescent="0.25">
      <c r="B44" s="7"/>
      <c r="C44" s="19"/>
      <c r="D44" s="61"/>
      <c r="E44" s="59"/>
      <c r="F44" s="59"/>
      <c r="G44" s="20"/>
      <c r="H44" s="71"/>
      <c r="I44" s="19"/>
      <c r="J44" s="67"/>
      <c r="K44" s="55">
        <f t="shared" si="0"/>
        <v>0</v>
      </c>
      <c r="L44" s="73" t="e">
        <f t="shared" si="1"/>
        <v>#DIV/0!</v>
      </c>
      <c r="M44" s="11"/>
    </row>
    <row r="45" spans="2:13" x14ac:dyDescent="0.25">
      <c r="B45" s="7"/>
      <c r="C45" s="19"/>
      <c r="D45" s="61"/>
      <c r="E45" s="59"/>
      <c r="F45" s="59"/>
      <c r="G45" s="20"/>
      <c r="H45" s="71"/>
      <c r="I45" s="19"/>
      <c r="J45" s="67"/>
      <c r="K45" s="55">
        <f t="shared" si="0"/>
        <v>0</v>
      </c>
      <c r="L45" s="73" t="e">
        <f t="shared" si="1"/>
        <v>#DIV/0!</v>
      </c>
      <c r="M45" s="11"/>
    </row>
    <row r="46" spans="2:13" x14ac:dyDescent="0.25">
      <c r="B46" s="7"/>
      <c r="C46" s="19"/>
      <c r="D46" s="61"/>
      <c r="E46" s="59"/>
      <c r="F46" s="59"/>
      <c r="G46" s="20"/>
      <c r="H46" s="71"/>
      <c r="I46" s="19"/>
      <c r="J46" s="67"/>
      <c r="K46" s="55">
        <f t="shared" si="0"/>
        <v>0</v>
      </c>
      <c r="L46" s="73" t="e">
        <f t="shared" si="1"/>
        <v>#DIV/0!</v>
      </c>
      <c r="M46" s="11"/>
    </row>
    <row r="47" spans="2:13" x14ac:dyDescent="0.25">
      <c r="B47" s="7"/>
      <c r="C47" s="19"/>
      <c r="D47" s="29"/>
      <c r="E47" s="19"/>
      <c r="F47" s="59"/>
      <c r="G47" s="20"/>
      <c r="H47" s="71"/>
      <c r="I47" s="19"/>
      <c r="J47" s="67"/>
      <c r="K47" s="55">
        <f t="shared" si="0"/>
        <v>0</v>
      </c>
      <c r="L47" s="73" t="e">
        <f t="shared" si="1"/>
        <v>#DIV/0!</v>
      </c>
      <c r="M47" s="11"/>
    </row>
    <row r="48" spans="2:13" x14ac:dyDescent="0.25">
      <c r="B48" s="7"/>
      <c r="C48" s="19"/>
      <c r="D48" s="29"/>
      <c r="E48" s="19"/>
      <c r="F48" s="59"/>
      <c r="G48" s="20"/>
      <c r="H48" s="71"/>
      <c r="I48" s="19"/>
      <c r="J48" s="67"/>
      <c r="K48" s="55">
        <f t="shared" si="0"/>
        <v>0</v>
      </c>
      <c r="L48" s="73" t="e">
        <f t="shared" si="1"/>
        <v>#DIV/0!</v>
      </c>
      <c r="M48" s="11"/>
    </row>
    <row r="49" spans="2:13" x14ac:dyDescent="0.25">
      <c r="B49" s="7"/>
      <c r="C49" s="19"/>
      <c r="D49" s="85"/>
      <c r="E49" s="89"/>
      <c r="F49" s="86"/>
      <c r="G49" s="20"/>
      <c r="H49" s="71"/>
      <c r="I49" s="19"/>
      <c r="J49" s="67"/>
      <c r="K49" s="55">
        <f t="shared" si="0"/>
        <v>0</v>
      </c>
      <c r="L49" s="73" t="e">
        <f t="shared" si="1"/>
        <v>#DIV/0!</v>
      </c>
      <c r="M49" s="11"/>
    </row>
    <row r="50" spans="2:13" x14ac:dyDescent="0.25">
      <c r="B50" s="7"/>
      <c r="C50" s="19"/>
      <c r="D50" s="85"/>
      <c r="E50" s="89"/>
      <c r="F50" s="86"/>
      <c r="G50" s="20"/>
      <c r="H50" s="71"/>
      <c r="I50" s="19"/>
      <c r="J50" s="67"/>
      <c r="K50" s="55">
        <f t="shared" si="0"/>
        <v>0</v>
      </c>
      <c r="L50" s="73" t="e">
        <f t="shared" si="1"/>
        <v>#DIV/0!</v>
      </c>
      <c r="M50" s="11"/>
    </row>
    <row r="51" spans="2:13" x14ac:dyDescent="0.25">
      <c r="B51" s="7"/>
      <c r="C51" s="29"/>
      <c r="D51" s="85"/>
      <c r="E51" s="85"/>
      <c r="F51" s="87"/>
      <c r="G51" s="20"/>
      <c r="H51" s="71"/>
      <c r="I51" s="29"/>
      <c r="J51" s="79"/>
      <c r="K51" s="55">
        <f t="shared" si="0"/>
        <v>0</v>
      </c>
      <c r="L51" s="73" t="e">
        <f t="shared" si="1"/>
        <v>#DIV/0!</v>
      </c>
      <c r="M51" s="11"/>
    </row>
    <row r="52" spans="2:13" x14ac:dyDescent="0.25">
      <c r="B52" s="7"/>
      <c r="C52" s="19"/>
      <c r="D52" s="85"/>
      <c r="E52" s="89"/>
      <c r="F52" s="89"/>
      <c r="G52" s="88"/>
      <c r="H52" s="81"/>
      <c r="I52" s="54"/>
      <c r="J52" s="54"/>
      <c r="K52" s="55">
        <f t="shared" si="0"/>
        <v>0</v>
      </c>
      <c r="L52" s="73" t="e">
        <f t="shared" si="1"/>
        <v>#DIV/0!</v>
      </c>
      <c r="M52" s="11"/>
    </row>
    <row r="53" spans="2:13" x14ac:dyDescent="0.25">
      <c r="B53" s="7"/>
      <c r="C53" s="19"/>
      <c r="D53" s="90"/>
      <c r="E53" s="91"/>
      <c r="F53" s="91"/>
      <c r="G53" s="92"/>
      <c r="H53" s="96"/>
      <c r="I53" s="82"/>
      <c r="J53" s="37"/>
      <c r="K53" s="55">
        <f t="shared" si="0"/>
        <v>0</v>
      </c>
      <c r="L53" s="73" t="e">
        <f t="shared" si="1"/>
        <v>#DIV/0!</v>
      </c>
      <c r="M53" s="11"/>
    </row>
    <row r="54" spans="2:13" x14ac:dyDescent="0.25">
      <c r="B54" s="7"/>
      <c r="C54" s="19"/>
      <c r="D54" s="85"/>
      <c r="E54" s="89"/>
      <c r="F54" s="89"/>
      <c r="G54" s="20"/>
      <c r="H54" s="81"/>
      <c r="I54" s="54"/>
      <c r="J54" s="52"/>
      <c r="K54" s="55">
        <f t="shared" si="0"/>
        <v>0</v>
      </c>
      <c r="L54" s="73" t="e">
        <f t="shared" si="1"/>
        <v>#DIV/0!</v>
      </c>
      <c r="M54" s="11"/>
    </row>
    <row r="55" spans="2:13" ht="15.75" thickBot="1" x14ac:dyDescent="0.3">
      <c r="B55" s="7"/>
      <c r="C55" s="19"/>
      <c r="D55" s="85"/>
      <c r="E55" s="89"/>
      <c r="F55" s="89"/>
      <c r="G55" s="20"/>
      <c r="H55" s="71"/>
      <c r="I55" s="54"/>
      <c r="J55" s="52"/>
      <c r="K55" s="55">
        <f t="shared" si="0"/>
        <v>0</v>
      </c>
      <c r="L55" s="73" t="e">
        <f t="shared" si="1"/>
        <v>#DIV/0!</v>
      </c>
      <c r="M55" s="11"/>
    </row>
    <row r="56" spans="2:13" ht="15.75" thickBot="1" x14ac:dyDescent="0.3">
      <c r="B56" s="7"/>
      <c r="C56" s="105"/>
      <c r="D56" s="75">
        <f>+COUNT($D$11:$D$55)</f>
        <v>17</v>
      </c>
      <c r="E56" s="105"/>
      <c r="F56" s="105"/>
      <c r="G56" s="69"/>
      <c r="H56" s="56">
        <f>SUM($H$11:$H$55)</f>
        <v>6546</v>
      </c>
      <c r="I56" s="57">
        <f>SUM($I$11:$I$55)</f>
        <v>1889.6999999999998</v>
      </c>
      <c r="J56" s="70">
        <f>SUM($J$11:$J$55)</f>
        <v>1925.3000000000002</v>
      </c>
      <c r="K56" s="72">
        <f>SUM($K$11:$K$55)</f>
        <v>3815.0000000000005</v>
      </c>
      <c r="L56" s="74">
        <f t="shared" si="1"/>
        <v>0.58279865566758338</v>
      </c>
      <c r="M56" s="11"/>
    </row>
    <row r="57" spans="2:13" ht="15.75" thickBot="1" x14ac:dyDescent="0.3">
      <c r="B57" s="41"/>
      <c r="C57" s="42"/>
      <c r="D57" s="42"/>
      <c r="E57" s="42"/>
      <c r="F57" s="42"/>
      <c r="G57" s="43"/>
      <c r="H57" s="42"/>
      <c r="I57" s="43"/>
      <c r="J57" s="42"/>
      <c r="K57" s="42"/>
      <c r="L57" s="42"/>
      <c r="M57" s="44"/>
    </row>
    <row r="58" spans="2:13" ht="16.5" thickTop="1" thickBot="1" x14ac:dyDescent="0.3">
      <c r="B58" s="4"/>
      <c r="C58" s="4"/>
      <c r="D58" s="4"/>
      <c r="E58" s="4"/>
      <c r="F58" s="4"/>
      <c r="G58" s="5"/>
      <c r="H58" s="4"/>
      <c r="I58" s="5"/>
      <c r="J58" s="4"/>
      <c r="K58" s="4"/>
      <c r="L58" s="4"/>
      <c r="M58" s="4"/>
    </row>
    <row r="59" spans="2:13" ht="16.5" thickTop="1" thickBot="1" x14ac:dyDescent="0.3">
      <c r="B59" s="3"/>
      <c r="C59" s="4"/>
      <c r="D59" s="4"/>
      <c r="E59" s="4"/>
      <c r="F59" s="4"/>
      <c r="G59" s="5"/>
      <c r="H59" s="4"/>
      <c r="I59" s="5"/>
      <c r="J59" s="4"/>
      <c r="K59" s="4"/>
      <c r="L59" s="4"/>
      <c r="M59" s="6"/>
    </row>
    <row r="60" spans="2:13" ht="15.75" thickBot="1" x14ac:dyDescent="0.3">
      <c r="B60" s="7"/>
      <c r="F60" s="30" t="s">
        <v>12</v>
      </c>
      <c r="G60" s="31" t="s">
        <v>32</v>
      </c>
      <c r="H60" s="51" t="s">
        <v>30</v>
      </c>
      <c r="I60" s="75" t="s">
        <v>54</v>
      </c>
      <c r="J60" s="75" t="s">
        <v>53</v>
      </c>
      <c r="M60" s="11"/>
    </row>
    <row r="61" spans="2:13" x14ac:dyDescent="0.25">
      <c r="B61" s="7"/>
      <c r="F61" s="32" t="s">
        <v>59</v>
      </c>
      <c r="G61" s="97">
        <v>37.28</v>
      </c>
      <c r="H61" s="97">
        <v>35.900000000000006</v>
      </c>
      <c r="I61" s="76"/>
      <c r="J61" s="84"/>
      <c r="M61" s="11"/>
    </row>
    <row r="62" spans="2:13" x14ac:dyDescent="0.25">
      <c r="B62" s="7"/>
      <c r="F62" s="33" t="s">
        <v>15</v>
      </c>
      <c r="G62" s="76">
        <v>17</v>
      </c>
      <c r="H62" s="76">
        <v>27.200000000000003</v>
      </c>
      <c r="I62" s="76"/>
      <c r="J62" s="21"/>
      <c r="M62" s="11"/>
    </row>
    <row r="63" spans="2:13" x14ac:dyDescent="0.25">
      <c r="B63" s="7"/>
      <c r="F63" s="22" t="s">
        <v>13</v>
      </c>
      <c r="G63" s="76">
        <v>16</v>
      </c>
      <c r="H63" s="76">
        <v>82.36</v>
      </c>
      <c r="I63" s="76">
        <v>1</v>
      </c>
      <c r="J63" s="21">
        <v>4.34</v>
      </c>
      <c r="M63" s="11"/>
    </row>
    <row r="64" spans="2:13" x14ac:dyDescent="0.25">
      <c r="B64" s="7"/>
      <c r="F64" s="22" t="s">
        <v>16</v>
      </c>
      <c r="G64" s="76">
        <v>17</v>
      </c>
      <c r="H64" s="76">
        <v>18.22</v>
      </c>
      <c r="I64" s="76"/>
      <c r="J64" s="21"/>
      <c r="M64" s="11"/>
    </row>
    <row r="65" spans="2:13" x14ac:dyDescent="0.25">
      <c r="B65" s="7"/>
      <c r="F65" s="33" t="s">
        <v>60</v>
      </c>
      <c r="G65" s="76">
        <v>12.86</v>
      </c>
      <c r="H65" s="76">
        <v>12.46</v>
      </c>
      <c r="I65" s="76"/>
      <c r="J65" s="21"/>
      <c r="M65" s="11"/>
    </row>
    <row r="66" spans="2:13" x14ac:dyDescent="0.25">
      <c r="B66" s="7"/>
      <c r="F66" s="33" t="s">
        <v>14</v>
      </c>
      <c r="G66" s="76">
        <v>34</v>
      </c>
      <c r="H66" s="76">
        <v>15.22</v>
      </c>
      <c r="I66" s="76"/>
      <c r="J66" s="21"/>
      <c r="M66" s="11"/>
    </row>
    <row r="67" spans="2:13" x14ac:dyDescent="0.25">
      <c r="B67" s="7"/>
      <c r="F67" s="22" t="s">
        <v>20</v>
      </c>
      <c r="G67" s="76">
        <v>68</v>
      </c>
      <c r="H67" s="76">
        <v>8.5</v>
      </c>
      <c r="I67" s="76"/>
      <c r="J67" s="21"/>
      <c r="M67" s="11"/>
    </row>
    <row r="68" spans="2:13" x14ac:dyDescent="0.25">
      <c r="B68" s="7"/>
      <c r="F68" s="33" t="s">
        <v>17</v>
      </c>
      <c r="G68" s="76">
        <v>17</v>
      </c>
      <c r="H68" s="76">
        <v>12.74</v>
      </c>
      <c r="I68" s="76"/>
      <c r="J68" s="21"/>
      <c r="M68" s="11"/>
    </row>
    <row r="69" spans="2:13" x14ac:dyDescent="0.25">
      <c r="B69" s="7"/>
      <c r="F69" s="33" t="s">
        <v>61</v>
      </c>
      <c r="G69" s="76">
        <v>17</v>
      </c>
      <c r="H69" s="76">
        <v>12.7</v>
      </c>
      <c r="I69" s="76"/>
      <c r="J69" s="21"/>
      <c r="M69" s="11"/>
    </row>
    <row r="70" spans="2:13" x14ac:dyDescent="0.25">
      <c r="B70" s="7"/>
      <c r="F70" s="33" t="s">
        <v>48</v>
      </c>
      <c r="G70" s="76">
        <v>21.82</v>
      </c>
      <c r="H70" s="76">
        <v>21.04</v>
      </c>
      <c r="I70" s="76"/>
      <c r="J70" s="21"/>
      <c r="M70" s="11"/>
    </row>
    <row r="71" spans="2:13" x14ac:dyDescent="0.25">
      <c r="B71" s="7"/>
      <c r="F71" s="22" t="s">
        <v>19</v>
      </c>
      <c r="G71" s="76">
        <v>17</v>
      </c>
      <c r="H71" s="76">
        <v>16.34</v>
      </c>
      <c r="I71" s="76"/>
      <c r="J71" s="21"/>
      <c r="M71" s="11"/>
    </row>
    <row r="72" spans="2:13" x14ac:dyDescent="0.25">
      <c r="B72" s="7"/>
      <c r="F72" s="22" t="s">
        <v>18</v>
      </c>
      <c r="G72" s="76">
        <v>17</v>
      </c>
      <c r="H72" s="76">
        <v>5.24</v>
      </c>
      <c r="I72" s="76"/>
      <c r="J72" s="21"/>
      <c r="M72" s="11"/>
    </row>
    <row r="73" spans="2:13" ht="15.75" thickBot="1" x14ac:dyDescent="0.3">
      <c r="B73" s="7"/>
      <c r="F73" s="33" t="s">
        <v>49</v>
      </c>
      <c r="G73" s="76">
        <v>12.5</v>
      </c>
      <c r="H73" s="76">
        <v>10.86</v>
      </c>
      <c r="I73" s="76"/>
      <c r="J73" s="21"/>
      <c r="M73" s="11"/>
    </row>
    <row r="74" spans="2:13" ht="15.75" thickBot="1" x14ac:dyDescent="0.3">
      <c r="B74" s="7"/>
      <c r="F74" s="39" t="s">
        <v>21</v>
      </c>
      <c r="G74" s="23"/>
      <c r="H74" s="23">
        <f>SUM(H61:H73)</f>
        <v>278.78000000000003</v>
      </c>
      <c r="I74" s="80">
        <f>SUM(I61:I73)</f>
        <v>1</v>
      </c>
      <c r="J74" s="23">
        <f>SUM(J61:J73)</f>
        <v>4.34</v>
      </c>
      <c r="M74" s="11"/>
    </row>
    <row r="75" spans="2:13" ht="15.75" thickBot="1" x14ac:dyDescent="0.3">
      <c r="B75" s="41"/>
      <c r="C75" s="42"/>
      <c r="D75" s="42"/>
      <c r="E75" s="42"/>
      <c r="F75" s="42"/>
      <c r="G75" s="43"/>
      <c r="H75" s="42"/>
      <c r="I75" s="43"/>
      <c r="J75" s="42"/>
      <c r="K75" s="42"/>
      <c r="L75" s="42"/>
      <c r="M75" s="44"/>
    </row>
    <row r="76" spans="2:13" ht="16.5" thickTop="1" thickBot="1" x14ac:dyDescent="0.3">
      <c r="B76" s="7"/>
      <c r="F76" s="24"/>
      <c r="G76" s="25"/>
      <c r="H76" s="24"/>
      <c r="I76" s="25"/>
      <c r="M76" s="11"/>
    </row>
    <row r="77" spans="2:13" ht="15.75" thickBot="1" x14ac:dyDescent="0.3">
      <c r="B77" s="7"/>
      <c r="F77" s="34" t="s">
        <v>22</v>
      </c>
      <c r="G77" s="35" t="s">
        <v>33</v>
      </c>
      <c r="H77" s="36" t="s">
        <v>31</v>
      </c>
      <c r="M77" s="11"/>
    </row>
    <row r="78" spans="2:13" x14ac:dyDescent="0.25">
      <c r="B78" s="7"/>
      <c r="F78" s="33" t="s">
        <v>23</v>
      </c>
      <c r="G78" s="38"/>
      <c r="H78" s="21"/>
      <c r="M78" s="11"/>
    </row>
    <row r="79" spans="2:13" x14ac:dyDescent="0.25">
      <c r="B79" s="7"/>
      <c r="F79" s="33" t="s">
        <v>24</v>
      </c>
      <c r="G79" s="37">
        <f>+D56</f>
        <v>17</v>
      </c>
      <c r="H79" s="21"/>
      <c r="M79" s="11"/>
    </row>
    <row r="80" spans="2:13" x14ac:dyDescent="0.25">
      <c r="B80" s="7"/>
      <c r="F80" s="22" t="s">
        <v>34</v>
      </c>
      <c r="G80" s="38"/>
      <c r="H80" s="21"/>
      <c r="M80" s="11"/>
    </row>
    <row r="81" spans="2:13" x14ac:dyDescent="0.25">
      <c r="B81" s="7"/>
      <c r="F81" s="22" t="s">
        <v>35</v>
      </c>
      <c r="G81" s="38"/>
      <c r="H81" s="21"/>
      <c r="M81" s="11"/>
    </row>
    <row r="82" spans="2:13" ht="15.75" thickBot="1" x14ac:dyDescent="0.3">
      <c r="B82" s="7"/>
      <c r="F82" s="22" t="s">
        <v>29</v>
      </c>
      <c r="G82" s="37"/>
      <c r="H82" s="21"/>
      <c r="M82" s="11"/>
    </row>
    <row r="83" spans="2:13" ht="15.75" thickBot="1" x14ac:dyDescent="0.3">
      <c r="B83" s="7"/>
      <c r="F83" s="39" t="s">
        <v>21</v>
      </c>
      <c r="G83" s="40"/>
      <c r="H83" s="23">
        <f>SUM(H78:H82)</f>
        <v>0</v>
      </c>
      <c r="M83" s="11"/>
    </row>
    <row r="84" spans="2:13" ht="15.75" thickBot="1" x14ac:dyDescent="0.3">
      <c r="B84" s="41"/>
      <c r="C84" s="42"/>
      <c r="D84" s="42"/>
      <c r="E84" s="42"/>
      <c r="F84" s="42"/>
      <c r="G84" s="43"/>
      <c r="H84" s="42"/>
      <c r="I84" s="43"/>
      <c r="J84" s="42"/>
      <c r="K84" s="42"/>
      <c r="L84" s="42"/>
      <c r="M84" s="44"/>
    </row>
    <row r="85" spans="2:13" ht="15.75" thickTop="1" x14ac:dyDescent="0.25">
      <c r="H85" s="49"/>
    </row>
  </sheetData>
  <mergeCells count="2">
    <mergeCell ref="J7:L7"/>
    <mergeCell ref="J8:L8"/>
  </mergeCells>
  <conditionalFormatting sqref="L11:L55">
    <cfRule type="cellIs" dxfId="90" priority="1" operator="greaterThan">
      <formula>0.7</formula>
    </cfRule>
  </conditionalFormatting>
  <pageMargins left="0" right="0" top="0" bottom="0" header="0.31496062992125984" footer="0.31496062992125984"/>
  <pageSetup paperSize="9" scale="70"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C1" zoomScale="90" zoomScaleNormal="90" workbookViewId="0">
      <selection activeCell="O1" sqref="O1:V1048576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0.58355124141574211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205.51860465116278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529</v>
      </c>
      <c r="F8" s="344"/>
      <c r="G8" s="344"/>
      <c r="H8" s="345"/>
      <c r="I8" s="146" t="s">
        <v>487</v>
      </c>
      <c r="J8" s="346" t="s">
        <v>530</v>
      </c>
      <c r="K8" s="346"/>
      <c r="L8" s="119"/>
      <c r="M8" s="119"/>
      <c r="N8" s="122"/>
    </row>
    <row r="9" spans="2:14" x14ac:dyDescent="0.25">
      <c r="B9" s="121"/>
      <c r="C9" s="347" t="s">
        <v>476</v>
      </c>
      <c r="D9" s="347"/>
      <c r="E9" s="344">
        <v>52591</v>
      </c>
      <c r="F9" s="344"/>
      <c r="G9" s="344"/>
      <c r="H9" s="345"/>
      <c r="I9" s="146" t="s">
        <v>88</v>
      </c>
      <c r="J9" s="209" t="s">
        <v>528</v>
      </c>
      <c r="K9" s="197" t="s">
        <v>490</v>
      </c>
      <c r="L9" s="369" t="s">
        <v>531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ht="14.1" customHeight="1" x14ac:dyDescent="0.25">
      <c r="B12" s="121"/>
      <c r="D12" s="199" t="s">
        <v>569</v>
      </c>
      <c r="E12" s="342">
        <v>46034</v>
      </c>
      <c r="F12" s="342"/>
      <c r="H12" s="117"/>
      <c r="I12" s="123"/>
      <c r="J12" s="117"/>
      <c r="K12" s="140" t="s">
        <v>488</v>
      </c>
      <c r="L12" s="140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18</v>
      </c>
      <c r="F13" s="349"/>
      <c r="H13" s="117"/>
      <c r="I13" s="123"/>
      <c r="J13" s="140" t="s">
        <v>483</v>
      </c>
      <c r="K13" s="210">
        <f>+COUNTIF($G$22:$G$66,"VQ")*2</f>
        <v>36</v>
      </c>
      <c r="L13" s="210">
        <f>+SUMIF($G$23:$G$65,"VQ",$L$23:$L$65)</f>
        <v>3717.8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43</v>
      </c>
      <c r="F14" s="350"/>
      <c r="H14" s="117"/>
      <c r="I14" s="123"/>
      <c r="J14" s="140" t="s">
        <v>42</v>
      </c>
      <c r="K14" s="210">
        <f>+COUNTIF($G$22:$G$66,"NT")*2</f>
        <v>0</v>
      </c>
      <c r="L14" s="210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15144</v>
      </c>
      <c r="F15" s="350"/>
      <c r="H15" s="117"/>
      <c r="I15" s="123"/>
      <c r="J15" s="140" t="s">
        <v>484</v>
      </c>
      <c r="K15" s="210">
        <f>+COUNTIF($G$22:$G$66,"NO")*2</f>
        <v>8</v>
      </c>
      <c r="L15" s="210">
        <f>+SUMIF($G$23:$G$65,"NO",$L$23:$L$65)</f>
        <v>834.5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8837.2999999999993</v>
      </c>
      <c r="F16" s="350"/>
      <c r="H16" s="117"/>
      <c r="I16" s="123"/>
      <c r="J16" s="140" t="s">
        <v>485</v>
      </c>
      <c r="K16" s="210">
        <f>+COUNTIF($G$22:$G$66,"TO")*2</f>
        <v>0</v>
      </c>
      <c r="L16" s="210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0.58355124141574211</v>
      </c>
      <c r="F17" s="350"/>
      <c r="G17" s="124"/>
      <c r="H17" s="125"/>
      <c r="I17" s="123"/>
      <c r="J17" s="140" t="s">
        <v>486</v>
      </c>
      <c r="K17" s="210">
        <f>+COUNTIF($G$22:$G$66,"VA")*2</f>
        <v>0</v>
      </c>
      <c r="L17" s="210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205.51860465116278</v>
      </c>
      <c r="F18" s="353"/>
      <c r="G18" s="124"/>
      <c r="H18" s="125"/>
      <c r="I18" s="123"/>
      <c r="J18" s="140" t="s">
        <v>44</v>
      </c>
      <c r="K18" s="210">
        <f>+COUNTIF($G$22:$G$66,"MEJ")*2</f>
        <v>42</v>
      </c>
      <c r="L18" s="210">
        <f>+SUMIF($G$23:$G$65,"MEJ",$L$23:$L$65)</f>
        <v>4285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</v>
      </c>
      <c r="D23" s="152">
        <v>1</v>
      </c>
      <c r="E23" s="152" t="s">
        <v>67</v>
      </c>
      <c r="F23" s="152" t="s">
        <v>526</v>
      </c>
      <c r="G23" s="153" t="s">
        <v>44</v>
      </c>
      <c r="H23" s="154" t="s">
        <v>494</v>
      </c>
      <c r="I23" s="155">
        <v>325</v>
      </c>
      <c r="J23" s="152">
        <v>98</v>
      </c>
      <c r="K23" s="156">
        <v>98.6</v>
      </c>
      <c r="L23" s="157">
        <f t="shared" ref="L23:L65" si="0">+J23+K23</f>
        <v>196.6</v>
      </c>
      <c r="M23" s="158">
        <f t="shared" ref="M23:M66" si="1">+L23/I23</f>
        <v>0.6049230769230769</v>
      </c>
      <c r="N23" s="122"/>
    </row>
    <row r="24" spans="2:14" x14ac:dyDescent="0.25">
      <c r="B24" s="121"/>
      <c r="C24" s="159">
        <v>2</v>
      </c>
      <c r="D24" s="159">
        <v>8</v>
      </c>
      <c r="E24" s="159" t="s">
        <v>493</v>
      </c>
      <c r="F24" s="159" t="s">
        <v>526</v>
      </c>
      <c r="G24" s="160" t="s">
        <v>483</v>
      </c>
      <c r="H24" s="161" t="s">
        <v>495</v>
      </c>
      <c r="I24" s="162">
        <v>361</v>
      </c>
      <c r="J24" s="159">
        <v>104</v>
      </c>
      <c r="K24" s="163">
        <v>105</v>
      </c>
      <c r="L24" s="164">
        <f t="shared" si="0"/>
        <v>209</v>
      </c>
      <c r="M24" s="165">
        <f t="shared" si="1"/>
        <v>0.57894736842105265</v>
      </c>
      <c r="N24" s="122"/>
    </row>
    <row r="25" spans="2:14" x14ac:dyDescent="0.25">
      <c r="B25" s="121"/>
      <c r="C25" s="159">
        <v>3</v>
      </c>
      <c r="D25" s="159">
        <v>13</v>
      </c>
      <c r="E25" s="159" t="s">
        <v>75</v>
      </c>
      <c r="F25" s="159" t="s">
        <v>526</v>
      </c>
      <c r="G25" s="160" t="s">
        <v>483</v>
      </c>
      <c r="H25" s="161" t="s">
        <v>270</v>
      </c>
      <c r="I25" s="162">
        <v>384</v>
      </c>
      <c r="J25" s="159">
        <v>113.8</v>
      </c>
      <c r="K25" s="163">
        <v>116.4</v>
      </c>
      <c r="L25" s="164">
        <f t="shared" si="0"/>
        <v>230.2</v>
      </c>
      <c r="M25" s="165">
        <f t="shared" si="1"/>
        <v>0.59947916666666667</v>
      </c>
      <c r="N25" s="122"/>
    </row>
    <row r="26" spans="2:14" x14ac:dyDescent="0.25">
      <c r="B26" s="121"/>
      <c r="C26" s="159">
        <v>4</v>
      </c>
      <c r="D26" s="159">
        <v>6</v>
      </c>
      <c r="E26" s="159" t="s">
        <v>75</v>
      </c>
      <c r="F26" s="159" t="s">
        <v>526</v>
      </c>
      <c r="G26" s="160" t="s">
        <v>44</v>
      </c>
      <c r="H26" s="161" t="s">
        <v>496</v>
      </c>
      <c r="I26" s="162">
        <v>316</v>
      </c>
      <c r="J26" s="159">
        <v>88.4</v>
      </c>
      <c r="K26" s="163">
        <v>89.2</v>
      </c>
      <c r="L26" s="164">
        <f t="shared" si="0"/>
        <v>177.60000000000002</v>
      </c>
      <c r="M26" s="165">
        <f t="shared" si="1"/>
        <v>0.56202531645569631</v>
      </c>
      <c r="N26" s="122"/>
    </row>
    <row r="27" spans="2:14" x14ac:dyDescent="0.25">
      <c r="B27" s="121"/>
      <c r="C27" s="159">
        <v>5</v>
      </c>
      <c r="D27" s="159">
        <v>25</v>
      </c>
      <c r="E27" s="159" t="s">
        <v>68</v>
      </c>
      <c r="F27" s="159" t="s">
        <v>526</v>
      </c>
      <c r="G27" s="160" t="s">
        <v>44</v>
      </c>
      <c r="H27" s="161" t="s">
        <v>497</v>
      </c>
      <c r="I27" s="162">
        <v>403</v>
      </c>
      <c r="J27" s="159">
        <v>122.6</v>
      </c>
      <c r="K27" s="163">
        <v>124.3</v>
      </c>
      <c r="L27" s="164">
        <f t="shared" si="0"/>
        <v>246.89999999999998</v>
      </c>
      <c r="M27" s="165">
        <f t="shared" si="1"/>
        <v>0.61265508684863523</v>
      </c>
      <c r="N27" s="122"/>
    </row>
    <row r="28" spans="2:14" x14ac:dyDescent="0.25">
      <c r="B28" s="121"/>
      <c r="C28" s="159">
        <v>6</v>
      </c>
      <c r="D28" s="159">
        <v>11</v>
      </c>
      <c r="E28" s="159" t="s">
        <v>67</v>
      </c>
      <c r="F28" s="159" t="s">
        <v>526</v>
      </c>
      <c r="G28" s="160" t="s">
        <v>483</v>
      </c>
      <c r="H28" s="161" t="s">
        <v>41</v>
      </c>
      <c r="I28" s="162">
        <v>322</v>
      </c>
      <c r="J28" s="159">
        <v>91.8</v>
      </c>
      <c r="K28" s="163">
        <v>94.2</v>
      </c>
      <c r="L28" s="164">
        <f t="shared" si="0"/>
        <v>186</v>
      </c>
      <c r="M28" s="165">
        <f t="shared" si="1"/>
        <v>0.57763975155279501</v>
      </c>
      <c r="N28" s="122"/>
    </row>
    <row r="29" spans="2:14" x14ac:dyDescent="0.25">
      <c r="B29" s="121"/>
      <c r="C29" s="160">
        <v>7</v>
      </c>
      <c r="D29" s="160">
        <v>10</v>
      </c>
      <c r="E29" s="160" t="s">
        <v>75</v>
      </c>
      <c r="F29" s="160" t="s">
        <v>526</v>
      </c>
      <c r="G29" s="160" t="s">
        <v>483</v>
      </c>
      <c r="H29" s="161" t="s">
        <v>498</v>
      </c>
      <c r="I29" s="162">
        <v>372</v>
      </c>
      <c r="J29" s="159">
        <v>108</v>
      </c>
      <c r="K29" s="163">
        <v>107.5</v>
      </c>
      <c r="L29" s="164">
        <f t="shared" si="0"/>
        <v>215.5</v>
      </c>
      <c r="M29" s="165">
        <f t="shared" si="1"/>
        <v>0.57930107526881724</v>
      </c>
      <c r="N29" s="122"/>
    </row>
    <row r="30" spans="2:14" x14ac:dyDescent="0.25">
      <c r="B30" s="121"/>
      <c r="C30" s="160">
        <v>8</v>
      </c>
      <c r="D30" s="160">
        <v>5</v>
      </c>
      <c r="E30" s="160" t="s">
        <v>68</v>
      </c>
      <c r="F30" s="160" t="s">
        <v>526</v>
      </c>
      <c r="G30" s="160" t="s">
        <v>483</v>
      </c>
      <c r="H30" s="161" t="s">
        <v>499</v>
      </c>
      <c r="I30" s="162">
        <v>339</v>
      </c>
      <c r="J30" s="159">
        <v>100.2</v>
      </c>
      <c r="K30" s="163">
        <v>101.1</v>
      </c>
      <c r="L30" s="164">
        <f t="shared" si="0"/>
        <v>201.3</v>
      </c>
      <c r="M30" s="165">
        <f t="shared" si="1"/>
        <v>0.59380530973451329</v>
      </c>
      <c r="N30" s="122"/>
    </row>
    <row r="31" spans="2:14" x14ac:dyDescent="0.25">
      <c r="B31" s="121"/>
      <c r="C31" s="159">
        <v>9</v>
      </c>
      <c r="D31" s="159">
        <v>28</v>
      </c>
      <c r="E31" s="159" t="s">
        <v>67</v>
      </c>
      <c r="F31" s="159" t="s">
        <v>526</v>
      </c>
      <c r="G31" s="160" t="s">
        <v>483</v>
      </c>
      <c r="H31" s="161" t="s">
        <v>500</v>
      </c>
      <c r="I31" s="162">
        <v>366</v>
      </c>
      <c r="J31" s="159">
        <v>106</v>
      </c>
      <c r="K31" s="163">
        <v>108.1</v>
      </c>
      <c r="L31" s="164">
        <f t="shared" si="0"/>
        <v>214.1</v>
      </c>
      <c r="M31" s="165">
        <f t="shared" si="1"/>
        <v>0.58497267759562843</v>
      </c>
      <c r="N31" s="122"/>
    </row>
    <row r="32" spans="2:14" x14ac:dyDescent="0.25">
      <c r="B32" s="121"/>
      <c r="C32" s="159">
        <v>10</v>
      </c>
      <c r="D32" s="159">
        <v>4</v>
      </c>
      <c r="E32" s="159" t="s">
        <v>75</v>
      </c>
      <c r="F32" s="159" t="s">
        <v>526</v>
      </c>
      <c r="G32" s="160" t="s">
        <v>483</v>
      </c>
      <c r="H32" s="161" t="s">
        <v>501</v>
      </c>
      <c r="I32" s="162">
        <v>352</v>
      </c>
      <c r="J32" s="159">
        <v>101.9</v>
      </c>
      <c r="K32" s="163">
        <v>103</v>
      </c>
      <c r="L32" s="164">
        <f t="shared" si="0"/>
        <v>204.9</v>
      </c>
      <c r="M32" s="165">
        <f t="shared" si="1"/>
        <v>0.58210227272727277</v>
      </c>
      <c r="N32" s="122"/>
    </row>
    <row r="33" spans="2:14" x14ac:dyDescent="0.25">
      <c r="B33" s="121"/>
      <c r="C33" s="160">
        <v>11</v>
      </c>
      <c r="D33" s="160">
        <v>2</v>
      </c>
      <c r="E33" s="160" t="s">
        <v>75</v>
      </c>
      <c r="F33" s="160" t="s">
        <v>526</v>
      </c>
      <c r="G33" s="160" t="s">
        <v>483</v>
      </c>
      <c r="H33" s="161" t="s">
        <v>502</v>
      </c>
      <c r="I33" s="162">
        <v>415</v>
      </c>
      <c r="J33" s="159">
        <v>114.3</v>
      </c>
      <c r="K33" s="163">
        <v>115.4</v>
      </c>
      <c r="L33" s="164">
        <f t="shared" si="0"/>
        <v>229.7</v>
      </c>
      <c r="M33" s="165">
        <f t="shared" si="1"/>
        <v>0.55349397590361438</v>
      </c>
      <c r="N33" s="122"/>
    </row>
    <row r="34" spans="2:14" x14ac:dyDescent="0.25">
      <c r="B34" s="121"/>
      <c r="C34" s="159">
        <v>12</v>
      </c>
      <c r="D34" s="159">
        <v>9</v>
      </c>
      <c r="E34" s="159" t="s">
        <v>67</v>
      </c>
      <c r="F34" s="159" t="s">
        <v>526</v>
      </c>
      <c r="G34" s="160" t="s">
        <v>44</v>
      </c>
      <c r="H34" s="161" t="s">
        <v>503</v>
      </c>
      <c r="I34" s="162">
        <v>343</v>
      </c>
      <c r="J34" s="159">
        <v>103.4</v>
      </c>
      <c r="K34" s="166">
        <v>105.7</v>
      </c>
      <c r="L34" s="164">
        <f t="shared" si="0"/>
        <v>209.10000000000002</v>
      </c>
      <c r="M34" s="167">
        <f t="shared" si="1"/>
        <v>0.60962099125364433</v>
      </c>
      <c r="N34" s="122"/>
    </row>
    <row r="35" spans="2:14" x14ac:dyDescent="0.25">
      <c r="B35" s="121"/>
      <c r="C35" s="159">
        <v>13</v>
      </c>
      <c r="D35" s="159">
        <v>24</v>
      </c>
      <c r="E35" s="159" t="s">
        <v>67</v>
      </c>
      <c r="F35" s="159" t="s">
        <v>526</v>
      </c>
      <c r="G35" s="160" t="s">
        <v>44</v>
      </c>
      <c r="H35" s="161" t="s">
        <v>504</v>
      </c>
      <c r="I35" s="162">
        <v>335</v>
      </c>
      <c r="J35" s="159">
        <v>97.4</v>
      </c>
      <c r="K35" s="163">
        <v>96.2</v>
      </c>
      <c r="L35" s="164">
        <f t="shared" si="0"/>
        <v>193.60000000000002</v>
      </c>
      <c r="M35" s="165">
        <f t="shared" si="1"/>
        <v>0.57791044776119405</v>
      </c>
      <c r="N35" s="122"/>
    </row>
    <row r="36" spans="2:14" x14ac:dyDescent="0.25">
      <c r="B36" s="121"/>
      <c r="C36" s="159">
        <v>14</v>
      </c>
      <c r="D36" s="159">
        <v>21</v>
      </c>
      <c r="E36" s="159" t="s">
        <v>67</v>
      </c>
      <c r="F36" s="159" t="s">
        <v>527</v>
      </c>
      <c r="G36" s="160" t="s">
        <v>44</v>
      </c>
      <c r="H36" s="161" t="s">
        <v>505</v>
      </c>
      <c r="I36" s="162">
        <v>350</v>
      </c>
      <c r="J36" s="159">
        <v>102</v>
      </c>
      <c r="K36" s="163">
        <v>103.3</v>
      </c>
      <c r="L36" s="164">
        <f t="shared" si="0"/>
        <v>205.3</v>
      </c>
      <c r="M36" s="165">
        <f t="shared" si="1"/>
        <v>0.58657142857142863</v>
      </c>
      <c r="N36" s="122"/>
    </row>
    <row r="37" spans="2:14" x14ac:dyDescent="0.25">
      <c r="B37" s="121"/>
      <c r="C37" s="159">
        <v>15</v>
      </c>
      <c r="D37" s="159">
        <v>15</v>
      </c>
      <c r="E37" s="159" t="s">
        <v>67</v>
      </c>
      <c r="F37" s="159" t="s">
        <v>526</v>
      </c>
      <c r="G37" s="160" t="s">
        <v>44</v>
      </c>
      <c r="H37" s="161" t="s">
        <v>506</v>
      </c>
      <c r="I37" s="162">
        <v>339</v>
      </c>
      <c r="J37" s="159">
        <v>101.5</v>
      </c>
      <c r="K37" s="163">
        <v>104.2</v>
      </c>
      <c r="L37" s="164">
        <f t="shared" si="0"/>
        <v>205.7</v>
      </c>
      <c r="M37" s="165">
        <f t="shared" si="1"/>
        <v>0.60678466076696158</v>
      </c>
      <c r="N37" s="122"/>
    </row>
    <row r="38" spans="2:14" x14ac:dyDescent="0.25">
      <c r="B38" s="121"/>
      <c r="C38" s="159">
        <v>16</v>
      </c>
      <c r="D38" s="159">
        <v>22</v>
      </c>
      <c r="E38" s="159" t="s">
        <v>67</v>
      </c>
      <c r="F38" s="159" t="s">
        <v>526</v>
      </c>
      <c r="G38" s="159" t="s">
        <v>44</v>
      </c>
      <c r="H38" s="168" t="s">
        <v>507</v>
      </c>
      <c r="I38" s="169">
        <v>351</v>
      </c>
      <c r="J38" s="159">
        <v>106.8</v>
      </c>
      <c r="K38" s="163">
        <v>106.8</v>
      </c>
      <c r="L38" s="164">
        <f t="shared" si="0"/>
        <v>213.6</v>
      </c>
      <c r="M38" s="165">
        <f t="shared" si="1"/>
        <v>0.60854700854700849</v>
      </c>
      <c r="N38" s="122"/>
    </row>
    <row r="39" spans="2:14" x14ac:dyDescent="0.25">
      <c r="B39" s="121"/>
      <c r="C39" s="159">
        <v>17</v>
      </c>
      <c r="D39" s="159">
        <v>16</v>
      </c>
      <c r="E39" s="159" t="s">
        <v>68</v>
      </c>
      <c r="F39" s="159" t="s">
        <v>526</v>
      </c>
      <c r="G39" s="160" t="s">
        <v>44</v>
      </c>
      <c r="H39" s="161" t="s">
        <v>508</v>
      </c>
      <c r="I39" s="162">
        <v>365</v>
      </c>
      <c r="J39" s="159">
        <v>111.4</v>
      </c>
      <c r="K39" s="163">
        <v>113.7</v>
      </c>
      <c r="L39" s="164">
        <f t="shared" si="0"/>
        <v>225.10000000000002</v>
      </c>
      <c r="M39" s="165">
        <f t="shared" si="1"/>
        <v>0.61671232876712334</v>
      </c>
      <c r="N39" s="122"/>
    </row>
    <row r="40" spans="2:14" x14ac:dyDescent="0.25">
      <c r="B40" s="121"/>
      <c r="C40" s="159">
        <v>18</v>
      </c>
      <c r="D40" s="159">
        <v>17</v>
      </c>
      <c r="E40" s="159" t="s">
        <v>75</v>
      </c>
      <c r="F40" s="159" t="s">
        <v>526</v>
      </c>
      <c r="G40" s="160" t="s">
        <v>44</v>
      </c>
      <c r="H40" s="161" t="s">
        <v>202</v>
      </c>
      <c r="I40" s="162">
        <v>351</v>
      </c>
      <c r="J40" s="159">
        <v>105.9</v>
      </c>
      <c r="K40" s="163">
        <v>107.1</v>
      </c>
      <c r="L40" s="164">
        <f t="shared" si="0"/>
        <v>213</v>
      </c>
      <c r="M40" s="165">
        <f t="shared" si="1"/>
        <v>0.60683760683760679</v>
      </c>
      <c r="N40" s="122"/>
    </row>
    <row r="41" spans="2:14" x14ac:dyDescent="0.25">
      <c r="B41" s="121"/>
      <c r="C41" s="159">
        <v>19</v>
      </c>
      <c r="D41" s="159">
        <v>23</v>
      </c>
      <c r="E41" s="159" t="s">
        <v>67</v>
      </c>
      <c r="F41" s="159" t="s">
        <v>526</v>
      </c>
      <c r="G41" s="160" t="s">
        <v>44</v>
      </c>
      <c r="H41" s="161" t="s">
        <v>41</v>
      </c>
      <c r="I41" s="162">
        <v>334</v>
      </c>
      <c r="J41" s="159">
        <v>94.7</v>
      </c>
      <c r="K41" s="163">
        <v>95.8</v>
      </c>
      <c r="L41" s="164">
        <f t="shared" si="0"/>
        <v>190.5</v>
      </c>
      <c r="M41" s="165">
        <f t="shared" si="1"/>
        <v>0.57035928143712578</v>
      </c>
      <c r="N41" s="122"/>
    </row>
    <row r="42" spans="2:14" x14ac:dyDescent="0.25">
      <c r="B42" s="121"/>
      <c r="C42" s="160">
        <v>20</v>
      </c>
      <c r="D42" s="160">
        <v>14</v>
      </c>
      <c r="E42" s="160" t="s">
        <v>75</v>
      </c>
      <c r="F42" s="160" t="s">
        <v>526</v>
      </c>
      <c r="G42" s="160" t="s">
        <v>483</v>
      </c>
      <c r="H42" s="161" t="s">
        <v>506</v>
      </c>
      <c r="I42" s="162">
        <v>346</v>
      </c>
      <c r="J42" s="159">
        <v>99.9</v>
      </c>
      <c r="K42" s="163">
        <v>101.2</v>
      </c>
      <c r="L42" s="164">
        <f t="shared" si="0"/>
        <v>201.10000000000002</v>
      </c>
      <c r="M42" s="165">
        <f t="shared" si="1"/>
        <v>0.58121387283237003</v>
      </c>
      <c r="N42" s="122"/>
    </row>
    <row r="43" spans="2:14" x14ac:dyDescent="0.25">
      <c r="B43" s="121"/>
      <c r="C43" s="159">
        <v>21</v>
      </c>
      <c r="D43" s="159">
        <v>18</v>
      </c>
      <c r="E43" s="159" t="s">
        <v>68</v>
      </c>
      <c r="F43" s="159" t="s">
        <v>526</v>
      </c>
      <c r="G43" s="160" t="s">
        <v>44</v>
      </c>
      <c r="H43" s="161" t="s">
        <v>509</v>
      </c>
      <c r="I43" s="162">
        <v>426</v>
      </c>
      <c r="J43" s="159">
        <v>123.1</v>
      </c>
      <c r="K43" s="163">
        <v>123.4</v>
      </c>
      <c r="L43" s="164">
        <f t="shared" si="0"/>
        <v>246.5</v>
      </c>
      <c r="M43" s="165">
        <f t="shared" si="1"/>
        <v>0.57863849765258213</v>
      </c>
      <c r="N43" s="122"/>
    </row>
    <row r="44" spans="2:14" x14ac:dyDescent="0.25">
      <c r="B44" s="121"/>
      <c r="C44" s="160">
        <v>22</v>
      </c>
      <c r="D44" s="160">
        <v>7</v>
      </c>
      <c r="E44" s="160" t="s">
        <v>67</v>
      </c>
      <c r="F44" s="160" t="s">
        <v>526</v>
      </c>
      <c r="G44" s="160" t="s">
        <v>44</v>
      </c>
      <c r="H44" s="161" t="s">
        <v>510</v>
      </c>
      <c r="I44" s="162">
        <v>324</v>
      </c>
      <c r="J44" s="159">
        <v>90</v>
      </c>
      <c r="K44" s="163">
        <v>91.8</v>
      </c>
      <c r="L44" s="164">
        <f t="shared" si="0"/>
        <v>181.8</v>
      </c>
      <c r="M44" s="165">
        <f t="shared" si="1"/>
        <v>0.56111111111111112</v>
      </c>
      <c r="N44" s="122"/>
    </row>
    <row r="45" spans="2:14" x14ac:dyDescent="0.25">
      <c r="B45" s="121"/>
      <c r="C45" s="160">
        <v>23</v>
      </c>
      <c r="D45" s="160">
        <v>19</v>
      </c>
      <c r="E45" s="160" t="s">
        <v>68</v>
      </c>
      <c r="F45" s="160" t="s">
        <v>526</v>
      </c>
      <c r="G45" s="160" t="s">
        <v>44</v>
      </c>
      <c r="H45" s="161" t="s">
        <v>511</v>
      </c>
      <c r="I45" s="162">
        <v>348</v>
      </c>
      <c r="J45" s="159">
        <v>94.3</v>
      </c>
      <c r="K45" s="163">
        <v>95.4</v>
      </c>
      <c r="L45" s="164">
        <f t="shared" si="0"/>
        <v>189.7</v>
      </c>
      <c r="M45" s="165">
        <f t="shared" si="1"/>
        <v>0.5451149425287356</v>
      </c>
      <c r="N45" s="122"/>
    </row>
    <row r="46" spans="2:14" x14ac:dyDescent="0.25">
      <c r="B46" s="121"/>
      <c r="C46" s="160">
        <v>24</v>
      </c>
      <c r="D46" s="160">
        <v>20</v>
      </c>
      <c r="E46" s="160" t="s">
        <v>68</v>
      </c>
      <c r="F46" s="160" t="s">
        <v>526</v>
      </c>
      <c r="G46" s="160" t="s">
        <v>44</v>
      </c>
      <c r="H46" s="161" t="s">
        <v>206</v>
      </c>
      <c r="I46" s="162">
        <v>354</v>
      </c>
      <c r="J46" s="159">
        <v>106.7</v>
      </c>
      <c r="K46" s="163">
        <v>108.3</v>
      </c>
      <c r="L46" s="164">
        <f t="shared" si="0"/>
        <v>215</v>
      </c>
      <c r="M46" s="165">
        <f t="shared" si="1"/>
        <v>0.60734463276836159</v>
      </c>
      <c r="N46" s="122"/>
    </row>
    <row r="47" spans="2:14" x14ac:dyDescent="0.25">
      <c r="B47" s="121"/>
      <c r="C47" s="160">
        <v>25</v>
      </c>
      <c r="D47" s="160">
        <v>3</v>
      </c>
      <c r="E47" s="160" t="s">
        <v>68</v>
      </c>
      <c r="F47" s="160" t="s">
        <v>526</v>
      </c>
      <c r="G47" s="160" t="s">
        <v>44</v>
      </c>
      <c r="H47" s="161" t="s">
        <v>512</v>
      </c>
      <c r="I47" s="162">
        <v>327</v>
      </c>
      <c r="J47" s="159">
        <v>101.9</v>
      </c>
      <c r="K47" s="163">
        <v>102.4</v>
      </c>
      <c r="L47" s="164">
        <f t="shared" si="0"/>
        <v>204.3</v>
      </c>
      <c r="M47" s="165">
        <f t="shared" si="1"/>
        <v>0.62477064220183487</v>
      </c>
      <c r="N47" s="122"/>
    </row>
    <row r="48" spans="2:14" x14ac:dyDescent="0.25">
      <c r="B48" s="121"/>
      <c r="C48" s="160">
        <v>26</v>
      </c>
      <c r="D48" s="160">
        <v>29</v>
      </c>
      <c r="E48" s="160" t="s">
        <v>67</v>
      </c>
      <c r="F48" s="160" t="s">
        <v>526</v>
      </c>
      <c r="G48" s="160" t="s">
        <v>44</v>
      </c>
      <c r="H48" s="161" t="s">
        <v>513</v>
      </c>
      <c r="I48" s="162">
        <v>318</v>
      </c>
      <c r="J48" s="159">
        <v>90.7</v>
      </c>
      <c r="K48" s="163">
        <v>93.4</v>
      </c>
      <c r="L48" s="164">
        <f t="shared" si="0"/>
        <v>184.10000000000002</v>
      </c>
      <c r="M48" s="165">
        <f t="shared" si="1"/>
        <v>0.57893081761006293</v>
      </c>
      <c r="N48" s="122"/>
    </row>
    <row r="49" spans="2:14" x14ac:dyDescent="0.25">
      <c r="B49" s="121"/>
      <c r="C49" s="160">
        <v>27</v>
      </c>
      <c r="D49" s="160">
        <v>37</v>
      </c>
      <c r="E49" s="160" t="s">
        <v>75</v>
      </c>
      <c r="F49" s="160" t="s">
        <v>526</v>
      </c>
      <c r="G49" s="160" t="s">
        <v>483</v>
      </c>
      <c r="H49" s="161" t="s">
        <v>514</v>
      </c>
      <c r="I49" s="162">
        <v>373</v>
      </c>
      <c r="J49" s="159">
        <v>109.7</v>
      </c>
      <c r="K49" s="163">
        <v>109</v>
      </c>
      <c r="L49" s="164">
        <f t="shared" si="0"/>
        <v>218.7</v>
      </c>
      <c r="M49" s="165">
        <f t="shared" si="1"/>
        <v>0.5863270777479892</v>
      </c>
      <c r="N49" s="122"/>
    </row>
    <row r="50" spans="2:14" x14ac:dyDescent="0.25">
      <c r="B50" s="121"/>
      <c r="C50" s="159">
        <v>28</v>
      </c>
      <c r="D50" s="159">
        <v>26</v>
      </c>
      <c r="E50" s="159" t="s">
        <v>67</v>
      </c>
      <c r="F50" s="159" t="s">
        <v>526</v>
      </c>
      <c r="G50" s="160" t="s">
        <v>483</v>
      </c>
      <c r="H50" s="161" t="s">
        <v>459</v>
      </c>
      <c r="I50" s="162">
        <v>342</v>
      </c>
      <c r="J50" s="159">
        <v>87.8</v>
      </c>
      <c r="K50" s="163">
        <v>88.8</v>
      </c>
      <c r="L50" s="164">
        <f t="shared" si="0"/>
        <v>176.6</v>
      </c>
      <c r="M50" s="165">
        <f t="shared" si="1"/>
        <v>0.51637426900584793</v>
      </c>
      <c r="N50" s="122"/>
    </row>
    <row r="51" spans="2:14" x14ac:dyDescent="0.25">
      <c r="B51" s="121"/>
      <c r="C51" s="159">
        <v>29</v>
      </c>
      <c r="D51" s="159">
        <v>40</v>
      </c>
      <c r="E51" s="159" t="s">
        <v>67</v>
      </c>
      <c r="F51" s="159" t="s">
        <v>526</v>
      </c>
      <c r="G51" s="160" t="s">
        <v>483</v>
      </c>
      <c r="H51" s="168" t="s">
        <v>515</v>
      </c>
      <c r="I51" s="169">
        <v>337</v>
      </c>
      <c r="J51" s="159">
        <v>84.9</v>
      </c>
      <c r="K51" s="163">
        <v>86.3</v>
      </c>
      <c r="L51" s="164">
        <f t="shared" si="0"/>
        <v>171.2</v>
      </c>
      <c r="M51" s="165">
        <f t="shared" si="1"/>
        <v>0.5080118694362018</v>
      </c>
      <c r="N51" s="122"/>
    </row>
    <row r="52" spans="2:14" x14ac:dyDescent="0.25">
      <c r="B52" s="121"/>
      <c r="C52" s="159">
        <v>30</v>
      </c>
      <c r="D52" s="160">
        <v>31</v>
      </c>
      <c r="E52" s="160" t="s">
        <v>67</v>
      </c>
      <c r="F52" s="160" t="s">
        <v>526</v>
      </c>
      <c r="G52" s="160" t="s">
        <v>483</v>
      </c>
      <c r="H52" s="168" t="s">
        <v>516</v>
      </c>
      <c r="I52" s="169">
        <v>332</v>
      </c>
      <c r="J52" s="159">
        <v>90.2</v>
      </c>
      <c r="K52" s="163">
        <v>91.6</v>
      </c>
      <c r="L52" s="164">
        <f t="shared" si="0"/>
        <v>181.8</v>
      </c>
      <c r="M52" s="165">
        <f t="shared" si="1"/>
        <v>0.54759036144578321</v>
      </c>
      <c r="N52" s="122"/>
    </row>
    <row r="53" spans="2:14" x14ac:dyDescent="0.25">
      <c r="B53" s="121"/>
      <c r="C53" s="159">
        <v>31</v>
      </c>
      <c r="D53" s="160">
        <v>27</v>
      </c>
      <c r="E53" s="160" t="s">
        <v>68</v>
      </c>
      <c r="F53" s="160" t="s">
        <v>526</v>
      </c>
      <c r="G53" s="160" t="s">
        <v>483</v>
      </c>
      <c r="H53" s="168" t="s">
        <v>517</v>
      </c>
      <c r="I53" s="169">
        <v>340</v>
      </c>
      <c r="J53" s="159">
        <v>100.1</v>
      </c>
      <c r="K53" s="163">
        <v>100.8</v>
      </c>
      <c r="L53" s="164">
        <f t="shared" si="0"/>
        <v>200.89999999999998</v>
      </c>
      <c r="M53" s="165">
        <f t="shared" si="1"/>
        <v>0.59088235294117641</v>
      </c>
      <c r="N53" s="122"/>
    </row>
    <row r="54" spans="2:14" x14ac:dyDescent="0.25">
      <c r="B54" s="121"/>
      <c r="C54" s="159">
        <v>32</v>
      </c>
      <c r="D54" s="160">
        <v>34</v>
      </c>
      <c r="E54" s="160" t="s">
        <v>68</v>
      </c>
      <c r="F54" s="160" t="s">
        <v>526</v>
      </c>
      <c r="G54" s="160" t="s">
        <v>484</v>
      </c>
      <c r="H54" s="168" t="s">
        <v>518</v>
      </c>
      <c r="I54" s="169">
        <v>335</v>
      </c>
      <c r="J54" s="159">
        <v>92.7</v>
      </c>
      <c r="K54" s="163">
        <v>93.8</v>
      </c>
      <c r="L54" s="164">
        <f t="shared" si="0"/>
        <v>186.5</v>
      </c>
      <c r="M54" s="165">
        <f t="shared" si="1"/>
        <v>0.55671641791044779</v>
      </c>
      <c r="N54" s="122"/>
    </row>
    <row r="55" spans="2:14" x14ac:dyDescent="0.25">
      <c r="B55" s="121"/>
      <c r="C55" s="159">
        <v>33</v>
      </c>
      <c r="D55" s="160">
        <v>35</v>
      </c>
      <c r="E55" s="160" t="s">
        <v>67</v>
      </c>
      <c r="F55" s="160" t="s">
        <v>526</v>
      </c>
      <c r="G55" s="160" t="s">
        <v>484</v>
      </c>
      <c r="H55" s="168" t="s">
        <v>519</v>
      </c>
      <c r="I55" s="169">
        <v>354</v>
      </c>
      <c r="J55" s="159">
        <v>107.7</v>
      </c>
      <c r="K55" s="163">
        <v>108.1</v>
      </c>
      <c r="L55" s="164">
        <f t="shared" si="0"/>
        <v>215.8</v>
      </c>
      <c r="M55" s="165">
        <f t="shared" si="1"/>
        <v>0.60960451977401131</v>
      </c>
      <c r="N55" s="122"/>
    </row>
    <row r="56" spans="2:14" x14ac:dyDescent="0.25">
      <c r="B56" s="121"/>
      <c r="C56" s="159">
        <v>34</v>
      </c>
      <c r="D56" s="160">
        <v>39</v>
      </c>
      <c r="E56" s="160" t="s">
        <v>68</v>
      </c>
      <c r="F56" s="160" t="s">
        <v>526</v>
      </c>
      <c r="G56" s="160" t="s">
        <v>483</v>
      </c>
      <c r="H56" s="168" t="s">
        <v>520</v>
      </c>
      <c r="I56" s="169">
        <v>378</v>
      </c>
      <c r="J56" s="159">
        <v>108.7</v>
      </c>
      <c r="K56" s="163">
        <v>108.6</v>
      </c>
      <c r="L56" s="164">
        <f t="shared" si="0"/>
        <v>217.3</v>
      </c>
      <c r="M56" s="165">
        <f t="shared" si="1"/>
        <v>0.57486772486772486</v>
      </c>
      <c r="N56" s="122"/>
    </row>
    <row r="57" spans="2:14" x14ac:dyDescent="0.25">
      <c r="B57" s="121"/>
      <c r="C57" s="159">
        <v>35</v>
      </c>
      <c r="D57" s="159">
        <v>42</v>
      </c>
      <c r="E57" s="159" t="s">
        <v>75</v>
      </c>
      <c r="F57" s="159" t="s">
        <v>526</v>
      </c>
      <c r="G57" s="160" t="s">
        <v>483</v>
      </c>
      <c r="H57" s="168" t="s">
        <v>285</v>
      </c>
      <c r="I57" s="169">
        <v>393</v>
      </c>
      <c r="J57" s="159">
        <v>113.4</v>
      </c>
      <c r="K57" s="163">
        <v>114.3</v>
      </c>
      <c r="L57" s="164">
        <f t="shared" si="0"/>
        <v>227.7</v>
      </c>
      <c r="M57" s="165">
        <f t="shared" si="1"/>
        <v>0.57938931297709917</v>
      </c>
      <c r="N57" s="122"/>
    </row>
    <row r="58" spans="2:14" x14ac:dyDescent="0.25">
      <c r="B58" s="121"/>
      <c r="C58" s="159">
        <v>36</v>
      </c>
      <c r="D58" s="159">
        <v>32</v>
      </c>
      <c r="E58" s="159" t="s">
        <v>68</v>
      </c>
      <c r="F58" s="159" t="s">
        <v>526</v>
      </c>
      <c r="G58" s="160" t="s">
        <v>44</v>
      </c>
      <c r="H58" s="168">
        <v>693</v>
      </c>
      <c r="I58" s="169">
        <v>343</v>
      </c>
      <c r="J58" s="159">
        <v>98.4</v>
      </c>
      <c r="K58" s="163">
        <v>102.1</v>
      </c>
      <c r="L58" s="164">
        <f t="shared" si="0"/>
        <v>200.5</v>
      </c>
      <c r="M58" s="165">
        <f t="shared" si="1"/>
        <v>0.58454810495626819</v>
      </c>
      <c r="N58" s="122"/>
    </row>
    <row r="59" spans="2:14" x14ac:dyDescent="0.25">
      <c r="B59" s="121"/>
      <c r="C59" s="159">
        <v>37</v>
      </c>
      <c r="D59" s="170">
        <v>36</v>
      </c>
      <c r="E59" s="170" t="s">
        <v>68</v>
      </c>
      <c r="F59" s="170" t="s">
        <v>526</v>
      </c>
      <c r="G59" s="171" t="s">
        <v>484</v>
      </c>
      <c r="H59" s="168" t="s">
        <v>41</v>
      </c>
      <c r="I59" s="169">
        <v>335</v>
      </c>
      <c r="J59" s="159">
        <v>100.7</v>
      </c>
      <c r="K59" s="163">
        <v>104.1</v>
      </c>
      <c r="L59" s="164">
        <f t="shared" si="0"/>
        <v>204.8</v>
      </c>
      <c r="M59" s="165">
        <f t="shared" si="1"/>
        <v>0.61134328358208956</v>
      </c>
      <c r="N59" s="122"/>
    </row>
    <row r="60" spans="2:14" x14ac:dyDescent="0.25">
      <c r="B60" s="121"/>
      <c r="C60" s="159">
        <v>38</v>
      </c>
      <c r="D60" s="170">
        <v>41</v>
      </c>
      <c r="E60" s="170" t="s">
        <v>75</v>
      </c>
      <c r="F60" s="170" t="s">
        <v>526</v>
      </c>
      <c r="G60" s="171" t="s">
        <v>484</v>
      </c>
      <c r="H60" s="168" t="s">
        <v>521</v>
      </c>
      <c r="I60" s="169">
        <v>374</v>
      </c>
      <c r="J60" s="159">
        <v>113</v>
      </c>
      <c r="K60" s="163">
        <v>114.4</v>
      </c>
      <c r="L60" s="164">
        <f t="shared" si="0"/>
        <v>227.4</v>
      </c>
      <c r="M60" s="165">
        <f t="shared" si="1"/>
        <v>0.60802139037433156</v>
      </c>
      <c r="N60" s="122"/>
    </row>
    <row r="61" spans="2:14" x14ac:dyDescent="0.25">
      <c r="B61" s="121"/>
      <c r="C61" s="159">
        <v>39</v>
      </c>
      <c r="D61" s="170">
        <v>43</v>
      </c>
      <c r="E61" s="170" t="s">
        <v>68</v>
      </c>
      <c r="F61" s="170" t="s">
        <v>526</v>
      </c>
      <c r="G61" s="171" t="s">
        <v>44</v>
      </c>
      <c r="H61" s="168" t="s">
        <v>41</v>
      </c>
      <c r="I61" s="169">
        <v>387</v>
      </c>
      <c r="J61" s="159">
        <v>112.3</v>
      </c>
      <c r="K61" s="163">
        <v>113.7</v>
      </c>
      <c r="L61" s="164">
        <f t="shared" si="0"/>
        <v>226</v>
      </c>
      <c r="M61" s="165">
        <f t="shared" si="1"/>
        <v>0.58397932816537468</v>
      </c>
      <c r="N61" s="122"/>
    </row>
    <row r="62" spans="2:14" x14ac:dyDescent="0.25">
      <c r="B62" s="121"/>
      <c r="C62" s="159">
        <v>40</v>
      </c>
      <c r="D62" s="170">
        <v>30</v>
      </c>
      <c r="E62" s="170" t="s">
        <v>67</v>
      </c>
      <c r="F62" s="170" t="s">
        <v>526</v>
      </c>
      <c r="G62" s="170" t="s">
        <v>44</v>
      </c>
      <c r="H62" s="168" t="s">
        <v>522</v>
      </c>
      <c r="I62" s="169">
        <v>292</v>
      </c>
      <c r="J62" s="159">
        <v>83.7</v>
      </c>
      <c r="K62" s="159">
        <v>84.5</v>
      </c>
      <c r="L62" s="164">
        <f t="shared" si="0"/>
        <v>168.2</v>
      </c>
      <c r="M62" s="165">
        <f t="shared" si="1"/>
        <v>0.57602739726027397</v>
      </c>
      <c r="N62" s="122"/>
    </row>
    <row r="63" spans="2:14" x14ac:dyDescent="0.25">
      <c r="B63" s="121"/>
      <c r="C63" s="159">
        <v>41</v>
      </c>
      <c r="D63" s="170">
        <v>33</v>
      </c>
      <c r="E63" s="170" t="s">
        <v>68</v>
      </c>
      <c r="F63" s="170" t="s">
        <v>526</v>
      </c>
      <c r="G63" s="170" t="s">
        <v>483</v>
      </c>
      <c r="H63" s="205" t="s">
        <v>523</v>
      </c>
      <c r="I63" s="169">
        <v>371</v>
      </c>
      <c r="J63" s="159">
        <v>100.8</v>
      </c>
      <c r="K63" s="159">
        <v>103</v>
      </c>
      <c r="L63" s="164">
        <f t="shared" si="0"/>
        <v>203.8</v>
      </c>
      <c r="M63" s="165">
        <f t="shared" si="1"/>
        <v>0.54932614555256065</v>
      </c>
      <c r="N63" s="122"/>
    </row>
    <row r="64" spans="2:14" x14ac:dyDescent="0.25">
      <c r="B64" s="121"/>
      <c r="C64" s="159">
        <v>42</v>
      </c>
      <c r="D64" s="170">
        <v>38</v>
      </c>
      <c r="E64" s="170" t="s">
        <v>75</v>
      </c>
      <c r="F64" s="170" t="s">
        <v>526</v>
      </c>
      <c r="G64" s="170" t="s">
        <v>44</v>
      </c>
      <c r="H64" s="168" t="s">
        <v>524</v>
      </c>
      <c r="I64" s="169">
        <v>326</v>
      </c>
      <c r="J64" s="159">
        <v>95</v>
      </c>
      <c r="K64" s="163">
        <v>96.9</v>
      </c>
      <c r="L64" s="164">
        <f t="shared" si="0"/>
        <v>191.9</v>
      </c>
      <c r="M64" s="165">
        <f t="shared" si="1"/>
        <v>0.5886503067484663</v>
      </c>
      <c r="N64" s="122"/>
    </row>
    <row r="65" spans="2:14" x14ac:dyDescent="0.25">
      <c r="B65" s="121"/>
      <c r="C65" s="172">
        <v>43</v>
      </c>
      <c r="D65" s="173">
        <v>12</v>
      </c>
      <c r="E65" s="173" t="s">
        <v>68</v>
      </c>
      <c r="F65" s="173" t="s">
        <v>526</v>
      </c>
      <c r="G65" s="173" t="s">
        <v>483</v>
      </c>
      <c r="H65" s="174" t="s">
        <v>525</v>
      </c>
      <c r="I65" s="175">
        <v>366</v>
      </c>
      <c r="J65" s="172">
        <v>113.1</v>
      </c>
      <c r="K65" s="206">
        <v>114.9</v>
      </c>
      <c r="L65" s="176">
        <f t="shared" si="0"/>
        <v>228</v>
      </c>
      <c r="M65" s="177">
        <f t="shared" si="1"/>
        <v>0.62295081967213117</v>
      </c>
      <c r="N65" s="122"/>
    </row>
    <row r="66" spans="2:14" x14ac:dyDescent="0.25">
      <c r="B66" s="121"/>
      <c r="C66" s="198"/>
      <c r="D66" s="198">
        <f>+COUNT($D$22:$D$65)</f>
        <v>43</v>
      </c>
      <c r="E66" s="198"/>
      <c r="F66" s="373"/>
      <c r="G66" s="373"/>
      <c r="H66" s="149"/>
      <c r="I66" s="148">
        <f>SUM($I$22:$I$65)</f>
        <v>15144</v>
      </c>
      <c r="J66" s="150">
        <f>SUM($J$22:$J$65)</f>
        <v>4390.8999999999996</v>
      </c>
      <c r="K66" s="151">
        <f>SUM($K$22:$K$65)</f>
        <v>4446.4000000000005</v>
      </c>
      <c r="L66" s="148">
        <f>SUM($L$22:$L$65)</f>
        <v>8837.2999999999993</v>
      </c>
      <c r="M66" s="178">
        <f t="shared" si="1"/>
        <v>0.58355124141574211</v>
      </c>
      <c r="N66" s="122"/>
    </row>
    <row r="67" spans="2:14" ht="9.9499999999999993" customHeight="1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4.1" customHeight="1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9.9499999999999993" customHeight="1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26.1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107.5</v>
      </c>
      <c r="I71" s="119">
        <v>102.5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43</v>
      </c>
      <c r="I72" s="119">
        <v>60.22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41</v>
      </c>
      <c r="I73" s="119">
        <v>152.28</v>
      </c>
      <c r="J73" s="181">
        <v>2</v>
      </c>
      <c r="K73" s="185">
        <v>8.44</v>
      </c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43</v>
      </c>
      <c r="I74" s="119">
        <v>42.82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31.5</v>
      </c>
      <c r="I75" s="119">
        <v>29.92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85</v>
      </c>
      <c r="I76" s="119">
        <v>30.259999999999998</v>
      </c>
      <c r="J76" s="181">
        <v>1</v>
      </c>
      <c r="K76" s="185">
        <v>0.38</v>
      </c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172</v>
      </c>
      <c r="I77" s="119">
        <v>25.38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43</v>
      </c>
      <c r="I78" s="119">
        <v>33.58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43</v>
      </c>
      <c r="I79" s="119">
        <v>28.1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55.620000000000005</v>
      </c>
      <c r="I80" s="119">
        <v>52.68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43</v>
      </c>
      <c r="I81" s="119">
        <v>47.42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43</v>
      </c>
      <c r="I82" s="119">
        <v>12.68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24.52</v>
      </c>
      <c r="I83" s="119">
        <v>23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640.83999999999992</v>
      </c>
      <c r="J84" s="187">
        <f>SUM(J71:J83)</f>
        <v>3</v>
      </c>
      <c r="K84" s="186">
        <f>SUM(K71:K83)</f>
        <v>8.82</v>
      </c>
      <c r="N84" s="122"/>
    </row>
    <row r="85" spans="2:14" ht="9.9499999999999993" customHeight="1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43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89:G89"/>
    <mergeCell ref="F90:G90"/>
    <mergeCell ref="F91:G91"/>
    <mergeCell ref="F92:G92"/>
    <mergeCell ref="F93:G93"/>
    <mergeCell ref="L9:M9"/>
    <mergeCell ref="D81:G81"/>
    <mergeCell ref="D82:G82"/>
    <mergeCell ref="D83:G83"/>
    <mergeCell ref="D84:G84"/>
    <mergeCell ref="F66:G66"/>
    <mergeCell ref="D70:G70"/>
    <mergeCell ref="D71:G71"/>
    <mergeCell ref="D72:G72"/>
    <mergeCell ref="D73:G73"/>
    <mergeCell ref="D74:G74"/>
    <mergeCell ref="J21:J22"/>
    <mergeCell ref="K21:K22"/>
    <mergeCell ref="L21:L22"/>
    <mergeCell ref="M21:M22"/>
    <mergeCell ref="C16:D16"/>
    <mergeCell ref="I21:I22"/>
    <mergeCell ref="F87:G87"/>
    <mergeCell ref="F88:G88"/>
    <mergeCell ref="D75:G75"/>
    <mergeCell ref="D76:G76"/>
    <mergeCell ref="D77:G77"/>
    <mergeCell ref="D78:G78"/>
    <mergeCell ref="D79:G79"/>
    <mergeCell ref="D80:G80"/>
    <mergeCell ref="C21:C22"/>
    <mergeCell ref="D21:D22"/>
    <mergeCell ref="E21:E22"/>
    <mergeCell ref="F21:G21"/>
    <mergeCell ref="H21:H22"/>
    <mergeCell ref="E16:F16"/>
    <mergeCell ref="C17:D17"/>
    <mergeCell ref="E17:F17"/>
    <mergeCell ref="C18:D18"/>
    <mergeCell ref="E18:F18"/>
    <mergeCell ref="C13:D13"/>
    <mergeCell ref="E13:F13"/>
    <mergeCell ref="C14:D14"/>
    <mergeCell ref="E14:F14"/>
    <mergeCell ref="C15:D15"/>
    <mergeCell ref="E15:F15"/>
    <mergeCell ref="E12:F12"/>
    <mergeCell ref="C8:D8"/>
    <mergeCell ref="E8:H8"/>
    <mergeCell ref="J8:K8"/>
    <mergeCell ref="C9:D9"/>
    <mergeCell ref="E9:H9"/>
  </mergeCells>
  <conditionalFormatting sqref="M23:M65">
    <cfRule type="cellIs" dxfId="89" priority="1" operator="greaterThan">
      <formula>0.7</formula>
    </cfRule>
  </conditionalFormatting>
  <pageMargins left="0.59055118110236227" right="0" top="0" bottom="0" header="0.31496062992125984" footer="0.31496062992125984"/>
  <pageSetup paperSize="9" scale="64" orientation="portrait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L4" sqref="L4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0.55759885133642584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201.94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230</v>
      </c>
      <c r="F8" s="344"/>
      <c r="G8" s="344"/>
      <c r="H8" s="345"/>
      <c r="I8" s="146" t="s">
        <v>487</v>
      </c>
      <c r="J8" s="346" t="s">
        <v>563</v>
      </c>
      <c r="K8" s="346"/>
      <c r="L8" s="119"/>
      <c r="M8" s="119"/>
      <c r="N8" s="122"/>
    </row>
    <row r="9" spans="2:14" x14ac:dyDescent="0.25">
      <c r="B9" s="121"/>
      <c r="C9" s="347" t="s">
        <v>476</v>
      </c>
      <c r="D9" s="347"/>
      <c r="E9" s="344">
        <v>27345</v>
      </c>
      <c r="F9" s="344"/>
      <c r="G9" s="344"/>
      <c r="H9" s="345"/>
      <c r="I9" s="146" t="s">
        <v>88</v>
      </c>
      <c r="J9" s="209" t="s">
        <v>564</v>
      </c>
      <c r="K9" s="197" t="s">
        <v>490</v>
      </c>
      <c r="L9" s="369" t="s">
        <v>565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199" t="s">
        <v>569</v>
      </c>
      <c r="E12" s="342">
        <v>46034</v>
      </c>
      <c r="F12" s="342"/>
      <c r="H12" s="117"/>
      <c r="I12" s="123"/>
      <c r="J12" s="117"/>
      <c r="K12" s="140" t="s">
        <v>488</v>
      </c>
      <c r="L12" s="140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19</v>
      </c>
      <c r="F13" s="349"/>
      <c r="H13" s="117"/>
      <c r="I13" s="123"/>
      <c r="J13" s="140" t="s">
        <v>483</v>
      </c>
      <c r="K13" s="210">
        <f>+COUNTIF($G$22:$G$66,"VQ")*2</f>
        <v>6</v>
      </c>
      <c r="L13" s="210">
        <f>+SUMIF($G$23:$G$65,"VQ",$L$23:$L$65)</f>
        <v>518.5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25</v>
      </c>
      <c r="F14" s="350"/>
      <c r="H14" s="117"/>
      <c r="I14" s="123"/>
      <c r="J14" s="140" t="s">
        <v>42</v>
      </c>
      <c r="K14" s="210">
        <f>+COUNTIF($G$22:$G$66,"NT")*2</f>
        <v>44</v>
      </c>
      <c r="L14" s="210">
        <f>+SUMIF($G$23:$G$65,"NT",$L$23:$L$65)</f>
        <v>4530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9054</v>
      </c>
      <c r="F15" s="350"/>
      <c r="H15" s="117"/>
      <c r="I15" s="123"/>
      <c r="J15" s="140" t="s">
        <v>484</v>
      </c>
      <c r="K15" s="210">
        <f>+COUNTIF($G$22:$G$66,"NO")*2</f>
        <v>0</v>
      </c>
      <c r="L15" s="210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5048.5</v>
      </c>
      <c r="F16" s="350"/>
      <c r="H16" s="117"/>
      <c r="I16" s="123"/>
      <c r="J16" s="140" t="s">
        <v>485</v>
      </c>
      <c r="K16" s="210">
        <f>+COUNTIF($G$22:$G$66,"TO")*2</f>
        <v>0</v>
      </c>
      <c r="L16" s="210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0.55759885133642584</v>
      </c>
      <c r="F17" s="350"/>
      <c r="G17" s="124"/>
      <c r="H17" s="125"/>
      <c r="I17" s="123"/>
      <c r="J17" s="140" t="s">
        <v>486</v>
      </c>
      <c r="K17" s="210">
        <f>+COUNTIF($G$22:$G$66,"VA")*2</f>
        <v>0</v>
      </c>
      <c r="L17" s="210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201.94</v>
      </c>
      <c r="F18" s="353"/>
      <c r="G18" s="124"/>
      <c r="H18" s="125"/>
      <c r="I18" s="123"/>
      <c r="J18" s="140" t="s">
        <v>44</v>
      </c>
      <c r="K18" s="210">
        <f>+COUNTIF($G$22:$G$66,"MEJ")*2</f>
        <v>0</v>
      </c>
      <c r="L18" s="210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44</v>
      </c>
      <c r="D23" s="152">
        <v>8</v>
      </c>
      <c r="E23" s="152" t="s">
        <v>68</v>
      </c>
      <c r="F23" s="152" t="s">
        <v>526</v>
      </c>
      <c r="G23" s="153" t="s">
        <v>42</v>
      </c>
      <c r="H23" s="154" t="s">
        <v>532</v>
      </c>
      <c r="I23" s="155">
        <v>356</v>
      </c>
      <c r="J23" s="152">
        <v>92.2</v>
      </c>
      <c r="K23" s="156">
        <v>93.4</v>
      </c>
      <c r="L23" s="157">
        <f t="shared" ref="L23:L65" si="0">+J23+K23</f>
        <v>185.60000000000002</v>
      </c>
      <c r="M23" s="158">
        <f t="shared" ref="M23:M66" si="1">+L23/I23</f>
        <v>0.52134831460674169</v>
      </c>
      <c r="N23" s="122"/>
    </row>
    <row r="24" spans="2:14" x14ac:dyDescent="0.25">
      <c r="B24" s="121"/>
      <c r="C24" s="159">
        <v>45</v>
      </c>
      <c r="D24" s="159">
        <v>1</v>
      </c>
      <c r="E24" s="159" t="s">
        <v>68</v>
      </c>
      <c r="F24" s="159" t="s">
        <v>526</v>
      </c>
      <c r="G24" s="160" t="s">
        <v>42</v>
      </c>
      <c r="H24" s="161" t="s">
        <v>533</v>
      </c>
      <c r="I24" s="162">
        <v>376</v>
      </c>
      <c r="J24" s="159">
        <v>100.9</v>
      </c>
      <c r="K24" s="163">
        <v>103.5</v>
      </c>
      <c r="L24" s="164">
        <f t="shared" si="0"/>
        <v>204.4</v>
      </c>
      <c r="M24" s="165">
        <f t="shared" si="1"/>
        <v>0.54361702127659572</v>
      </c>
      <c r="N24" s="122"/>
    </row>
    <row r="25" spans="2:14" x14ac:dyDescent="0.25">
      <c r="B25" s="121"/>
      <c r="C25" s="159">
        <v>46</v>
      </c>
      <c r="D25" s="159">
        <v>2</v>
      </c>
      <c r="E25" s="159" t="s">
        <v>67</v>
      </c>
      <c r="F25" s="159" t="s">
        <v>526</v>
      </c>
      <c r="G25" s="160" t="s">
        <v>42</v>
      </c>
      <c r="H25" s="161" t="s">
        <v>534</v>
      </c>
      <c r="I25" s="162">
        <v>342</v>
      </c>
      <c r="J25" s="159">
        <v>97.7</v>
      </c>
      <c r="K25" s="163">
        <v>99</v>
      </c>
      <c r="L25" s="164">
        <f t="shared" si="0"/>
        <v>196.7</v>
      </c>
      <c r="M25" s="165">
        <f t="shared" si="1"/>
        <v>0.57514619883040929</v>
      </c>
      <c r="N25" s="122"/>
    </row>
    <row r="26" spans="2:14" x14ac:dyDescent="0.25">
      <c r="B26" s="121"/>
      <c r="C26" s="159">
        <v>47</v>
      </c>
      <c r="D26" s="159">
        <v>24</v>
      </c>
      <c r="E26" s="159" t="s">
        <v>75</v>
      </c>
      <c r="F26" s="159" t="s">
        <v>526</v>
      </c>
      <c r="G26" s="160" t="s">
        <v>42</v>
      </c>
      <c r="H26" s="161" t="s">
        <v>535</v>
      </c>
      <c r="I26" s="162">
        <v>389</v>
      </c>
      <c r="J26" s="159">
        <v>108.8</v>
      </c>
      <c r="K26" s="163">
        <v>110.9</v>
      </c>
      <c r="L26" s="164">
        <f t="shared" si="0"/>
        <v>219.7</v>
      </c>
      <c r="M26" s="165">
        <f t="shared" si="1"/>
        <v>0.56478149100257069</v>
      </c>
      <c r="N26" s="122"/>
    </row>
    <row r="27" spans="2:14" x14ac:dyDescent="0.25">
      <c r="B27" s="121"/>
      <c r="C27" s="159">
        <v>48</v>
      </c>
      <c r="D27" s="159">
        <v>18</v>
      </c>
      <c r="E27" s="159" t="s">
        <v>67</v>
      </c>
      <c r="F27" s="159" t="s">
        <v>526</v>
      </c>
      <c r="G27" s="160" t="s">
        <v>42</v>
      </c>
      <c r="H27" s="161" t="s">
        <v>536</v>
      </c>
      <c r="I27" s="162">
        <v>364</v>
      </c>
      <c r="J27" s="159">
        <v>104.4</v>
      </c>
      <c r="K27" s="163">
        <v>105.4</v>
      </c>
      <c r="L27" s="164">
        <f t="shared" si="0"/>
        <v>209.8</v>
      </c>
      <c r="M27" s="165">
        <f t="shared" si="1"/>
        <v>0.57637362637362644</v>
      </c>
      <c r="N27" s="122"/>
    </row>
    <row r="28" spans="2:14" x14ac:dyDescent="0.25">
      <c r="B28" s="121"/>
      <c r="C28" s="159">
        <v>49</v>
      </c>
      <c r="D28" s="159">
        <v>7</v>
      </c>
      <c r="E28" s="159" t="s">
        <v>68</v>
      </c>
      <c r="F28" s="159" t="s">
        <v>526</v>
      </c>
      <c r="G28" s="160" t="s">
        <v>42</v>
      </c>
      <c r="H28" s="161" t="s">
        <v>537</v>
      </c>
      <c r="I28" s="162">
        <v>350</v>
      </c>
      <c r="J28" s="159">
        <v>99.4</v>
      </c>
      <c r="K28" s="163">
        <v>100.4</v>
      </c>
      <c r="L28" s="164">
        <f t="shared" si="0"/>
        <v>199.8</v>
      </c>
      <c r="M28" s="165">
        <f t="shared" si="1"/>
        <v>0.57085714285714284</v>
      </c>
      <c r="N28" s="122"/>
    </row>
    <row r="29" spans="2:14" x14ac:dyDescent="0.25">
      <c r="B29" s="121"/>
      <c r="C29" s="160">
        <v>50</v>
      </c>
      <c r="D29" s="160">
        <v>4</v>
      </c>
      <c r="E29" s="160" t="s">
        <v>75</v>
      </c>
      <c r="F29" s="160" t="s">
        <v>526</v>
      </c>
      <c r="G29" s="160" t="s">
        <v>42</v>
      </c>
      <c r="H29" s="161" t="s">
        <v>41</v>
      </c>
      <c r="I29" s="162">
        <v>377</v>
      </c>
      <c r="J29" s="159">
        <v>108.6</v>
      </c>
      <c r="K29" s="163">
        <v>110.7</v>
      </c>
      <c r="L29" s="164">
        <f t="shared" si="0"/>
        <v>219.3</v>
      </c>
      <c r="M29" s="165">
        <f t="shared" si="1"/>
        <v>0.58169761273209553</v>
      </c>
      <c r="N29" s="122"/>
    </row>
    <row r="30" spans="2:14" x14ac:dyDescent="0.25">
      <c r="B30" s="121"/>
      <c r="C30" s="160">
        <v>51</v>
      </c>
      <c r="D30" s="160">
        <v>16</v>
      </c>
      <c r="E30" s="160" t="s">
        <v>67</v>
      </c>
      <c r="F30" s="160" t="s">
        <v>526</v>
      </c>
      <c r="G30" s="160" t="s">
        <v>42</v>
      </c>
      <c r="H30" s="161" t="s">
        <v>538</v>
      </c>
      <c r="I30" s="162">
        <v>379</v>
      </c>
      <c r="J30" s="159">
        <v>105.3</v>
      </c>
      <c r="K30" s="163">
        <v>105.9</v>
      </c>
      <c r="L30" s="164">
        <f t="shared" si="0"/>
        <v>211.2</v>
      </c>
      <c r="M30" s="165">
        <f t="shared" si="1"/>
        <v>0.55725593667546169</v>
      </c>
      <c r="N30" s="122"/>
    </row>
    <row r="31" spans="2:14" x14ac:dyDescent="0.25">
      <c r="B31" s="121"/>
      <c r="C31" s="159">
        <v>52</v>
      </c>
      <c r="D31" s="159">
        <v>5</v>
      </c>
      <c r="E31" s="159" t="s">
        <v>68</v>
      </c>
      <c r="F31" s="159" t="s">
        <v>526</v>
      </c>
      <c r="G31" s="160" t="s">
        <v>42</v>
      </c>
      <c r="H31" s="161" t="s">
        <v>539</v>
      </c>
      <c r="I31" s="162">
        <v>335</v>
      </c>
      <c r="J31" s="159">
        <v>95.8</v>
      </c>
      <c r="K31" s="163">
        <v>97.9</v>
      </c>
      <c r="L31" s="164">
        <f t="shared" si="0"/>
        <v>193.7</v>
      </c>
      <c r="M31" s="165">
        <f t="shared" si="1"/>
        <v>0.57820895522388061</v>
      </c>
      <c r="N31" s="122"/>
    </row>
    <row r="32" spans="2:14" x14ac:dyDescent="0.25">
      <c r="B32" s="121"/>
      <c r="C32" s="159">
        <v>53</v>
      </c>
      <c r="D32" s="159">
        <v>15</v>
      </c>
      <c r="E32" s="159" t="s">
        <v>68</v>
      </c>
      <c r="F32" s="159" t="s">
        <v>526</v>
      </c>
      <c r="G32" s="160" t="s">
        <v>42</v>
      </c>
      <c r="H32" s="161" t="s">
        <v>41</v>
      </c>
      <c r="I32" s="162">
        <v>396</v>
      </c>
      <c r="J32" s="159">
        <v>108.5</v>
      </c>
      <c r="K32" s="163">
        <v>108.1</v>
      </c>
      <c r="L32" s="164">
        <f t="shared" si="0"/>
        <v>216.6</v>
      </c>
      <c r="M32" s="165">
        <f t="shared" si="1"/>
        <v>0.54696969696969699</v>
      </c>
      <c r="N32" s="122"/>
    </row>
    <row r="33" spans="2:14" x14ac:dyDescent="0.25">
      <c r="B33" s="121"/>
      <c r="C33" s="160">
        <v>54</v>
      </c>
      <c r="D33" s="160">
        <v>25</v>
      </c>
      <c r="E33" s="160" t="s">
        <v>75</v>
      </c>
      <c r="F33" s="160" t="s">
        <v>526</v>
      </c>
      <c r="G33" s="160" t="s">
        <v>42</v>
      </c>
      <c r="H33" s="161" t="s">
        <v>540</v>
      </c>
      <c r="I33" s="162">
        <v>376</v>
      </c>
      <c r="J33" s="159">
        <v>107.6</v>
      </c>
      <c r="K33" s="163">
        <v>110.8</v>
      </c>
      <c r="L33" s="164">
        <f t="shared" si="0"/>
        <v>218.39999999999998</v>
      </c>
      <c r="M33" s="165">
        <f t="shared" si="1"/>
        <v>0.58085106382978713</v>
      </c>
      <c r="N33" s="122"/>
    </row>
    <row r="34" spans="2:14" x14ac:dyDescent="0.25">
      <c r="B34" s="121"/>
      <c r="C34" s="159">
        <v>55</v>
      </c>
      <c r="D34" s="159">
        <v>22</v>
      </c>
      <c r="E34" s="159" t="s">
        <v>75</v>
      </c>
      <c r="F34" s="159" t="s">
        <v>526</v>
      </c>
      <c r="G34" s="160" t="s">
        <v>42</v>
      </c>
      <c r="H34" s="161" t="s">
        <v>541</v>
      </c>
      <c r="I34" s="162">
        <v>428</v>
      </c>
      <c r="J34" s="159">
        <v>117.9</v>
      </c>
      <c r="K34" s="166">
        <v>120</v>
      </c>
      <c r="L34" s="164">
        <f t="shared" si="0"/>
        <v>237.9</v>
      </c>
      <c r="M34" s="167">
        <f t="shared" si="1"/>
        <v>0.55584112149532716</v>
      </c>
      <c r="N34" s="122"/>
    </row>
    <row r="35" spans="2:14" x14ac:dyDescent="0.25">
      <c r="B35" s="121"/>
      <c r="C35" s="159">
        <v>56</v>
      </c>
      <c r="D35" s="159">
        <v>14</v>
      </c>
      <c r="E35" s="159" t="s">
        <v>68</v>
      </c>
      <c r="F35" s="159" t="s">
        <v>526</v>
      </c>
      <c r="G35" s="160" t="s">
        <v>42</v>
      </c>
      <c r="H35" s="161" t="s">
        <v>542</v>
      </c>
      <c r="I35" s="162">
        <v>354</v>
      </c>
      <c r="J35" s="159">
        <v>99.8</v>
      </c>
      <c r="K35" s="163">
        <v>101.6</v>
      </c>
      <c r="L35" s="164">
        <f t="shared" si="0"/>
        <v>201.39999999999998</v>
      </c>
      <c r="M35" s="165">
        <f t="shared" si="1"/>
        <v>0.56892655367231637</v>
      </c>
      <c r="N35" s="122"/>
    </row>
    <row r="36" spans="2:14" x14ac:dyDescent="0.25">
      <c r="B36" s="121"/>
      <c r="C36" s="159">
        <v>57</v>
      </c>
      <c r="D36" s="159">
        <v>17</v>
      </c>
      <c r="E36" s="159" t="s">
        <v>67</v>
      </c>
      <c r="F36" s="159" t="s">
        <v>526</v>
      </c>
      <c r="G36" s="160" t="s">
        <v>42</v>
      </c>
      <c r="H36" s="161" t="s">
        <v>543</v>
      </c>
      <c r="I36" s="162">
        <v>355</v>
      </c>
      <c r="J36" s="159">
        <v>95.3</v>
      </c>
      <c r="K36" s="163">
        <v>95.7</v>
      </c>
      <c r="L36" s="164">
        <f t="shared" si="0"/>
        <v>191</v>
      </c>
      <c r="M36" s="165">
        <f t="shared" si="1"/>
        <v>0.53802816901408446</v>
      </c>
      <c r="N36" s="122"/>
    </row>
    <row r="37" spans="2:14" x14ac:dyDescent="0.25">
      <c r="B37" s="121"/>
      <c r="C37" s="159">
        <v>58</v>
      </c>
      <c r="D37" s="159">
        <v>12</v>
      </c>
      <c r="E37" s="159" t="s">
        <v>75</v>
      </c>
      <c r="F37" s="159" t="s">
        <v>527</v>
      </c>
      <c r="G37" s="160" t="s">
        <v>42</v>
      </c>
      <c r="H37" s="161" t="s">
        <v>544</v>
      </c>
      <c r="I37" s="162">
        <v>405</v>
      </c>
      <c r="J37" s="159">
        <v>107.8</v>
      </c>
      <c r="K37" s="163">
        <v>109.7</v>
      </c>
      <c r="L37" s="164">
        <f t="shared" si="0"/>
        <v>217.5</v>
      </c>
      <c r="M37" s="165">
        <f t="shared" si="1"/>
        <v>0.53703703703703709</v>
      </c>
      <c r="N37" s="122"/>
    </row>
    <row r="38" spans="2:14" x14ac:dyDescent="0.25">
      <c r="B38" s="121"/>
      <c r="C38" s="159">
        <v>59</v>
      </c>
      <c r="D38" s="159">
        <v>10</v>
      </c>
      <c r="E38" s="159" t="s">
        <v>68</v>
      </c>
      <c r="F38" s="159" t="s">
        <v>527</v>
      </c>
      <c r="G38" s="159" t="s">
        <v>42</v>
      </c>
      <c r="H38" s="168" t="s">
        <v>545</v>
      </c>
      <c r="I38" s="169">
        <v>350</v>
      </c>
      <c r="J38" s="159">
        <v>96.7</v>
      </c>
      <c r="K38" s="163">
        <v>97.4</v>
      </c>
      <c r="L38" s="164">
        <f t="shared" si="0"/>
        <v>194.10000000000002</v>
      </c>
      <c r="M38" s="165">
        <f t="shared" si="1"/>
        <v>0.5545714285714286</v>
      </c>
      <c r="N38" s="122"/>
    </row>
    <row r="39" spans="2:14" x14ac:dyDescent="0.25">
      <c r="B39" s="121"/>
      <c r="C39" s="159">
        <v>60</v>
      </c>
      <c r="D39" s="159">
        <v>21</v>
      </c>
      <c r="E39" s="159" t="s">
        <v>67</v>
      </c>
      <c r="F39" s="159" t="s">
        <v>526</v>
      </c>
      <c r="G39" s="160" t="s">
        <v>483</v>
      </c>
      <c r="H39" s="161" t="s">
        <v>41</v>
      </c>
      <c r="I39" s="162">
        <v>294</v>
      </c>
      <c r="J39" s="159">
        <v>76.7</v>
      </c>
      <c r="K39" s="163">
        <v>77.3</v>
      </c>
      <c r="L39" s="164">
        <f t="shared" si="0"/>
        <v>154</v>
      </c>
      <c r="M39" s="165">
        <f t="shared" si="1"/>
        <v>0.52380952380952384</v>
      </c>
      <c r="N39" s="122"/>
    </row>
    <row r="40" spans="2:14" x14ac:dyDescent="0.25">
      <c r="B40" s="121"/>
      <c r="C40" s="159">
        <v>61</v>
      </c>
      <c r="D40" s="159">
        <v>6</v>
      </c>
      <c r="E40" s="159" t="s">
        <v>67</v>
      </c>
      <c r="F40" s="159" t="s">
        <v>526</v>
      </c>
      <c r="G40" s="160" t="s">
        <v>42</v>
      </c>
      <c r="H40" s="161" t="s">
        <v>546</v>
      </c>
      <c r="I40" s="162">
        <v>370</v>
      </c>
      <c r="J40" s="159">
        <v>100.2</v>
      </c>
      <c r="K40" s="163">
        <v>98.1</v>
      </c>
      <c r="L40" s="164">
        <f t="shared" si="0"/>
        <v>198.3</v>
      </c>
      <c r="M40" s="165">
        <f t="shared" si="1"/>
        <v>0.53594594594594602</v>
      </c>
      <c r="N40" s="122"/>
    </row>
    <row r="41" spans="2:14" x14ac:dyDescent="0.25">
      <c r="B41" s="121"/>
      <c r="C41" s="159">
        <v>62</v>
      </c>
      <c r="D41" s="159">
        <v>20</v>
      </c>
      <c r="E41" s="159" t="s">
        <v>68</v>
      </c>
      <c r="F41" s="159" t="s">
        <v>526</v>
      </c>
      <c r="G41" s="160" t="s">
        <v>483</v>
      </c>
      <c r="H41" s="161" t="s">
        <v>547</v>
      </c>
      <c r="I41" s="162">
        <v>346</v>
      </c>
      <c r="J41" s="159">
        <v>94.4</v>
      </c>
      <c r="K41" s="163">
        <v>94.9</v>
      </c>
      <c r="L41" s="164">
        <f t="shared" si="0"/>
        <v>189.3</v>
      </c>
      <c r="M41" s="165">
        <f t="shared" si="1"/>
        <v>0.54710982658959539</v>
      </c>
      <c r="N41" s="122"/>
    </row>
    <row r="42" spans="2:14" x14ac:dyDescent="0.25">
      <c r="B42" s="121"/>
      <c r="C42" s="160">
        <v>63</v>
      </c>
      <c r="D42" s="160">
        <v>19</v>
      </c>
      <c r="E42" s="160" t="s">
        <v>68</v>
      </c>
      <c r="F42" s="160" t="s">
        <v>526</v>
      </c>
      <c r="G42" s="160" t="s">
        <v>42</v>
      </c>
      <c r="H42" s="161" t="s">
        <v>41</v>
      </c>
      <c r="I42" s="162">
        <v>365</v>
      </c>
      <c r="J42" s="159">
        <v>107.7</v>
      </c>
      <c r="K42" s="163">
        <v>108.9</v>
      </c>
      <c r="L42" s="164">
        <f t="shared" si="0"/>
        <v>216.60000000000002</v>
      </c>
      <c r="M42" s="165">
        <f t="shared" si="1"/>
        <v>0.59342465753424667</v>
      </c>
      <c r="N42" s="122"/>
    </row>
    <row r="43" spans="2:14" x14ac:dyDescent="0.25">
      <c r="B43" s="121"/>
      <c r="C43" s="159">
        <v>64</v>
      </c>
      <c r="D43" s="159">
        <v>9</v>
      </c>
      <c r="E43" s="159" t="s">
        <v>68</v>
      </c>
      <c r="F43" s="159" t="s">
        <v>527</v>
      </c>
      <c r="G43" s="160" t="s">
        <v>42</v>
      </c>
      <c r="H43" s="161" t="s">
        <v>548</v>
      </c>
      <c r="I43" s="162">
        <v>325</v>
      </c>
      <c r="J43" s="159">
        <v>88.8</v>
      </c>
      <c r="K43" s="163">
        <v>90</v>
      </c>
      <c r="L43" s="164">
        <f t="shared" si="0"/>
        <v>178.8</v>
      </c>
      <c r="M43" s="165">
        <f t="shared" si="1"/>
        <v>0.55015384615384622</v>
      </c>
      <c r="N43" s="122"/>
    </row>
    <row r="44" spans="2:14" x14ac:dyDescent="0.25">
      <c r="B44" s="121"/>
      <c r="C44" s="160">
        <v>65</v>
      </c>
      <c r="D44" s="160">
        <v>3</v>
      </c>
      <c r="E44" s="160" t="s">
        <v>75</v>
      </c>
      <c r="F44" s="160" t="s">
        <v>526</v>
      </c>
      <c r="G44" s="160" t="s">
        <v>42</v>
      </c>
      <c r="H44" s="161" t="s">
        <v>549</v>
      </c>
      <c r="I44" s="162">
        <v>387</v>
      </c>
      <c r="J44" s="159">
        <v>108</v>
      </c>
      <c r="K44" s="163">
        <v>108.3</v>
      </c>
      <c r="L44" s="164">
        <f t="shared" si="0"/>
        <v>216.3</v>
      </c>
      <c r="M44" s="165">
        <f t="shared" si="1"/>
        <v>0.55891472868217063</v>
      </c>
      <c r="N44" s="122"/>
    </row>
    <row r="45" spans="2:14" x14ac:dyDescent="0.25">
      <c r="B45" s="121"/>
      <c r="C45" s="160">
        <v>66</v>
      </c>
      <c r="D45" s="160">
        <v>13</v>
      </c>
      <c r="E45" s="160" t="s">
        <v>67</v>
      </c>
      <c r="F45" s="160" t="s">
        <v>526</v>
      </c>
      <c r="G45" s="160" t="s">
        <v>42</v>
      </c>
      <c r="H45" s="161" t="s">
        <v>550</v>
      </c>
      <c r="I45" s="162">
        <v>379</v>
      </c>
      <c r="J45" s="159">
        <v>108.5</v>
      </c>
      <c r="K45" s="163">
        <v>108.4</v>
      </c>
      <c r="L45" s="164">
        <f t="shared" si="0"/>
        <v>216.9</v>
      </c>
      <c r="M45" s="165">
        <f t="shared" si="1"/>
        <v>0.57229551451187333</v>
      </c>
      <c r="N45" s="122"/>
    </row>
    <row r="46" spans="2:14" x14ac:dyDescent="0.25">
      <c r="B46" s="121"/>
      <c r="C46" s="160">
        <v>67</v>
      </c>
      <c r="D46" s="160">
        <v>11</v>
      </c>
      <c r="E46" s="160" t="s">
        <v>68</v>
      </c>
      <c r="F46" s="160" t="s">
        <v>526</v>
      </c>
      <c r="G46" s="160" t="s">
        <v>42</v>
      </c>
      <c r="H46" s="161" t="s">
        <v>41</v>
      </c>
      <c r="I46" s="162">
        <v>336</v>
      </c>
      <c r="J46" s="159">
        <v>92.8</v>
      </c>
      <c r="K46" s="163">
        <v>93.2</v>
      </c>
      <c r="L46" s="164">
        <f t="shared" si="0"/>
        <v>186</v>
      </c>
      <c r="M46" s="165">
        <f t="shared" si="1"/>
        <v>0.5535714285714286</v>
      </c>
      <c r="N46" s="122"/>
    </row>
    <row r="47" spans="2:14" x14ac:dyDescent="0.25">
      <c r="B47" s="121"/>
      <c r="C47" s="160">
        <v>68</v>
      </c>
      <c r="D47" s="160">
        <v>23</v>
      </c>
      <c r="E47" s="160" t="s">
        <v>67</v>
      </c>
      <c r="F47" s="160" t="s">
        <v>526</v>
      </c>
      <c r="G47" s="160" t="s">
        <v>483</v>
      </c>
      <c r="H47" s="161" t="s">
        <v>551</v>
      </c>
      <c r="I47" s="162">
        <v>320</v>
      </c>
      <c r="J47" s="159">
        <v>86.6</v>
      </c>
      <c r="K47" s="163">
        <v>88.6</v>
      </c>
      <c r="L47" s="164">
        <f t="shared" si="0"/>
        <v>175.2</v>
      </c>
      <c r="M47" s="165">
        <f t="shared" si="1"/>
        <v>0.54749999999999999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198"/>
      <c r="D66" s="198">
        <f>+COUNT($D$22:$D$65)</f>
        <v>25</v>
      </c>
      <c r="E66" s="198"/>
      <c r="F66" s="373"/>
      <c r="G66" s="373"/>
      <c r="H66" s="149"/>
      <c r="I66" s="148">
        <f>SUM($I$22:$I$65)</f>
        <v>9054</v>
      </c>
      <c r="J66" s="150">
        <f>SUM($J$22:$J$65)</f>
        <v>2510.4</v>
      </c>
      <c r="K66" s="151">
        <f>SUM($K$22:$K$65)</f>
        <v>2538.1</v>
      </c>
      <c r="L66" s="148">
        <f>SUM($L$22:$L$65)</f>
        <v>5048.5</v>
      </c>
      <c r="M66" s="178">
        <f t="shared" si="1"/>
        <v>0.55759885133642584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59.599999999999994</v>
      </c>
      <c r="I71" s="119">
        <v>28.119999999999997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25</v>
      </c>
      <c r="I72" s="119">
        <v>19.8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24</v>
      </c>
      <c r="I73" s="119">
        <v>75.3</v>
      </c>
      <c r="J73" s="181">
        <v>1</v>
      </c>
      <c r="K73" s="185">
        <v>4.6399999999999997</v>
      </c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25</v>
      </c>
      <c r="I74" s="119">
        <v>14.12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20.239999999999998</v>
      </c>
      <c r="I75" s="119">
        <v>8.52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50</v>
      </c>
      <c r="I76" s="119">
        <v>10.78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100</v>
      </c>
      <c r="I77" s="119">
        <v>8.7799999999999994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25</v>
      </c>
      <c r="I78" s="119">
        <v>9.84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25</v>
      </c>
      <c r="I79" s="119">
        <v>9.1999999999999993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32.520000000000003</v>
      </c>
      <c r="I80" s="119">
        <v>17.86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25</v>
      </c>
      <c r="I81" s="119">
        <v>15.1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25</v>
      </c>
      <c r="I82" s="119">
        <v>4.28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11.36</v>
      </c>
      <c r="I83" s="119">
        <v>8.82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230.51999999999998</v>
      </c>
      <c r="J84" s="187">
        <f>SUM(J71:J83)</f>
        <v>1</v>
      </c>
      <c r="K84" s="186">
        <f>SUM(K71:K83)</f>
        <v>4.6399999999999997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25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89:G89"/>
    <mergeCell ref="F90:G90"/>
    <mergeCell ref="F91:G91"/>
    <mergeCell ref="F92:G92"/>
    <mergeCell ref="F93:G93"/>
    <mergeCell ref="F88:G88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D84:G84"/>
    <mergeCell ref="F87:G87"/>
    <mergeCell ref="M21:M22"/>
    <mergeCell ref="F66:G66"/>
    <mergeCell ref="D70:G70"/>
    <mergeCell ref="D71:G71"/>
    <mergeCell ref="D72:G72"/>
    <mergeCell ref="I21:I22"/>
    <mergeCell ref="D74:G74"/>
    <mergeCell ref="J21:J22"/>
    <mergeCell ref="K21:K22"/>
    <mergeCell ref="L21:L22"/>
    <mergeCell ref="D73:G73"/>
    <mergeCell ref="C21:C22"/>
    <mergeCell ref="D21:D22"/>
    <mergeCell ref="E21:E22"/>
    <mergeCell ref="F21:G21"/>
    <mergeCell ref="H21:H22"/>
    <mergeCell ref="C16:D16"/>
    <mergeCell ref="E16:F16"/>
    <mergeCell ref="C17:D17"/>
    <mergeCell ref="E17:F17"/>
    <mergeCell ref="C18:D18"/>
    <mergeCell ref="E18:F18"/>
    <mergeCell ref="C13:D13"/>
    <mergeCell ref="E13:F13"/>
    <mergeCell ref="C14:D14"/>
    <mergeCell ref="E14:F14"/>
    <mergeCell ref="C15:D15"/>
    <mergeCell ref="E15:F15"/>
    <mergeCell ref="L9:M9"/>
    <mergeCell ref="E12:F12"/>
    <mergeCell ref="C8:D8"/>
    <mergeCell ref="E8:H8"/>
    <mergeCell ref="J8:K8"/>
    <mergeCell ref="C9:D9"/>
    <mergeCell ref="E9:H9"/>
  </mergeCells>
  <conditionalFormatting sqref="M23:M65">
    <cfRule type="cellIs" dxfId="88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F1" zoomScale="90" zoomScaleNormal="90" workbookViewId="0">
      <selection activeCell="H94" sqref="H94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0.56965268953833137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179.32666666666671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566</v>
      </c>
      <c r="F8" s="344"/>
      <c r="G8" s="344"/>
      <c r="H8" s="345"/>
      <c r="I8" s="146" t="s">
        <v>487</v>
      </c>
      <c r="J8" s="381" t="s">
        <v>567</v>
      </c>
      <c r="K8" s="381"/>
      <c r="L8" s="381"/>
      <c r="M8" s="381"/>
      <c r="N8" s="122"/>
    </row>
    <row r="9" spans="2:14" x14ac:dyDescent="0.25">
      <c r="B9" s="121"/>
      <c r="C9" s="347" t="s">
        <v>476</v>
      </c>
      <c r="D9" s="347"/>
      <c r="E9" s="344">
        <v>28012</v>
      </c>
      <c r="F9" s="344"/>
      <c r="G9" s="344"/>
      <c r="H9" s="345"/>
      <c r="I9" s="146" t="s">
        <v>88</v>
      </c>
      <c r="J9" s="209" t="s">
        <v>568</v>
      </c>
      <c r="K9" s="197" t="s">
        <v>490</v>
      </c>
      <c r="L9" s="369">
        <v>417912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199" t="s">
        <v>569</v>
      </c>
      <c r="E12" s="342">
        <v>46034</v>
      </c>
      <c r="F12" s="342"/>
      <c r="H12" s="117"/>
      <c r="I12" s="123"/>
      <c r="J12" s="117"/>
      <c r="K12" s="140" t="s">
        <v>488</v>
      </c>
      <c r="L12" s="140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20</v>
      </c>
      <c r="F13" s="349"/>
      <c r="H13" s="117"/>
      <c r="I13" s="123"/>
      <c r="J13" s="140" t="s">
        <v>483</v>
      </c>
      <c r="K13" s="210">
        <f>+COUNTIF($G$22:$G$66,"VQ")*2</f>
        <v>0</v>
      </c>
      <c r="L13" s="210">
        <f>+SUMIF($G$23:$G$65,"VQ",$L$23:$L$65)</f>
        <v>0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15</v>
      </c>
      <c r="F14" s="350"/>
      <c r="H14" s="117"/>
      <c r="I14" s="123"/>
      <c r="J14" s="140" t="s">
        <v>42</v>
      </c>
      <c r="K14" s="210">
        <f>+COUNTIF($G$22:$G$66,"NT")*2</f>
        <v>0</v>
      </c>
      <c r="L14" s="210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4722</v>
      </c>
      <c r="F15" s="350"/>
      <c r="H15" s="117"/>
      <c r="I15" s="123"/>
      <c r="J15" s="140" t="s">
        <v>484</v>
      </c>
      <c r="K15" s="210">
        <f>+COUNTIF($G$22:$G$66,"NO")*2</f>
        <v>30</v>
      </c>
      <c r="L15" s="210">
        <f>+SUMIF($G$23:$G$65,"NO",$L$23:$L$65)</f>
        <v>2689.9000000000005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2689.9000000000005</v>
      </c>
      <c r="F16" s="350"/>
      <c r="H16" s="117"/>
      <c r="I16" s="123"/>
      <c r="J16" s="140" t="s">
        <v>485</v>
      </c>
      <c r="K16" s="210">
        <f>+COUNTIF($G$22:$G$66,"TO")*2</f>
        <v>0</v>
      </c>
      <c r="L16" s="210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0.56965268953833137</v>
      </c>
      <c r="F17" s="350"/>
      <c r="G17" s="124"/>
      <c r="H17" s="125"/>
      <c r="I17" s="123"/>
      <c r="J17" s="140" t="s">
        <v>486</v>
      </c>
      <c r="K17" s="210">
        <f>+COUNTIF($G$22:$G$66,"VA")*2</f>
        <v>0</v>
      </c>
      <c r="L17" s="210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179.32666666666671</v>
      </c>
      <c r="F18" s="353"/>
      <c r="G18" s="124"/>
      <c r="H18" s="125"/>
      <c r="I18" s="123"/>
      <c r="J18" s="140" t="s">
        <v>44</v>
      </c>
      <c r="K18" s="210">
        <f>+COUNTIF($G$22:$G$66,"MEJ")*2</f>
        <v>0</v>
      </c>
      <c r="L18" s="210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69</v>
      </c>
      <c r="D23" s="152">
        <v>12</v>
      </c>
      <c r="E23" s="152" t="s">
        <v>67</v>
      </c>
      <c r="F23" s="152" t="s">
        <v>526</v>
      </c>
      <c r="G23" s="153" t="s">
        <v>484</v>
      </c>
      <c r="H23" s="154" t="s">
        <v>552</v>
      </c>
      <c r="I23" s="155">
        <v>264</v>
      </c>
      <c r="J23" s="152">
        <v>72.900000000000006</v>
      </c>
      <c r="K23" s="156">
        <v>74.599999999999994</v>
      </c>
      <c r="L23" s="157">
        <f t="shared" ref="L23:L65" si="0">+J23+K23</f>
        <v>147.5</v>
      </c>
      <c r="M23" s="158">
        <f t="shared" ref="M23:M66" si="1">+L23/I23</f>
        <v>0.55871212121212122</v>
      </c>
      <c r="N23" s="122"/>
    </row>
    <row r="24" spans="2:14" x14ac:dyDescent="0.25">
      <c r="B24" s="121"/>
      <c r="C24" s="159">
        <v>70</v>
      </c>
      <c r="D24" s="159">
        <v>3</v>
      </c>
      <c r="E24" s="159" t="s">
        <v>67</v>
      </c>
      <c r="F24" s="159" t="s">
        <v>526</v>
      </c>
      <c r="G24" s="160" t="s">
        <v>484</v>
      </c>
      <c r="H24" s="161" t="s">
        <v>553</v>
      </c>
      <c r="I24" s="162">
        <v>317</v>
      </c>
      <c r="J24" s="159">
        <v>90</v>
      </c>
      <c r="K24" s="163">
        <v>90.8</v>
      </c>
      <c r="L24" s="164">
        <f t="shared" si="0"/>
        <v>180.8</v>
      </c>
      <c r="M24" s="165">
        <f t="shared" si="1"/>
        <v>0.57034700315457421</v>
      </c>
      <c r="N24" s="122"/>
    </row>
    <row r="25" spans="2:14" x14ac:dyDescent="0.25">
      <c r="B25" s="121"/>
      <c r="C25" s="159">
        <v>71</v>
      </c>
      <c r="D25" s="159">
        <v>9</v>
      </c>
      <c r="E25" s="159" t="s">
        <v>67</v>
      </c>
      <c r="F25" s="159" t="s">
        <v>526</v>
      </c>
      <c r="G25" s="160" t="s">
        <v>484</v>
      </c>
      <c r="H25" s="161" t="s">
        <v>41</v>
      </c>
      <c r="I25" s="162">
        <v>367</v>
      </c>
      <c r="J25" s="159">
        <v>98.9</v>
      </c>
      <c r="K25" s="163">
        <v>100.2</v>
      </c>
      <c r="L25" s="164">
        <f t="shared" si="0"/>
        <v>199.10000000000002</v>
      </c>
      <c r="M25" s="165">
        <f t="shared" si="1"/>
        <v>0.54250681198910089</v>
      </c>
      <c r="N25" s="122"/>
    </row>
    <row r="26" spans="2:14" x14ac:dyDescent="0.25">
      <c r="B26" s="121"/>
      <c r="C26" s="159">
        <v>72</v>
      </c>
      <c r="D26" s="159">
        <v>15</v>
      </c>
      <c r="E26" s="159" t="s">
        <v>67</v>
      </c>
      <c r="F26" s="159" t="s">
        <v>526</v>
      </c>
      <c r="G26" s="160" t="s">
        <v>484</v>
      </c>
      <c r="H26" s="161" t="s">
        <v>554</v>
      </c>
      <c r="I26" s="162">
        <v>300</v>
      </c>
      <c r="J26" s="159">
        <v>84.9</v>
      </c>
      <c r="K26" s="163">
        <v>86.3</v>
      </c>
      <c r="L26" s="164">
        <f t="shared" si="0"/>
        <v>171.2</v>
      </c>
      <c r="M26" s="165">
        <f t="shared" si="1"/>
        <v>0.57066666666666666</v>
      </c>
      <c r="N26" s="122"/>
    </row>
    <row r="27" spans="2:14" x14ac:dyDescent="0.25">
      <c r="B27" s="121"/>
      <c r="C27" s="159">
        <v>73</v>
      </c>
      <c r="D27" s="159">
        <v>6</v>
      </c>
      <c r="E27" s="159" t="s">
        <v>67</v>
      </c>
      <c r="F27" s="159" t="s">
        <v>526</v>
      </c>
      <c r="G27" s="160" t="s">
        <v>484</v>
      </c>
      <c r="H27" s="161" t="s">
        <v>555</v>
      </c>
      <c r="I27" s="162">
        <v>360</v>
      </c>
      <c r="J27" s="159">
        <v>103.2</v>
      </c>
      <c r="K27" s="163">
        <v>103.4</v>
      </c>
      <c r="L27" s="164">
        <f t="shared" si="0"/>
        <v>206.60000000000002</v>
      </c>
      <c r="M27" s="165">
        <f t="shared" si="1"/>
        <v>0.573888888888889</v>
      </c>
      <c r="N27" s="122"/>
    </row>
    <row r="28" spans="2:14" x14ac:dyDescent="0.25">
      <c r="B28" s="121"/>
      <c r="C28" s="159">
        <v>74</v>
      </c>
      <c r="D28" s="159">
        <v>4</v>
      </c>
      <c r="E28" s="159" t="s">
        <v>67</v>
      </c>
      <c r="F28" s="159" t="s">
        <v>526</v>
      </c>
      <c r="G28" s="160" t="s">
        <v>484</v>
      </c>
      <c r="H28" s="161" t="s">
        <v>556</v>
      </c>
      <c r="I28" s="162">
        <v>339</v>
      </c>
      <c r="J28" s="159">
        <v>94.2</v>
      </c>
      <c r="K28" s="163">
        <v>95.3</v>
      </c>
      <c r="L28" s="164">
        <f t="shared" si="0"/>
        <v>189.5</v>
      </c>
      <c r="M28" s="165">
        <f t="shared" si="1"/>
        <v>0.55899705014749268</v>
      </c>
      <c r="N28" s="122"/>
    </row>
    <row r="29" spans="2:14" x14ac:dyDescent="0.25">
      <c r="B29" s="121"/>
      <c r="C29" s="160">
        <v>75</v>
      </c>
      <c r="D29" s="160">
        <v>5</v>
      </c>
      <c r="E29" s="160" t="s">
        <v>67</v>
      </c>
      <c r="F29" s="160" t="s">
        <v>526</v>
      </c>
      <c r="G29" s="160" t="s">
        <v>484</v>
      </c>
      <c r="H29" s="161" t="s">
        <v>557</v>
      </c>
      <c r="I29" s="162">
        <v>287</v>
      </c>
      <c r="J29" s="159">
        <v>82.9</v>
      </c>
      <c r="K29" s="163">
        <v>84</v>
      </c>
      <c r="L29" s="164">
        <f t="shared" si="0"/>
        <v>166.9</v>
      </c>
      <c r="M29" s="165">
        <f t="shared" si="1"/>
        <v>0.58153310104529621</v>
      </c>
      <c r="N29" s="122"/>
    </row>
    <row r="30" spans="2:14" x14ac:dyDescent="0.25">
      <c r="B30" s="121"/>
      <c r="C30" s="160">
        <v>76</v>
      </c>
      <c r="D30" s="160">
        <v>1</v>
      </c>
      <c r="E30" s="160" t="s">
        <v>67</v>
      </c>
      <c r="F30" s="160" t="s">
        <v>526</v>
      </c>
      <c r="G30" s="160" t="s">
        <v>484</v>
      </c>
      <c r="H30" s="161" t="s">
        <v>558</v>
      </c>
      <c r="I30" s="162">
        <v>326</v>
      </c>
      <c r="J30" s="159">
        <v>89.6</v>
      </c>
      <c r="K30" s="163">
        <v>91.7</v>
      </c>
      <c r="L30" s="164">
        <f t="shared" si="0"/>
        <v>181.3</v>
      </c>
      <c r="M30" s="165">
        <f t="shared" si="1"/>
        <v>0.55613496932515338</v>
      </c>
      <c r="N30" s="122"/>
    </row>
    <row r="31" spans="2:14" x14ac:dyDescent="0.25">
      <c r="B31" s="121"/>
      <c r="C31" s="159">
        <v>77</v>
      </c>
      <c r="D31" s="159">
        <v>11</v>
      </c>
      <c r="E31" s="159" t="s">
        <v>75</v>
      </c>
      <c r="F31" s="159" t="s">
        <v>526</v>
      </c>
      <c r="G31" s="160" t="s">
        <v>484</v>
      </c>
      <c r="H31" s="161" t="s">
        <v>559</v>
      </c>
      <c r="I31" s="162">
        <v>293</v>
      </c>
      <c r="J31" s="159">
        <v>86</v>
      </c>
      <c r="K31" s="163">
        <v>86.7</v>
      </c>
      <c r="L31" s="164">
        <f t="shared" si="0"/>
        <v>172.7</v>
      </c>
      <c r="M31" s="165">
        <f t="shared" si="1"/>
        <v>0.58941979522184296</v>
      </c>
      <c r="N31" s="122"/>
    </row>
    <row r="32" spans="2:14" x14ac:dyDescent="0.25">
      <c r="B32" s="121"/>
      <c r="C32" s="159">
        <v>78</v>
      </c>
      <c r="D32" s="159">
        <v>8</v>
      </c>
      <c r="E32" s="159" t="s">
        <v>67</v>
      </c>
      <c r="F32" s="159" t="s">
        <v>526</v>
      </c>
      <c r="G32" s="160" t="s">
        <v>484</v>
      </c>
      <c r="H32" s="161" t="s">
        <v>556</v>
      </c>
      <c r="I32" s="162">
        <v>305</v>
      </c>
      <c r="J32" s="159">
        <v>84.5</v>
      </c>
      <c r="K32" s="163">
        <v>85</v>
      </c>
      <c r="L32" s="164">
        <f t="shared" si="0"/>
        <v>169.5</v>
      </c>
      <c r="M32" s="165">
        <f t="shared" si="1"/>
        <v>0.55573770491803276</v>
      </c>
      <c r="N32" s="122"/>
    </row>
    <row r="33" spans="2:14" x14ac:dyDescent="0.25">
      <c r="B33" s="121"/>
      <c r="C33" s="160">
        <v>79</v>
      </c>
      <c r="D33" s="160">
        <v>7</v>
      </c>
      <c r="E33" s="160" t="s">
        <v>67</v>
      </c>
      <c r="F33" s="160" t="s">
        <v>526</v>
      </c>
      <c r="G33" s="160" t="s">
        <v>484</v>
      </c>
      <c r="H33" s="161" t="s">
        <v>102</v>
      </c>
      <c r="I33" s="162">
        <v>330</v>
      </c>
      <c r="J33" s="159">
        <v>97.8</v>
      </c>
      <c r="K33" s="163">
        <v>99.4</v>
      </c>
      <c r="L33" s="164">
        <f t="shared" si="0"/>
        <v>197.2</v>
      </c>
      <c r="M33" s="165">
        <f t="shared" si="1"/>
        <v>0.59757575757575754</v>
      </c>
      <c r="N33" s="122"/>
    </row>
    <row r="34" spans="2:14" x14ac:dyDescent="0.25">
      <c r="B34" s="121"/>
      <c r="C34" s="159">
        <v>80</v>
      </c>
      <c r="D34" s="159">
        <v>13</v>
      </c>
      <c r="E34" s="159" t="s">
        <v>67</v>
      </c>
      <c r="F34" s="159" t="s">
        <v>526</v>
      </c>
      <c r="G34" s="160" t="s">
        <v>484</v>
      </c>
      <c r="H34" s="161" t="s">
        <v>560</v>
      </c>
      <c r="I34" s="162">
        <v>331</v>
      </c>
      <c r="J34" s="159">
        <v>93.8</v>
      </c>
      <c r="K34" s="166">
        <v>95</v>
      </c>
      <c r="L34" s="164">
        <f t="shared" si="0"/>
        <v>188.8</v>
      </c>
      <c r="M34" s="167">
        <f t="shared" si="1"/>
        <v>0.57039274924471306</v>
      </c>
      <c r="N34" s="122"/>
    </row>
    <row r="35" spans="2:14" x14ac:dyDescent="0.25">
      <c r="B35" s="121"/>
      <c r="C35" s="159">
        <v>81</v>
      </c>
      <c r="D35" s="159">
        <v>2</v>
      </c>
      <c r="E35" s="159" t="s">
        <v>67</v>
      </c>
      <c r="F35" s="159" t="s">
        <v>526</v>
      </c>
      <c r="G35" s="160" t="s">
        <v>484</v>
      </c>
      <c r="H35" s="161" t="s">
        <v>561</v>
      </c>
      <c r="I35" s="162">
        <v>278</v>
      </c>
      <c r="J35" s="159">
        <v>78.400000000000006</v>
      </c>
      <c r="K35" s="163">
        <v>79.5</v>
      </c>
      <c r="L35" s="164">
        <f t="shared" si="0"/>
        <v>157.9</v>
      </c>
      <c r="M35" s="165">
        <f t="shared" si="1"/>
        <v>0.56798561151079141</v>
      </c>
      <c r="N35" s="122"/>
    </row>
    <row r="36" spans="2:14" x14ac:dyDescent="0.25">
      <c r="B36" s="121"/>
      <c r="C36" s="159">
        <v>82</v>
      </c>
      <c r="D36" s="159">
        <v>14</v>
      </c>
      <c r="E36" s="159" t="s">
        <v>75</v>
      </c>
      <c r="F36" s="159" t="s">
        <v>526</v>
      </c>
      <c r="G36" s="160" t="s">
        <v>484</v>
      </c>
      <c r="H36" s="161" t="s">
        <v>41</v>
      </c>
      <c r="I36" s="162">
        <v>330</v>
      </c>
      <c r="J36" s="159">
        <v>94.8</v>
      </c>
      <c r="K36" s="163">
        <v>96.1</v>
      </c>
      <c r="L36" s="164">
        <f t="shared" si="0"/>
        <v>190.89999999999998</v>
      </c>
      <c r="M36" s="165">
        <f t="shared" si="1"/>
        <v>0.57848484848484838</v>
      </c>
      <c r="N36" s="122"/>
    </row>
    <row r="37" spans="2:14" x14ac:dyDescent="0.25">
      <c r="B37" s="121"/>
      <c r="C37" s="159">
        <v>83</v>
      </c>
      <c r="D37" s="159">
        <v>10</v>
      </c>
      <c r="E37" s="159" t="s">
        <v>67</v>
      </c>
      <c r="F37" s="159" t="s">
        <v>526</v>
      </c>
      <c r="G37" s="160" t="s">
        <v>484</v>
      </c>
      <c r="H37" s="161" t="s">
        <v>562</v>
      </c>
      <c r="I37" s="162">
        <v>295</v>
      </c>
      <c r="J37" s="159">
        <v>84.4</v>
      </c>
      <c r="K37" s="163">
        <v>85.6</v>
      </c>
      <c r="L37" s="164">
        <f t="shared" si="0"/>
        <v>170</v>
      </c>
      <c r="M37" s="165">
        <f t="shared" si="1"/>
        <v>0.57627118644067798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198"/>
      <c r="D66" s="198">
        <f>+COUNT($D$22:$D$65)</f>
        <v>15</v>
      </c>
      <c r="E66" s="198"/>
      <c r="F66" s="373"/>
      <c r="G66" s="373"/>
      <c r="H66" s="149"/>
      <c r="I66" s="148">
        <f>SUM($I$22:$I$65)</f>
        <v>4722</v>
      </c>
      <c r="J66" s="150">
        <f>SUM($J$22:$J$65)</f>
        <v>1336.3000000000002</v>
      </c>
      <c r="K66" s="151">
        <f>SUM($K$22:$K$65)</f>
        <v>1353.6</v>
      </c>
      <c r="L66" s="148">
        <f>SUM($L$22:$L$65)</f>
        <v>2689.9000000000005</v>
      </c>
      <c r="M66" s="178">
        <f t="shared" si="1"/>
        <v>0.56965268953833137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29.759999999999998</v>
      </c>
      <c r="I71" s="119">
        <v>56.96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15</v>
      </c>
      <c r="I72" s="119">
        <v>36.74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15</v>
      </c>
      <c r="I73" s="119">
        <v>87.16</v>
      </c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15</v>
      </c>
      <c r="I74" s="119">
        <v>26.2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8.94</v>
      </c>
      <c r="I75" s="119">
        <v>19.100000000000001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30</v>
      </c>
      <c r="I76" s="119">
        <v>22.98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60</v>
      </c>
      <c r="I77" s="119">
        <v>15.98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15</v>
      </c>
      <c r="I78" s="119">
        <v>16.32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15</v>
      </c>
      <c r="I79" s="119">
        <v>17.82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19.059999999999999</v>
      </c>
      <c r="I80" s="119">
        <v>30.659999999999997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15</v>
      </c>
      <c r="I81" s="119">
        <v>25.64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15</v>
      </c>
      <c r="I82" s="119">
        <v>7.66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9.6999999999999993</v>
      </c>
      <c r="I83" s="119">
        <v>11.38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374.59999999999997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>
        <v>1160</v>
      </c>
      <c r="N88" s="122"/>
    </row>
    <row r="89" spans="2:14" x14ac:dyDescent="0.25">
      <c r="B89" s="121"/>
      <c r="F89" s="378" t="s">
        <v>24</v>
      </c>
      <c r="G89" s="378"/>
      <c r="H89" s="192">
        <f>+D66</f>
        <v>15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>
        <v>780</v>
      </c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>
        <v>1440</v>
      </c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3380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90:G90"/>
    <mergeCell ref="F91:G91"/>
    <mergeCell ref="F92:G92"/>
    <mergeCell ref="F93:G93"/>
    <mergeCell ref="K21:K22"/>
    <mergeCell ref="D78:G78"/>
    <mergeCell ref="D79:G79"/>
    <mergeCell ref="D80:G80"/>
    <mergeCell ref="D81:G81"/>
    <mergeCell ref="D82:G82"/>
    <mergeCell ref="D83:G83"/>
    <mergeCell ref="D84:G84"/>
    <mergeCell ref="F66:G66"/>
    <mergeCell ref="D70:G70"/>
    <mergeCell ref="L21:L22"/>
    <mergeCell ref="M21:M22"/>
    <mergeCell ref="C16:D16"/>
    <mergeCell ref="F89:G89"/>
    <mergeCell ref="D71:G71"/>
    <mergeCell ref="D72:G72"/>
    <mergeCell ref="D73:G73"/>
    <mergeCell ref="D74:G74"/>
    <mergeCell ref="J21:J22"/>
    <mergeCell ref="H21:H22"/>
    <mergeCell ref="I21:I22"/>
    <mergeCell ref="F87:G87"/>
    <mergeCell ref="F88:G88"/>
    <mergeCell ref="D75:G75"/>
    <mergeCell ref="D76:G76"/>
    <mergeCell ref="D77:G77"/>
    <mergeCell ref="C18:D18"/>
    <mergeCell ref="E18:F18"/>
    <mergeCell ref="C21:C22"/>
    <mergeCell ref="D21:D22"/>
    <mergeCell ref="E21:E22"/>
    <mergeCell ref="F21:G21"/>
    <mergeCell ref="C15:D15"/>
    <mergeCell ref="E15:F15"/>
    <mergeCell ref="E16:F16"/>
    <mergeCell ref="C17:D17"/>
    <mergeCell ref="E17:F17"/>
    <mergeCell ref="C13:D13"/>
    <mergeCell ref="E13:F13"/>
    <mergeCell ref="C14:D14"/>
    <mergeCell ref="E14:F14"/>
    <mergeCell ref="E12:F12"/>
    <mergeCell ref="C8:D8"/>
    <mergeCell ref="E8:H8"/>
    <mergeCell ref="C9:D9"/>
    <mergeCell ref="E9:H9"/>
    <mergeCell ref="L9:M9"/>
    <mergeCell ref="J8:M8"/>
  </mergeCells>
  <conditionalFormatting sqref="M23:M65">
    <cfRule type="cellIs" dxfId="87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G73" zoomScale="90" zoomScaleNormal="90" workbookViewId="0">
      <selection activeCell="J88" sqref="J88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0.58470853280765978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259.53749999999997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296</v>
      </c>
      <c r="F8" s="344"/>
      <c r="G8" s="344"/>
      <c r="H8" s="345"/>
      <c r="I8" s="146" t="s">
        <v>487</v>
      </c>
      <c r="J8" s="381" t="s">
        <v>578</v>
      </c>
      <c r="K8" s="381" t="s">
        <v>578</v>
      </c>
      <c r="L8" s="381" t="s">
        <v>578</v>
      </c>
      <c r="M8" s="381" t="s">
        <v>578</v>
      </c>
      <c r="N8" s="122"/>
    </row>
    <row r="9" spans="2:14" x14ac:dyDescent="0.25">
      <c r="B9" s="121"/>
      <c r="C9" s="347" t="s">
        <v>476</v>
      </c>
      <c r="D9" s="347"/>
      <c r="E9" s="344">
        <v>45003</v>
      </c>
      <c r="F9" s="344"/>
      <c r="G9" s="344"/>
      <c r="H9" s="345"/>
      <c r="I9" s="146" t="s">
        <v>88</v>
      </c>
      <c r="J9" s="209" t="s">
        <v>579</v>
      </c>
      <c r="K9" s="214" t="s">
        <v>490</v>
      </c>
      <c r="L9" s="344" t="s">
        <v>580</v>
      </c>
      <c r="M9" s="344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12" t="s">
        <v>569</v>
      </c>
      <c r="E12" s="342">
        <v>46035</v>
      </c>
      <c r="F12" s="342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21</v>
      </c>
      <c r="F13" s="349"/>
      <c r="H13" s="117"/>
      <c r="I13" s="123"/>
      <c r="J13" s="215" t="s">
        <v>483</v>
      </c>
      <c r="K13" s="213">
        <f>+COUNTIF($G$22:$G$66,"VQ")*2</f>
        <v>0</v>
      </c>
      <c r="L13" s="213">
        <f>+SUMIF($G$23:$G$65,"VQ",$L$23:$L$65)</f>
        <v>0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8</v>
      </c>
      <c r="F14" s="350"/>
      <c r="H14" s="117"/>
      <c r="I14" s="123"/>
      <c r="J14" s="215" t="s">
        <v>42</v>
      </c>
      <c r="K14" s="213">
        <f>+COUNTIF($G$22:$G$66,"NT")*2</f>
        <v>0</v>
      </c>
      <c r="L14" s="213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3551</v>
      </c>
      <c r="F15" s="350"/>
      <c r="H15" s="117"/>
      <c r="I15" s="123"/>
      <c r="J15" s="215" t="s">
        <v>484</v>
      </c>
      <c r="K15" s="213">
        <f>+COUNTIF($G$22:$G$66,"NO")*2</f>
        <v>16</v>
      </c>
      <c r="L15" s="213">
        <f>+SUMIF($G$23:$G$65,"NO",$L$23:$L$65)</f>
        <v>2076.2999999999997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2076.2999999999997</v>
      </c>
      <c r="F16" s="350"/>
      <c r="H16" s="117"/>
      <c r="I16" s="123"/>
      <c r="J16" s="215" t="s">
        <v>485</v>
      </c>
      <c r="K16" s="213">
        <f>+COUNTIF($G$22:$G$66,"TO")*2</f>
        <v>0</v>
      </c>
      <c r="L16" s="213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0.58470853280765978</v>
      </c>
      <c r="F17" s="350"/>
      <c r="G17" s="124"/>
      <c r="H17" s="125"/>
      <c r="I17" s="123"/>
      <c r="J17" s="215" t="s">
        <v>486</v>
      </c>
      <c r="K17" s="213">
        <f>+COUNTIF($G$22:$G$66,"VA")*2</f>
        <v>0</v>
      </c>
      <c r="L17" s="213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259.53749999999997</v>
      </c>
      <c r="F18" s="353"/>
      <c r="G18" s="124"/>
      <c r="H18" s="125"/>
      <c r="I18" s="123"/>
      <c r="J18" s="215" t="s">
        <v>44</v>
      </c>
      <c r="K18" s="213">
        <f>+COUNTIF($G$22:$G$66,"MEJ")*2</f>
        <v>0</v>
      </c>
      <c r="L18" s="213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</v>
      </c>
      <c r="D23" s="152">
        <v>4</v>
      </c>
      <c r="E23" s="152" t="s">
        <v>68</v>
      </c>
      <c r="F23" s="152" t="s">
        <v>526</v>
      </c>
      <c r="G23" s="153" t="s">
        <v>484</v>
      </c>
      <c r="H23" s="154" t="s">
        <v>570</v>
      </c>
      <c r="I23" s="155">
        <v>402</v>
      </c>
      <c r="J23" s="152">
        <v>118.5</v>
      </c>
      <c r="K23" s="156">
        <v>120.3</v>
      </c>
      <c r="L23" s="157">
        <f t="shared" ref="L23:L65" si="0">+J23+K23</f>
        <v>238.8</v>
      </c>
      <c r="M23" s="158">
        <f t="shared" ref="M23:M66" si="1">+L23/I23</f>
        <v>0.59402985074626868</v>
      </c>
      <c r="N23" s="122"/>
    </row>
    <row r="24" spans="2:14" x14ac:dyDescent="0.25">
      <c r="B24" s="121"/>
      <c r="C24" s="159">
        <v>2</v>
      </c>
      <c r="D24" s="159">
        <v>1</v>
      </c>
      <c r="E24" s="159" t="s">
        <v>75</v>
      </c>
      <c r="F24" s="159" t="s">
        <v>526</v>
      </c>
      <c r="G24" s="160" t="s">
        <v>484</v>
      </c>
      <c r="H24" s="161" t="s">
        <v>571</v>
      </c>
      <c r="I24" s="162">
        <v>486</v>
      </c>
      <c r="J24" s="159">
        <v>135</v>
      </c>
      <c r="K24" s="163">
        <v>135.5</v>
      </c>
      <c r="L24" s="164">
        <f t="shared" si="0"/>
        <v>270.5</v>
      </c>
      <c r="M24" s="165">
        <f t="shared" si="1"/>
        <v>0.55658436213991769</v>
      </c>
      <c r="N24" s="122"/>
    </row>
    <row r="25" spans="2:14" x14ac:dyDescent="0.25">
      <c r="B25" s="121"/>
      <c r="C25" s="159">
        <v>3</v>
      </c>
      <c r="D25" s="159">
        <v>8</v>
      </c>
      <c r="E25" s="159" t="s">
        <v>75</v>
      </c>
      <c r="F25" s="159" t="s">
        <v>526</v>
      </c>
      <c r="G25" s="160" t="s">
        <v>484</v>
      </c>
      <c r="H25" s="161" t="s">
        <v>41</v>
      </c>
      <c r="I25" s="162">
        <v>408</v>
      </c>
      <c r="J25" s="159">
        <v>117</v>
      </c>
      <c r="K25" s="163">
        <v>119</v>
      </c>
      <c r="L25" s="164">
        <f t="shared" si="0"/>
        <v>236</v>
      </c>
      <c r="M25" s="165">
        <f t="shared" si="1"/>
        <v>0.57843137254901966</v>
      </c>
      <c r="N25" s="122"/>
    </row>
    <row r="26" spans="2:14" x14ac:dyDescent="0.25">
      <c r="B26" s="121"/>
      <c r="C26" s="159">
        <v>4</v>
      </c>
      <c r="D26" s="159">
        <v>5</v>
      </c>
      <c r="E26" s="159" t="s">
        <v>75</v>
      </c>
      <c r="F26" s="159" t="s">
        <v>526</v>
      </c>
      <c r="G26" s="160" t="s">
        <v>484</v>
      </c>
      <c r="H26" s="161" t="s">
        <v>572</v>
      </c>
      <c r="I26" s="162">
        <v>495</v>
      </c>
      <c r="J26" s="159">
        <v>140.1</v>
      </c>
      <c r="K26" s="163">
        <v>142.19999999999999</v>
      </c>
      <c r="L26" s="164">
        <f t="shared" si="0"/>
        <v>282.29999999999995</v>
      </c>
      <c r="M26" s="165">
        <f t="shared" si="1"/>
        <v>0.5703030303030302</v>
      </c>
      <c r="N26" s="122"/>
    </row>
    <row r="27" spans="2:14" x14ac:dyDescent="0.25">
      <c r="B27" s="121"/>
      <c r="C27" s="159">
        <v>5</v>
      </c>
      <c r="D27" s="159">
        <v>2</v>
      </c>
      <c r="E27" s="159" t="s">
        <v>75</v>
      </c>
      <c r="F27" s="159" t="s">
        <v>526</v>
      </c>
      <c r="G27" s="160" t="s">
        <v>484</v>
      </c>
      <c r="H27" s="161" t="s">
        <v>573</v>
      </c>
      <c r="I27" s="162">
        <v>462</v>
      </c>
      <c r="J27" s="159">
        <v>140.1</v>
      </c>
      <c r="K27" s="163">
        <v>142.19999999999999</v>
      </c>
      <c r="L27" s="164">
        <f t="shared" si="0"/>
        <v>282.29999999999995</v>
      </c>
      <c r="M27" s="165">
        <f t="shared" si="1"/>
        <v>0.61103896103896094</v>
      </c>
      <c r="N27" s="122"/>
    </row>
    <row r="28" spans="2:14" x14ac:dyDescent="0.25">
      <c r="B28" s="121"/>
      <c r="C28" s="159">
        <v>6</v>
      </c>
      <c r="D28" s="159">
        <v>3</v>
      </c>
      <c r="E28" s="159" t="s">
        <v>574</v>
      </c>
      <c r="F28" s="159" t="s">
        <v>526</v>
      </c>
      <c r="G28" s="160" t="s">
        <v>484</v>
      </c>
      <c r="H28" s="161" t="s">
        <v>575</v>
      </c>
      <c r="I28" s="162">
        <v>396</v>
      </c>
      <c r="J28" s="159">
        <v>115.2</v>
      </c>
      <c r="K28" s="163">
        <v>116.3</v>
      </c>
      <c r="L28" s="164">
        <f t="shared" si="0"/>
        <v>231.5</v>
      </c>
      <c r="M28" s="165">
        <f t="shared" si="1"/>
        <v>0.58459595959595956</v>
      </c>
      <c r="N28" s="122"/>
    </row>
    <row r="29" spans="2:14" x14ac:dyDescent="0.25">
      <c r="B29" s="121"/>
      <c r="C29" s="160">
        <v>7</v>
      </c>
      <c r="D29" s="160">
        <v>7</v>
      </c>
      <c r="E29" s="160" t="s">
        <v>574</v>
      </c>
      <c r="F29" s="160" t="s">
        <v>526</v>
      </c>
      <c r="G29" s="160" t="s">
        <v>484</v>
      </c>
      <c r="H29" s="161" t="s">
        <v>576</v>
      </c>
      <c r="I29" s="162">
        <v>502</v>
      </c>
      <c r="J29" s="159">
        <v>144.80000000000001</v>
      </c>
      <c r="K29" s="163">
        <v>147.69999999999999</v>
      </c>
      <c r="L29" s="164">
        <f t="shared" si="0"/>
        <v>292.5</v>
      </c>
      <c r="M29" s="165">
        <f t="shared" si="1"/>
        <v>0.58266932270916338</v>
      </c>
      <c r="N29" s="122"/>
    </row>
    <row r="30" spans="2:14" x14ac:dyDescent="0.25">
      <c r="B30" s="121"/>
      <c r="C30" s="160">
        <v>8</v>
      </c>
      <c r="D30" s="160">
        <v>6</v>
      </c>
      <c r="E30" s="160" t="s">
        <v>75</v>
      </c>
      <c r="F30" s="160" t="s">
        <v>526</v>
      </c>
      <c r="G30" s="160" t="s">
        <v>484</v>
      </c>
      <c r="H30" s="161" t="s">
        <v>577</v>
      </c>
      <c r="I30" s="162">
        <v>400</v>
      </c>
      <c r="J30" s="159">
        <v>120.1</v>
      </c>
      <c r="K30" s="163">
        <v>122.3</v>
      </c>
      <c r="L30" s="164">
        <f t="shared" si="0"/>
        <v>242.39999999999998</v>
      </c>
      <c r="M30" s="165">
        <f t="shared" si="1"/>
        <v>0.60599999999999998</v>
      </c>
      <c r="N30" s="122"/>
    </row>
    <row r="31" spans="2:14" x14ac:dyDescent="0.25">
      <c r="B31" s="121"/>
      <c r="C31" s="159"/>
      <c r="D31" s="159"/>
      <c r="E31" s="159"/>
      <c r="F31" s="159"/>
      <c r="G31" s="160"/>
      <c r="H31" s="161"/>
      <c r="I31" s="162"/>
      <c r="J31" s="159"/>
      <c r="K31" s="163"/>
      <c r="L31" s="164">
        <f t="shared" si="0"/>
        <v>0</v>
      </c>
      <c r="M31" s="165" t="e">
        <f t="shared" si="1"/>
        <v>#DIV/0!</v>
      </c>
      <c r="N31" s="122"/>
    </row>
    <row r="32" spans="2:14" x14ac:dyDescent="0.25">
      <c r="B32" s="121"/>
      <c r="C32" s="159"/>
      <c r="D32" s="159"/>
      <c r="E32" s="159"/>
      <c r="F32" s="159"/>
      <c r="G32" s="160"/>
      <c r="H32" s="161"/>
      <c r="I32" s="162"/>
      <c r="J32" s="159"/>
      <c r="K32" s="163"/>
      <c r="L32" s="164">
        <f t="shared" si="0"/>
        <v>0</v>
      </c>
      <c r="M32" s="165" t="e">
        <f t="shared" si="1"/>
        <v>#DIV/0!</v>
      </c>
      <c r="N32" s="122"/>
    </row>
    <row r="33" spans="2:14" x14ac:dyDescent="0.25">
      <c r="B33" s="121"/>
      <c r="C33" s="160"/>
      <c r="D33" s="160"/>
      <c r="E33" s="160"/>
      <c r="F33" s="160"/>
      <c r="G33" s="160"/>
      <c r="H33" s="161"/>
      <c r="I33" s="162"/>
      <c r="J33" s="159"/>
      <c r="K33" s="163"/>
      <c r="L33" s="164">
        <f t="shared" si="0"/>
        <v>0</v>
      </c>
      <c r="M33" s="165" t="e">
        <f t="shared" si="1"/>
        <v>#DIV/0!</v>
      </c>
      <c r="N33" s="122"/>
    </row>
    <row r="34" spans="2:14" x14ac:dyDescent="0.25">
      <c r="B34" s="121"/>
      <c r="C34" s="159"/>
      <c r="D34" s="159"/>
      <c r="E34" s="159"/>
      <c r="F34" s="159"/>
      <c r="G34" s="160"/>
      <c r="H34" s="161"/>
      <c r="I34" s="162"/>
      <c r="J34" s="159"/>
      <c r="K34" s="166"/>
      <c r="L34" s="164">
        <f t="shared" si="0"/>
        <v>0</v>
      </c>
      <c r="M34" s="167" t="e">
        <f t="shared" si="1"/>
        <v>#DIV/0!</v>
      </c>
      <c r="N34" s="122"/>
    </row>
    <row r="35" spans="2:14" x14ac:dyDescent="0.25">
      <c r="B35" s="121"/>
      <c r="C35" s="159"/>
      <c r="D35" s="159"/>
      <c r="E35" s="159"/>
      <c r="F35" s="159"/>
      <c r="G35" s="160"/>
      <c r="H35" s="161"/>
      <c r="I35" s="162"/>
      <c r="J35" s="159"/>
      <c r="K35" s="163"/>
      <c r="L35" s="164">
        <f t="shared" si="0"/>
        <v>0</v>
      </c>
      <c r="M35" s="165" t="e">
        <f t="shared" si="1"/>
        <v>#DIV/0!</v>
      </c>
      <c r="N35" s="122"/>
    </row>
    <row r="36" spans="2:14" x14ac:dyDescent="0.25">
      <c r="B36" s="121"/>
      <c r="C36" s="159"/>
      <c r="D36" s="159"/>
      <c r="E36" s="159"/>
      <c r="F36" s="159"/>
      <c r="G36" s="160"/>
      <c r="H36" s="161"/>
      <c r="I36" s="162"/>
      <c r="J36" s="159"/>
      <c r="K36" s="163"/>
      <c r="L36" s="164">
        <f t="shared" si="0"/>
        <v>0</v>
      </c>
      <c r="M36" s="165" t="e">
        <f t="shared" si="1"/>
        <v>#DIV/0!</v>
      </c>
      <c r="N36" s="122"/>
    </row>
    <row r="37" spans="2:14" x14ac:dyDescent="0.25">
      <c r="B37" s="121"/>
      <c r="C37" s="159"/>
      <c r="D37" s="159"/>
      <c r="E37" s="159"/>
      <c r="F37" s="159"/>
      <c r="G37" s="160"/>
      <c r="H37" s="161"/>
      <c r="I37" s="162"/>
      <c r="J37" s="159"/>
      <c r="K37" s="163"/>
      <c r="L37" s="164">
        <f t="shared" si="0"/>
        <v>0</v>
      </c>
      <c r="M37" s="165" t="e">
        <f t="shared" si="1"/>
        <v>#DIV/0!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11"/>
      <c r="D66" s="211">
        <f>+COUNT($D$22:$D$65)</f>
        <v>8</v>
      </c>
      <c r="E66" s="211"/>
      <c r="F66" s="373"/>
      <c r="G66" s="373"/>
      <c r="H66" s="149"/>
      <c r="I66" s="148">
        <f>SUM($I$22:$I$65)</f>
        <v>3551</v>
      </c>
      <c r="J66" s="150">
        <f>SUM($J$22:$J$65)</f>
        <v>1030.8</v>
      </c>
      <c r="K66" s="151">
        <f>SUM($K$22:$K$65)</f>
        <v>1045.5</v>
      </c>
      <c r="L66" s="148">
        <f>SUM($L$22:$L$65)</f>
        <v>2076.2999999999997</v>
      </c>
      <c r="M66" s="178">
        <f t="shared" si="1"/>
        <v>0.58470853280765978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48.22</v>
      </c>
      <c r="I71" s="119">
        <v>46.44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20</v>
      </c>
      <c r="I72" s="119">
        <v>42.14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19</v>
      </c>
      <c r="I73" s="119">
        <v>103.34</v>
      </c>
      <c r="J73" s="181">
        <v>1</v>
      </c>
      <c r="K73" s="185">
        <v>8.76</v>
      </c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20</v>
      </c>
      <c r="I74" s="119">
        <v>26.94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15.62</v>
      </c>
      <c r="I75" s="119">
        <v>15.24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40</v>
      </c>
      <c r="I76" s="119">
        <v>20.04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80</v>
      </c>
      <c r="I77" s="119">
        <v>15.76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20</v>
      </c>
      <c r="I78" s="119">
        <v>18.02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20</v>
      </c>
      <c r="I79" s="119">
        <v>20.6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36.6</v>
      </c>
      <c r="I80" s="119">
        <v>34.619999999999997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20</v>
      </c>
      <c r="I81" s="119">
        <v>30.64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20</v>
      </c>
      <c r="I82" s="119">
        <v>6.36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23.44</v>
      </c>
      <c r="I83" s="119">
        <v>22.08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402.22</v>
      </c>
      <c r="J84" s="187">
        <f>SUM(J71:J83)</f>
        <v>1</v>
      </c>
      <c r="K84" s="186">
        <f>SUM(K71:K83)</f>
        <v>8.76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>
        <v>420</v>
      </c>
      <c r="N88" s="122"/>
    </row>
    <row r="89" spans="2:14" x14ac:dyDescent="0.25">
      <c r="B89" s="121"/>
      <c r="F89" s="378" t="s">
        <v>24</v>
      </c>
      <c r="G89" s="378"/>
      <c r="H89" s="192">
        <f>+D66</f>
        <v>8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>
        <v>240</v>
      </c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>
        <v>1000</v>
      </c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1660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89:G89"/>
    <mergeCell ref="F90:G90"/>
    <mergeCell ref="F91:G91"/>
    <mergeCell ref="F92:G92"/>
    <mergeCell ref="F93:G93"/>
    <mergeCell ref="F88:G88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D84:G84"/>
    <mergeCell ref="F87:G87"/>
    <mergeCell ref="M21:M22"/>
    <mergeCell ref="F66:G66"/>
    <mergeCell ref="D70:G70"/>
    <mergeCell ref="D71:G71"/>
    <mergeCell ref="D72:G72"/>
    <mergeCell ref="I21:I22"/>
    <mergeCell ref="D74:G74"/>
    <mergeCell ref="J21:J22"/>
    <mergeCell ref="K21:K22"/>
    <mergeCell ref="L21:L22"/>
    <mergeCell ref="D73:G73"/>
    <mergeCell ref="C21:C22"/>
    <mergeCell ref="D21:D22"/>
    <mergeCell ref="E21:E22"/>
    <mergeCell ref="F21:G21"/>
    <mergeCell ref="H21:H22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86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T16" sqref="T16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0.59009238611022619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264.6142857142857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296</v>
      </c>
      <c r="F8" s="344"/>
      <c r="G8" s="344"/>
      <c r="H8" s="345"/>
      <c r="I8" s="146" t="s">
        <v>487</v>
      </c>
      <c r="J8" s="381" t="s">
        <v>588</v>
      </c>
      <c r="K8" s="381" t="s">
        <v>588</v>
      </c>
      <c r="L8" s="381" t="s">
        <v>588</v>
      </c>
      <c r="M8" s="381" t="s">
        <v>588</v>
      </c>
      <c r="N8" s="122"/>
    </row>
    <row r="9" spans="2:14" x14ac:dyDescent="0.25">
      <c r="B9" s="121"/>
      <c r="C9" s="347" t="s">
        <v>476</v>
      </c>
      <c r="D9" s="347"/>
      <c r="E9" s="344">
        <v>45003</v>
      </c>
      <c r="F9" s="344"/>
      <c r="G9" s="344"/>
      <c r="H9" s="345"/>
      <c r="I9" s="146" t="s">
        <v>88</v>
      </c>
      <c r="J9" s="209" t="s">
        <v>589</v>
      </c>
      <c r="K9" s="214" t="s">
        <v>490</v>
      </c>
      <c r="L9" s="344" t="s">
        <v>590</v>
      </c>
      <c r="M9" s="344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12" t="s">
        <v>569</v>
      </c>
      <c r="E12" s="342">
        <v>46035</v>
      </c>
      <c r="F12" s="342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22</v>
      </c>
      <c r="F13" s="349"/>
      <c r="H13" s="117"/>
      <c r="I13" s="123"/>
      <c r="J13" s="215" t="s">
        <v>483</v>
      </c>
      <c r="K13" s="213">
        <f>+COUNTIF($G$22:$G$66,"VQ")*2</f>
        <v>0</v>
      </c>
      <c r="L13" s="213">
        <f>+SUMIF($G$23:$G$65,"VQ",$L$23:$L$65)</f>
        <v>0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7</v>
      </c>
      <c r="F14" s="350"/>
      <c r="H14" s="117"/>
      <c r="I14" s="123"/>
      <c r="J14" s="215" t="s">
        <v>42</v>
      </c>
      <c r="K14" s="213">
        <f>+COUNTIF($G$22:$G$66,"NT")*2</f>
        <v>0</v>
      </c>
      <c r="L14" s="213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3139</v>
      </c>
      <c r="F15" s="350"/>
      <c r="H15" s="117"/>
      <c r="I15" s="123"/>
      <c r="J15" s="215" t="s">
        <v>484</v>
      </c>
      <c r="K15" s="213">
        <f>+COUNTIF($G$22:$G$66,"NO")*2</f>
        <v>14</v>
      </c>
      <c r="L15" s="213">
        <f>+SUMIF($G$23:$G$65,"NO",$L$23:$L$65)</f>
        <v>1852.3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1852.3</v>
      </c>
      <c r="F16" s="350"/>
      <c r="H16" s="117"/>
      <c r="I16" s="123"/>
      <c r="J16" s="215" t="s">
        <v>485</v>
      </c>
      <c r="K16" s="213">
        <f>+COUNTIF($G$22:$G$66,"TO")*2</f>
        <v>0</v>
      </c>
      <c r="L16" s="213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0.59009238611022619</v>
      </c>
      <c r="F17" s="350"/>
      <c r="G17" s="124"/>
      <c r="H17" s="125"/>
      <c r="I17" s="123"/>
      <c r="J17" s="215" t="s">
        <v>486</v>
      </c>
      <c r="K17" s="213">
        <f>+COUNTIF($G$22:$G$66,"VA")*2</f>
        <v>0</v>
      </c>
      <c r="L17" s="213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264.6142857142857</v>
      </c>
      <c r="F18" s="353"/>
      <c r="G18" s="124"/>
      <c r="H18" s="125"/>
      <c r="I18" s="123"/>
      <c r="J18" s="215" t="s">
        <v>44</v>
      </c>
      <c r="K18" s="213">
        <f>+COUNTIF($G$22:$G$66,"MEJ")*2</f>
        <v>0</v>
      </c>
      <c r="L18" s="213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14</v>
      </c>
      <c r="D23" s="152">
        <v>6</v>
      </c>
      <c r="E23" s="152" t="s">
        <v>75</v>
      </c>
      <c r="F23" s="152" t="s">
        <v>526</v>
      </c>
      <c r="G23" s="153" t="s">
        <v>484</v>
      </c>
      <c r="H23" s="154" t="s">
        <v>581</v>
      </c>
      <c r="I23" s="155">
        <v>432</v>
      </c>
      <c r="J23" s="152">
        <v>126.9</v>
      </c>
      <c r="K23" s="156">
        <v>127.1</v>
      </c>
      <c r="L23" s="157">
        <f t="shared" ref="L23:L65" si="0">+J23+K23</f>
        <v>254</v>
      </c>
      <c r="M23" s="158">
        <f t="shared" ref="M23:M66" si="1">+L23/I23</f>
        <v>0.58796296296296291</v>
      </c>
      <c r="N23" s="122"/>
    </row>
    <row r="24" spans="2:14" x14ac:dyDescent="0.25">
      <c r="B24" s="121"/>
      <c r="C24" s="159">
        <v>15</v>
      </c>
      <c r="D24" s="159">
        <v>2</v>
      </c>
      <c r="E24" s="159" t="s">
        <v>75</v>
      </c>
      <c r="F24" s="159" t="s">
        <v>526</v>
      </c>
      <c r="G24" s="160" t="s">
        <v>484</v>
      </c>
      <c r="H24" s="161" t="s">
        <v>582</v>
      </c>
      <c r="I24" s="162">
        <v>460</v>
      </c>
      <c r="J24" s="159">
        <v>134.1</v>
      </c>
      <c r="K24" s="163">
        <v>135.19999999999999</v>
      </c>
      <c r="L24" s="164">
        <f t="shared" si="0"/>
        <v>269.29999999999995</v>
      </c>
      <c r="M24" s="165">
        <f t="shared" si="1"/>
        <v>0.58543478260869553</v>
      </c>
      <c r="N24" s="122"/>
    </row>
    <row r="25" spans="2:14" x14ac:dyDescent="0.25">
      <c r="B25" s="121"/>
      <c r="C25" s="159">
        <v>16</v>
      </c>
      <c r="D25" s="159">
        <v>1</v>
      </c>
      <c r="E25" s="159" t="s">
        <v>67</v>
      </c>
      <c r="F25" s="159" t="s">
        <v>526</v>
      </c>
      <c r="G25" s="160" t="s">
        <v>484</v>
      </c>
      <c r="H25" s="161" t="s">
        <v>583</v>
      </c>
      <c r="I25" s="162">
        <v>484</v>
      </c>
      <c r="J25" s="159">
        <v>135.4</v>
      </c>
      <c r="K25" s="163">
        <v>137.5</v>
      </c>
      <c r="L25" s="164">
        <f t="shared" si="0"/>
        <v>272.89999999999998</v>
      </c>
      <c r="M25" s="165">
        <f t="shared" si="1"/>
        <v>0.56384297520661153</v>
      </c>
      <c r="N25" s="122"/>
    </row>
    <row r="26" spans="2:14" x14ac:dyDescent="0.25">
      <c r="B26" s="121"/>
      <c r="C26" s="159">
        <v>17</v>
      </c>
      <c r="D26" s="159">
        <v>7</v>
      </c>
      <c r="E26" s="159" t="s">
        <v>75</v>
      </c>
      <c r="F26" s="159" t="s">
        <v>527</v>
      </c>
      <c r="G26" s="160" t="s">
        <v>484</v>
      </c>
      <c r="H26" s="161" t="s">
        <v>584</v>
      </c>
      <c r="I26" s="162">
        <v>395</v>
      </c>
      <c r="J26" s="159">
        <v>116.2</v>
      </c>
      <c r="K26" s="163">
        <v>118.7</v>
      </c>
      <c r="L26" s="164">
        <f t="shared" si="0"/>
        <v>234.9</v>
      </c>
      <c r="M26" s="165">
        <f t="shared" si="1"/>
        <v>0.59468354430379744</v>
      </c>
      <c r="N26" s="122"/>
    </row>
    <row r="27" spans="2:14" x14ac:dyDescent="0.25">
      <c r="B27" s="121"/>
      <c r="C27" s="159">
        <v>18</v>
      </c>
      <c r="D27" s="159">
        <v>4</v>
      </c>
      <c r="E27" s="159" t="s">
        <v>585</v>
      </c>
      <c r="F27" s="159" t="s">
        <v>526</v>
      </c>
      <c r="G27" s="160" t="s">
        <v>484</v>
      </c>
      <c r="H27" s="161" t="s">
        <v>41</v>
      </c>
      <c r="I27" s="162">
        <v>482</v>
      </c>
      <c r="J27" s="159">
        <v>149.69999999999999</v>
      </c>
      <c r="K27" s="163">
        <v>154.30000000000001</v>
      </c>
      <c r="L27" s="164">
        <f t="shared" si="0"/>
        <v>304</v>
      </c>
      <c r="M27" s="165">
        <f t="shared" si="1"/>
        <v>0.63070539419087135</v>
      </c>
      <c r="N27" s="122"/>
    </row>
    <row r="28" spans="2:14" x14ac:dyDescent="0.25">
      <c r="B28" s="121"/>
      <c r="C28" s="159">
        <v>19</v>
      </c>
      <c r="D28" s="159">
        <v>5</v>
      </c>
      <c r="E28" s="159" t="s">
        <v>67</v>
      </c>
      <c r="F28" s="159" t="s">
        <v>526</v>
      </c>
      <c r="G28" s="160" t="s">
        <v>484</v>
      </c>
      <c r="H28" s="161" t="s">
        <v>586</v>
      </c>
      <c r="I28" s="162">
        <v>421</v>
      </c>
      <c r="J28" s="159">
        <v>120.3</v>
      </c>
      <c r="K28" s="163">
        <v>121.7</v>
      </c>
      <c r="L28" s="164">
        <f t="shared" si="0"/>
        <v>242</v>
      </c>
      <c r="M28" s="165">
        <f t="shared" si="1"/>
        <v>0.57482185273159148</v>
      </c>
      <c r="N28" s="122"/>
    </row>
    <row r="29" spans="2:14" x14ac:dyDescent="0.25">
      <c r="B29" s="121"/>
      <c r="C29" s="160">
        <v>20</v>
      </c>
      <c r="D29" s="160">
        <v>3</v>
      </c>
      <c r="E29" s="160" t="s">
        <v>75</v>
      </c>
      <c r="F29" s="160" t="s">
        <v>526</v>
      </c>
      <c r="G29" s="160" t="s">
        <v>484</v>
      </c>
      <c r="H29" s="161" t="s">
        <v>587</v>
      </c>
      <c r="I29" s="162">
        <v>465</v>
      </c>
      <c r="J29" s="159">
        <v>137.5</v>
      </c>
      <c r="K29" s="163">
        <v>137.69999999999999</v>
      </c>
      <c r="L29" s="164">
        <f t="shared" si="0"/>
        <v>275.2</v>
      </c>
      <c r="M29" s="165">
        <f t="shared" si="1"/>
        <v>0.59182795698924728</v>
      </c>
      <c r="N29" s="122"/>
    </row>
    <row r="30" spans="2:14" x14ac:dyDescent="0.25">
      <c r="B30" s="121"/>
      <c r="C30" s="160"/>
      <c r="D30" s="160"/>
      <c r="E30" s="160"/>
      <c r="F30" s="160"/>
      <c r="G30" s="160"/>
      <c r="H30" s="161"/>
      <c r="I30" s="162"/>
      <c r="J30" s="159"/>
      <c r="K30" s="163"/>
      <c r="L30" s="164">
        <f t="shared" si="0"/>
        <v>0</v>
      </c>
      <c r="M30" s="165" t="e">
        <f t="shared" si="1"/>
        <v>#DIV/0!</v>
      </c>
      <c r="N30" s="122"/>
    </row>
    <row r="31" spans="2:14" x14ac:dyDescent="0.25">
      <c r="B31" s="121"/>
      <c r="C31" s="159"/>
      <c r="D31" s="159"/>
      <c r="E31" s="159"/>
      <c r="F31" s="159"/>
      <c r="G31" s="160"/>
      <c r="H31" s="161"/>
      <c r="I31" s="162"/>
      <c r="J31" s="159"/>
      <c r="K31" s="163"/>
      <c r="L31" s="164">
        <f t="shared" si="0"/>
        <v>0</v>
      </c>
      <c r="M31" s="165" t="e">
        <f t="shared" si="1"/>
        <v>#DIV/0!</v>
      </c>
      <c r="N31" s="122"/>
    </row>
    <row r="32" spans="2:14" x14ac:dyDescent="0.25">
      <c r="B32" s="121"/>
      <c r="C32" s="159"/>
      <c r="D32" s="159"/>
      <c r="E32" s="159"/>
      <c r="F32" s="159"/>
      <c r="G32" s="160"/>
      <c r="H32" s="161"/>
      <c r="I32" s="162"/>
      <c r="J32" s="159"/>
      <c r="K32" s="163"/>
      <c r="L32" s="164">
        <f t="shared" si="0"/>
        <v>0</v>
      </c>
      <c r="M32" s="165" t="e">
        <f t="shared" si="1"/>
        <v>#DIV/0!</v>
      </c>
      <c r="N32" s="122"/>
    </row>
    <row r="33" spans="2:14" x14ac:dyDescent="0.25">
      <c r="B33" s="121"/>
      <c r="C33" s="160"/>
      <c r="D33" s="160"/>
      <c r="E33" s="160"/>
      <c r="F33" s="160"/>
      <c r="G33" s="160"/>
      <c r="H33" s="161"/>
      <c r="I33" s="162"/>
      <c r="J33" s="159"/>
      <c r="K33" s="163"/>
      <c r="L33" s="164">
        <f t="shared" si="0"/>
        <v>0</v>
      </c>
      <c r="M33" s="165" t="e">
        <f t="shared" si="1"/>
        <v>#DIV/0!</v>
      </c>
      <c r="N33" s="122"/>
    </row>
    <row r="34" spans="2:14" x14ac:dyDescent="0.25">
      <c r="B34" s="121"/>
      <c r="C34" s="159"/>
      <c r="D34" s="159"/>
      <c r="E34" s="159"/>
      <c r="F34" s="159"/>
      <c r="G34" s="160"/>
      <c r="H34" s="161"/>
      <c r="I34" s="162"/>
      <c r="J34" s="159"/>
      <c r="K34" s="166"/>
      <c r="L34" s="164">
        <f t="shared" si="0"/>
        <v>0</v>
      </c>
      <c r="M34" s="167" t="e">
        <f t="shared" si="1"/>
        <v>#DIV/0!</v>
      </c>
      <c r="N34" s="122"/>
    </row>
    <row r="35" spans="2:14" x14ac:dyDescent="0.25">
      <c r="B35" s="121"/>
      <c r="C35" s="159"/>
      <c r="D35" s="159"/>
      <c r="E35" s="159"/>
      <c r="F35" s="159"/>
      <c r="G35" s="160"/>
      <c r="H35" s="161"/>
      <c r="I35" s="162"/>
      <c r="J35" s="159"/>
      <c r="K35" s="163"/>
      <c r="L35" s="164">
        <f t="shared" si="0"/>
        <v>0</v>
      </c>
      <c r="M35" s="165" t="e">
        <f t="shared" si="1"/>
        <v>#DIV/0!</v>
      </c>
      <c r="N35" s="122"/>
    </row>
    <row r="36" spans="2:14" x14ac:dyDescent="0.25">
      <c r="B36" s="121"/>
      <c r="C36" s="159"/>
      <c r="D36" s="159"/>
      <c r="E36" s="159"/>
      <c r="F36" s="159"/>
      <c r="G36" s="160"/>
      <c r="H36" s="161"/>
      <c r="I36" s="162"/>
      <c r="J36" s="159"/>
      <c r="K36" s="163"/>
      <c r="L36" s="164">
        <f t="shared" si="0"/>
        <v>0</v>
      </c>
      <c r="M36" s="165" t="e">
        <f t="shared" si="1"/>
        <v>#DIV/0!</v>
      </c>
      <c r="N36" s="122"/>
    </row>
    <row r="37" spans="2:14" x14ac:dyDescent="0.25">
      <c r="B37" s="121"/>
      <c r="C37" s="159"/>
      <c r="D37" s="159"/>
      <c r="E37" s="159"/>
      <c r="F37" s="159"/>
      <c r="G37" s="160"/>
      <c r="H37" s="161"/>
      <c r="I37" s="162"/>
      <c r="J37" s="159"/>
      <c r="K37" s="163"/>
      <c r="L37" s="164">
        <f t="shared" si="0"/>
        <v>0</v>
      </c>
      <c r="M37" s="165" t="e">
        <f t="shared" si="1"/>
        <v>#DIV/0!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11"/>
      <c r="D66" s="211">
        <f>+COUNT($D$22:$D$65)</f>
        <v>7</v>
      </c>
      <c r="E66" s="211"/>
      <c r="F66" s="373"/>
      <c r="G66" s="373"/>
      <c r="H66" s="149"/>
      <c r="I66" s="148">
        <f>SUM($I$22:$I$65)</f>
        <v>3139</v>
      </c>
      <c r="J66" s="150">
        <f>SUM($J$22:$J$65)</f>
        <v>920.09999999999991</v>
      </c>
      <c r="K66" s="151">
        <f>SUM($K$22:$K$65)</f>
        <v>932.2</v>
      </c>
      <c r="L66" s="148">
        <f>SUM($L$22:$L$65)</f>
        <v>1852.3</v>
      </c>
      <c r="M66" s="178">
        <f t="shared" si="1"/>
        <v>0.59009238611022619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/>
      <c r="I71" s="119"/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/>
      <c r="I72" s="119"/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/>
      <c r="I73" s="119"/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/>
      <c r="I74" s="119"/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/>
      <c r="I75" s="119"/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/>
      <c r="I76" s="119"/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/>
      <c r="I77" s="119"/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/>
      <c r="I78" s="119"/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/>
      <c r="I79" s="119"/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/>
      <c r="I80" s="119"/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/>
      <c r="I81" s="119"/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/>
      <c r="I82" s="119"/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/>
      <c r="I83" s="119"/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0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7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89:G89"/>
    <mergeCell ref="F90:G90"/>
    <mergeCell ref="F91:G91"/>
    <mergeCell ref="F92:G92"/>
    <mergeCell ref="F93:G93"/>
    <mergeCell ref="F88:G88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D84:G84"/>
    <mergeCell ref="F87:G87"/>
    <mergeCell ref="M21:M22"/>
    <mergeCell ref="F66:G66"/>
    <mergeCell ref="D70:G70"/>
    <mergeCell ref="D71:G71"/>
    <mergeCell ref="D72:G72"/>
    <mergeCell ref="I21:I22"/>
    <mergeCell ref="D74:G74"/>
    <mergeCell ref="J21:J22"/>
    <mergeCell ref="K21:K22"/>
    <mergeCell ref="L21:L22"/>
    <mergeCell ref="D73:G73"/>
    <mergeCell ref="C21:C22"/>
    <mergeCell ref="D21:D22"/>
    <mergeCell ref="E21:E22"/>
    <mergeCell ref="F21:G21"/>
    <mergeCell ref="H21:H22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85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Q14" sqref="Q14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0.60666488222698067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453.3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296</v>
      </c>
      <c r="F8" s="344"/>
      <c r="G8" s="344"/>
      <c r="H8" s="345"/>
      <c r="I8" s="146" t="s">
        <v>487</v>
      </c>
      <c r="J8" s="381" t="s">
        <v>588</v>
      </c>
      <c r="K8" s="381"/>
      <c r="L8" s="381"/>
      <c r="M8" s="381"/>
      <c r="N8" s="122"/>
    </row>
    <row r="9" spans="2:14" x14ac:dyDescent="0.25">
      <c r="B9" s="121"/>
      <c r="C9" s="347" t="s">
        <v>476</v>
      </c>
      <c r="D9" s="347"/>
      <c r="E9" s="344">
        <v>45003</v>
      </c>
      <c r="F9" s="344"/>
      <c r="G9" s="344"/>
      <c r="H9" s="345"/>
      <c r="I9" s="146" t="s">
        <v>88</v>
      </c>
      <c r="J9" s="209" t="s">
        <v>593</v>
      </c>
      <c r="K9" s="214" t="s">
        <v>490</v>
      </c>
      <c r="L9" s="344">
        <v>260015</v>
      </c>
      <c r="M9" s="344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12" t="s">
        <v>569</v>
      </c>
      <c r="E12" s="382">
        <v>46035</v>
      </c>
      <c r="F12" s="382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23</v>
      </c>
      <c r="F13" s="349"/>
      <c r="H13" s="117"/>
      <c r="I13" s="123"/>
      <c r="J13" s="215" t="s">
        <v>483</v>
      </c>
      <c r="K13" s="213">
        <f>+COUNTIF($G$22:$G$66,"VQ")*2</f>
        <v>0</v>
      </c>
      <c r="L13" s="213">
        <f>+SUMIF($G$23:$G$65,"VQ",$L$23:$L$65)</f>
        <v>0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5</v>
      </c>
      <c r="F14" s="350"/>
      <c r="H14" s="117"/>
      <c r="I14" s="123"/>
      <c r="J14" s="215" t="s">
        <v>42</v>
      </c>
      <c r="K14" s="213">
        <f>+COUNTIF($G$22:$G$66,"NT")*2</f>
        <v>0</v>
      </c>
      <c r="L14" s="213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3736</v>
      </c>
      <c r="F15" s="350"/>
      <c r="H15" s="117"/>
      <c r="I15" s="123"/>
      <c r="J15" s="215" t="s">
        <v>484</v>
      </c>
      <c r="K15" s="213">
        <f>+COUNTIF($G$22:$G$66,"NO")*2</f>
        <v>0</v>
      </c>
      <c r="L15" s="213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2266.5</v>
      </c>
      <c r="F16" s="350"/>
      <c r="H16" s="117"/>
      <c r="I16" s="123"/>
      <c r="J16" s="215" t="s">
        <v>485</v>
      </c>
      <c r="K16" s="213">
        <f>+COUNTIF($G$22:$G$66,"TO")*2</f>
        <v>10</v>
      </c>
      <c r="L16" s="213">
        <f>+SUMIF($G$23:$G$65,"TO",$L$23:$L$65)</f>
        <v>2266.5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0.60666488222698067</v>
      </c>
      <c r="F17" s="350"/>
      <c r="G17" s="124"/>
      <c r="H17" s="125"/>
      <c r="I17" s="123"/>
      <c r="J17" s="215" t="s">
        <v>486</v>
      </c>
      <c r="K17" s="213">
        <f>+COUNTIF($G$22:$G$66,"VA")*2</f>
        <v>0</v>
      </c>
      <c r="L17" s="213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453.3</v>
      </c>
      <c r="F18" s="353"/>
      <c r="G18" s="124"/>
      <c r="H18" s="125"/>
      <c r="I18" s="123"/>
      <c r="J18" s="215" t="s">
        <v>44</v>
      </c>
      <c r="K18" s="213">
        <f>+COUNTIF($G$22:$G$66,"MEJ")*2</f>
        <v>0</v>
      </c>
      <c r="L18" s="213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9</v>
      </c>
      <c r="D23" s="152">
        <v>4</v>
      </c>
      <c r="E23" s="152" t="s">
        <v>67</v>
      </c>
      <c r="F23" s="152" t="s">
        <v>591</v>
      </c>
      <c r="G23" s="153" t="s">
        <v>485</v>
      </c>
      <c r="H23" s="154">
        <v>427</v>
      </c>
      <c r="I23" s="155">
        <v>832</v>
      </c>
      <c r="J23" s="152">
        <v>252.3</v>
      </c>
      <c r="K23" s="156">
        <v>264.8</v>
      </c>
      <c r="L23" s="157">
        <f t="shared" ref="L23:L65" si="0">+J23+K23</f>
        <v>517.1</v>
      </c>
      <c r="M23" s="158">
        <f t="shared" ref="M23:M66" si="1">+L23/I23</f>
        <v>0.62151442307692306</v>
      </c>
      <c r="N23" s="122"/>
    </row>
    <row r="24" spans="2:14" x14ac:dyDescent="0.25">
      <c r="B24" s="121"/>
      <c r="C24" s="159">
        <v>10</v>
      </c>
      <c r="D24" s="159">
        <v>3</v>
      </c>
      <c r="E24" s="159" t="s">
        <v>67</v>
      </c>
      <c r="F24" s="159" t="s">
        <v>591</v>
      </c>
      <c r="G24" s="160" t="s">
        <v>485</v>
      </c>
      <c r="H24" s="161">
        <v>1501</v>
      </c>
      <c r="I24" s="162">
        <v>714</v>
      </c>
      <c r="J24" s="159">
        <v>227.5</v>
      </c>
      <c r="K24" s="163">
        <v>228.9</v>
      </c>
      <c r="L24" s="164">
        <f t="shared" si="0"/>
        <v>456.4</v>
      </c>
      <c r="M24" s="165">
        <f t="shared" si="1"/>
        <v>0.63921568627450975</v>
      </c>
      <c r="N24" s="122"/>
    </row>
    <row r="25" spans="2:14" x14ac:dyDescent="0.25">
      <c r="B25" s="121"/>
      <c r="C25" s="159">
        <v>11</v>
      </c>
      <c r="D25" s="159">
        <v>1</v>
      </c>
      <c r="E25" s="159" t="s">
        <v>75</v>
      </c>
      <c r="F25" s="159" t="s">
        <v>591</v>
      </c>
      <c r="G25" s="160" t="s">
        <v>485</v>
      </c>
      <c r="H25" s="161" t="s">
        <v>41</v>
      </c>
      <c r="I25" s="162">
        <v>750</v>
      </c>
      <c r="J25" s="159">
        <v>226.9</v>
      </c>
      <c r="K25" s="163">
        <v>220</v>
      </c>
      <c r="L25" s="164">
        <f t="shared" si="0"/>
        <v>446.9</v>
      </c>
      <c r="M25" s="165">
        <f t="shared" si="1"/>
        <v>0.59586666666666666</v>
      </c>
      <c r="N25" s="122"/>
    </row>
    <row r="26" spans="2:14" x14ac:dyDescent="0.25">
      <c r="B26" s="121"/>
      <c r="C26" s="159">
        <v>12</v>
      </c>
      <c r="D26" s="159">
        <v>2</v>
      </c>
      <c r="E26" s="159" t="s">
        <v>67</v>
      </c>
      <c r="F26" s="159" t="s">
        <v>591</v>
      </c>
      <c r="G26" s="160" t="s">
        <v>485</v>
      </c>
      <c r="H26" s="161" t="s">
        <v>592</v>
      </c>
      <c r="I26" s="162">
        <v>816</v>
      </c>
      <c r="J26" s="159">
        <v>255.8</v>
      </c>
      <c r="K26" s="163">
        <v>243.4</v>
      </c>
      <c r="L26" s="164">
        <f t="shared" si="0"/>
        <v>499.20000000000005</v>
      </c>
      <c r="M26" s="165">
        <f t="shared" si="1"/>
        <v>0.61176470588235299</v>
      </c>
      <c r="N26" s="122"/>
    </row>
    <row r="27" spans="2:14" x14ac:dyDescent="0.25">
      <c r="B27" s="121"/>
      <c r="C27" s="159">
        <v>13</v>
      </c>
      <c r="D27" s="159">
        <v>5</v>
      </c>
      <c r="E27" s="159" t="s">
        <v>67</v>
      </c>
      <c r="F27" s="159" t="s">
        <v>591</v>
      </c>
      <c r="G27" s="160" t="s">
        <v>485</v>
      </c>
      <c r="H27" s="161" t="s">
        <v>41</v>
      </c>
      <c r="I27" s="162">
        <v>624</v>
      </c>
      <c r="J27" s="159">
        <v>172.4</v>
      </c>
      <c r="K27" s="163">
        <v>174.5</v>
      </c>
      <c r="L27" s="164">
        <f t="shared" si="0"/>
        <v>346.9</v>
      </c>
      <c r="M27" s="165">
        <f t="shared" si="1"/>
        <v>0.55592948717948709</v>
      </c>
      <c r="N27" s="122"/>
    </row>
    <row r="28" spans="2:14" x14ac:dyDescent="0.25">
      <c r="B28" s="121"/>
      <c r="C28" s="159"/>
      <c r="D28" s="159"/>
      <c r="E28" s="159"/>
      <c r="F28" s="159"/>
      <c r="G28" s="160"/>
      <c r="H28" s="161"/>
      <c r="I28" s="162"/>
      <c r="J28" s="159"/>
      <c r="K28" s="163"/>
      <c r="L28" s="164">
        <f t="shared" si="0"/>
        <v>0</v>
      </c>
      <c r="M28" s="165" t="e">
        <f t="shared" si="1"/>
        <v>#DIV/0!</v>
      </c>
      <c r="N28" s="122"/>
    </row>
    <row r="29" spans="2:14" x14ac:dyDescent="0.25">
      <c r="B29" s="121"/>
      <c r="C29" s="160"/>
      <c r="D29" s="160"/>
      <c r="E29" s="160"/>
      <c r="F29" s="160"/>
      <c r="G29" s="160"/>
      <c r="H29" s="161"/>
      <c r="I29" s="162"/>
      <c r="J29" s="159"/>
      <c r="K29" s="163"/>
      <c r="L29" s="164">
        <f t="shared" si="0"/>
        <v>0</v>
      </c>
      <c r="M29" s="165" t="e">
        <f t="shared" si="1"/>
        <v>#DIV/0!</v>
      </c>
      <c r="N29" s="122"/>
    </row>
    <row r="30" spans="2:14" x14ac:dyDescent="0.25">
      <c r="B30" s="121"/>
      <c r="C30" s="160"/>
      <c r="D30" s="160"/>
      <c r="E30" s="160"/>
      <c r="F30" s="160"/>
      <c r="G30" s="160"/>
      <c r="H30" s="161"/>
      <c r="I30" s="162"/>
      <c r="J30" s="159"/>
      <c r="K30" s="163"/>
      <c r="L30" s="164">
        <f t="shared" si="0"/>
        <v>0</v>
      </c>
      <c r="M30" s="165" t="e">
        <f t="shared" si="1"/>
        <v>#DIV/0!</v>
      </c>
      <c r="N30" s="122"/>
    </row>
    <row r="31" spans="2:14" x14ac:dyDescent="0.25">
      <c r="B31" s="121"/>
      <c r="C31" s="159"/>
      <c r="D31" s="159"/>
      <c r="E31" s="159"/>
      <c r="F31" s="159"/>
      <c r="G31" s="160"/>
      <c r="H31" s="161"/>
      <c r="I31" s="162"/>
      <c r="J31" s="159"/>
      <c r="K31" s="163"/>
      <c r="L31" s="164">
        <f t="shared" si="0"/>
        <v>0</v>
      </c>
      <c r="M31" s="165" t="e">
        <f t="shared" si="1"/>
        <v>#DIV/0!</v>
      </c>
      <c r="N31" s="122"/>
    </row>
    <row r="32" spans="2:14" x14ac:dyDescent="0.25">
      <c r="B32" s="121"/>
      <c r="C32" s="159"/>
      <c r="D32" s="159"/>
      <c r="E32" s="159"/>
      <c r="F32" s="159"/>
      <c r="G32" s="160"/>
      <c r="H32" s="161"/>
      <c r="I32" s="162"/>
      <c r="J32" s="159"/>
      <c r="K32" s="163"/>
      <c r="L32" s="164">
        <f t="shared" si="0"/>
        <v>0</v>
      </c>
      <c r="M32" s="165" t="e">
        <f t="shared" si="1"/>
        <v>#DIV/0!</v>
      </c>
      <c r="N32" s="122"/>
    </row>
    <row r="33" spans="2:14" x14ac:dyDescent="0.25">
      <c r="B33" s="121"/>
      <c r="C33" s="160"/>
      <c r="D33" s="160"/>
      <c r="E33" s="160"/>
      <c r="F33" s="160"/>
      <c r="G33" s="160"/>
      <c r="H33" s="161"/>
      <c r="I33" s="162"/>
      <c r="J33" s="159"/>
      <c r="K33" s="163"/>
      <c r="L33" s="164">
        <f t="shared" si="0"/>
        <v>0</v>
      </c>
      <c r="M33" s="165" t="e">
        <f t="shared" si="1"/>
        <v>#DIV/0!</v>
      </c>
      <c r="N33" s="122"/>
    </row>
    <row r="34" spans="2:14" x14ac:dyDescent="0.25">
      <c r="B34" s="121"/>
      <c r="C34" s="159"/>
      <c r="D34" s="159"/>
      <c r="E34" s="159"/>
      <c r="F34" s="159"/>
      <c r="G34" s="160"/>
      <c r="H34" s="161"/>
      <c r="I34" s="162"/>
      <c r="J34" s="159"/>
      <c r="K34" s="166"/>
      <c r="L34" s="164">
        <f t="shared" si="0"/>
        <v>0</v>
      </c>
      <c r="M34" s="167" t="e">
        <f t="shared" si="1"/>
        <v>#DIV/0!</v>
      </c>
      <c r="N34" s="122"/>
    </row>
    <row r="35" spans="2:14" x14ac:dyDescent="0.25">
      <c r="B35" s="121"/>
      <c r="C35" s="159"/>
      <c r="D35" s="159"/>
      <c r="E35" s="159"/>
      <c r="F35" s="159"/>
      <c r="G35" s="160"/>
      <c r="H35" s="161"/>
      <c r="I35" s="162"/>
      <c r="J35" s="159"/>
      <c r="K35" s="163"/>
      <c r="L35" s="164">
        <f t="shared" si="0"/>
        <v>0</v>
      </c>
      <c r="M35" s="165" t="e">
        <f t="shared" si="1"/>
        <v>#DIV/0!</v>
      </c>
      <c r="N35" s="122"/>
    </row>
    <row r="36" spans="2:14" x14ac:dyDescent="0.25">
      <c r="B36" s="121"/>
      <c r="C36" s="159"/>
      <c r="D36" s="159"/>
      <c r="E36" s="159"/>
      <c r="F36" s="159"/>
      <c r="G36" s="160"/>
      <c r="H36" s="161"/>
      <c r="I36" s="162"/>
      <c r="J36" s="159"/>
      <c r="K36" s="163"/>
      <c r="L36" s="164">
        <f t="shared" si="0"/>
        <v>0</v>
      </c>
      <c r="M36" s="165" t="e">
        <f t="shared" si="1"/>
        <v>#DIV/0!</v>
      </c>
      <c r="N36" s="122"/>
    </row>
    <row r="37" spans="2:14" x14ac:dyDescent="0.25">
      <c r="B37" s="121"/>
      <c r="C37" s="159"/>
      <c r="D37" s="159"/>
      <c r="E37" s="159"/>
      <c r="F37" s="159"/>
      <c r="G37" s="160"/>
      <c r="H37" s="161"/>
      <c r="I37" s="162"/>
      <c r="J37" s="159"/>
      <c r="K37" s="163"/>
      <c r="L37" s="164">
        <f t="shared" si="0"/>
        <v>0</v>
      </c>
      <c r="M37" s="165" t="e">
        <f t="shared" si="1"/>
        <v>#DIV/0!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11"/>
      <c r="D66" s="211">
        <f>+COUNT($D$22:$D$65)</f>
        <v>5</v>
      </c>
      <c r="E66" s="211"/>
      <c r="F66" s="373"/>
      <c r="G66" s="373"/>
      <c r="H66" s="149"/>
      <c r="I66" s="148">
        <f>SUM($I$22:$I$65)</f>
        <v>3736</v>
      </c>
      <c r="J66" s="150">
        <f>SUM($J$22:$J$65)</f>
        <v>1134.9000000000001</v>
      </c>
      <c r="K66" s="151">
        <f>SUM($K$22:$K$65)</f>
        <v>1131.5999999999999</v>
      </c>
      <c r="L66" s="148">
        <f>SUM($L$22:$L$65)</f>
        <v>2266.5</v>
      </c>
      <c r="M66" s="178">
        <f t="shared" si="1"/>
        <v>0.60666488222698067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/>
      <c r="I71" s="119"/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/>
      <c r="I72" s="119"/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/>
      <c r="I73" s="119"/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/>
      <c r="I74" s="119"/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/>
      <c r="I75" s="119"/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/>
      <c r="I76" s="119"/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/>
      <c r="I77" s="119"/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/>
      <c r="I78" s="119"/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/>
      <c r="I79" s="119"/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/>
      <c r="I80" s="119"/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/>
      <c r="I81" s="119"/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/>
      <c r="I82" s="119"/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/>
      <c r="I83" s="119"/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0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5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89:G89"/>
    <mergeCell ref="F90:G90"/>
    <mergeCell ref="F91:G91"/>
    <mergeCell ref="F92:G92"/>
    <mergeCell ref="F93:G93"/>
    <mergeCell ref="F88:G88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D84:G84"/>
    <mergeCell ref="F87:G87"/>
    <mergeCell ref="M21:M22"/>
    <mergeCell ref="F66:G66"/>
    <mergeCell ref="D70:G70"/>
    <mergeCell ref="D71:G71"/>
    <mergeCell ref="D72:G72"/>
    <mergeCell ref="I21:I22"/>
    <mergeCell ref="D74:G74"/>
    <mergeCell ref="J21:J22"/>
    <mergeCell ref="K21:K22"/>
    <mergeCell ref="L21:L22"/>
    <mergeCell ref="D73:G73"/>
    <mergeCell ref="C21:C22"/>
    <mergeCell ref="D21:D22"/>
    <mergeCell ref="E21:E22"/>
    <mergeCell ref="F21:G21"/>
    <mergeCell ref="H21:H22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84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F76" zoomScale="90" zoomScaleNormal="90" workbookViewId="0">
      <selection activeCell="I93" sqref="I93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0.57822430820377446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197.1166666666667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566</v>
      </c>
      <c r="F8" s="344"/>
      <c r="G8" s="344"/>
      <c r="H8" s="345"/>
      <c r="I8" s="146" t="s">
        <v>487</v>
      </c>
      <c r="J8" s="346" t="s">
        <v>618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28012</v>
      </c>
      <c r="F9" s="344"/>
      <c r="G9" s="344"/>
      <c r="H9" s="345"/>
      <c r="I9" s="146" t="s">
        <v>88</v>
      </c>
      <c r="J9" s="209" t="s">
        <v>619</v>
      </c>
      <c r="K9" s="216" t="s">
        <v>490</v>
      </c>
      <c r="L9" s="369">
        <v>2600198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17" t="s">
        <v>569</v>
      </c>
      <c r="E12" s="342">
        <v>46036</v>
      </c>
      <c r="F12" s="342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24</v>
      </c>
      <c r="F13" s="349"/>
      <c r="H13" s="117"/>
      <c r="I13" s="123"/>
      <c r="J13" s="215" t="s">
        <v>483</v>
      </c>
      <c r="K13" s="218">
        <f>+COUNTIF($G$22:$G$66,"VQ")*2</f>
        <v>40</v>
      </c>
      <c r="L13" s="218">
        <f>+SUMIF($G$23:$G$65,"VQ",$L$23:$L$65)</f>
        <v>3248.5999999999995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30</v>
      </c>
      <c r="F14" s="350"/>
      <c r="H14" s="117"/>
      <c r="I14" s="123"/>
      <c r="J14" s="215" t="s">
        <v>42</v>
      </c>
      <c r="K14" s="218">
        <f>+COUNTIF($G$22:$G$66,"NT")*2</f>
        <v>0</v>
      </c>
      <c r="L14" s="218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10227</v>
      </c>
      <c r="F15" s="350"/>
      <c r="H15" s="117"/>
      <c r="I15" s="123"/>
      <c r="J15" s="215" t="s">
        <v>484</v>
      </c>
      <c r="K15" s="218">
        <f>+COUNTIF($G$22:$G$66,"NO")*2</f>
        <v>0</v>
      </c>
      <c r="L15" s="218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5913.5000000000009</v>
      </c>
      <c r="F16" s="350"/>
      <c r="H16" s="117"/>
      <c r="I16" s="123"/>
      <c r="J16" s="215" t="s">
        <v>485</v>
      </c>
      <c r="K16" s="218">
        <f>+COUNTIF($G$22:$G$66,"TO")*2</f>
        <v>0</v>
      </c>
      <c r="L16" s="218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0.57822430820377446</v>
      </c>
      <c r="F17" s="350"/>
      <c r="G17" s="124"/>
      <c r="H17" s="125"/>
      <c r="I17" s="123"/>
      <c r="J17" s="215" t="s">
        <v>486</v>
      </c>
      <c r="K17" s="218">
        <f>+COUNTIF($G$22:$G$66,"VA")*2</f>
        <v>0</v>
      </c>
      <c r="L17" s="218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197.1166666666667</v>
      </c>
      <c r="F18" s="353"/>
      <c r="G18" s="124"/>
      <c r="H18" s="125"/>
      <c r="I18" s="123"/>
      <c r="J18" s="215" t="s">
        <v>44</v>
      </c>
      <c r="K18" s="218">
        <f>+COUNTIF($G$22:$G$66,"MEJ")*2</f>
        <v>20</v>
      </c>
      <c r="L18" s="218">
        <f>+SUMIF($G$23:$G$65,"MEJ",$L$23:$L$65)</f>
        <v>2664.8999999999996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</v>
      </c>
      <c r="D23" s="152">
        <v>30</v>
      </c>
      <c r="E23" s="152" t="s">
        <v>75</v>
      </c>
      <c r="F23" s="152" t="s">
        <v>526</v>
      </c>
      <c r="G23" s="153" t="s">
        <v>483</v>
      </c>
      <c r="H23" s="154" t="s">
        <v>594</v>
      </c>
      <c r="I23" s="155">
        <v>280</v>
      </c>
      <c r="J23" s="152">
        <v>79.099999999999994</v>
      </c>
      <c r="K23" s="156">
        <v>80.2</v>
      </c>
      <c r="L23" s="157">
        <f t="shared" ref="L23:L65" si="0">+J23+K23</f>
        <v>159.30000000000001</v>
      </c>
      <c r="M23" s="158">
        <f t="shared" ref="M23:M66" si="1">+L23/I23</f>
        <v>0.56892857142857145</v>
      </c>
      <c r="N23" s="122"/>
    </row>
    <row r="24" spans="2:14" x14ac:dyDescent="0.25">
      <c r="B24" s="121"/>
      <c r="C24" s="159">
        <v>2</v>
      </c>
      <c r="D24" s="159">
        <v>4</v>
      </c>
      <c r="E24" s="159" t="s">
        <v>75</v>
      </c>
      <c r="F24" s="159" t="s">
        <v>617</v>
      </c>
      <c r="G24" s="160" t="s">
        <v>483</v>
      </c>
      <c r="H24" s="161" t="s">
        <v>41</v>
      </c>
      <c r="I24" s="162">
        <v>277</v>
      </c>
      <c r="J24" s="159">
        <v>81.7</v>
      </c>
      <c r="K24" s="163">
        <v>82.9</v>
      </c>
      <c r="L24" s="164">
        <f t="shared" si="0"/>
        <v>164.60000000000002</v>
      </c>
      <c r="M24" s="165">
        <f t="shared" si="1"/>
        <v>0.59422382671480156</v>
      </c>
      <c r="N24" s="122"/>
    </row>
    <row r="25" spans="2:14" x14ac:dyDescent="0.25">
      <c r="B25" s="121"/>
      <c r="C25" s="159">
        <v>3</v>
      </c>
      <c r="D25" s="159">
        <v>18</v>
      </c>
      <c r="E25" s="159" t="s">
        <v>68</v>
      </c>
      <c r="F25" s="159" t="s">
        <v>617</v>
      </c>
      <c r="G25" s="160" t="s">
        <v>44</v>
      </c>
      <c r="H25" s="161" t="s">
        <v>546</v>
      </c>
      <c r="I25" s="162">
        <v>495</v>
      </c>
      <c r="J25" s="159">
        <v>144.9</v>
      </c>
      <c r="K25" s="163">
        <v>148.19999999999999</v>
      </c>
      <c r="L25" s="164">
        <f t="shared" si="0"/>
        <v>293.10000000000002</v>
      </c>
      <c r="M25" s="165">
        <f t="shared" si="1"/>
        <v>0.59212121212121216</v>
      </c>
      <c r="N25" s="122"/>
    </row>
    <row r="26" spans="2:14" x14ac:dyDescent="0.25">
      <c r="B26" s="121"/>
      <c r="C26" s="159">
        <v>4</v>
      </c>
      <c r="D26" s="159">
        <v>16</v>
      </c>
      <c r="E26" s="159" t="s">
        <v>75</v>
      </c>
      <c r="F26" s="159" t="s">
        <v>617</v>
      </c>
      <c r="G26" s="160" t="s">
        <v>44</v>
      </c>
      <c r="H26" s="161" t="s">
        <v>595</v>
      </c>
      <c r="I26" s="162">
        <v>454</v>
      </c>
      <c r="J26" s="159">
        <v>133.19999999999999</v>
      </c>
      <c r="K26" s="163">
        <v>136.19999999999999</v>
      </c>
      <c r="L26" s="164">
        <f t="shared" si="0"/>
        <v>269.39999999999998</v>
      </c>
      <c r="M26" s="165">
        <f t="shared" si="1"/>
        <v>0.59339207048458142</v>
      </c>
      <c r="N26" s="122"/>
    </row>
    <row r="27" spans="2:14" x14ac:dyDescent="0.25">
      <c r="B27" s="121"/>
      <c r="C27" s="159">
        <v>5</v>
      </c>
      <c r="D27" s="159">
        <v>14</v>
      </c>
      <c r="E27" s="159" t="s">
        <v>68</v>
      </c>
      <c r="F27" s="159" t="s">
        <v>617</v>
      </c>
      <c r="G27" s="160" t="s">
        <v>483</v>
      </c>
      <c r="H27" s="161" t="s">
        <v>596</v>
      </c>
      <c r="I27" s="162">
        <v>287</v>
      </c>
      <c r="J27" s="159">
        <v>78.2</v>
      </c>
      <c r="K27" s="163">
        <v>78.2</v>
      </c>
      <c r="L27" s="164">
        <f t="shared" si="0"/>
        <v>156.4</v>
      </c>
      <c r="M27" s="165">
        <f t="shared" si="1"/>
        <v>0.54494773519163764</v>
      </c>
      <c r="N27" s="122"/>
    </row>
    <row r="28" spans="2:14" x14ac:dyDescent="0.25">
      <c r="B28" s="121"/>
      <c r="C28" s="159">
        <v>6</v>
      </c>
      <c r="D28" s="159">
        <v>10</v>
      </c>
      <c r="E28" s="159" t="s">
        <v>67</v>
      </c>
      <c r="F28" s="159" t="s">
        <v>617</v>
      </c>
      <c r="G28" s="160" t="s">
        <v>483</v>
      </c>
      <c r="H28" s="161" t="s">
        <v>536</v>
      </c>
      <c r="I28" s="162">
        <v>285</v>
      </c>
      <c r="J28" s="159">
        <v>79.3</v>
      </c>
      <c r="K28" s="163">
        <v>80.400000000000006</v>
      </c>
      <c r="L28" s="164">
        <f t="shared" si="0"/>
        <v>159.69999999999999</v>
      </c>
      <c r="M28" s="165">
        <f t="shared" si="1"/>
        <v>0.56035087719298238</v>
      </c>
      <c r="N28" s="122"/>
    </row>
    <row r="29" spans="2:14" x14ac:dyDescent="0.25">
      <c r="B29" s="121"/>
      <c r="C29" s="160">
        <v>7</v>
      </c>
      <c r="D29" s="160">
        <v>15</v>
      </c>
      <c r="E29" s="160" t="s">
        <v>75</v>
      </c>
      <c r="F29" s="160" t="s">
        <v>617</v>
      </c>
      <c r="G29" s="160" t="s">
        <v>483</v>
      </c>
      <c r="H29" s="161" t="s">
        <v>597</v>
      </c>
      <c r="I29" s="162">
        <v>319</v>
      </c>
      <c r="J29" s="159">
        <v>92</v>
      </c>
      <c r="K29" s="163">
        <v>94.1</v>
      </c>
      <c r="L29" s="164">
        <f t="shared" si="0"/>
        <v>186.1</v>
      </c>
      <c r="M29" s="165">
        <f t="shared" si="1"/>
        <v>0.58338557993730411</v>
      </c>
      <c r="N29" s="122"/>
    </row>
    <row r="30" spans="2:14" x14ac:dyDescent="0.25">
      <c r="B30" s="121"/>
      <c r="C30" s="160">
        <v>8</v>
      </c>
      <c r="D30" s="160">
        <v>29</v>
      </c>
      <c r="E30" s="160" t="s">
        <v>68</v>
      </c>
      <c r="F30" s="160" t="s">
        <v>617</v>
      </c>
      <c r="G30" s="160" t="s">
        <v>483</v>
      </c>
      <c r="H30" s="161" t="s">
        <v>598</v>
      </c>
      <c r="I30" s="162">
        <v>304</v>
      </c>
      <c r="J30" s="159">
        <v>83.7</v>
      </c>
      <c r="K30" s="163">
        <v>83.8</v>
      </c>
      <c r="L30" s="164">
        <f t="shared" si="0"/>
        <v>167.5</v>
      </c>
      <c r="M30" s="165">
        <f t="shared" si="1"/>
        <v>0.55098684210526316</v>
      </c>
      <c r="N30" s="122"/>
    </row>
    <row r="31" spans="2:14" x14ac:dyDescent="0.25">
      <c r="B31" s="121"/>
      <c r="C31" s="159">
        <v>9</v>
      </c>
      <c r="D31" s="159">
        <v>24</v>
      </c>
      <c r="E31" s="159" t="s">
        <v>68</v>
      </c>
      <c r="F31" s="159" t="s">
        <v>617</v>
      </c>
      <c r="G31" s="160" t="s">
        <v>44</v>
      </c>
      <c r="H31" s="161" t="s">
        <v>599</v>
      </c>
      <c r="I31" s="162">
        <v>439</v>
      </c>
      <c r="J31" s="159">
        <v>133.9</v>
      </c>
      <c r="K31" s="163">
        <v>133.80000000000001</v>
      </c>
      <c r="L31" s="164">
        <f t="shared" si="0"/>
        <v>267.70000000000005</v>
      </c>
      <c r="M31" s="165">
        <f t="shared" si="1"/>
        <v>0.60979498861047843</v>
      </c>
      <c r="N31" s="122"/>
    </row>
    <row r="32" spans="2:14" x14ac:dyDescent="0.25">
      <c r="B32" s="121"/>
      <c r="C32" s="159">
        <v>10</v>
      </c>
      <c r="D32" s="159">
        <v>1</v>
      </c>
      <c r="E32" s="159" t="s">
        <v>67</v>
      </c>
      <c r="F32" s="159" t="s">
        <v>617</v>
      </c>
      <c r="G32" s="160" t="s">
        <v>483</v>
      </c>
      <c r="H32" s="161" t="s">
        <v>600</v>
      </c>
      <c r="I32" s="162">
        <v>294</v>
      </c>
      <c r="J32" s="159">
        <v>81.7</v>
      </c>
      <c r="K32" s="163">
        <v>83.4</v>
      </c>
      <c r="L32" s="164">
        <f t="shared" si="0"/>
        <v>165.10000000000002</v>
      </c>
      <c r="M32" s="165">
        <f t="shared" si="1"/>
        <v>0.56156462585034017</v>
      </c>
      <c r="N32" s="122"/>
    </row>
    <row r="33" spans="2:14" x14ac:dyDescent="0.25">
      <c r="B33" s="121"/>
      <c r="C33" s="160">
        <v>11</v>
      </c>
      <c r="D33" s="160">
        <v>3</v>
      </c>
      <c r="E33" s="160" t="s">
        <v>68</v>
      </c>
      <c r="F33" s="160" t="s">
        <v>617</v>
      </c>
      <c r="G33" s="160" t="s">
        <v>483</v>
      </c>
      <c r="H33" s="161" t="s">
        <v>601</v>
      </c>
      <c r="I33" s="162">
        <v>338</v>
      </c>
      <c r="J33" s="159">
        <v>95.1</v>
      </c>
      <c r="K33" s="163">
        <v>96.4</v>
      </c>
      <c r="L33" s="164">
        <f t="shared" si="0"/>
        <v>191.5</v>
      </c>
      <c r="M33" s="165">
        <f t="shared" si="1"/>
        <v>0.56656804733727806</v>
      </c>
      <c r="N33" s="122"/>
    </row>
    <row r="34" spans="2:14" x14ac:dyDescent="0.25">
      <c r="B34" s="121"/>
      <c r="C34" s="159">
        <v>12</v>
      </c>
      <c r="D34" s="159">
        <v>23</v>
      </c>
      <c r="E34" s="159" t="s">
        <v>75</v>
      </c>
      <c r="F34" s="159" t="s">
        <v>617</v>
      </c>
      <c r="G34" s="160" t="s">
        <v>483</v>
      </c>
      <c r="H34" s="161" t="s">
        <v>602</v>
      </c>
      <c r="I34" s="162">
        <v>254</v>
      </c>
      <c r="J34" s="159">
        <v>68.900000000000006</v>
      </c>
      <c r="K34" s="166">
        <v>69.8</v>
      </c>
      <c r="L34" s="164">
        <f t="shared" si="0"/>
        <v>138.69999999999999</v>
      </c>
      <c r="M34" s="167">
        <f t="shared" si="1"/>
        <v>0.54606299212598419</v>
      </c>
      <c r="N34" s="122"/>
    </row>
    <row r="35" spans="2:14" x14ac:dyDescent="0.25">
      <c r="B35" s="121"/>
      <c r="C35" s="159">
        <v>13</v>
      </c>
      <c r="D35" s="159">
        <v>20</v>
      </c>
      <c r="E35" s="159" t="s">
        <v>68</v>
      </c>
      <c r="F35" s="159" t="s">
        <v>617</v>
      </c>
      <c r="G35" s="160" t="s">
        <v>44</v>
      </c>
      <c r="H35" s="161" t="s">
        <v>603</v>
      </c>
      <c r="I35" s="162">
        <v>481</v>
      </c>
      <c r="J35" s="159">
        <v>145</v>
      </c>
      <c r="K35" s="163">
        <v>147.30000000000001</v>
      </c>
      <c r="L35" s="164">
        <f t="shared" si="0"/>
        <v>292.3</v>
      </c>
      <c r="M35" s="165">
        <f t="shared" si="1"/>
        <v>0.60769230769230775</v>
      </c>
      <c r="N35" s="122"/>
    </row>
    <row r="36" spans="2:14" x14ac:dyDescent="0.25">
      <c r="B36" s="121"/>
      <c r="C36" s="159">
        <v>14</v>
      </c>
      <c r="D36" s="159">
        <v>28</v>
      </c>
      <c r="E36" s="159" t="s">
        <v>68</v>
      </c>
      <c r="F36" s="159" t="s">
        <v>617</v>
      </c>
      <c r="G36" s="160" t="s">
        <v>483</v>
      </c>
      <c r="H36" s="161" t="s">
        <v>604</v>
      </c>
      <c r="I36" s="162">
        <v>249</v>
      </c>
      <c r="J36" s="159">
        <v>69.400000000000006</v>
      </c>
      <c r="K36" s="163">
        <v>69.599999999999994</v>
      </c>
      <c r="L36" s="164">
        <f t="shared" si="0"/>
        <v>139</v>
      </c>
      <c r="M36" s="165">
        <f t="shared" si="1"/>
        <v>0.55823293172690758</v>
      </c>
      <c r="N36" s="122"/>
    </row>
    <row r="37" spans="2:14" x14ac:dyDescent="0.25">
      <c r="B37" s="121"/>
      <c r="C37" s="159">
        <v>15</v>
      </c>
      <c r="D37" s="159">
        <v>21</v>
      </c>
      <c r="E37" s="159" t="s">
        <v>75</v>
      </c>
      <c r="F37" s="159" t="s">
        <v>617</v>
      </c>
      <c r="G37" s="160" t="s">
        <v>44</v>
      </c>
      <c r="H37" s="161" t="s">
        <v>605</v>
      </c>
      <c r="I37" s="162">
        <v>418</v>
      </c>
      <c r="J37" s="159">
        <v>125.6</v>
      </c>
      <c r="K37" s="163">
        <v>127</v>
      </c>
      <c r="L37" s="164">
        <f t="shared" si="0"/>
        <v>252.6</v>
      </c>
      <c r="M37" s="165">
        <f t="shared" si="1"/>
        <v>0.60430622009569379</v>
      </c>
      <c r="N37" s="122"/>
    </row>
    <row r="38" spans="2:14" x14ac:dyDescent="0.25">
      <c r="B38" s="121"/>
      <c r="C38" s="159">
        <v>16</v>
      </c>
      <c r="D38" s="159">
        <v>19</v>
      </c>
      <c r="E38" s="159" t="s">
        <v>68</v>
      </c>
      <c r="F38" s="159" t="s">
        <v>617</v>
      </c>
      <c r="G38" s="159" t="s">
        <v>483</v>
      </c>
      <c r="H38" s="168" t="s">
        <v>606</v>
      </c>
      <c r="I38" s="169">
        <v>307</v>
      </c>
      <c r="J38" s="159">
        <v>95.3</v>
      </c>
      <c r="K38" s="163">
        <v>94.8</v>
      </c>
      <c r="L38" s="164">
        <f t="shared" si="0"/>
        <v>190.1</v>
      </c>
      <c r="M38" s="165">
        <f t="shared" si="1"/>
        <v>0.61921824104234524</v>
      </c>
      <c r="N38" s="122"/>
    </row>
    <row r="39" spans="2:14" x14ac:dyDescent="0.25">
      <c r="B39" s="121"/>
      <c r="C39" s="159">
        <v>17</v>
      </c>
      <c r="D39" s="159">
        <v>17</v>
      </c>
      <c r="E39" s="159" t="s">
        <v>68</v>
      </c>
      <c r="F39" s="159" t="s">
        <v>617</v>
      </c>
      <c r="G39" s="160" t="s">
        <v>483</v>
      </c>
      <c r="H39" s="161" t="s">
        <v>41</v>
      </c>
      <c r="I39" s="162">
        <v>316</v>
      </c>
      <c r="J39" s="159">
        <v>91.4</v>
      </c>
      <c r="K39" s="163">
        <v>81</v>
      </c>
      <c r="L39" s="164">
        <f t="shared" si="0"/>
        <v>172.4</v>
      </c>
      <c r="M39" s="165">
        <f t="shared" si="1"/>
        <v>0.54556962025316458</v>
      </c>
      <c r="N39" s="122"/>
    </row>
    <row r="40" spans="2:14" x14ac:dyDescent="0.25">
      <c r="B40" s="121"/>
      <c r="C40" s="159">
        <v>18</v>
      </c>
      <c r="D40" s="159">
        <v>13</v>
      </c>
      <c r="E40" s="159" t="s">
        <v>68</v>
      </c>
      <c r="F40" s="159" t="s">
        <v>617</v>
      </c>
      <c r="G40" s="160" t="s">
        <v>483</v>
      </c>
      <c r="H40" s="161" t="s">
        <v>607</v>
      </c>
      <c r="I40" s="162">
        <v>257</v>
      </c>
      <c r="J40" s="159">
        <v>71.8</v>
      </c>
      <c r="K40" s="163">
        <v>73.900000000000006</v>
      </c>
      <c r="L40" s="164">
        <f t="shared" si="0"/>
        <v>145.69999999999999</v>
      </c>
      <c r="M40" s="165">
        <f t="shared" si="1"/>
        <v>0.56692607003891049</v>
      </c>
      <c r="N40" s="122"/>
    </row>
    <row r="41" spans="2:14" x14ac:dyDescent="0.25">
      <c r="B41" s="121"/>
      <c r="C41" s="159">
        <v>19</v>
      </c>
      <c r="D41" s="159">
        <v>9</v>
      </c>
      <c r="E41" s="159" t="s">
        <v>67</v>
      </c>
      <c r="F41" s="159" t="s">
        <v>617</v>
      </c>
      <c r="G41" s="160" t="s">
        <v>483</v>
      </c>
      <c r="H41" s="161" t="s">
        <v>608</v>
      </c>
      <c r="I41" s="162">
        <v>265</v>
      </c>
      <c r="J41" s="159">
        <v>77</v>
      </c>
      <c r="K41" s="163">
        <v>77.2</v>
      </c>
      <c r="L41" s="164">
        <f t="shared" si="0"/>
        <v>154.19999999999999</v>
      </c>
      <c r="M41" s="165">
        <f t="shared" si="1"/>
        <v>0.58188679245283015</v>
      </c>
      <c r="N41" s="122"/>
    </row>
    <row r="42" spans="2:14" x14ac:dyDescent="0.25">
      <c r="B42" s="121"/>
      <c r="C42" s="160">
        <v>20</v>
      </c>
      <c r="D42" s="160">
        <v>11</v>
      </c>
      <c r="E42" s="160" t="s">
        <v>68</v>
      </c>
      <c r="F42" s="160" t="s">
        <v>617</v>
      </c>
      <c r="G42" s="160" t="s">
        <v>44</v>
      </c>
      <c r="H42" s="161" t="s">
        <v>609</v>
      </c>
      <c r="I42" s="162">
        <v>443</v>
      </c>
      <c r="J42" s="159">
        <v>125.2</v>
      </c>
      <c r="K42" s="163">
        <v>126.6</v>
      </c>
      <c r="L42" s="164">
        <f t="shared" si="0"/>
        <v>251.8</v>
      </c>
      <c r="M42" s="165">
        <f t="shared" si="1"/>
        <v>0.56839729119638827</v>
      </c>
      <c r="N42" s="122"/>
    </row>
    <row r="43" spans="2:14" x14ac:dyDescent="0.25">
      <c r="B43" s="121"/>
      <c r="C43" s="159">
        <v>21</v>
      </c>
      <c r="D43" s="159">
        <v>5</v>
      </c>
      <c r="E43" s="159" t="s">
        <v>75</v>
      </c>
      <c r="F43" s="159" t="s">
        <v>617</v>
      </c>
      <c r="G43" s="160" t="s">
        <v>44</v>
      </c>
      <c r="H43" s="161" t="s">
        <v>518</v>
      </c>
      <c r="I43" s="162">
        <v>506</v>
      </c>
      <c r="J43" s="159">
        <v>145.6</v>
      </c>
      <c r="K43" s="163">
        <v>147.30000000000001</v>
      </c>
      <c r="L43" s="164">
        <f t="shared" si="0"/>
        <v>292.89999999999998</v>
      </c>
      <c r="M43" s="165">
        <f t="shared" si="1"/>
        <v>0.57885375494071145</v>
      </c>
      <c r="N43" s="122"/>
    </row>
    <row r="44" spans="2:14" x14ac:dyDescent="0.25">
      <c r="B44" s="121"/>
      <c r="C44" s="160">
        <v>22</v>
      </c>
      <c r="D44" s="160">
        <v>2</v>
      </c>
      <c r="E44" s="160" t="s">
        <v>68</v>
      </c>
      <c r="F44" s="160" t="s">
        <v>617</v>
      </c>
      <c r="G44" s="160" t="s">
        <v>483</v>
      </c>
      <c r="H44" s="161" t="s">
        <v>41</v>
      </c>
      <c r="I44" s="162">
        <v>269</v>
      </c>
      <c r="J44" s="159">
        <v>77.2</v>
      </c>
      <c r="K44" s="163">
        <v>78.5</v>
      </c>
      <c r="L44" s="164">
        <f t="shared" si="0"/>
        <v>155.69999999999999</v>
      </c>
      <c r="M44" s="165">
        <f t="shared" si="1"/>
        <v>0.57881040892193303</v>
      </c>
      <c r="N44" s="122"/>
    </row>
    <row r="45" spans="2:14" x14ac:dyDescent="0.25">
      <c r="B45" s="121"/>
      <c r="C45" s="160">
        <v>23</v>
      </c>
      <c r="D45" s="160">
        <v>8</v>
      </c>
      <c r="E45" s="160" t="s">
        <v>68</v>
      </c>
      <c r="F45" s="160" t="s">
        <v>617</v>
      </c>
      <c r="G45" s="160" t="s">
        <v>44</v>
      </c>
      <c r="H45" s="161" t="s">
        <v>610</v>
      </c>
      <c r="I45" s="162">
        <v>405</v>
      </c>
      <c r="J45" s="159">
        <v>113.3</v>
      </c>
      <c r="K45" s="163">
        <v>116.5</v>
      </c>
      <c r="L45" s="164">
        <f t="shared" si="0"/>
        <v>229.8</v>
      </c>
      <c r="M45" s="165">
        <f t="shared" si="1"/>
        <v>0.56740740740740747</v>
      </c>
      <c r="N45" s="122"/>
    </row>
    <row r="46" spans="2:14" x14ac:dyDescent="0.25">
      <c r="B46" s="121"/>
      <c r="C46" s="160">
        <v>24</v>
      </c>
      <c r="D46" s="160">
        <v>12</v>
      </c>
      <c r="E46" s="160" t="s">
        <v>75</v>
      </c>
      <c r="F46" s="160" t="s">
        <v>617</v>
      </c>
      <c r="G46" s="160" t="s">
        <v>483</v>
      </c>
      <c r="H46" s="161" t="s">
        <v>41</v>
      </c>
      <c r="I46" s="162">
        <v>272</v>
      </c>
      <c r="J46" s="159">
        <v>78.599999999999994</v>
      </c>
      <c r="K46" s="163">
        <v>79</v>
      </c>
      <c r="L46" s="164">
        <f t="shared" si="0"/>
        <v>157.6</v>
      </c>
      <c r="M46" s="165">
        <f t="shared" si="1"/>
        <v>0.57941176470588229</v>
      </c>
      <c r="N46" s="122"/>
    </row>
    <row r="47" spans="2:14" x14ac:dyDescent="0.25">
      <c r="B47" s="121"/>
      <c r="C47" s="160">
        <v>25</v>
      </c>
      <c r="D47" s="160">
        <v>27</v>
      </c>
      <c r="E47" s="160" t="s">
        <v>67</v>
      </c>
      <c r="F47" s="160" t="s">
        <v>617</v>
      </c>
      <c r="G47" s="160" t="s">
        <v>483</v>
      </c>
      <c r="H47" s="161" t="s">
        <v>611</v>
      </c>
      <c r="I47" s="162">
        <v>244</v>
      </c>
      <c r="J47" s="159">
        <v>68.099999999999994</v>
      </c>
      <c r="K47" s="163">
        <v>69.5</v>
      </c>
      <c r="L47" s="164">
        <f t="shared" si="0"/>
        <v>137.6</v>
      </c>
      <c r="M47" s="165">
        <f t="shared" si="1"/>
        <v>0.56393442622950818</v>
      </c>
      <c r="N47" s="122"/>
    </row>
    <row r="48" spans="2:14" x14ac:dyDescent="0.25">
      <c r="B48" s="121"/>
      <c r="C48" s="160">
        <v>26</v>
      </c>
      <c r="D48" s="160">
        <v>22</v>
      </c>
      <c r="E48" s="160" t="s">
        <v>67</v>
      </c>
      <c r="F48" s="160" t="s">
        <v>617</v>
      </c>
      <c r="G48" s="160" t="s">
        <v>44</v>
      </c>
      <c r="H48" s="161" t="s">
        <v>612</v>
      </c>
      <c r="I48" s="162">
        <v>470</v>
      </c>
      <c r="J48" s="159">
        <v>137</v>
      </c>
      <c r="K48" s="163">
        <v>138.6</v>
      </c>
      <c r="L48" s="164">
        <f t="shared" si="0"/>
        <v>275.60000000000002</v>
      </c>
      <c r="M48" s="165">
        <f t="shared" si="1"/>
        <v>0.58638297872340428</v>
      </c>
      <c r="N48" s="122"/>
    </row>
    <row r="49" spans="2:14" x14ac:dyDescent="0.25">
      <c r="B49" s="121"/>
      <c r="C49" s="160">
        <v>27</v>
      </c>
      <c r="D49" s="160">
        <v>6</v>
      </c>
      <c r="E49" s="160" t="s">
        <v>67</v>
      </c>
      <c r="F49" s="160" t="s">
        <v>617</v>
      </c>
      <c r="G49" s="160" t="s">
        <v>483</v>
      </c>
      <c r="H49" s="161" t="s">
        <v>613</v>
      </c>
      <c r="I49" s="162">
        <v>283</v>
      </c>
      <c r="J49" s="159">
        <v>82.7</v>
      </c>
      <c r="K49" s="163">
        <v>83.6</v>
      </c>
      <c r="L49" s="164">
        <f t="shared" si="0"/>
        <v>166.3</v>
      </c>
      <c r="M49" s="165">
        <f t="shared" si="1"/>
        <v>0.58763250883392226</v>
      </c>
      <c r="N49" s="122"/>
    </row>
    <row r="50" spans="2:14" x14ac:dyDescent="0.25">
      <c r="B50" s="121"/>
      <c r="C50" s="159">
        <v>28</v>
      </c>
      <c r="D50" s="159">
        <v>26</v>
      </c>
      <c r="E50" s="159" t="s">
        <v>67</v>
      </c>
      <c r="F50" s="159" t="s">
        <v>617</v>
      </c>
      <c r="G50" s="160" t="s">
        <v>483</v>
      </c>
      <c r="H50" s="161" t="s">
        <v>614</v>
      </c>
      <c r="I50" s="162">
        <v>316</v>
      </c>
      <c r="J50" s="159">
        <v>90</v>
      </c>
      <c r="K50" s="163">
        <v>92.6</v>
      </c>
      <c r="L50" s="164">
        <f t="shared" si="0"/>
        <v>182.6</v>
      </c>
      <c r="M50" s="165">
        <f t="shared" si="1"/>
        <v>0.57784810126582276</v>
      </c>
      <c r="N50" s="122"/>
    </row>
    <row r="51" spans="2:14" x14ac:dyDescent="0.25">
      <c r="B51" s="121"/>
      <c r="C51" s="159">
        <v>29</v>
      </c>
      <c r="D51" s="159">
        <v>7</v>
      </c>
      <c r="E51" s="159" t="s">
        <v>75</v>
      </c>
      <c r="F51" s="159" t="s">
        <v>617</v>
      </c>
      <c r="G51" s="160" t="s">
        <v>44</v>
      </c>
      <c r="H51" s="168" t="s">
        <v>615</v>
      </c>
      <c r="I51" s="169">
        <v>408</v>
      </c>
      <c r="J51" s="159">
        <v>120</v>
      </c>
      <c r="K51" s="163">
        <v>119.7</v>
      </c>
      <c r="L51" s="164">
        <f t="shared" si="0"/>
        <v>239.7</v>
      </c>
      <c r="M51" s="165">
        <f t="shared" si="1"/>
        <v>0.58750000000000002</v>
      </c>
      <c r="N51" s="122"/>
    </row>
    <row r="52" spans="2:14" x14ac:dyDescent="0.25">
      <c r="B52" s="121"/>
      <c r="C52" s="159">
        <v>30</v>
      </c>
      <c r="D52" s="160">
        <v>25</v>
      </c>
      <c r="E52" s="160" t="s">
        <v>67</v>
      </c>
      <c r="F52" s="160" t="s">
        <v>617</v>
      </c>
      <c r="G52" s="160" t="s">
        <v>483</v>
      </c>
      <c r="H52" s="168" t="s">
        <v>616</v>
      </c>
      <c r="I52" s="169">
        <v>292</v>
      </c>
      <c r="J52" s="159">
        <v>79.099999999999994</v>
      </c>
      <c r="K52" s="163">
        <v>79.400000000000006</v>
      </c>
      <c r="L52" s="164">
        <f t="shared" si="0"/>
        <v>158.5</v>
      </c>
      <c r="M52" s="165">
        <f t="shared" si="1"/>
        <v>0.5428082191780822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19"/>
      <c r="D66" s="219">
        <f>+COUNT($D$22:$D$65)</f>
        <v>30</v>
      </c>
      <c r="E66" s="219"/>
      <c r="F66" s="373"/>
      <c r="G66" s="373"/>
      <c r="H66" s="149"/>
      <c r="I66" s="148">
        <f>SUM($I$22:$I$65)</f>
        <v>10227</v>
      </c>
      <c r="J66" s="150">
        <f>SUM($J$22:$J$65)</f>
        <v>2943.9999999999995</v>
      </c>
      <c r="K66" s="151">
        <f>SUM($K$22:$K$65)</f>
        <v>2969.4999999999995</v>
      </c>
      <c r="L66" s="148">
        <f>SUM($L$22:$L$65)</f>
        <v>5913.5000000000009</v>
      </c>
      <c r="M66" s="178">
        <f t="shared" si="1"/>
        <v>0.57822430820377446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57.4</v>
      </c>
      <c r="I71" s="119">
        <v>55.66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30</v>
      </c>
      <c r="I72" s="119">
        <v>43.760000000000005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26</v>
      </c>
      <c r="I73" s="119">
        <v>113.96000000000001</v>
      </c>
      <c r="J73" s="181">
        <v>4</v>
      </c>
      <c r="K73" s="185">
        <v>20.28</v>
      </c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30</v>
      </c>
      <c r="I74" s="119">
        <v>28.22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25.16</v>
      </c>
      <c r="I75" s="119">
        <v>23.5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59</v>
      </c>
      <c r="I76" s="119">
        <v>22.24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120</v>
      </c>
      <c r="I77" s="119">
        <v>16.46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30</v>
      </c>
      <c r="I78" s="119">
        <v>20.399999999999999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30</v>
      </c>
      <c r="I79" s="119">
        <v>20.86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30.439999999999998</v>
      </c>
      <c r="I80" s="119">
        <v>32.799999999999997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30</v>
      </c>
      <c r="I81" s="119">
        <v>36.28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30</v>
      </c>
      <c r="I82" s="119">
        <v>8.8000000000000007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20.62</v>
      </c>
      <c r="I83" s="119">
        <v>19.899999999999999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442.84</v>
      </c>
      <c r="J84" s="187">
        <f>SUM(J71:J83)</f>
        <v>4</v>
      </c>
      <c r="K84" s="186">
        <f>SUM(K71:K83)</f>
        <v>20.28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>
        <v>480</v>
      </c>
      <c r="N88" s="122"/>
    </row>
    <row r="89" spans="2:14" x14ac:dyDescent="0.25">
      <c r="B89" s="121"/>
      <c r="F89" s="378" t="s">
        <v>24</v>
      </c>
      <c r="G89" s="378"/>
      <c r="H89" s="192">
        <f>+D66</f>
        <v>30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>
        <v>400</v>
      </c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>
        <v>1180</v>
      </c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2060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83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G75" zoomScale="90" zoomScaleNormal="90" workbookViewId="0">
      <selection activeCell="H88" sqref="H88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0.55791190864600326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171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625</v>
      </c>
      <c r="F8" s="344"/>
      <c r="G8" s="344"/>
      <c r="H8" s="345"/>
      <c r="I8" s="146" t="s">
        <v>487</v>
      </c>
      <c r="J8" s="346" t="s">
        <v>626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41927</v>
      </c>
      <c r="F9" s="344"/>
      <c r="G9" s="344"/>
      <c r="H9" s="345"/>
      <c r="I9" s="146" t="s">
        <v>88</v>
      </c>
      <c r="J9" s="209" t="s">
        <v>627</v>
      </c>
      <c r="K9" s="216" t="s">
        <v>490</v>
      </c>
      <c r="L9" s="369" t="s">
        <v>628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17" t="s">
        <v>569</v>
      </c>
      <c r="E12" s="342">
        <v>46036</v>
      </c>
      <c r="F12" s="342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25</v>
      </c>
      <c r="F13" s="349"/>
      <c r="H13" s="117"/>
      <c r="I13" s="123"/>
      <c r="J13" s="215" t="s">
        <v>483</v>
      </c>
      <c r="K13" s="218">
        <f>+COUNTIF($G$22:$G$66,"VQ")*2</f>
        <v>8</v>
      </c>
      <c r="L13" s="218">
        <f>+SUMIF($G$23:$G$65,"VQ",$L$23:$L$65)</f>
        <v>684.5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6</v>
      </c>
      <c r="F14" s="350"/>
      <c r="H14" s="117"/>
      <c r="I14" s="123"/>
      <c r="J14" s="215" t="s">
        <v>42</v>
      </c>
      <c r="K14" s="218">
        <f>+COUNTIF($G$22:$G$66,"NT")*2</f>
        <v>4</v>
      </c>
      <c r="L14" s="218">
        <f>+SUMIF($G$23:$G$65,"NT",$L$23:$L$65)</f>
        <v>341.5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1839</v>
      </c>
      <c r="F15" s="350"/>
      <c r="H15" s="117"/>
      <c r="I15" s="123"/>
      <c r="J15" s="215" t="s">
        <v>484</v>
      </c>
      <c r="K15" s="218">
        <f>+COUNTIF($G$22:$G$66,"NO")*2</f>
        <v>0</v>
      </c>
      <c r="L15" s="218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1026</v>
      </c>
      <c r="F16" s="350"/>
      <c r="H16" s="117"/>
      <c r="I16" s="123"/>
      <c r="J16" s="215" t="s">
        <v>485</v>
      </c>
      <c r="K16" s="218">
        <f>+COUNTIF($G$22:$G$66,"TO")*2</f>
        <v>0</v>
      </c>
      <c r="L16" s="218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0.55791190864600326</v>
      </c>
      <c r="F17" s="350"/>
      <c r="G17" s="124"/>
      <c r="H17" s="125"/>
      <c r="I17" s="123"/>
      <c r="J17" s="215" t="s">
        <v>486</v>
      </c>
      <c r="K17" s="218">
        <f>+COUNTIF($G$22:$G$66,"VA")*2</f>
        <v>0</v>
      </c>
      <c r="L17" s="218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171</v>
      </c>
      <c r="F18" s="353"/>
      <c r="G18" s="124"/>
      <c r="H18" s="125"/>
      <c r="I18" s="123"/>
      <c r="J18" s="215" t="s">
        <v>44</v>
      </c>
      <c r="K18" s="218">
        <f>+COUNTIF($G$22:$G$66,"MEJ")*2</f>
        <v>0</v>
      </c>
      <c r="L18" s="218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31</v>
      </c>
      <c r="D23" s="152">
        <v>6</v>
      </c>
      <c r="E23" s="152" t="s">
        <v>67</v>
      </c>
      <c r="F23" s="152" t="s">
        <v>526</v>
      </c>
      <c r="G23" s="153" t="s">
        <v>483</v>
      </c>
      <c r="H23" s="154" t="s">
        <v>620</v>
      </c>
      <c r="I23" s="155">
        <v>285</v>
      </c>
      <c r="J23" s="152">
        <v>76.7</v>
      </c>
      <c r="K23" s="156">
        <v>76.900000000000006</v>
      </c>
      <c r="L23" s="157">
        <f t="shared" ref="L23:L65" si="0">+J23+K23</f>
        <v>153.60000000000002</v>
      </c>
      <c r="M23" s="158">
        <f t="shared" ref="M23:M66" si="1">+L23/I23</f>
        <v>0.53894736842105273</v>
      </c>
      <c r="N23" s="122"/>
    </row>
    <row r="24" spans="2:14" x14ac:dyDescent="0.25">
      <c r="B24" s="121"/>
      <c r="C24" s="159">
        <v>32</v>
      </c>
      <c r="D24" s="159">
        <v>2</v>
      </c>
      <c r="E24" s="159" t="s">
        <v>68</v>
      </c>
      <c r="F24" s="159" t="s">
        <v>526</v>
      </c>
      <c r="G24" s="160" t="s">
        <v>483</v>
      </c>
      <c r="H24" s="161" t="s">
        <v>621</v>
      </c>
      <c r="I24" s="162">
        <v>298</v>
      </c>
      <c r="J24" s="159">
        <v>82.5</v>
      </c>
      <c r="K24" s="163">
        <v>84.7</v>
      </c>
      <c r="L24" s="164">
        <f t="shared" si="0"/>
        <v>167.2</v>
      </c>
      <c r="M24" s="165">
        <f t="shared" si="1"/>
        <v>0.56107382550335572</v>
      </c>
      <c r="N24" s="122"/>
    </row>
    <row r="25" spans="2:14" x14ac:dyDescent="0.25">
      <c r="B25" s="121"/>
      <c r="C25" s="159">
        <v>33</v>
      </c>
      <c r="D25" s="159">
        <v>3</v>
      </c>
      <c r="E25" s="159" t="s">
        <v>68</v>
      </c>
      <c r="F25" s="159" t="s">
        <v>526</v>
      </c>
      <c r="G25" s="160" t="s">
        <v>483</v>
      </c>
      <c r="H25" s="161" t="s">
        <v>622</v>
      </c>
      <c r="I25" s="162">
        <v>332</v>
      </c>
      <c r="J25" s="159">
        <v>91</v>
      </c>
      <c r="K25" s="163">
        <v>91.7</v>
      </c>
      <c r="L25" s="164">
        <f t="shared" si="0"/>
        <v>182.7</v>
      </c>
      <c r="M25" s="165">
        <f t="shared" si="1"/>
        <v>0.55030120481927702</v>
      </c>
      <c r="N25" s="122"/>
    </row>
    <row r="26" spans="2:14" x14ac:dyDescent="0.25">
      <c r="B26" s="121"/>
      <c r="C26" s="159">
        <v>34</v>
      </c>
      <c r="D26" s="159">
        <v>1</v>
      </c>
      <c r="E26" s="159" t="s">
        <v>67</v>
      </c>
      <c r="F26" s="159" t="s">
        <v>526</v>
      </c>
      <c r="G26" s="160" t="s">
        <v>42</v>
      </c>
      <c r="H26" s="161" t="s">
        <v>441</v>
      </c>
      <c r="I26" s="162">
        <v>325</v>
      </c>
      <c r="J26" s="159">
        <v>93.5</v>
      </c>
      <c r="K26" s="163">
        <v>95.2</v>
      </c>
      <c r="L26" s="164">
        <f t="shared" si="0"/>
        <v>188.7</v>
      </c>
      <c r="M26" s="165">
        <f t="shared" si="1"/>
        <v>0.58061538461538453</v>
      </c>
      <c r="N26" s="122"/>
    </row>
    <row r="27" spans="2:14" x14ac:dyDescent="0.25">
      <c r="B27" s="121"/>
      <c r="C27" s="159">
        <v>35</v>
      </c>
      <c r="D27" s="159">
        <v>5</v>
      </c>
      <c r="E27" s="159" t="s">
        <v>75</v>
      </c>
      <c r="F27" s="159" t="s">
        <v>526</v>
      </c>
      <c r="G27" s="160" t="s">
        <v>42</v>
      </c>
      <c r="H27" s="161" t="s">
        <v>623</v>
      </c>
      <c r="I27" s="162">
        <v>282</v>
      </c>
      <c r="J27" s="159">
        <v>75.5</v>
      </c>
      <c r="K27" s="163">
        <v>77.3</v>
      </c>
      <c r="L27" s="164">
        <f t="shared" si="0"/>
        <v>152.80000000000001</v>
      </c>
      <c r="M27" s="165">
        <f t="shared" si="1"/>
        <v>0.54184397163120568</v>
      </c>
      <c r="N27" s="122"/>
    </row>
    <row r="28" spans="2:14" x14ac:dyDescent="0.25">
      <c r="B28" s="121"/>
      <c r="C28" s="159">
        <v>36</v>
      </c>
      <c r="D28" s="159">
        <v>4</v>
      </c>
      <c r="E28" s="159" t="s">
        <v>75</v>
      </c>
      <c r="F28" s="159" t="s">
        <v>526</v>
      </c>
      <c r="G28" s="160" t="s">
        <v>483</v>
      </c>
      <c r="H28" s="161" t="s">
        <v>624</v>
      </c>
      <c r="I28" s="162">
        <v>317</v>
      </c>
      <c r="J28" s="159">
        <v>89.7</v>
      </c>
      <c r="K28" s="163">
        <v>91.3</v>
      </c>
      <c r="L28" s="164">
        <f t="shared" si="0"/>
        <v>181</v>
      </c>
      <c r="M28" s="165">
        <f t="shared" si="1"/>
        <v>0.57097791798107256</v>
      </c>
      <c r="N28" s="122"/>
    </row>
    <row r="29" spans="2:14" x14ac:dyDescent="0.25">
      <c r="B29" s="121"/>
      <c r="C29" s="160"/>
      <c r="D29" s="160"/>
      <c r="E29" s="160"/>
      <c r="F29" s="160"/>
      <c r="G29" s="160"/>
      <c r="H29" s="161"/>
      <c r="I29" s="162"/>
      <c r="J29" s="159"/>
      <c r="K29" s="163"/>
      <c r="L29" s="164">
        <f t="shared" si="0"/>
        <v>0</v>
      </c>
      <c r="M29" s="165" t="e">
        <f t="shared" si="1"/>
        <v>#DIV/0!</v>
      </c>
      <c r="N29" s="122"/>
    </row>
    <row r="30" spans="2:14" x14ac:dyDescent="0.25">
      <c r="B30" s="121"/>
      <c r="C30" s="160"/>
      <c r="D30" s="160"/>
      <c r="E30" s="160"/>
      <c r="F30" s="160"/>
      <c r="G30" s="160"/>
      <c r="H30" s="161"/>
      <c r="I30" s="162"/>
      <c r="J30" s="159"/>
      <c r="K30" s="163"/>
      <c r="L30" s="164">
        <f t="shared" si="0"/>
        <v>0</v>
      </c>
      <c r="M30" s="165" t="e">
        <f t="shared" si="1"/>
        <v>#DIV/0!</v>
      </c>
      <c r="N30" s="122"/>
    </row>
    <row r="31" spans="2:14" x14ac:dyDescent="0.25">
      <c r="B31" s="121"/>
      <c r="C31" s="159"/>
      <c r="D31" s="159"/>
      <c r="E31" s="159"/>
      <c r="F31" s="159"/>
      <c r="G31" s="160"/>
      <c r="H31" s="161"/>
      <c r="I31" s="162"/>
      <c r="J31" s="159"/>
      <c r="K31" s="163"/>
      <c r="L31" s="164">
        <f t="shared" si="0"/>
        <v>0</v>
      </c>
      <c r="M31" s="165" t="e">
        <f t="shared" si="1"/>
        <v>#DIV/0!</v>
      </c>
      <c r="N31" s="122"/>
    </row>
    <row r="32" spans="2:14" x14ac:dyDescent="0.25">
      <c r="B32" s="121"/>
      <c r="C32" s="159"/>
      <c r="D32" s="159"/>
      <c r="E32" s="159"/>
      <c r="F32" s="159"/>
      <c r="G32" s="160"/>
      <c r="H32" s="161"/>
      <c r="I32" s="162"/>
      <c r="J32" s="159"/>
      <c r="K32" s="163"/>
      <c r="L32" s="164">
        <f t="shared" si="0"/>
        <v>0</v>
      </c>
      <c r="M32" s="165" t="e">
        <f t="shared" si="1"/>
        <v>#DIV/0!</v>
      </c>
      <c r="N32" s="122"/>
    </row>
    <row r="33" spans="2:14" x14ac:dyDescent="0.25">
      <c r="B33" s="121"/>
      <c r="C33" s="160"/>
      <c r="D33" s="160"/>
      <c r="E33" s="160"/>
      <c r="F33" s="160"/>
      <c r="G33" s="160"/>
      <c r="H33" s="161"/>
      <c r="I33" s="162"/>
      <c r="J33" s="159"/>
      <c r="K33" s="163"/>
      <c r="L33" s="164">
        <f t="shared" si="0"/>
        <v>0</v>
      </c>
      <c r="M33" s="165" t="e">
        <f t="shared" si="1"/>
        <v>#DIV/0!</v>
      </c>
      <c r="N33" s="122"/>
    </row>
    <row r="34" spans="2:14" x14ac:dyDescent="0.25">
      <c r="B34" s="121"/>
      <c r="C34" s="159"/>
      <c r="D34" s="159"/>
      <c r="E34" s="159"/>
      <c r="F34" s="159"/>
      <c r="G34" s="160"/>
      <c r="H34" s="161"/>
      <c r="I34" s="162"/>
      <c r="J34" s="159"/>
      <c r="K34" s="166"/>
      <c r="L34" s="164">
        <f t="shared" si="0"/>
        <v>0</v>
      </c>
      <c r="M34" s="167" t="e">
        <f t="shared" si="1"/>
        <v>#DIV/0!</v>
      </c>
      <c r="N34" s="122"/>
    </row>
    <row r="35" spans="2:14" x14ac:dyDescent="0.25">
      <c r="B35" s="121"/>
      <c r="C35" s="159"/>
      <c r="D35" s="159"/>
      <c r="E35" s="159"/>
      <c r="F35" s="159"/>
      <c r="G35" s="160"/>
      <c r="H35" s="161"/>
      <c r="I35" s="162"/>
      <c r="J35" s="159"/>
      <c r="K35" s="163"/>
      <c r="L35" s="164">
        <f t="shared" si="0"/>
        <v>0</v>
      </c>
      <c r="M35" s="165" t="e">
        <f t="shared" si="1"/>
        <v>#DIV/0!</v>
      </c>
      <c r="N35" s="122"/>
    </row>
    <row r="36" spans="2:14" x14ac:dyDescent="0.25">
      <c r="B36" s="121"/>
      <c r="C36" s="159"/>
      <c r="D36" s="159"/>
      <c r="E36" s="159"/>
      <c r="F36" s="159"/>
      <c r="G36" s="160"/>
      <c r="H36" s="161"/>
      <c r="I36" s="162"/>
      <c r="J36" s="159"/>
      <c r="K36" s="163"/>
      <c r="L36" s="164">
        <f t="shared" si="0"/>
        <v>0</v>
      </c>
      <c r="M36" s="165" t="e">
        <f t="shared" si="1"/>
        <v>#DIV/0!</v>
      </c>
      <c r="N36" s="122"/>
    </row>
    <row r="37" spans="2:14" x14ac:dyDescent="0.25">
      <c r="B37" s="121"/>
      <c r="C37" s="159"/>
      <c r="D37" s="159"/>
      <c r="E37" s="159"/>
      <c r="F37" s="159"/>
      <c r="G37" s="160"/>
      <c r="H37" s="161"/>
      <c r="I37" s="162"/>
      <c r="J37" s="159"/>
      <c r="K37" s="163"/>
      <c r="L37" s="164">
        <f t="shared" si="0"/>
        <v>0</v>
      </c>
      <c r="M37" s="165" t="e">
        <f t="shared" si="1"/>
        <v>#DIV/0!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19"/>
      <c r="D66" s="219">
        <f>+COUNT($D$22:$D$65)</f>
        <v>6</v>
      </c>
      <c r="E66" s="219"/>
      <c r="F66" s="373"/>
      <c r="G66" s="373"/>
      <c r="H66" s="149"/>
      <c r="I66" s="148">
        <f>SUM($I$22:$I$65)</f>
        <v>1839</v>
      </c>
      <c r="J66" s="150">
        <f>SUM($J$22:$J$65)</f>
        <v>508.9</v>
      </c>
      <c r="K66" s="151">
        <f>SUM($K$22:$K$65)</f>
        <v>517.1</v>
      </c>
      <c r="L66" s="148">
        <f>SUM($L$22:$L$65)</f>
        <v>1026</v>
      </c>
      <c r="M66" s="178">
        <f t="shared" si="1"/>
        <v>0.55791190864600326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13.08</v>
      </c>
      <c r="I71" s="119">
        <v>12.56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6</v>
      </c>
      <c r="I72" s="119">
        <v>7.74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5</v>
      </c>
      <c r="I73" s="119">
        <v>21.5</v>
      </c>
      <c r="J73" s="181">
        <v>1</v>
      </c>
      <c r="K73" s="185">
        <v>4.9800000000000004</v>
      </c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6</v>
      </c>
      <c r="I74" s="119">
        <v>5.84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4.78</v>
      </c>
      <c r="I75" s="119">
        <v>4.5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12</v>
      </c>
      <c r="I76" s="119">
        <v>4.4800000000000004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24</v>
      </c>
      <c r="I77" s="119">
        <v>3.36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6</v>
      </c>
      <c r="I78" s="119">
        <v>4.0199999999999996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6</v>
      </c>
      <c r="I79" s="119">
        <v>3.06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7.2</v>
      </c>
      <c r="I80" s="119">
        <v>6.92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6</v>
      </c>
      <c r="I81" s="119">
        <v>7.08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6</v>
      </c>
      <c r="I82" s="119">
        <v>1.88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3.9</v>
      </c>
      <c r="I83" s="119">
        <v>3.64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86.58</v>
      </c>
      <c r="J84" s="187">
        <f>SUM(J71:J83)</f>
        <v>1</v>
      </c>
      <c r="K84" s="186">
        <f>SUM(K71:K83)</f>
        <v>4.9800000000000004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6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82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102"/>
  <sheetViews>
    <sheetView view="pageBreakPreview" zoomScale="60" zoomScaleNormal="90" workbookViewId="0">
      <selection activeCell="Q12" sqref="Q12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+M73</f>
        <v>0.54573988882499525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+L73/D73</f>
        <v>227.77000000000004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677</v>
      </c>
      <c r="F8" s="344"/>
      <c r="G8" s="344"/>
      <c r="H8" s="345"/>
      <c r="I8" s="146" t="s">
        <v>487</v>
      </c>
      <c r="J8" s="346" t="s">
        <v>678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69057</v>
      </c>
      <c r="F9" s="344"/>
      <c r="G9" s="344"/>
      <c r="H9" s="345"/>
      <c r="I9" s="146" t="s">
        <v>88</v>
      </c>
      <c r="J9" s="209" t="s">
        <v>679</v>
      </c>
      <c r="K9" s="220" t="s">
        <v>490</v>
      </c>
      <c r="L9" s="369">
        <v>2600077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21" t="s">
        <v>569</v>
      </c>
      <c r="E12" s="342">
        <v>46038</v>
      </c>
      <c r="F12" s="342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26</v>
      </c>
      <c r="F13" s="349"/>
      <c r="H13" s="117"/>
      <c r="I13" s="123"/>
      <c r="J13" s="215" t="s">
        <v>483</v>
      </c>
      <c r="K13" s="222">
        <f>+COUNTIF($G$22:$G$73,"VQ")*2</f>
        <v>40</v>
      </c>
      <c r="L13" s="222">
        <f>+SUMIF($G$23:$G$72,"VQ",$L$23:$L$72)</f>
        <v>4192.8999999999996</v>
      </c>
      <c r="N13" s="122"/>
    </row>
    <row r="14" spans="2:14" x14ac:dyDescent="0.25">
      <c r="B14" s="121"/>
      <c r="C14" s="348" t="s">
        <v>478</v>
      </c>
      <c r="D14" s="348"/>
      <c r="E14" s="350">
        <f>+D73</f>
        <v>50</v>
      </c>
      <c r="F14" s="350"/>
      <c r="H14" s="117"/>
      <c r="I14" s="123"/>
      <c r="J14" s="215" t="s">
        <v>42</v>
      </c>
      <c r="K14" s="222">
        <f>+COUNTIF($G$22:$G$73,"NT")*2</f>
        <v>60</v>
      </c>
      <c r="L14" s="222">
        <f>+SUMIF($G$23:$G$72,"NT",$L$23:$L$72)</f>
        <v>7195.6000000000013</v>
      </c>
      <c r="N14" s="122"/>
    </row>
    <row r="15" spans="2:14" x14ac:dyDescent="0.25">
      <c r="B15" s="121"/>
      <c r="C15" s="348" t="s">
        <v>479</v>
      </c>
      <c r="D15" s="348"/>
      <c r="E15" s="351">
        <f>+I73</f>
        <v>20868</v>
      </c>
      <c r="F15" s="350"/>
      <c r="H15" s="117"/>
      <c r="I15" s="123"/>
      <c r="J15" s="215" t="s">
        <v>484</v>
      </c>
      <c r="K15" s="222">
        <f>+COUNTIF($G$22:$G$73,"NO")*2</f>
        <v>0</v>
      </c>
      <c r="L15" s="222">
        <f>+SUMIF($G$23:$G$72,"NO",$L$23:$L$72)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+L73</f>
        <v>11388.500000000002</v>
      </c>
      <c r="F16" s="350"/>
      <c r="H16" s="117"/>
      <c r="I16" s="123"/>
      <c r="J16" s="215" t="s">
        <v>485</v>
      </c>
      <c r="K16" s="222">
        <f>+COUNTIF($G$22:$G$73,"TO")*2</f>
        <v>0</v>
      </c>
      <c r="L16" s="222">
        <f>+SUMIF($G$23:$G$72,"TO",$L$23:$L$72)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+M73</f>
        <v>0.54573988882499525</v>
      </c>
      <c r="F17" s="350"/>
      <c r="G17" s="124"/>
      <c r="H17" s="125"/>
      <c r="I17" s="123"/>
      <c r="J17" s="215" t="s">
        <v>486</v>
      </c>
      <c r="K17" s="222">
        <f>+COUNTIF($G$22:$G$73,"VA")*2</f>
        <v>0</v>
      </c>
      <c r="L17" s="222">
        <f>+SUMIF($G$23:$G$72,"VA",$L$23:$L$72)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+L73/D73</f>
        <v>227.77000000000004</v>
      </c>
      <c r="F18" s="353"/>
      <c r="G18" s="124"/>
      <c r="H18" s="125"/>
      <c r="I18" s="123"/>
      <c r="J18" s="215" t="s">
        <v>44</v>
      </c>
      <c r="K18" s="222">
        <f>+COUNTIF($G$22:$G$73,"MEJ")*2</f>
        <v>0</v>
      </c>
      <c r="L18" s="222">
        <f>+SUMIF($G$23:$G$72,"MEJ",$L$23:$L$72)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</v>
      </c>
      <c r="D23" s="152">
        <v>9</v>
      </c>
      <c r="E23" s="152" t="s">
        <v>68</v>
      </c>
      <c r="F23" s="152" t="s">
        <v>617</v>
      </c>
      <c r="G23" s="153" t="s">
        <v>42</v>
      </c>
      <c r="H23" s="154" t="s">
        <v>629</v>
      </c>
      <c r="I23" s="155">
        <v>407</v>
      </c>
      <c r="J23" s="152">
        <v>117.2</v>
      </c>
      <c r="K23" s="156">
        <v>118.4</v>
      </c>
      <c r="L23" s="157">
        <f t="shared" ref="L23:L72" si="0">+J23+K23</f>
        <v>235.60000000000002</v>
      </c>
      <c r="M23" s="158">
        <f t="shared" ref="M23:M72" si="1">+L23/I23</f>
        <v>0.57886977886977897</v>
      </c>
      <c r="N23" s="122"/>
    </row>
    <row r="24" spans="2:14" x14ac:dyDescent="0.25">
      <c r="B24" s="121"/>
      <c r="C24" s="159">
        <v>2</v>
      </c>
      <c r="D24" s="159">
        <v>18</v>
      </c>
      <c r="E24" s="159" t="s">
        <v>67</v>
      </c>
      <c r="F24" s="159" t="s">
        <v>676</v>
      </c>
      <c r="G24" s="160" t="s">
        <v>483</v>
      </c>
      <c r="H24" s="161" t="s">
        <v>630</v>
      </c>
      <c r="I24" s="162">
        <v>368</v>
      </c>
      <c r="J24" s="159">
        <v>102.1</v>
      </c>
      <c r="K24" s="163">
        <v>102.4</v>
      </c>
      <c r="L24" s="164">
        <f t="shared" si="0"/>
        <v>204.5</v>
      </c>
      <c r="M24" s="165">
        <f t="shared" si="1"/>
        <v>0.55570652173913049</v>
      </c>
      <c r="N24" s="122"/>
    </row>
    <row r="25" spans="2:14" x14ac:dyDescent="0.25">
      <c r="B25" s="121"/>
      <c r="C25" s="159">
        <v>3</v>
      </c>
      <c r="D25" s="159">
        <v>11</v>
      </c>
      <c r="E25" s="159" t="s">
        <v>75</v>
      </c>
      <c r="F25" s="159" t="s">
        <v>617</v>
      </c>
      <c r="G25" s="160" t="s">
        <v>42</v>
      </c>
      <c r="H25" s="161" t="s">
        <v>246</v>
      </c>
      <c r="I25" s="162">
        <v>410</v>
      </c>
      <c r="J25" s="159">
        <v>115.4</v>
      </c>
      <c r="K25" s="163">
        <v>116.6</v>
      </c>
      <c r="L25" s="164">
        <f t="shared" si="0"/>
        <v>232</v>
      </c>
      <c r="M25" s="165">
        <f t="shared" si="1"/>
        <v>0.56585365853658531</v>
      </c>
      <c r="N25" s="122"/>
    </row>
    <row r="26" spans="2:14" x14ac:dyDescent="0.25">
      <c r="B26" s="121"/>
      <c r="C26" s="159">
        <v>4</v>
      </c>
      <c r="D26" s="159">
        <v>8</v>
      </c>
      <c r="E26" s="159" t="s">
        <v>68</v>
      </c>
      <c r="F26" s="159" t="s">
        <v>617</v>
      </c>
      <c r="G26" s="160" t="s">
        <v>483</v>
      </c>
      <c r="H26" s="161" t="s">
        <v>631</v>
      </c>
      <c r="I26" s="162">
        <v>394</v>
      </c>
      <c r="J26" s="159">
        <v>106.6</v>
      </c>
      <c r="K26" s="163">
        <v>107.1</v>
      </c>
      <c r="L26" s="164">
        <f t="shared" si="0"/>
        <v>213.7</v>
      </c>
      <c r="M26" s="165">
        <f t="shared" si="1"/>
        <v>0.54238578680203042</v>
      </c>
      <c r="N26" s="122"/>
    </row>
    <row r="27" spans="2:14" x14ac:dyDescent="0.25">
      <c r="B27" s="121"/>
      <c r="C27" s="159">
        <v>5</v>
      </c>
      <c r="D27" s="159">
        <v>3</v>
      </c>
      <c r="E27" s="159" t="s">
        <v>75</v>
      </c>
      <c r="F27" s="159" t="s">
        <v>617</v>
      </c>
      <c r="G27" s="160" t="s">
        <v>42</v>
      </c>
      <c r="H27" s="161" t="s">
        <v>632</v>
      </c>
      <c r="I27" s="162">
        <v>474</v>
      </c>
      <c r="J27" s="159">
        <v>127.3</v>
      </c>
      <c r="K27" s="163">
        <v>127.9</v>
      </c>
      <c r="L27" s="164">
        <f t="shared" si="0"/>
        <v>255.2</v>
      </c>
      <c r="M27" s="165">
        <f t="shared" si="1"/>
        <v>0.53839662447257386</v>
      </c>
      <c r="N27" s="122"/>
    </row>
    <row r="28" spans="2:14" x14ac:dyDescent="0.25">
      <c r="B28" s="121"/>
      <c r="C28" s="159">
        <v>6</v>
      </c>
      <c r="D28" s="159">
        <v>4</v>
      </c>
      <c r="E28" s="159" t="s">
        <v>68</v>
      </c>
      <c r="F28" s="159" t="s">
        <v>617</v>
      </c>
      <c r="G28" s="160" t="s">
        <v>483</v>
      </c>
      <c r="H28" s="161" t="s">
        <v>633</v>
      </c>
      <c r="I28" s="162">
        <v>369</v>
      </c>
      <c r="J28" s="159">
        <v>97.9</v>
      </c>
      <c r="K28" s="163">
        <v>98.5</v>
      </c>
      <c r="L28" s="164">
        <f t="shared" si="0"/>
        <v>196.4</v>
      </c>
      <c r="M28" s="165">
        <f t="shared" si="1"/>
        <v>0.53224932249322499</v>
      </c>
      <c r="N28" s="122"/>
    </row>
    <row r="29" spans="2:14" x14ac:dyDescent="0.25">
      <c r="B29" s="121"/>
      <c r="C29" s="160">
        <v>7</v>
      </c>
      <c r="D29" s="160">
        <v>16</v>
      </c>
      <c r="E29" s="160" t="s">
        <v>68</v>
      </c>
      <c r="F29" s="159" t="s">
        <v>617</v>
      </c>
      <c r="G29" s="160" t="s">
        <v>42</v>
      </c>
      <c r="H29" s="161" t="s">
        <v>634</v>
      </c>
      <c r="I29" s="162">
        <v>443</v>
      </c>
      <c r="J29" s="159">
        <v>123.8</v>
      </c>
      <c r="K29" s="163">
        <v>126.6</v>
      </c>
      <c r="L29" s="164">
        <f t="shared" si="0"/>
        <v>250.39999999999998</v>
      </c>
      <c r="M29" s="165">
        <f t="shared" si="1"/>
        <v>0.56523702031602707</v>
      </c>
      <c r="N29" s="122"/>
    </row>
    <row r="30" spans="2:14" x14ac:dyDescent="0.25">
      <c r="B30" s="121"/>
      <c r="C30" s="160">
        <v>8</v>
      </c>
      <c r="D30" s="160">
        <v>7</v>
      </c>
      <c r="E30" s="160" t="s">
        <v>68</v>
      </c>
      <c r="F30" s="159" t="s">
        <v>617</v>
      </c>
      <c r="G30" s="160" t="s">
        <v>42</v>
      </c>
      <c r="H30" s="161" t="s">
        <v>635</v>
      </c>
      <c r="I30" s="162">
        <v>415</v>
      </c>
      <c r="J30" s="159">
        <v>114.4</v>
      </c>
      <c r="K30" s="163">
        <v>117.3</v>
      </c>
      <c r="L30" s="164">
        <f t="shared" si="0"/>
        <v>231.7</v>
      </c>
      <c r="M30" s="165">
        <f t="shared" si="1"/>
        <v>0.55831325301204815</v>
      </c>
      <c r="N30" s="122"/>
    </row>
    <row r="31" spans="2:14" x14ac:dyDescent="0.25">
      <c r="B31" s="121"/>
      <c r="C31" s="159">
        <v>9</v>
      </c>
      <c r="D31" s="159">
        <v>2</v>
      </c>
      <c r="E31" s="159" t="s">
        <v>68</v>
      </c>
      <c r="F31" s="159" t="s">
        <v>617</v>
      </c>
      <c r="G31" s="160" t="s">
        <v>483</v>
      </c>
      <c r="H31" s="161" t="s">
        <v>636</v>
      </c>
      <c r="I31" s="162">
        <v>367</v>
      </c>
      <c r="J31" s="159">
        <v>97.5</v>
      </c>
      <c r="K31" s="163">
        <v>99.3</v>
      </c>
      <c r="L31" s="164">
        <f t="shared" si="0"/>
        <v>196.8</v>
      </c>
      <c r="M31" s="165">
        <f t="shared" si="1"/>
        <v>0.53623978201634881</v>
      </c>
      <c r="N31" s="122"/>
    </row>
    <row r="32" spans="2:14" x14ac:dyDescent="0.25">
      <c r="B32" s="121"/>
      <c r="C32" s="159">
        <v>10</v>
      </c>
      <c r="D32" s="159">
        <v>1</v>
      </c>
      <c r="E32" s="159" t="s">
        <v>68</v>
      </c>
      <c r="F32" s="159" t="s">
        <v>617</v>
      </c>
      <c r="G32" s="160" t="s">
        <v>42</v>
      </c>
      <c r="H32" s="161" t="s">
        <v>637</v>
      </c>
      <c r="I32" s="162">
        <v>455</v>
      </c>
      <c r="J32" s="159">
        <v>125.3</v>
      </c>
      <c r="K32" s="163">
        <v>126.1</v>
      </c>
      <c r="L32" s="164">
        <f t="shared" si="0"/>
        <v>251.39999999999998</v>
      </c>
      <c r="M32" s="165">
        <f t="shared" si="1"/>
        <v>0.55252747252747247</v>
      </c>
      <c r="N32" s="122"/>
    </row>
    <row r="33" spans="2:14" x14ac:dyDescent="0.25">
      <c r="B33" s="121"/>
      <c r="C33" s="160">
        <v>11</v>
      </c>
      <c r="D33" s="160">
        <v>20</v>
      </c>
      <c r="E33" s="160" t="s">
        <v>75</v>
      </c>
      <c r="F33" s="159" t="s">
        <v>617</v>
      </c>
      <c r="G33" s="160" t="s">
        <v>42</v>
      </c>
      <c r="H33" s="161" t="s">
        <v>520</v>
      </c>
      <c r="I33" s="162">
        <v>433</v>
      </c>
      <c r="J33" s="159">
        <v>119.6</v>
      </c>
      <c r="K33" s="163">
        <v>119.6</v>
      </c>
      <c r="L33" s="164">
        <f t="shared" si="0"/>
        <v>239.2</v>
      </c>
      <c r="M33" s="165">
        <f t="shared" si="1"/>
        <v>0.55242494226327943</v>
      </c>
      <c r="N33" s="122"/>
    </row>
    <row r="34" spans="2:14" x14ac:dyDescent="0.25">
      <c r="B34" s="121"/>
      <c r="C34" s="159">
        <v>12</v>
      </c>
      <c r="D34" s="159">
        <v>24</v>
      </c>
      <c r="E34" s="159" t="s">
        <v>68</v>
      </c>
      <c r="F34" s="159" t="s">
        <v>617</v>
      </c>
      <c r="G34" s="160" t="s">
        <v>483</v>
      </c>
      <c r="H34" s="161" t="s">
        <v>638</v>
      </c>
      <c r="I34" s="162">
        <v>372</v>
      </c>
      <c r="J34" s="159">
        <v>99.7</v>
      </c>
      <c r="K34" s="166">
        <v>99.6</v>
      </c>
      <c r="L34" s="164">
        <f t="shared" si="0"/>
        <v>199.3</v>
      </c>
      <c r="M34" s="167">
        <f t="shared" si="1"/>
        <v>0.53575268817204302</v>
      </c>
      <c r="N34" s="122"/>
    </row>
    <row r="35" spans="2:14" x14ac:dyDescent="0.25">
      <c r="B35" s="121"/>
      <c r="C35" s="159">
        <v>13</v>
      </c>
      <c r="D35" s="159">
        <v>23</v>
      </c>
      <c r="E35" s="159" t="s">
        <v>75</v>
      </c>
      <c r="F35" s="159" t="s">
        <v>617</v>
      </c>
      <c r="G35" s="160" t="s">
        <v>42</v>
      </c>
      <c r="H35" s="161" t="s">
        <v>639</v>
      </c>
      <c r="I35" s="162">
        <v>416</v>
      </c>
      <c r="J35" s="159">
        <v>112.1</v>
      </c>
      <c r="K35" s="163">
        <v>113.2</v>
      </c>
      <c r="L35" s="164">
        <f t="shared" si="0"/>
        <v>225.3</v>
      </c>
      <c r="M35" s="165">
        <f t="shared" si="1"/>
        <v>0.54158653846153848</v>
      </c>
      <c r="N35" s="122"/>
    </row>
    <row r="36" spans="2:14" x14ac:dyDescent="0.25">
      <c r="B36" s="121"/>
      <c r="C36" s="159">
        <v>14</v>
      </c>
      <c r="D36" s="159">
        <v>12</v>
      </c>
      <c r="E36" s="159" t="s">
        <v>68</v>
      </c>
      <c r="F36" s="159" t="s">
        <v>617</v>
      </c>
      <c r="G36" s="160" t="s">
        <v>42</v>
      </c>
      <c r="H36" s="161" t="s">
        <v>640</v>
      </c>
      <c r="I36" s="162">
        <v>355</v>
      </c>
      <c r="J36" s="159">
        <v>98.8</v>
      </c>
      <c r="K36" s="163">
        <v>98.6</v>
      </c>
      <c r="L36" s="164">
        <f t="shared" si="0"/>
        <v>197.39999999999998</v>
      </c>
      <c r="M36" s="165">
        <f t="shared" si="1"/>
        <v>0.55605633802816889</v>
      </c>
      <c r="N36" s="122"/>
    </row>
    <row r="37" spans="2:14" x14ac:dyDescent="0.25">
      <c r="B37" s="121"/>
      <c r="C37" s="159">
        <v>15</v>
      </c>
      <c r="D37" s="159">
        <v>10</v>
      </c>
      <c r="E37" s="159" t="s">
        <v>75</v>
      </c>
      <c r="F37" s="159" t="s">
        <v>617</v>
      </c>
      <c r="G37" s="160" t="s">
        <v>42</v>
      </c>
      <c r="H37" s="161" t="s">
        <v>641</v>
      </c>
      <c r="I37" s="162">
        <v>461</v>
      </c>
      <c r="J37" s="159">
        <v>119</v>
      </c>
      <c r="K37" s="163">
        <v>117.8</v>
      </c>
      <c r="L37" s="164">
        <f t="shared" si="0"/>
        <v>236.8</v>
      </c>
      <c r="M37" s="165">
        <f t="shared" si="1"/>
        <v>0.5136659436008677</v>
      </c>
      <c r="N37" s="122"/>
    </row>
    <row r="38" spans="2:14" x14ac:dyDescent="0.25">
      <c r="B38" s="121"/>
      <c r="C38" s="159">
        <v>16</v>
      </c>
      <c r="D38" s="159">
        <v>6</v>
      </c>
      <c r="E38" s="159" t="s">
        <v>67</v>
      </c>
      <c r="F38" s="159" t="s">
        <v>617</v>
      </c>
      <c r="G38" s="159" t="s">
        <v>483</v>
      </c>
      <c r="H38" s="168" t="s">
        <v>642</v>
      </c>
      <c r="I38" s="169">
        <v>381</v>
      </c>
      <c r="J38" s="159">
        <v>102.7</v>
      </c>
      <c r="K38" s="163">
        <v>104</v>
      </c>
      <c r="L38" s="164">
        <f t="shared" si="0"/>
        <v>206.7</v>
      </c>
      <c r="M38" s="165">
        <f t="shared" si="1"/>
        <v>0.54251968503937009</v>
      </c>
      <c r="N38" s="122"/>
    </row>
    <row r="39" spans="2:14" x14ac:dyDescent="0.25">
      <c r="B39" s="121"/>
      <c r="C39" s="159">
        <v>17</v>
      </c>
      <c r="D39" s="159">
        <v>19</v>
      </c>
      <c r="E39" s="159" t="s">
        <v>68</v>
      </c>
      <c r="F39" s="159" t="s">
        <v>617</v>
      </c>
      <c r="G39" s="160" t="s">
        <v>483</v>
      </c>
      <c r="H39" s="161" t="s">
        <v>643</v>
      </c>
      <c r="I39" s="162">
        <v>385</v>
      </c>
      <c r="J39" s="159">
        <v>101.3</v>
      </c>
      <c r="K39" s="163">
        <v>103.5</v>
      </c>
      <c r="L39" s="164">
        <f t="shared" si="0"/>
        <v>204.8</v>
      </c>
      <c r="M39" s="165">
        <f t="shared" si="1"/>
        <v>0.53194805194805195</v>
      </c>
      <c r="N39" s="122"/>
    </row>
    <row r="40" spans="2:14" x14ac:dyDescent="0.25">
      <c r="B40" s="121"/>
      <c r="C40" s="159">
        <v>18</v>
      </c>
      <c r="D40" s="159">
        <v>22</v>
      </c>
      <c r="E40" s="159" t="s">
        <v>68</v>
      </c>
      <c r="F40" s="159" t="s">
        <v>617</v>
      </c>
      <c r="G40" s="160" t="s">
        <v>483</v>
      </c>
      <c r="H40" s="161" t="s">
        <v>644</v>
      </c>
      <c r="I40" s="162">
        <v>384</v>
      </c>
      <c r="J40" s="159">
        <v>106.9</v>
      </c>
      <c r="K40" s="163">
        <v>106.4</v>
      </c>
      <c r="L40" s="164">
        <f t="shared" si="0"/>
        <v>213.3</v>
      </c>
      <c r="M40" s="165">
        <f t="shared" si="1"/>
        <v>0.55546875000000007</v>
      </c>
      <c r="N40" s="122"/>
    </row>
    <row r="41" spans="2:14" x14ac:dyDescent="0.25">
      <c r="B41" s="121"/>
      <c r="C41" s="159">
        <v>19</v>
      </c>
      <c r="D41" s="159">
        <v>17</v>
      </c>
      <c r="E41" s="159" t="s">
        <v>75</v>
      </c>
      <c r="F41" s="159" t="s">
        <v>617</v>
      </c>
      <c r="G41" s="160" t="s">
        <v>42</v>
      </c>
      <c r="H41" s="161" t="s">
        <v>645</v>
      </c>
      <c r="I41" s="162">
        <v>475</v>
      </c>
      <c r="J41" s="159">
        <v>125.5</v>
      </c>
      <c r="K41" s="163">
        <v>127.9</v>
      </c>
      <c r="L41" s="164">
        <f t="shared" si="0"/>
        <v>253.4</v>
      </c>
      <c r="M41" s="165">
        <f t="shared" si="1"/>
        <v>0.53347368421052632</v>
      </c>
      <c r="N41" s="122"/>
    </row>
    <row r="42" spans="2:14" x14ac:dyDescent="0.25">
      <c r="B42" s="121"/>
      <c r="C42" s="160">
        <v>20</v>
      </c>
      <c r="D42" s="160">
        <v>14</v>
      </c>
      <c r="E42" s="160" t="s">
        <v>68</v>
      </c>
      <c r="F42" s="159" t="s">
        <v>617</v>
      </c>
      <c r="G42" s="160" t="s">
        <v>42</v>
      </c>
      <c r="H42" s="161" t="s">
        <v>646</v>
      </c>
      <c r="I42" s="162">
        <v>424</v>
      </c>
      <c r="J42" s="159">
        <v>112.9</v>
      </c>
      <c r="K42" s="163">
        <v>114.4</v>
      </c>
      <c r="L42" s="164">
        <f t="shared" si="0"/>
        <v>227.3</v>
      </c>
      <c r="M42" s="165">
        <f t="shared" si="1"/>
        <v>0.53608490566037736</v>
      </c>
      <c r="N42" s="122"/>
    </row>
    <row r="43" spans="2:14" x14ac:dyDescent="0.25">
      <c r="B43" s="121"/>
      <c r="C43" s="159">
        <v>21</v>
      </c>
      <c r="D43" s="159">
        <v>21</v>
      </c>
      <c r="E43" s="159" t="s">
        <v>68</v>
      </c>
      <c r="F43" s="159" t="s">
        <v>617</v>
      </c>
      <c r="G43" s="160" t="s">
        <v>483</v>
      </c>
      <c r="H43" s="161" t="s">
        <v>647</v>
      </c>
      <c r="I43" s="162">
        <v>414</v>
      </c>
      <c r="J43" s="159">
        <v>108.1</v>
      </c>
      <c r="K43" s="163">
        <v>108.6</v>
      </c>
      <c r="L43" s="164">
        <f t="shared" si="0"/>
        <v>216.7</v>
      </c>
      <c r="M43" s="165">
        <f t="shared" si="1"/>
        <v>0.52342995169082118</v>
      </c>
      <c r="N43" s="122"/>
    </row>
    <row r="44" spans="2:14" x14ac:dyDescent="0.25">
      <c r="B44" s="121"/>
      <c r="C44" s="160">
        <v>22</v>
      </c>
      <c r="D44" s="160">
        <v>5</v>
      </c>
      <c r="E44" s="160" t="s">
        <v>75</v>
      </c>
      <c r="F44" s="159" t="s">
        <v>617</v>
      </c>
      <c r="G44" s="160" t="s">
        <v>42</v>
      </c>
      <c r="H44" s="161" t="s">
        <v>648</v>
      </c>
      <c r="I44" s="162">
        <v>425</v>
      </c>
      <c r="J44" s="159">
        <v>114.8</v>
      </c>
      <c r="K44" s="163">
        <v>115</v>
      </c>
      <c r="L44" s="164">
        <f t="shared" si="0"/>
        <v>229.8</v>
      </c>
      <c r="M44" s="165">
        <f t="shared" si="1"/>
        <v>0.54070588235294126</v>
      </c>
      <c r="N44" s="122"/>
    </row>
    <row r="45" spans="2:14" x14ac:dyDescent="0.25">
      <c r="B45" s="121"/>
      <c r="C45" s="160">
        <v>23</v>
      </c>
      <c r="D45" s="160">
        <v>15</v>
      </c>
      <c r="E45" s="160" t="s">
        <v>68</v>
      </c>
      <c r="F45" s="159" t="s">
        <v>617</v>
      </c>
      <c r="G45" s="160" t="s">
        <v>42</v>
      </c>
      <c r="H45" s="161" t="s">
        <v>248</v>
      </c>
      <c r="I45" s="162">
        <v>429</v>
      </c>
      <c r="J45" s="159">
        <v>120.6</v>
      </c>
      <c r="K45" s="163">
        <v>121.8</v>
      </c>
      <c r="L45" s="164">
        <f t="shared" si="0"/>
        <v>242.39999999999998</v>
      </c>
      <c r="M45" s="165">
        <f t="shared" si="1"/>
        <v>0.56503496503496498</v>
      </c>
      <c r="N45" s="122"/>
    </row>
    <row r="46" spans="2:14" x14ac:dyDescent="0.25">
      <c r="B46" s="121"/>
      <c r="C46" s="160">
        <v>24</v>
      </c>
      <c r="D46" s="160">
        <v>13</v>
      </c>
      <c r="E46" s="160" t="s">
        <v>68</v>
      </c>
      <c r="F46" s="159" t="s">
        <v>617</v>
      </c>
      <c r="G46" s="160" t="s">
        <v>42</v>
      </c>
      <c r="H46" s="161" t="s">
        <v>649</v>
      </c>
      <c r="I46" s="162">
        <v>437</v>
      </c>
      <c r="J46" s="159">
        <v>114.9</v>
      </c>
      <c r="K46" s="163">
        <v>114.9</v>
      </c>
      <c r="L46" s="164">
        <f t="shared" si="0"/>
        <v>229.8</v>
      </c>
      <c r="M46" s="165">
        <f t="shared" si="1"/>
        <v>0.52585812356979411</v>
      </c>
      <c r="N46" s="122"/>
    </row>
    <row r="47" spans="2:14" x14ac:dyDescent="0.25">
      <c r="B47" s="121"/>
      <c r="C47" s="160">
        <v>25</v>
      </c>
      <c r="D47" s="160">
        <v>25</v>
      </c>
      <c r="E47" s="160" t="s">
        <v>68</v>
      </c>
      <c r="F47" s="159" t="s">
        <v>617</v>
      </c>
      <c r="G47" s="160" t="s">
        <v>483</v>
      </c>
      <c r="H47" s="161" t="s">
        <v>650</v>
      </c>
      <c r="I47" s="162">
        <v>409</v>
      </c>
      <c r="J47" s="159">
        <v>113.6</v>
      </c>
      <c r="K47" s="163">
        <v>113.6</v>
      </c>
      <c r="L47" s="164">
        <f t="shared" si="0"/>
        <v>227.2</v>
      </c>
      <c r="M47" s="165">
        <f t="shared" si="1"/>
        <v>0.55550122249388745</v>
      </c>
      <c r="N47" s="122"/>
    </row>
    <row r="48" spans="2:14" x14ac:dyDescent="0.25">
      <c r="B48" s="121"/>
      <c r="C48" s="160">
        <v>26</v>
      </c>
      <c r="D48" s="160">
        <v>43</v>
      </c>
      <c r="E48" s="160" t="s">
        <v>68</v>
      </c>
      <c r="F48" s="159" t="s">
        <v>617</v>
      </c>
      <c r="G48" s="160" t="s">
        <v>483</v>
      </c>
      <c r="H48" s="161" t="s">
        <v>651</v>
      </c>
      <c r="I48" s="162">
        <v>379</v>
      </c>
      <c r="J48" s="159">
        <v>109.6</v>
      </c>
      <c r="K48" s="163">
        <v>110.8</v>
      </c>
      <c r="L48" s="164">
        <f t="shared" si="0"/>
        <v>220.39999999999998</v>
      </c>
      <c r="M48" s="165">
        <f t="shared" si="1"/>
        <v>0.58153034300791551</v>
      </c>
      <c r="N48" s="122"/>
    </row>
    <row r="49" spans="2:14" x14ac:dyDescent="0.25">
      <c r="B49" s="121"/>
      <c r="C49" s="160">
        <v>27</v>
      </c>
      <c r="D49" s="160">
        <v>33</v>
      </c>
      <c r="E49" s="160" t="s">
        <v>75</v>
      </c>
      <c r="F49" s="159" t="s">
        <v>617</v>
      </c>
      <c r="G49" s="160" t="s">
        <v>42</v>
      </c>
      <c r="H49" s="161" t="s">
        <v>652</v>
      </c>
      <c r="I49" s="162">
        <v>476</v>
      </c>
      <c r="J49" s="159">
        <v>134.4</v>
      </c>
      <c r="K49" s="163">
        <v>135.1</v>
      </c>
      <c r="L49" s="164">
        <f t="shared" si="0"/>
        <v>269.5</v>
      </c>
      <c r="M49" s="165">
        <f t="shared" si="1"/>
        <v>0.56617647058823528</v>
      </c>
      <c r="N49" s="122"/>
    </row>
    <row r="50" spans="2:14" x14ac:dyDescent="0.25">
      <c r="B50" s="121"/>
      <c r="C50" s="160">
        <v>28</v>
      </c>
      <c r="D50" s="160">
        <v>41</v>
      </c>
      <c r="E50" s="160" t="s">
        <v>75</v>
      </c>
      <c r="F50" s="159" t="s">
        <v>617</v>
      </c>
      <c r="G50" s="160" t="s">
        <v>42</v>
      </c>
      <c r="H50" s="161" t="s">
        <v>653</v>
      </c>
      <c r="I50" s="162">
        <v>441</v>
      </c>
      <c r="J50" s="159">
        <v>119.6</v>
      </c>
      <c r="K50" s="163">
        <v>118.4</v>
      </c>
      <c r="L50" s="164">
        <f t="shared" ref="L50:L56" si="2">+J50+K50</f>
        <v>238</v>
      </c>
      <c r="M50" s="165">
        <f t="shared" ref="M50:M56" si="3">+L50/I50</f>
        <v>0.53968253968253965</v>
      </c>
      <c r="N50" s="122"/>
    </row>
    <row r="51" spans="2:14" x14ac:dyDescent="0.25">
      <c r="B51" s="121"/>
      <c r="C51" s="160">
        <v>29</v>
      </c>
      <c r="D51" s="160">
        <v>36</v>
      </c>
      <c r="E51" s="160" t="s">
        <v>68</v>
      </c>
      <c r="F51" s="159" t="s">
        <v>617</v>
      </c>
      <c r="G51" s="160" t="s">
        <v>42</v>
      </c>
      <c r="H51" s="161" t="s">
        <v>654</v>
      </c>
      <c r="I51" s="162">
        <v>449</v>
      </c>
      <c r="J51" s="159">
        <v>123.2</v>
      </c>
      <c r="K51" s="163">
        <v>122.4</v>
      </c>
      <c r="L51" s="164">
        <f t="shared" si="2"/>
        <v>245.60000000000002</v>
      </c>
      <c r="M51" s="165">
        <f t="shared" si="3"/>
        <v>0.54699331848552346</v>
      </c>
      <c r="N51" s="122"/>
    </row>
    <row r="52" spans="2:14" x14ac:dyDescent="0.25">
      <c r="B52" s="121"/>
      <c r="C52" s="160">
        <v>30</v>
      </c>
      <c r="D52" s="160">
        <v>47</v>
      </c>
      <c r="E52" s="160" t="s">
        <v>68</v>
      </c>
      <c r="F52" s="159" t="s">
        <v>617</v>
      </c>
      <c r="G52" s="160" t="s">
        <v>483</v>
      </c>
      <c r="H52" s="161" t="s">
        <v>655</v>
      </c>
      <c r="I52" s="162">
        <v>364</v>
      </c>
      <c r="J52" s="159">
        <v>105.1</v>
      </c>
      <c r="K52" s="163">
        <v>104.7</v>
      </c>
      <c r="L52" s="164">
        <f t="shared" si="2"/>
        <v>209.8</v>
      </c>
      <c r="M52" s="165">
        <f t="shared" si="3"/>
        <v>0.57637362637362644</v>
      </c>
      <c r="N52" s="122"/>
    </row>
    <row r="53" spans="2:14" x14ac:dyDescent="0.25">
      <c r="B53" s="121"/>
      <c r="C53" s="160">
        <v>31</v>
      </c>
      <c r="D53" s="160">
        <v>39</v>
      </c>
      <c r="E53" s="160" t="s">
        <v>75</v>
      </c>
      <c r="F53" s="159" t="s">
        <v>617</v>
      </c>
      <c r="G53" s="160" t="s">
        <v>42</v>
      </c>
      <c r="H53" s="161" t="s">
        <v>656</v>
      </c>
      <c r="I53" s="162">
        <v>407</v>
      </c>
      <c r="J53" s="159">
        <v>108.9</v>
      </c>
      <c r="K53" s="163">
        <v>109.9</v>
      </c>
      <c r="L53" s="164">
        <f t="shared" si="2"/>
        <v>218.8</v>
      </c>
      <c r="M53" s="165">
        <f t="shared" si="3"/>
        <v>0.53759213759213764</v>
      </c>
      <c r="N53" s="122"/>
    </row>
    <row r="54" spans="2:14" x14ac:dyDescent="0.25">
      <c r="B54" s="121"/>
      <c r="C54" s="160">
        <v>32</v>
      </c>
      <c r="D54" s="160">
        <v>49</v>
      </c>
      <c r="E54" s="160" t="s">
        <v>68</v>
      </c>
      <c r="F54" s="159" t="s">
        <v>617</v>
      </c>
      <c r="G54" s="160" t="s">
        <v>483</v>
      </c>
      <c r="H54" s="161" t="s">
        <v>657</v>
      </c>
      <c r="I54" s="162">
        <v>374</v>
      </c>
      <c r="J54" s="159">
        <v>101.7</v>
      </c>
      <c r="K54" s="163">
        <v>102.3</v>
      </c>
      <c r="L54" s="164">
        <f t="shared" si="2"/>
        <v>204</v>
      </c>
      <c r="M54" s="165">
        <f t="shared" si="3"/>
        <v>0.54545454545454541</v>
      </c>
      <c r="N54" s="122"/>
    </row>
    <row r="55" spans="2:14" x14ac:dyDescent="0.25">
      <c r="B55" s="121"/>
      <c r="C55" s="160">
        <v>33</v>
      </c>
      <c r="D55" s="160">
        <v>38</v>
      </c>
      <c r="E55" s="160" t="s">
        <v>75</v>
      </c>
      <c r="F55" s="159" t="s">
        <v>617</v>
      </c>
      <c r="G55" s="160" t="s">
        <v>42</v>
      </c>
      <c r="H55" s="161" t="s">
        <v>658</v>
      </c>
      <c r="I55" s="162">
        <v>459</v>
      </c>
      <c r="J55" s="159">
        <v>120.6</v>
      </c>
      <c r="K55" s="163">
        <v>121.7</v>
      </c>
      <c r="L55" s="164">
        <f t="shared" si="2"/>
        <v>242.3</v>
      </c>
      <c r="M55" s="165">
        <f t="shared" si="3"/>
        <v>0.52788671023965139</v>
      </c>
      <c r="N55" s="122"/>
    </row>
    <row r="56" spans="2:14" x14ac:dyDescent="0.25">
      <c r="B56" s="121"/>
      <c r="C56" s="160">
        <v>34</v>
      </c>
      <c r="D56" s="160">
        <v>48</v>
      </c>
      <c r="E56" s="160" t="s">
        <v>68</v>
      </c>
      <c r="F56" s="159" t="s">
        <v>617</v>
      </c>
      <c r="G56" s="160" t="s">
        <v>483</v>
      </c>
      <c r="H56" s="161" t="s">
        <v>659</v>
      </c>
      <c r="I56" s="162">
        <v>386</v>
      </c>
      <c r="J56" s="159">
        <v>101.9</v>
      </c>
      <c r="K56" s="163">
        <v>103.5</v>
      </c>
      <c r="L56" s="164">
        <f t="shared" si="2"/>
        <v>205.4</v>
      </c>
      <c r="M56" s="165">
        <f t="shared" si="3"/>
        <v>0.53212435233160627</v>
      </c>
      <c r="N56" s="122"/>
    </row>
    <row r="57" spans="2:14" x14ac:dyDescent="0.25">
      <c r="B57" s="121"/>
      <c r="C57" s="159">
        <v>35</v>
      </c>
      <c r="D57" s="159">
        <v>44</v>
      </c>
      <c r="E57" s="159" t="s">
        <v>68</v>
      </c>
      <c r="F57" s="159" t="s">
        <v>617</v>
      </c>
      <c r="G57" s="160" t="s">
        <v>483</v>
      </c>
      <c r="H57" s="161" t="s">
        <v>660</v>
      </c>
      <c r="I57" s="162">
        <v>422</v>
      </c>
      <c r="J57" s="159">
        <v>116.9</v>
      </c>
      <c r="K57" s="163">
        <v>117.3</v>
      </c>
      <c r="L57" s="164">
        <f t="shared" si="0"/>
        <v>234.2</v>
      </c>
      <c r="M57" s="165">
        <f t="shared" si="1"/>
        <v>0.55497630331753556</v>
      </c>
      <c r="N57" s="122"/>
    </row>
    <row r="58" spans="2:14" x14ac:dyDescent="0.25">
      <c r="B58" s="121"/>
      <c r="C58" s="159">
        <v>36</v>
      </c>
      <c r="D58" s="159">
        <v>45</v>
      </c>
      <c r="E58" s="159" t="s">
        <v>68</v>
      </c>
      <c r="F58" s="159" t="s">
        <v>617</v>
      </c>
      <c r="G58" s="160" t="s">
        <v>483</v>
      </c>
      <c r="H58" s="168" t="s">
        <v>661</v>
      </c>
      <c r="I58" s="169">
        <v>396</v>
      </c>
      <c r="J58" s="159">
        <v>104.4</v>
      </c>
      <c r="K58" s="163">
        <v>105.3</v>
      </c>
      <c r="L58" s="164">
        <f t="shared" si="0"/>
        <v>209.7</v>
      </c>
      <c r="M58" s="165">
        <f t="shared" si="1"/>
        <v>0.52954545454545454</v>
      </c>
      <c r="N58" s="122"/>
    </row>
    <row r="59" spans="2:14" x14ac:dyDescent="0.25">
      <c r="B59" s="121"/>
      <c r="C59" s="159">
        <v>37</v>
      </c>
      <c r="D59" s="160">
        <v>31</v>
      </c>
      <c r="E59" s="160" t="s">
        <v>68</v>
      </c>
      <c r="F59" s="159" t="s">
        <v>617</v>
      </c>
      <c r="G59" s="160" t="s">
        <v>42</v>
      </c>
      <c r="H59" s="168" t="s">
        <v>662</v>
      </c>
      <c r="I59" s="169">
        <v>430</v>
      </c>
      <c r="J59" s="159">
        <v>116.9</v>
      </c>
      <c r="K59" s="163">
        <v>118.3</v>
      </c>
      <c r="L59" s="164">
        <f t="shared" si="0"/>
        <v>235.2</v>
      </c>
      <c r="M59" s="165">
        <f t="shared" si="1"/>
        <v>0.54697674418604647</v>
      </c>
      <c r="N59" s="122"/>
    </row>
    <row r="60" spans="2:14" x14ac:dyDescent="0.25">
      <c r="B60" s="121"/>
      <c r="C60" s="159">
        <v>38</v>
      </c>
      <c r="D60" s="160">
        <v>37</v>
      </c>
      <c r="E60" s="160" t="s">
        <v>68</v>
      </c>
      <c r="F60" s="159" t="s">
        <v>617</v>
      </c>
      <c r="G60" s="160" t="s">
        <v>42</v>
      </c>
      <c r="H60" s="168" t="s">
        <v>663</v>
      </c>
      <c r="I60" s="169">
        <v>460</v>
      </c>
      <c r="J60" s="159">
        <v>120.8</v>
      </c>
      <c r="K60" s="163">
        <v>120.9</v>
      </c>
      <c r="L60" s="164">
        <f t="shared" si="0"/>
        <v>241.7</v>
      </c>
      <c r="M60" s="165">
        <f t="shared" si="1"/>
        <v>0.52543478260869558</v>
      </c>
      <c r="N60" s="122"/>
    </row>
    <row r="61" spans="2:14" x14ac:dyDescent="0.25">
      <c r="B61" s="121"/>
      <c r="C61" s="159">
        <v>39</v>
      </c>
      <c r="D61" s="160">
        <v>42</v>
      </c>
      <c r="E61" s="160" t="s">
        <v>68</v>
      </c>
      <c r="F61" s="159" t="s">
        <v>617</v>
      </c>
      <c r="G61" s="160" t="s">
        <v>42</v>
      </c>
      <c r="H61" s="168" t="s">
        <v>664</v>
      </c>
      <c r="I61" s="169">
        <v>461</v>
      </c>
      <c r="J61" s="159">
        <v>119.1</v>
      </c>
      <c r="K61" s="163">
        <v>120.6</v>
      </c>
      <c r="L61" s="164">
        <f t="shared" si="0"/>
        <v>239.7</v>
      </c>
      <c r="M61" s="165">
        <f t="shared" si="1"/>
        <v>0.51995661605206067</v>
      </c>
      <c r="N61" s="122"/>
    </row>
    <row r="62" spans="2:14" x14ac:dyDescent="0.25">
      <c r="B62" s="121"/>
      <c r="C62" s="159">
        <v>40</v>
      </c>
      <c r="D62" s="160">
        <v>46</v>
      </c>
      <c r="E62" s="160" t="s">
        <v>68</v>
      </c>
      <c r="F62" s="159" t="s">
        <v>617</v>
      </c>
      <c r="G62" s="160" t="s">
        <v>483</v>
      </c>
      <c r="H62" s="168" t="s">
        <v>665</v>
      </c>
      <c r="I62" s="169">
        <v>389</v>
      </c>
      <c r="J62" s="159">
        <v>106.6</v>
      </c>
      <c r="K62" s="163">
        <v>108.1</v>
      </c>
      <c r="L62" s="164">
        <f t="shared" si="0"/>
        <v>214.7</v>
      </c>
      <c r="M62" s="165">
        <f t="shared" si="1"/>
        <v>0.55192802056555268</v>
      </c>
      <c r="N62" s="122"/>
    </row>
    <row r="63" spans="2:14" x14ac:dyDescent="0.25">
      <c r="B63" s="121"/>
      <c r="C63" s="159">
        <v>41</v>
      </c>
      <c r="D63" s="160">
        <v>34</v>
      </c>
      <c r="E63" s="160" t="s">
        <v>75</v>
      </c>
      <c r="F63" s="159" t="s">
        <v>617</v>
      </c>
      <c r="G63" s="160" t="s">
        <v>42</v>
      </c>
      <c r="H63" s="168" t="s">
        <v>666</v>
      </c>
      <c r="I63" s="169">
        <v>464</v>
      </c>
      <c r="J63" s="159">
        <v>128.19999999999999</v>
      </c>
      <c r="K63" s="163">
        <v>128.5</v>
      </c>
      <c r="L63" s="164">
        <f t="shared" si="0"/>
        <v>256.7</v>
      </c>
      <c r="M63" s="165">
        <f t="shared" si="1"/>
        <v>0.55323275862068966</v>
      </c>
      <c r="N63" s="122"/>
    </row>
    <row r="64" spans="2:14" x14ac:dyDescent="0.25">
      <c r="B64" s="121"/>
      <c r="C64" s="159">
        <v>42</v>
      </c>
      <c r="D64" s="159">
        <v>32</v>
      </c>
      <c r="E64" s="159" t="s">
        <v>68</v>
      </c>
      <c r="F64" s="159" t="s">
        <v>617</v>
      </c>
      <c r="G64" s="160" t="s">
        <v>483</v>
      </c>
      <c r="H64" s="168" t="s">
        <v>667</v>
      </c>
      <c r="I64" s="169">
        <v>372</v>
      </c>
      <c r="J64" s="159">
        <v>102.9</v>
      </c>
      <c r="K64" s="163">
        <v>104.2</v>
      </c>
      <c r="L64" s="164">
        <f t="shared" si="0"/>
        <v>207.10000000000002</v>
      </c>
      <c r="M64" s="165">
        <f t="shared" si="1"/>
        <v>0.55672043010752692</v>
      </c>
      <c r="N64" s="122"/>
    </row>
    <row r="65" spans="2:14" x14ac:dyDescent="0.25">
      <c r="B65" s="121"/>
      <c r="C65" s="159">
        <v>43</v>
      </c>
      <c r="D65" s="159">
        <v>35</v>
      </c>
      <c r="E65" s="159" t="s">
        <v>68</v>
      </c>
      <c r="F65" s="159" t="s">
        <v>617</v>
      </c>
      <c r="G65" s="160" t="s">
        <v>42</v>
      </c>
      <c r="H65" s="168" t="s">
        <v>668</v>
      </c>
      <c r="I65" s="169">
        <v>427</v>
      </c>
      <c r="J65" s="159">
        <v>119.6</v>
      </c>
      <c r="K65" s="163">
        <v>119.7</v>
      </c>
      <c r="L65" s="164">
        <f t="shared" si="0"/>
        <v>239.3</v>
      </c>
      <c r="M65" s="165">
        <f t="shared" si="1"/>
        <v>0.56042154566744729</v>
      </c>
      <c r="N65" s="122"/>
    </row>
    <row r="66" spans="2:14" x14ac:dyDescent="0.25">
      <c r="B66" s="121"/>
      <c r="C66" s="159">
        <v>44</v>
      </c>
      <c r="D66" s="170">
        <v>28</v>
      </c>
      <c r="E66" s="170" t="s">
        <v>68</v>
      </c>
      <c r="F66" s="159" t="s">
        <v>617</v>
      </c>
      <c r="G66" s="171" t="s">
        <v>483</v>
      </c>
      <c r="H66" s="168" t="s">
        <v>669</v>
      </c>
      <c r="I66" s="169">
        <v>376</v>
      </c>
      <c r="J66" s="159">
        <v>96.9</v>
      </c>
      <c r="K66" s="163">
        <v>97.5</v>
      </c>
      <c r="L66" s="164">
        <f t="shared" si="0"/>
        <v>194.4</v>
      </c>
      <c r="M66" s="165">
        <f t="shared" si="1"/>
        <v>0.51702127659574471</v>
      </c>
      <c r="N66" s="122"/>
    </row>
    <row r="67" spans="2:14" x14ac:dyDescent="0.25">
      <c r="B67" s="121"/>
      <c r="C67" s="159">
        <v>45</v>
      </c>
      <c r="D67" s="170">
        <v>27</v>
      </c>
      <c r="E67" s="170" t="s">
        <v>68</v>
      </c>
      <c r="F67" s="159" t="s">
        <v>617</v>
      </c>
      <c r="G67" s="171" t="s">
        <v>42</v>
      </c>
      <c r="H67" s="168" t="s">
        <v>670</v>
      </c>
      <c r="I67" s="169">
        <v>488</v>
      </c>
      <c r="J67" s="159">
        <v>130.69999999999999</v>
      </c>
      <c r="K67" s="163">
        <v>132.30000000000001</v>
      </c>
      <c r="L67" s="164">
        <f t="shared" si="0"/>
        <v>263</v>
      </c>
      <c r="M67" s="165">
        <f t="shared" si="1"/>
        <v>0.53893442622950816</v>
      </c>
      <c r="N67" s="122"/>
    </row>
    <row r="68" spans="2:14" x14ac:dyDescent="0.25">
      <c r="B68" s="121"/>
      <c r="C68" s="159">
        <v>46</v>
      </c>
      <c r="D68" s="170">
        <v>40</v>
      </c>
      <c r="E68" s="170" t="s">
        <v>75</v>
      </c>
      <c r="F68" s="159" t="s">
        <v>617</v>
      </c>
      <c r="G68" s="171" t="s">
        <v>42</v>
      </c>
      <c r="H68" s="168" t="s">
        <v>671</v>
      </c>
      <c r="I68" s="169">
        <v>444</v>
      </c>
      <c r="J68" s="159">
        <v>121.1</v>
      </c>
      <c r="K68" s="163">
        <v>122.2</v>
      </c>
      <c r="L68" s="164">
        <f t="shared" si="0"/>
        <v>243.3</v>
      </c>
      <c r="M68" s="165">
        <f t="shared" si="1"/>
        <v>0.54797297297297298</v>
      </c>
      <c r="N68" s="122"/>
    </row>
    <row r="69" spans="2:14" x14ac:dyDescent="0.25">
      <c r="B69" s="121"/>
      <c r="C69" s="159">
        <v>47</v>
      </c>
      <c r="D69" s="170">
        <v>26</v>
      </c>
      <c r="E69" s="170" t="s">
        <v>75</v>
      </c>
      <c r="F69" s="159" t="s">
        <v>617</v>
      </c>
      <c r="G69" s="170" t="s">
        <v>42</v>
      </c>
      <c r="H69" s="168" t="s">
        <v>672</v>
      </c>
      <c r="I69" s="169">
        <v>441</v>
      </c>
      <c r="J69" s="159">
        <v>125.2</v>
      </c>
      <c r="K69" s="159">
        <v>126</v>
      </c>
      <c r="L69" s="164">
        <f t="shared" si="0"/>
        <v>251.2</v>
      </c>
      <c r="M69" s="165">
        <f t="shared" si="1"/>
        <v>0.56961451247165529</v>
      </c>
      <c r="N69" s="122"/>
    </row>
    <row r="70" spans="2:14" x14ac:dyDescent="0.25">
      <c r="B70" s="121"/>
      <c r="C70" s="159">
        <v>48</v>
      </c>
      <c r="D70" s="170">
        <v>29</v>
      </c>
      <c r="E70" s="170" t="s">
        <v>68</v>
      </c>
      <c r="F70" s="159" t="s">
        <v>617</v>
      </c>
      <c r="G70" s="170" t="s">
        <v>42</v>
      </c>
      <c r="H70" s="205" t="s">
        <v>673</v>
      </c>
      <c r="I70" s="169">
        <v>411</v>
      </c>
      <c r="J70" s="159">
        <v>113.2</v>
      </c>
      <c r="K70" s="159">
        <v>113.9</v>
      </c>
      <c r="L70" s="164">
        <f t="shared" si="0"/>
        <v>227.10000000000002</v>
      </c>
      <c r="M70" s="165">
        <f t="shared" si="1"/>
        <v>0.55255474452554754</v>
      </c>
      <c r="N70" s="122"/>
    </row>
    <row r="71" spans="2:14" x14ac:dyDescent="0.25">
      <c r="B71" s="121"/>
      <c r="C71" s="159">
        <v>49</v>
      </c>
      <c r="D71" s="170">
        <v>30</v>
      </c>
      <c r="E71" s="170" t="s">
        <v>68</v>
      </c>
      <c r="F71" s="159" t="s">
        <v>617</v>
      </c>
      <c r="G71" s="170" t="s">
        <v>483</v>
      </c>
      <c r="H71" s="168" t="s">
        <v>674</v>
      </c>
      <c r="I71" s="169">
        <v>399</v>
      </c>
      <c r="J71" s="159">
        <v>106.2</v>
      </c>
      <c r="K71" s="163">
        <v>107.6</v>
      </c>
      <c r="L71" s="164">
        <f t="shared" si="0"/>
        <v>213.8</v>
      </c>
      <c r="M71" s="165">
        <f t="shared" si="1"/>
        <v>0.53583959899749378</v>
      </c>
      <c r="N71" s="122"/>
    </row>
    <row r="72" spans="2:14" x14ac:dyDescent="0.25">
      <c r="B72" s="121"/>
      <c r="C72" s="172">
        <v>50</v>
      </c>
      <c r="D72" s="173">
        <v>50</v>
      </c>
      <c r="E72" s="173" t="s">
        <v>75</v>
      </c>
      <c r="F72" s="159" t="s">
        <v>617</v>
      </c>
      <c r="G72" s="173" t="s">
        <v>42</v>
      </c>
      <c r="H72" s="174" t="s">
        <v>675</v>
      </c>
      <c r="I72" s="175">
        <v>451</v>
      </c>
      <c r="J72" s="172">
        <v>122.5</v>
      </c>
      <c r="K72" s="206">
        <v>124</v>
      </c>
      <c r="L72" s="176">
        <f t="shared" si="0"/>
        <v>246.5</v>
      </c>
      <c r="M72" s="177">
        <f t="shared" si="1"/>
        <v>0.54656319290465627</v>
      </c>
      <c r="N72" s="122"/>
    </row>
    <row r="73" spans="2:14" x14ac:dyDescent="0.25">
      <c r="B73" s="121"/>
      <c r="C73" s="223"/>
      <c r="D73" s="223">
        <f>+COUNT($D$22:$D$72)</f>
        <v>50</v>
      </c>
      <c r="E73" s="223"/>
      <c r="F73" s="373"/>
      <c r="G73" s="373"/>
      <c r="H73" s="149"/>
      <c r="I73" s="148">
        <f>SUM($I$22:$I$72)</f>
        <v>20868</v>
      </c>
      <c r="J73" s="150">
        <f>SUM($J$22:$J$72)</f>
        <v>5674.2</v>
      </c>
      <c r="K73" s="151">
        <f>SUM($K$22:$K$72)</f>
        <v>5714.3</v>
      </c>
      <c r="L73" s="148">
        <f>SUM($L$22:$L$72)</f>
        <v>11388.500000000002</v>
      </c>
      <c r="M73" s="178">
        <f>+L73/I73</f>
        <v>0.54573988882499525</v>
      </c>
      <c r="N73" s="122"/>
    </row>
    <row r="74" spans="2:14" ht="16.5" thickBot="1" x14ac:dyDescent="0.3">
      <c r="B74" s="129"/>
      <c r="C74" s="130"/>
      <c r="D74" s="130"/>
      <c r="E74" s="130"/>
      <c r="F74" s="130"/>
      <c r="G74" s="130"/>
      <c r="H74" s="131"/>
      <c r="I74" s="130"/>
      <c r="J74" s="131"/>
      <c r="K74" s="130"/>
      <c r="L74" s="130"/>
      <c r="M74" s="130"/>
      <c r="N74" s="132"/>
    </row>
    <row r="75" spans="2:14" ht="17.25" thickTop="1" thickBot="1" x14ac:dyDescent="0.3">
      <c r="B75" s="133"/>
      <c r="C75" s="133"/>
      <c r="D75" s="133"/>
      <c r="E75" s="133"/>
      <c r="F75" s="133"/>
      <c r="G75" s="133"/>
      <c r="H75" s="134"/>
      <c r="I75" s="133"/>
      <c r="J75" s="134"/>
      <c r="K75" s="133"/>
      <c r="L75" s="133"/>
      <c r="M75" s="133"/>
      <c r="N75" s="133"/>
    </row>
    <row r="76" spans="2:14" ht="16.5" thickTop="1" x14ac:dyDescent="0.25">
      <c r="B76" s="135"/>
      <c r="C76" s="133"/>
      <c r="D76" s="133"/>
      <c r="E76" s="133"/>
      <c r="F76" s="133"/>
      <c r="G76" s="133"/>
      <c r="H76" s="134"/>
      <c r="I76" s="133"/>
      <c r="J76" s="134"/>
      <c r="K76" s="133"/>
      <c r="L76" s="133"/>
      <c r="M76" s="133"/>
      <c r="N76" s="136"/>
    </row>
    <row r="77" spans="2:14" ht="32.25" customHeight="1" x14ac:dyDescent="0.25">
      <c r="B77" s="121"/>
      <c r="D77" s="374" t="s">
        <v>12</v>
      </c>
      <c r="E77" s="375"/>
      <c r="F77" s="375"/>
      <c r="G77" s="375"/>
      <c r="H77" s="180" t="s">
        <v>491</v>
      </c>
      <c r="I77" s="183" t="s">
        <v>489</v>
      </c>
      <c r="J77" s="200" t="s">
        <v>54</v>
      </c>
      <c r="K77" s="201" t="s">
        <v>492</v>
      </c>
      <c r="N77" s="122"/>
    </row>
    <row r="78" spans="2:14" x14ac:dyDescent="0.25">
      <c r="B78" s="121"/>
      <c r="D78" s="367" t="s">
        <v>59</v>
      </c>
      <c r="E78" s="368"/>
      <c r="F78" s="368"/>
      <c r="G78" s="368"/>
      <c r="H78" s="181">
        <v>81.98</v>
      </c>
      <c r="I78" s="119">
        <v>79</v>
      </c>
      <c r="J78" s="181"/>
      <c r="K78" s="185"/>
      <c r="N78" s="122"/>
    </row>
    <row r="79" spans="2:14" x14ac:dyDescent="0.25">
      <c r="B79" s="121"/>
      <c r="D79" s="367" t="s">
        <v>15</v>
      </c>
      <c r="E79" s="368"/>
      <c r="F79" s="368"/>
      <c r="G79" s="368"/>
      <c r="H79" s="181">
        <v>50</v>
      </c>
      <c r="I79" s="119">
        <v>83.28</v>
      </c>
      <c r="J79" s="181"/>
      <c r="K79" s="185"/>
      <c r="N79" s="122"/>
    </row>
    <row r="80" spans="2:14" x14ac:dyDescent="0.25">
      <c r="B80" s="121"/>
      <c r="D80" s="367" t="s">
        <v>13</v>
      </c>
      <c r="E80" s="368"/>
      <c r="F80" s="368"/>
      <c r="G80" s="368"/>
      <c r="H80" s="181">
        <v>47</v>
      </c>
      <c r="I80" s="119">
        <v>235.38</v>
      </c>
      <c r="J80" s="181">
        <v>3</v>
      </c>
      <c r="K80" s="185">
        <v>19.079999999999998</v>
      </c>
      <c r="N80" s="122"/>
    </row>
    <row r="81" spans="2:14" x14ac:dyDescent="0.25">
      <c r="B81" s="121"/>
      <c r="D81" s="367" t="s">
        <v>16</v>
      </c>
      <c r="E81" s="368"/>
      <c r="F81" s="368"/>
      <c r="G81" s="368"/>
      <c r="H81" s="181">
        <v>50</v>
      </c>
      <c r="I81" s="119">
        <v>56.480000000000004</v>
      </c>
      <c r="J81" s="181"/>
      <c r="K81" s="185"/>
      <c r="N81" s="122"/>
    </row>
    <row r="82" spans="2:14" x14ac:dyDescent="0.25">
      <c r="B82" s="121"/>
      <c r="D82" s="367" t="s">
        <v>60</v>
      </c>
      <c r="E82" s="368"/>
      <c r="F82" s="368"/>
      <c r="G82" s="368"/>
      <c r="H82" s="181">
        <v>44.76</v>
      </c>
      <c r="I82" s="119">
        <v>42.86</v>
      </c>
      <c r="J82" s="181"/>
      <c r="K82" s="185"/>
      <c r="N82" s="122"/>
    </row>
    <row r="83" spans="2:14" x14ac:dyDescent="0.25">
      <c r="B83" s="121"/>
      <c r="D83" s="367" t="s">
        <v>14</v>
      </c>
      <c r="E83" s="368"/>
      <c r="F83" s="368"/>
      <c r="G83" s="368"/>
      <c r="H83" s="181">
        <v>100</v>
      </c>
      <c r="I83" s="119">
        <v>43.980000000000004</v>
      </c>
      <c r="J83" s="181"/>
      <c r="K83" s="185"/>
      <c r="N83" s="122"/>
    </row>
    <row r="84" spans="2:14" x14ac:dyDescent="0.25">
      <c r="B84" s="121"/>
      <c r="D84" s="367" t="s">
        <v>20</v>
      </c>
      <c r="E84" s="368"/>
      <c r="F84" s="368"/>
      <c r="G84" s="368"/>
      <c r="H84" s="181">
        <v>200</v>
      </c>
      <c r="I84" s="119">
        <v>34.28</v>
      </c>
      <c r="J84" s="181"/>
      <c r="K84" s="185"/>
      <c r="N84" s="122"/>
    </row>
    <row r="85" spans="2:14" x14ac:dyDescent="0.25">
      <c r="B85" s="121"/>
      <c r="D85" s="367" t="s">
        <v>17</v>
      </c>
      <c r="E85" s="368"/>
      <c r="F85" s="368"/>
      <c r="G85" s="368"/>
      <c r="H85" s="181">
        <v>50</v>
      </c>
      <c r="I85" s="119">
        <v>40.200000000000003</v>
      </c>
      <c r="J85" s="181"/>
      <c r="K85" s="185"/>
      <c r="N85" s="122"/>
    </row>
    <row r="86" spans="2:14" x14ac:dyDescent="0.25">
      <c r="B86" s="121"/>
      <c r="D86" s="367" t="s">
        <v>61</v>
      </c>
      <c r="E86" s="368"/>
      <c r="F86" s="368"/>
      <c r="G86" s="368"/>
      <c r="H86" s="181">
        <v>50</v>
      </c>
      <c r="I86" s="119">
        <v>41.74</v>
      </c>
      <c r="J86" s="181"/>
      <c r="K86" s="185"/>
      <c r="N86" s="122"/>
    </row>
    <row r="87" spans="2:14" x14ac:dyDescent="0.25">
      <c r="B87" s="121"/>
      <c r="D87" s="367" t="s">
        <v>48</v>
      </c>
      <c r="E87" s="368"/>
      <c r="F87" s="368"/>
      <c r="G87" s="368"/>
      <c r="H87" s="181">
        <v>71.739999999999995</v>
      </c>
      <c r="I87" s="119">
        <v>68.319999999999993</v>
      </c>
      <c r="J87" s="181"/>
      <c r="K87" s="185"/>
      <c r="N87" s="122"/>
    </row>
    <row r="88" spans="2:14" x14ac:dyDescent="0.25">
      <c r="B88" s="121"/>
      <c r="D88" s="367" t="s">
        <v>19</v>
      </c>
      <c r="E88" s="368"/>
      <c r="F88" s="368"/>
      <c r="G88" s="368"/>
      <c r="H88" s="181">
        <v>50</v>
      </c>
      <c r="I88" s="119">
        <v>62.419999999999995</v>
      </c>
      <c r="J88" s="181"/>
      <c r="K88" s="185"/>
      <c r="N88" s="122"/>
    </row>
    <row r="89" spans="2:14" x14ac:dyDescent="0.25">
      <c r="B89" s="121"/>
      <c r="D89" s="367" t="s">
        <v>18</v>
      </c>
      <c r="E89" s="368"/>
      <c r="F89" s="368"/>
      <c r="G89" s="368"/>
      <c r="H89" s="181">
        <v>50</v>
      </c>
      <c r="I89" s="119">
        <v>15.9</v>
      </c>
      <c r="J89" s="181"/>
      <c r="K89" s="185"/>
      <c r="N89" s="122"/>
    </row>
    <row r="90" spans="2:14" x14ac:dyDescent="0.25">
      <c r="B90" s="121"/>
      <c r="D90" s="367" t="s">
        <v>49</v>
      </c>
      <c r="E90" s="368"/>
      <c r="F90" s="368"/>
      <c r="G90" s="368"/>
      <c r="H90" s="181">
        <v>28.8</v>
      </c>
      <c r="I90" s="119">
        <v>27.48</v>
      </c>
      <c r="J90" s="181"/>
      <c r="K90" s="185"/>
      <c r="N90" s="122"/>
    </row>
    <row r="91" spans="2:14" x14ac:dyDescent="0.25">
      <c r="B91" s="121"/>
      <c r="D91" s="370" t="s">
        <v>21</v>
      </c>
      <c r="E91" s="371"/>
      <c r="F91" s="371"/>
      <c r="G91" s="372"/>
      <c r="H91" s="182"/>
      <c r="I91" s="184">
        <f>SUM(I78:I90)</f>
        <v>831.31999999999994</v>
      </c>
      <c r="J91" s="187">
        <f>SUM(J78:J90)</f>
        <v>3</v>
      </c>
      <c r="K91" s="186">
        <f>SUM(K78:K90)</f>
        <v>19.079999999999998</v>
      </c>
      <c r="N91" s="122"/>
    </row>
    <row r="92" spans="2:14" ht="16.5" thickBot="1" x14ac:dyDescent="0.3">
      <c r="B92" s="129"/>
      <c r="C92" s="130"/>
      <c r="D92" s="130"/>
      <c r="E92" s="130"/>
      <c r="F92" s="130"/>
      <c r="G92" s="130"/>
      <c r="H92" s="131"/>
      <c r="I92" s="130"/>
      <c r="J92" s="131"/>
      <c r="K92" s="130"/>
      <c r="L92" s="130"/>
      <c r="M92" s="130"/>
      <c r="N92" s="132"/>
    </row>
    <row r="93" spans="2:14" ht="16.5" thickTop="1" x14ac:dyDescent="0.25">
      <c r="B93" s="121"/>
      <c r="G93" s="137"/>
      <c r="H93" s="138"/>
      <c r="I93" s="137"/>
      <c r="J93" s="138"/>
      <c r="N93" s="122"/>
    </row>
    <row r="94" spans="2:14" ht="15.75" customHeight="1" x14ac:dyDescent="0.25">
      <c r="B94" s="121"/>
      <c r="F94" s="365" t="s">
        <v>22</v>
      </c>
      <c r="G94" s="365"/>
      <c r="H94" s="188" t="s">
        <v>33</v>
      </c>
      <c r="I94" s="180" t="s">
        <v>31</v>
      </c>
      <c r="N94" s="122"/>
    </row>
    <row r="95" spans="2:14" x14ac:dyDescent="0.25">
      <c r="B95" s="121"/>
      <c r="F95" s="366" t="s">
        <v>23</v>
      </c>
      <c r="G95" s="366"/>
      <c r="H95" s="190"/>
      <c r="I95" s="191"/>
      <c r="N95" s="122"/>
    </row>
    <row r="96" spans="2:14" x14ac:dyDescent="0.25">
      <c r="B96" s="121"/>
      <c r="F96" s="378" t="s">
        <v>24</v>
      </c>
      <c r="G96" s="378"/>
      <c r="H96" s="192">
        <f>+D73</f>
        <v>50</v>
      </c>
      <c r="I96" s="193"/>
      <c r="N96" s="122"/>
    </row>
    <row r="97" spans="2:14" x14ac:dyDescent="0.25">
      <c r="B97" s="121"/>
      <c r="F97" s="378" t="s">
        <v>34</v>
      </c>
      <c r="G97" s="378"/>
      <c r="H97" s="194"/>
      <c r="I97" s="193"/>
      <c r="N97" s="122"/>
    </row>
    <row r="98" spans="2:14" x14ac:dyDescent="0.25">
      <c r="B98" s="121"/>
      <c r="F98" s="378" t="s">
        <v>35</v>
      </c>
      <c r="G98" s="378"/>
      <c r="H98" s="194"/>
      <c r="I98" s="193"/>
      <c r="N98" s="122"/>
    </row>
    <row r="99" spans="2:14" x14ac:dyDescent="0.25">
      <c r="B99" s="121"/>
      <c r="F99" s="379" t="s">
        <v>29</v>
      </c>
      <c r="G99" s="379"/>
      <c r="H99" s="195"/>
      <c r="I99" s="196"/>
      <c r="N99" s="122"/>
    </row>
    <row r="100" spans="2:14" x14ac:dyDescent="0.25">
      <c r="B100" s="121"/>
      <c r="F100" s="380" t="s">
        <v>21</v>
      </c>
      <c r="G100" s="380"/>
      <c r="H100" s="189"/>
      <c r="I100" s="182">
        <f>SUM(I95:I99)</f>
        <v>0</v>
      </c>
      <c r="N100" s="122"/>
    </row>
    <row r="101" spans="2:14" ht="16.5" thickBot="1" x14ac:dyDescent="0.3">
      <c r="B101" s="129"/>
      <c r="C101" s="130"/>
      <c r="D101" s="130"/>
      <c r="E101" s="130"/>
      <c r="F101" s="130"/>
      <c r="G101" s="130"/>
      <c r="H101" s="131"/>
      <c r="I101" s="130"/>
      <c r="J101" s="131"/>
      <c r="K101" s="130"/>
      <c r="L101" s="130"/>
      <c r="M101" s="130"/>
      <c r="N101" s="132"/>
    </row>
    <row r="102" spans="2:14" ht="16.5" thickTop="1" x14ac:dyDescent="0.25">
      <c r="I102" s="139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7:G77"/>
    <mergeCell ref="C21:C22"/>
    <mergeCell ref="D21:D22"/>
    <mergeCell ref="E21:E22"/>
    <mergeCell ref="F21:G21"/>
    <mergeCell ref="J21:J22"/>
    <mergeCell ref="K21:K22"/>
    <mergeCell ref="L21:L22"/>
    <mergeCell ref="M21:M22"/>
    <mergeCell ref="F73:G73"/>
    <mergeCell ref="H21:H22"/>
    <mergeCell ref="I21:I22"/>
    <mergeCell ref="D89:G89"/>
    <mergeCell ref="D78:G78"/>
    <mergeCell ref="D79:G79"/>
    <mergeCell ref="D80:G80"/>
    <mergeCell ref="D81:G81"/>
    <mergeCell ref="D82:G82"/>
    <mergeCell ref="D83:G83"/>
    <mergeCell ref="D84:G84"/>
    <mergeCell ref="D85:G85"/>
    <mergeCell ref="D86:G86"/>
    <mergeCell ref="D87:G87"/>
    <mergeCell ref="D88:G88"/>
    <mergeCell ref="F98:G98"/>
    <mergeCell ref="F99:G99"/>
    <mergeCell ref="F100:G100"/>
    <mergeCell ref="D90:G90"/>
    <mergeCell ref="D91:G91"/>
    <mergeCell ref="F94:G94"/>
    <mergeCell ref="F95:G95"/>
    <mergeCell ref="F96:G96"/>
    <mergeCell ref="F97:G97"/>
  </mergeCells>
  <conditionalFormatting sqref="M23:M72">
    <cfRule type="cellIs" dxfId="81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rowBreaks count="1" manualBreakCount="1">
    <brk id="75" min="1" max="13" man="1"/>
  </rowBreaks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R20" sqref="R20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0.56835200198032043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229.59999999999997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85</v>
      </c>
      <c r="F8" s="344"/>
      <c r="G8" s="344"/>
      <c r="H8" s="345"/>
      <c r="I8" s="146" t="s">
        <v>487</v>
      </c>
      <c r="J8" s="346" t="s">
        <v>709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52591</v>
      </c>
      <c r="F9" s="344"/>
      <c r="G9" s="344"/>
      <c r="H9" s="345"/>
      <c r="I9" s="146" t="s">
        <v>88</v>
      </c>
      <c r="J9" s="209" t="s">
        <v>710</v>
      </c>
      <c r="K9" s="224" t="s">
        <v>490</v>
      </c>
      <c r="L9" s="344">
        <v>23088</v>
      </c>
      <c r="M9" s="344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25" t="s">
        <v>569</v>
      </c>
      <c r="E12" s="383">
        <v>46041</v>
      </c>
      <c r="F12" s="383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27</v>
      </c>
      <c r="F13" s="349"/>
      <c r="H13" s="117"/>
      <c r="I13" s="123"/>
      <c r="J13" s="215" t="s">
        <v>483</v>
      </c>
      <c r="K13" s="226">
        <f>+COUNTIF($G$22:$G$66,"VQ")*2</f>
        <v>2</v>
      </c>
      <c r="L13" s="226">
        <f>+SUMIF($G$23:$G$65,"VQ",$L$23:$L$65)</f>
        <v>193.2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40</v>
      </c>
      <c r="F14" s="350"/>
      <c r="H14" s="117"/>
      <c r="I14" s="123"/>
      <c r="J14" s="215" t="s">
        <v>42</v>
      </c>
      <c r="K14" s="226">
        <f>+COUNTIF($G$22:$G$66,"NT")*2</f>
        <v>78</v>
      </c>
      <c r="L14" s="226">
        <f>+SUMIF($G$23:$G$65,"NT",$L$23:$L$65)</f>
        <v>8990.7999999999993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16159</v>
      </c>
      <c r="F15" s="350"/>
      <c r="H15" s="117"/>
      <c r="I15" s="123"/>
      <c r="J15" s="215" t="s">
        <v>484</v>
      </c>
      <c r="K15" s="226">
        <f>+COUNTIF($G$22:$G$66,"NO")*2</f>
        <v>0</v>
      </c>
      <c r="L15" s="226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9183.9999999999982</v>
      </c>
      <c r="F16" s="350"/>
      <c r="H16" s="117"/>
      <c r="I16" s="123"/>
      <c r="J16" s="215" t="s">
        <v>485</v>
      </c>
      <c r="K16" s="226">
        <f>+COUNTIF($G$22:$G$66,"TO")*2</f>
        <v>0</v>
      </c>
      <c r="L16" s="226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0.56835200198032043</v>
      </c>
      <c r="F17" s="350"/>
      <c r="G17" s="124"/>
      <c r="H17" s="125"/>
      <c r="I17" s="123"/>
      <c r="J17" s="215" t="s">
        <v>486</v>
      </c>
      <c r="K17" s="226">
        <f>+COUNTIF($G$22:$G$66,"VA")*2</f>
        <v>0</v>
      </c>
      <c r="L17" s="226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229.59999999999997</v>
      </c>
      <c r="F18" s="353"/>
      <c r="G18" s="124"/>
      <c r="H18" s="125"/>
      <c r="I18" s="123"/>
      <c r="J18" s="215" t="s">
        <v>44</v>
      </c>
      <c r="K18" s="226">
        <f>+COUNTIF($G$22:$G$66,"MEJ")*2</f>
        <v>0</v>
      </c>
      <c r="L18" s="226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</v>
      </c>
      <c r="D23" s="152">
        <v>15</v>
      </c>
      <c r="E23" s="152" t="s">
        <v>67</v>
      </c>
      <c r="F23" s="152" t="s">
        <v>526</v>
      </c>
      <c r="G23" s="153" t="s">
        <v>42</v>
      </c>
      <c r="H23" s="154">
        <v>8826</v>
      </c>
      <c r="I23" s="155">
        <v>407</v>
      </c>
      <c r="J23" s="152">
        <v>118.3</v>
      </c>
      <c r="K23" s="156">
        <v>118.2</v>
      </c>
      <c r="L23" s="157">
        <f t="shared" ref="L23:L65" si="0">+J23+K23</f>
        <v>236.5</v>
      </c>
      <c r="M23" s="158">
        <f t="shared" ref="M23:M66" si="1">+L23/I23</f>
        <v>0.58108108108108103</v>
      </c>
      <c r="N23" s="122"/>
    </row>
    <row r="24" spans="2:14" x14ac:dyDescent="0.25">
      <c r="B24" s="121"/>
      <c r="C24" s="159">
        <v>2</v>
      </c>
      <c r="D24" s="159">
        <v>16</v>
      </c>
      <c r="E24" s="159" t="s">
        <v>67</v>
      </c>
      <c r="F24" s="159" t="s">
        <v>526</v>
      </c>
      <c r="G24" s="160" t="s">
        <v>42</v>
      </c>
      <c r="H24" s="161" t="s">
        <v>680</v>
      </c>
      <c r="I24" s="162">
        <v>406</v>
      </c>
      <c r="J24" s="159">
        <v>117.5</v>
      </c>
      <c r="K24" s="163">
        <v>118.1</v>
      </c>
      <c r="L24" s="164">
        <f t="shared" si="0"/>
        <v>235.6</v>
      </c>
      <c r="M24" s="165">
        <f t="shared" si="1"/>
        <v>0.58029556650246306</v>
      </c>
      <c r="N24" s="122"/>
    </row>
    <row r="25" spans="2:14" x14ac:dyDescent="0.25">
      <c r="B25" s="121"/>
      <c r="C25" s="159">
        <v>3</v>
      </c>
      <c r="D25" s="159">
        <v>10</v>
      </c>
      <c r="E25" s="159" t="s">
        <v>67</v>
      </c>
      <c r="F25" s="159" t="s">
        <v>526</v>
      </c>
      <c r="G25" s="160" t="s">
        <v>42</v>
      </c>
      <c r="H25" s="161">
        <v>994</v>
      </c>
      <c r="I25" s="162">
        <v>422</v>
      </c>
      <c r="J25" s="159">
        <v>120.1</v>
      </c>
      <c r="K25" s="163">
        <v>118.6</v>
      </c>
      <c r="L25" s="164">
        <f t="shared" si="0"/>
        <v>238.7</v>
      </c>
      <c r="M25" s="165">
        <f t="shared" si="1"/>
        <v>0.56563981042654021</v>
      </c>
      <c r="N25" s="122"/>
    </row>
    <row r="26" spans="2:14" x14ac:dyDescent="0.25">
      <c r="B26" s="121"/>
      <c r="C26" s="159">
        <v>4</v>
      </c>
      <c r="D26" s="159">
        <v>9</v>
      </c>
      <c r="E26" s="159" t="s">
        <v>67</v>
      </c>
      <c r="F26" s="159" t="s">
        <v>526</v>
      </c>
      <c r="G26" s="160" t="s">
        <v>42</v>
      </c>
      <c r="H26" s="161" t="s">
        <v>681</v>
      </c>
      <c r="I26" s="162">
        <v>401</v>
      </c>
      <c r="J26" s="159">
        <v>113</v>
      </c>
      <c r="K26" s="163">
        <v>115</v>
      </c>
      <c r="L26" s="164">
        <f t="shared" si="0"/>
        <v>228</v>
      </c>
      <c r="M26" s="165">
        <f t="shared" si="1"/>
        <v>0.5685785536159601</v>
      </c>
      <c r="N26" s="122"/>
    </row>
    <row r="27" spans="2:14" x14ac:dyDescent="0.25">
      <c r="B27" s="121"/>
      <c r="C27" s="159">
        <v>5</v>
      </c>
      <c r="D27" s="159">
        <v>4</v>
      </c>
      <c r="E27" s="159" t="s">
        <v>67</v>
      </c>
      <c r="F27" s="159" t="s">
        <v>526</v>
      </c>
      <c r="G27" s="160" t="s">
        <v>42</v>
      </c>
      <c r="H27" s="161" t="s">
        <v>373</v>
      </c>
      <c r="I27" s="162">
        <v>404</v>
      </c>
      <c r="J27" s="159">
        <v>115.9</v>
      </c>
      <c r="K27" s="163">
        <v>114.5</v>
      </c>
      <c r="L27" s="164">
        <f t="shared" si="0"/>
        <v>230.4</v>
      </c>
      <c r="M27" s="165">
        <f t="shared" si="1"/>
        <v>0.57029702970297036</v>
      </c>
      <c r="N27" s="122"/>
    </row>
    <row r="28" spans="2:14" x14ac:dyDescent="0.25">
      <c r="B28" s="121"/>
      <c r="C28" s="159">
        <v>6</v>
      </c>
      <c r="D28" s="159">
        <v>6</v>
      </c>
      <c r="E28" s="159" t="s">
        <v>68</v>
      </c>
      <c r="F28" s="159" t="s">
        <v>526</v>
      </c>
      <c r="G28" s="160" t="s">
        <v>42</v>
      </c>
      <c r="H28" s="161" t="s">
        <v>682</v>
      </c>
      <c r="I28" s="162">
        <v>415</v>
      </c>
      <c r="J28" s="159">
        <v>116.3</v>
      </c>
      <c r="K28" s="163">
        <v>114</v>
      </c>
      <c r="L28" s="164">
        <f t="shared" si="0"/>
        <v>230.3</v>
      </c>
      <c r="M28" s="165">
        <f t="shared" si="1"/>
        <v>0.55493975903614456</v>
      </c>
      <c r="N28" s="122"/>
    </row>
    <row r="29" spans="2:14" x14ac:dyDescent="0.25">
      <c r="B29" s="121"/>
      <c r="C29" s="160">
        <v>7</v>
      </c>
      <c r="D29" s="160">
        <v>7</v>
      </c>
      <c r="E29" s="160" t="s">
        <v>67</v>
      </c>
      <c r="F29" s="159" t="s">
        <v>526</v>
      </c>
      <c r="G29" s="160" t="s">
        <v>42</v>
      </c>
      <c r="H29" s="161" t="s">
        <v>683</v>
      </c>
      <c r="I29" s="162">
        <v>409</v>
      </c>
      <c r="J29" s="159">
        <v>112.6</v>
      </c>
      <c r="K29" s="163">
        <v>112.9</v>
      </c>
      <c r="L29" s="164">
        <f t="shared" si="0"/>
        <v>225.5</v>
      </c>
      <c r="M29" s="165">
        <f t="shared" si="1"/>
        <v>0.55134474327628358</v>
      </c>
      <c r="N29" s="122"/>
    </row>
    <row r="30" spans="2:14" x14ac:dyDescent="0.25">
      <c r="B30" s="121"/>
      <c r="C30" s="160">
        <v>8</v>
      </c>
      <c r="D30" s="160">
        <v>13</v>
      </c>
      <c r="E30" s="160" t="s">
        <v>67</v>
      </c>
      <c r="F30" s="159" t="s">
        <v>526</v>
      </c>
      <c r="G30" s="160" t="s">
        <v>42</v>
      </c>
      <c r="H30" s="161">
        <v>9258</v>
      </c>
      <c r="I30" s="162">
        <v>405</v>
      </c>
      <c r="J30" s="159">
        <v>119.9</v>
      </c>
      <c r="K30" s="163">
        <v>118.6</v>
      </c>
      <c r="L30" s="164">
        <f t="shared" si="0"/>
        <v>238.5</v>
      </c>
      <c r="M30" s="165">
        <f t="shared" si="1"/>
        <v>0.58888888888888891</v>
      </c>
      <c r="N30" s="122"/>
    </row>
    <row r="31" spans="2:14" x14ac:dyDescent="0.25">
      <c r="B31" s="121"/>
      <c r="C31" s="159">
        <v>9</v>
      </c>
      <c r="D31" s="159">
        <v>20</v>
      </c>
      <c r="E31" s="159" t="s">
        <v>68</v>
      </c>
      <c r="F31" s="159" t="s">
        <v>526</v>
      </c>
      <c r="G31" s="160" t="s">
        <v>42</v>
      </c>
      <c r="H31" s="161" t="s">
        <v>684</v>
      </c>
      <c r="I31" s="162">
        <v>402</v>
      </c>
      <c r="J31" s="159">
        <v>113.9</v>
      </c>
      <c r="K31" s="163">
        <v>113.6</v>
      </c>
      <c r="L31" s="164">
        <f t="shared" si="0"/>
        <v>227.5</v>
      </c>
      <c r="M31" s="165">
        <f t="shared" si="1"/>
        <v>0.5659203980099502</v>
      </c>
      <c r="N31" s="122"/>
    </row>
    <row r="32" spans="2:14" x14ac:dyDescent="0.25">
      <c r="B32" s="121"/>
      <c r="C32" s="159">
        <v>10</v>
      </c>
      <c r="D32" s="159">
        <v>3</v>
      </c>
      <c r="E32" s="159" t="s">
        <v>67</v>
      </c>
      <c r="F32" s="159" t="s">
        <v>526</v>
      </c>
      <c r="G32" s="160" t="s">
        <v>42</v>
      </c>
      <c r="H32" s="161" t="s">
        <v>685</v>
      </c>
      <c r="I32" s="162">
        <v>415</v>
      </c>
      <c r="J32" s="159">
        <v>117.5</v>
      </c>
      <c r="K32" s="163">
        <v>115.2</v>
      </c>
      <c r="L32" s="164">
        <f t="shared" si="0"/>
        <v>232.7</v>
      </c>
      <c r="M32" s="165">
        <f t="shared" si="1"/>
        <v>0.56072289156626498</v>
      </c>
      <c r="N32" s="122"/>
    </row>
    <row r="33" spans="2:14" x14ac:dyDescent="0.25">
      <c r="B33" s="121"/>
      <c r="C33" s="160">
        <v>11</v>
      </c>
      <c r="D33" s="160">
        <v>18</v>
      </c>
      <c r="E33" s="160" t="s">
        <v>67</v>
      </c>
      <c r="F33" s="159" t="s">
        <v>526</v>
      </c>
      <c r="G33" s="160" t="s">
        <v>42</v>
      </c>
      <c r="H33" s="161" t="s">
        <v>686</v>
      </c>
      <c r="I33" s="162">
        <v>408</v>
      </c>
      <c r="J33" s="159">
        <v>116.9</v>
      </c>
      <c r="K33" s="163">
        <v>116.6</v>
      </c>
      <c r="L33" s="164">
        <f t="shared" si="0"/>
        <v>233.5</v>
      </c>
      <c r="M33" s="165">
        <f t="shared" si="1"/>
        <v>0.57230392156862742</v>
      </c>
      <c r="N33" s="122"/>
    </row>
    <row r="34" spans="2:14" x14ac:dyDescent="0.25">
      <c r="B34" s="121"/>
      <c r="C34" s="159">
        <v>12</v>
      </c>
      <c r="D34" s="159">
        <v>2</v>
      </c>
      <c r="E34" s="159" t="s">
        <v>67</v>
      </c>
      <c r="F34" s="159" t="s">
        <v>526</v>
      </c>
      <c r="G34" s="160" t="s">
        <v>42</v>
      </c>
      <c r="H34" s="161" t="s">
        <v>687</v>
      </c>
      <c r="I34" s="162">
        <v>395</v>
      </c>
      <c r="J34" s="159">
        <v>116.9</v>
      </c>
      <c r="K34" s="166">
        <v>116.1</v>
      </c>
      <c r="L34" s="164">
        <f t="shared" si="0"/>
        <v>233</v>
      </c>
      <c r="M34" s="167">
        <f t="shared" si="1"/>
        <v>0.58987341772151902</v>
      </c>
      <c r="N34" s="122"/>
    </row>
    <row r="35" spans="2:14" x14ac:dyDescent="0.25">
      <c r="B35" s="121"/>
      <c r="C35" s="159">
        <v>13</v>
      </c>
      <c r="D35" s="159">
        <v>17</v>
      </c>
      <c r="E35" s="159" t="s">
        <v>68</v>
      </c>
      <c r="F35" s="159" t="s">
        <v>526</v>
      </c>
      <c r="G35" s="160" t="s">
        <v>42</v>
      </c>
      <c r="H35" s="161" t="s">
        <v>688</v>
      </c>
      <c r="I35" s="162">
        <v>406</v>
      </c>
      <c r="J35" s="159">
        <v>115.5</v>
      </c>
      <c r="K35" s="163">
        <v>114.4</v>
      </c>
      <c r="L35" s="164">
        <f t="shared" si="0"/>
        <v>229.9</v>
      </c>
      <c r="M35" s="165">
        <f t="shared" si="1"/>
        <v>0.56625615763546799</v>
      </c>
      <c r="N35" s="122"/>
    </row>
    <row r="36" spans="2:14" x14ac:dyDescent="0.25">
      <c r="B36" s="121"/>
      <c r="C36" s="159">
        <v>14</v>
      </c>
      <c r="D36" s="159">
        <v>5</v>
      </c>
      <c r="E36" s="159" t="s">
        <v>67</v>
      </c>
      <c r="F36" s="159" t="s">
        <v>526</v>
      </c>
      <c r="G36" s="160" t="s">
        <v>42</v>
      </c>
      <c r="H36" s="161">
        <v>406</v>
      </c>
      <c r="I36" s="162">
        <v>398</v>
      </c>
      <c r="J36" s="159">
        <v>113.1</v>
      </c>
      <c r="K36" s="163">
        <v>112.7</v>
      </c>
      <c r="L36" s="164">
        <f t="shared" si="0"/>
        <v>225.8</v>
      </c>
      <c r="M36" s="165">
        <f t="shared" si="1"/>
        <v>0.56733668341708543</v>
      </c>
      <c r="N36" s="122"/>
    </row>
    <row r="37" spans="2:14" x14ac:dyDescent="0.25">
      <c r="B37" s="121"/>
      <c r="C37" s="159">
        <v>15</v>
      </c>
      <c r="D37" s="159">
        <v>19</v>
      </c>
      <c r="E37" s="159" t="s">
        <v>68</v>
      </c>
      <c r="F37" s="159" t="s">
        <v>526</v>
      </c>
      <c r="G37" s="160" t="s">
        <v>42</v>
      </c>
      <c r="H37" s="161" t="s">
        <v>689</v>
      </c>
      <c r="I37" s="162">
        <v>403</v>
      </c>
      <c r="J37" s="159">
        <v>115.8</v>
      </c>
      <c r="K37" s="163">
        <v>112.8</v>
      </c>
      <c r="L37" s="164">
        <f t="shared" si="0"/>
        <v>228.6</v>
      </c>
      <c r="M37" s="165">
        <f t="shared" si="1"/>
        <v>0.56724565756823819</v>
      </c>
      <c r="N37" s="122"/>
    </row>
    <row r="38" spans="2:14" x14ac:dyDescent="0.25">
      <c r="B38" s="121"/>
      <c r="C38" s="159">
        <v>16</v>
      </c>
      <c r="D38" s="159">
        <v>8</v>
      </c>
      <c r="E38" s="159" t="s">
        <v>67</v>
      </c>
      <c r="F38" s="159" t="s">
        <v>526</v>
      </c>
      <c r="G38" s="159" t="s">
        <v>42</v>
      </c>
      <c r="H38" s="168" t="s">
        <v>690</v>
      </c>
      <c r="I38" s="169">
        <v>396</v>
      </c>
      <c r="J38" s="159">
        <v>115.3</v>
      </c>
      <c r="K38" s="163">
        <v>115.5</v>
      </c>
      <c r="L38" s="164">
        <f t="shared" si="0"/>
        <v>230.8</v>
      </c>
      <c r="M38" s="165">
        <f t="shared" si="1"/>
        <v>0.58282828282828281</v>
      </c>
      <c r="N38" s="122"/>
    </row>
    <row r="39" spans="2:14" x14ac:dyDescent="0.25">
      <c r="B39" s="121"/>
      <c r="C39" s="159">
        <v>17</v>
      </c>
      <c r="D39" s="159">
        <v>14</v>
      </c>
      <c r="E39" s="159" t="s">
        <v>68</v>
      </c>
      <c r="F39" s="159" t="s">
        <v>526</v>
      </c>
      <c r="G39" s="160" t="s">
        <v>42</v>
      </c>
      <c r="H39" s="161" t="s">
        <v>691</v>
      </c>
      <c r="I39" s="162">
        <v>416</v>
      </c>
      <c r="J39" s="159">
        <v>119.2</v>
      </c>
      <c r="K39" s="163">
        <v>116.6</v>
      </c>
      <c r="L39" s="164">
        <f t="shared" si="0"/>
        <v>235.8</v>
      </c>
      <c r="M39" s="165">
        <f t="shared" si="1"/>
        <v>0.56682692307692306</v>
      </c>
      <c r="N39" s="122"/>
    </row>
    <row r="40" spans="2:14" x14ac:dyDescent="0.25">
      <c r="B40" s="121"/>
      <c r="C40" s="159">
        <v>18</v>
      </c>
      <c r="D40" s="159">
        <v>11</v>
      </c>
      <c r="E40" s="159" t="s">
        <v>67</v>
      </c>
      <c r="F40" s="159" t="s">
        <v>526</v>
      </c>
      <c r="G40" s="160" t="s">
        <v>42</v>
      </c>
      <c r="H40" s="161" t="s">
        <v>692</v>
      </c>
      <c r="I40" s="162">
        <v>407</v>
      </c>
      <c r="J40" s="159">
        <v>120.2</v>
      </c>
      <c r="K40" s="163">
        <v>116.3</v>
      </c>
      <c r="L40" s="164">
        <f t="shared" si="0"/>
        <v>236.5</v>
      </c>
      <c r="M40" s="165">
        <f t="shared" si="1"/>
        <v>0.58108108108108103</v>
      </c>
      <c r="N40" s="122"/>
    </row>
    <row r="41" spans="2:14" x14ac:dyDescent="0.25">
      <c r="B41" s="121"/>
      <c r="C41" s="159">
        <v>19</v>
      </c>
      <c r="D41" s="159">
        <v>21</v>
      </c>
      <c r="E41" s="159" t="s">
        <v>67</v>
      </c>
      <c r="F41" s="159" t="s">
        <v>526</v>
      </c>
      <c r="G41" s="160" t="s">
        <v>42</v>
      </c>
      <c r="H41" s="161" t="s">
        <v>693</v>
      </c>
      <c r="I41" s="162">
        <v>412</v>
      </c>
      <c r="J41" s="159">
        <v>115.9</v>
      </c>
      <c r="K41" s="163">
        <v>114.6</v>
      </c>
      <c r="L41" s="164">
        <f t="shared" si="0"/>
        <v>230.5</v>
      </c>
      <c r="M41" s="165">
        <f t="shared" si="1"/>
        <v>0.55946601941747576</v>
      </c>
      <c r="N41" s="122"/>
    </row>
    <row r="42" spans="2:14" x14ac:dyDescent="0.25">
      <c r="B42" s="121"/>
      <c r="C42" s="160">
        <v>20</v>
      </c>
      <c r="D42" s="160">
        <v>1</v>
      </c>
      <c r="E42" s="160" t="s">
        <v>68</v>
      </c>
      <c r="F42" s="159" t="s">
        <v>526</v>
      </c>
      <c r="G42" s="160" t="s">
        <v>42</v>
      </c>
      <c r="H42" s="161">
        <v>9312</v>
      </c>
      <c r="I42" s="162">
        <v>397</v>
      </c>
      <c r="J42" s="159">
        <v>118</v>
      </c>
      <c r="K42" s="163">
        <v>115.9</v>
      </c>
      <c r="L42" s="164">
        <f t="shared" si="0"/>
        <v>233.9</v>
      </c>
      <c r="M42" s="165">
        <f t="shared" si="1"/>
        <v>0.58916876574307309</v>
      </c>
      <c r="N42" s="122"/>
    </row>
    <row r="43" spans="2:14" x14ac:dyDescent="0.25">
      <c r="B43" s="121"/>
      <c r="C43" s="159">
        <v>21</v>
      </c>
      <c r="D43" s="159">
        <v>36</v>
      </c>
      <c r="E43" s="159" t="s">
        <v>67</v>
      </c>
      <c r="F43" s="159" t="s">
        <v>526</v>
      </c>
      <c r="G43" s="160" t="s">
        <v>42</v>
      </c>
      <c r="H43" s="161" t="s">
        <v>694</v>
      </c>
      <c r="I43" s="162">
        <v>407</v>
      </c>
      <c r="J43" s="159">
        <v>110.7</v>
      </c>
      <c r="K43" s="163">
        <v>111.7</v>
      </c>
      <c r="L43" s="164">
        <f t="shared" si="0"/>
        <v>222.4</v>
      </c>
      <c r="M43" s="165">
        <f t="shared" si="1"/>
        <v>0.54643734643734643</v>
      </c>
      <c r="N43" s="122"/>
    </row>
    <row r="44" spans="2:14" x14ac:dyDescent="0.25">
      <c r="B44" s="121"/>
      <c r="C44" s="160">
        <v>22</v>
      </c>
      <c r="D44" s="160">
        <v>12</v>
      </c>
      <c r="E44" s="160" t="s">
        <v>67</v>
      </c>
      <c r="F44" s="159" t="s">
        <v>526</v>
      </c>
      <c r="G44" s="160" t="s">
        <v>42</v>
      </c>
      <c r="H44" s="161">
        <v>454</v>
      </c>
      <c r="I44" s="162">
        <v>393</v>
      </c>
      <c r="J44" s="159">
        <v>113.2</v>
      </c>
      <c r="K44" s="163">
        <v>112.6</v>
      </c>
      <c r="L44" s="164">
        <f t="shared" si="0"/>
        <v>225.8</v>
      </c>
      <c r="M44" s="165">
        <f t="shared" si="1"/>
        <v>0.57455470737913494</v>
      </c>
      <c r="N44" s="122"/>
    </row>
    <row r="45" spans="2:14" x14ac:dyDescent="0.25">
      <c r="B45" s="121"/>
      <c r="C45" s="160">
        <v>23</v>
      </c>
      <c r="D45" s="160">
        <v>22</v>
      </c>
      <c r="E45" s="160" t="s">
        <v>67</v>
      </c>
      <c r="F45" s="159" t="s">
        <v>526</v>
      </c>
      <c r="G45" s="160" t="s">
        <v>42</v>
      </c>
      <c r="H45" s="161" t="s">
        <v>695</v>
      </c>
      <c r="I45" s="162">
        <v>412</v>
      </c>
      <c r="J45" s="159">
        <v>115.9</v>
      </c>
      <c r="K45" s="163">
        <v>115.1</v>
      </c>
      <c r="L45" s="164">
        <f t="shared" si="0"/>
        <v>231</v>
      </c>
      <c r="M45" s="165">
        <f t="shared" si="1"/>
        <v>0.56067961165048541</v>
      </c>
      <c r="N45" s="122"/>
    </row>
    <row r="46" spans="2:14" x14ac:dyDescent="0.25">
      <c r="B46" s="121"/>
      <c r="C46" s="160">
        <v>24</v>
      </c>
      <c r="D46" s="160">
        <v>30</v>
      </c>
      <c r="E46" s="160" t="s">
        <v>67</v>
      </c>
      <c r="F46" s="159" t="s">
        <v>526</v>
      </c>
      <c r="G46" s="160" t="s">
        <v>42</v>
      </c>
      <c r="H46" s="161" t="s">
        <v>696</v>
      </c>
      <c r="I46" s="162">
        <v>414</v>
      </c>
      <c r="J46" s="159">
        <v>114.3</v>
      </c>
      <c r="K46" s="163">
        <v>112.7</v>
      </c>
      <c r="L46" s="164">
        <f t="shared" si="0"/>
        <v>227</v>
      </c>
      <c r="M46" s="165">
        <f t="shared" si="1"/>
        <v>0.54830917874396135</v>
      </c>
      <c r="N46" s="122"/>
    </row>
    <row r="47" spans="2:14" x14ac:dyDescent="0.25">
      <c r="B47" s="121"/>
      <c r="C47" s="160">
        <v>25</v>
      </c>
      <c r="D47" s="160">
        <v>27</v>
      </c>
      <c r="E47" s="160" t="s">
        <v>75</v>
      </c>
      <c r="F47" s="159" t="s">
        <v>526</v>
      </c>
      <c r="G47" s="160" t="s">
        <v>42</v>
      </c>
      <c r="H47" s="161" t="s">
        <v>389</v>
      </c>
      <c r="I47" s="162">
        <v>402</v>
      </c>
      <c r="J47" s="159">
        <v>114.9</v>
      </c>
      <c r="K47" s="163">
        <v>114</v>
      </c>
      <c r="L47" s="164">
        <f t="shared" si="0"/>
        <v>228.9</v>
      </c>
      <c r="M47" s="165">
        <f t="shared" si="1"/>
        <v>0.56940298507462683</v>
      </c>
      <c r="N47" s="122"/>
    </row>
    <row r="48" spans="2:14" x14ac:dyDescent="0.25">
      <c r="B48" s="121"/>
      <c r="C48" s="160">
        <v>26</v>
      </c>
      <c r="D48" s="160">
        <v>31</v>
      </c>
      <c r="E48" s="160" t="s">
        <v>67</v>
      </c>
      <c r="F48" s="159" t="s">
        <v>526</v>
      </c>
      <c r="G48" s="160" t="s">
        <v>483</v>
      </c>
      <c r="H48" s="161" t="s">
        <v>697</v>
      </c>
      <c r="I48" s="162">
        <v>358</v>
      </c>
      <c r="J48" s="159">
        <v>95.7</v>
      </c>
      <c r="K48" s="163">
        <v>97.5</v>
      </c>
      <c r="L48" s="164">
        <f t="shared" si="0"/>
        <v>193.2</v>
      </c>
      <c r="M48" s="165">
        <f t="shared" si="1"/>
        <v>0.53966480446927367</v>
      </c>
      <c r="N48" s="122"/>
    </row>
    <row r="49" spans="2:14" x14ac:dyDescent="0.25">
      <c r="B49" s="121"/>
      <c r="C49" s="160">
        <v>27</v>
      </c>
      <c r="D49" s="160">
        <v>32</v>
      </c>
      <c r="E49" s="160" t="s">
        <v>67</v>
      </c>
      <c r="F49" s="159" t="s">
        <v>526</v>
      </c>
      <c r="G49" s="160" t="s">
        <v>42</v>
      </c>
      <c r="H49" s="161">
        <v>9122</v>
      </c>
      <c r="I49" s="162">
        <v>416</v>
      </c>
      <c r="J49" s="159">
        <v>116.6</v>
      </c>
      <c r="K49" s="163">
        <v>115.1</v>
      </c>
      <c r="L49" s="164">
        <f t="shared" si="0"/>
        <v>231.7</v>
      </c>
      <c r="M49" s="165">
        <f t="shared" si="1"/>
        <v>0.55697115384615381</v>
      </c>
      <c r="N49" s="122"/>
    </row>
    <row r="50" spans="2:14" x14ac:dyDescent="0.25">
      <c r="B50" s="121"/>
      <c r="C50" s="159">
        <v>28</v>
      </c>
      <c r="D50" s="159">
        <v>33</v>
      </c>
      <c r="E50" s="159" t="s">
        <v>67</v>
      </c>
      <c r="F50" s="159" t="s">
        <v>526</v>
      </c>
      <c r="G50" s="160" t="s">
        <v>42</v>
      </c>
      <c r="H50" s="161" t="s">
        <v>698</v>
      </c>
      <c r="I50" s="162">
        <v>405</v>
      </c>
      <c r="J50" s="159">
        <v>118.7</v>
      </c>
      <c r="K50" s="163">
        <v>118.6</v>
      </c>
      <c r="L50" s="164">
        <f t="shared" si="0"/>
        <v>237.3</v>
      </c>
      <c r="M50" s="165">
        <f t="shared" si="1"/>
        <v>0.58592592592592596</v>
      </c>
      <c r="N50" s="122"/>
    </row>
    <row r="51" spans="2:14" x14ac:dyDescent="0.25">
      <c r="B51" s="121"/>
      <c r="C51" s="159">
        <v>29</v>
      </c>
      <c r="D51" s="159">
        <v>23</v>
      </c>
      <c r="E51" s="159" t="s">
        <v>67</v>
      </c>
      <c r="F51" s="159" t="s">
        <v>526</v>
      </c>
      <c r="G51" s="160" t="s">
        <v>42</v>
      </c>
      <c r="H51" s="168" t="s">
        <v>699</v>
      </c>
      <c r="I51" s="169">
        <v>396</v>
      </c>
      <c r="J51" s="159">
        <v>112.6</v>
      </c>
      <c r="K51" s="163">
        <v>111.4</v>
      </c>
      <c r="L51" s="164">
        <f t="shared" si="0"/>
        <v>224</v>
      </c>
      <c r="M51" s="165">
        <f t="shared" si="1"/>
        <v>0.56565656565656564</v>
      </c>
      <c r="N51" s="122"/>
    </row>
    <row r="52" spans="2:14" x14ac:dyDescent="0.25">
      <c r="B52" s="121"/>
      <c r="C52" s="159">
        <v>30</v>
      </c>
      <c r="D52" s="160">
        <v>24</v>
      </c>
      <c r="E52" s="160" t="s">
        <v>67</v>
      </c>
      <c r="F52" s="159" t="s">
        <v>526</v>
      </c>
      <c r="G52" s="160" t="s">
        <v>42</v>
      </c>
      <c r="H52" s="168">
        <v>9196</v>
      </c>
      <c r="I52" s="169">
        <v>408</v>
      </c>
      <c r="J52" s="159">
        <v>115.8</v>
      </c>
      <c r="K52" s="163">
        <v>115.3</v>
      </c>
      <c r="L52" s="164">
        <f t="shared" si="0"/>
        <v>231.1</v>
      </c>
      <c r="M52" s="165">
        <f t="shared" si="1"/>
        <v>0.56642156862745097</v>
      </c>
      <c r="N52" s="122"/>
    </row>
    <row r="53" spans="2:14" x14ac:dyDescent="0.25">
      <c r="B53" s="121"/>
      <c r="C53" s="159">
        <v>31</v>
      </c>
      <c r="D53" s="160">
        <v>39</v>
      </c>
      <c r="E53" s="160" t="s">
        <v>67</v>
      </c>
      <c r="F53" s="159" t="s">
        <v>526</v>
      </c>
      <c r="G53" s="160" t="s">
        <v>42</v>
      </c>
      <c r="H53" s="168" t="s">
        <v>700</v>
      </c>
      <c r="I53" s="169">
        <v>400</v>
      </c>
      <c r="J53" s="159">
        <v>113</v>
      </c>
      <c r="K53" s="163">
        <v>113.3</v>
      </c>
      <c r="L53" s="164">
        <f t="shared" si="0"/>
        <v>226.3</v>
      </c>
      <c r="M53" s="165">
        <f t="shared" si="1"/>
        <v>0.56574999999999998</v>
      </c>
      <c r="N53" s="122"/>
    </row>
    <row r="54" spans="2:14" x14ac:dyDescent="0.25">
      <c r="B54" s="121"/>
      <c r="C54" s="159">
        <v>32</v>
      </c>
      <c r="D54" s="160">
        <v>29</v>
      </c>
      <c r="E54" s="160" t="s">
        <v>67</v>
      </c>
      <c r="F54" s="159" t="s">
        <v>526</v>
      </c>
      <c r="G54" s="160" t="s">
        <v>42</v>
      </c>
      <c r="H54" s="168" t="s">
        <v>701</v>
      </c>
      <c r="I54" s="169">
        <v>380</v>
      </c>
      <c r="J54" s="159">
        <v>108.5</v>
      </c>
      <c r="K54" s="163">
        <v>108.4</v>
      </c>
      <c r="L54" s="164">
        <f t="shared" si="0"/>
        <v>216.9</v>
      </c>
      <c r="M54" s="165">
        <f t="shared" si="1"/>
        <v>0.57078947368421051</v>
      </c>
      <c r="N54" s="122"/>
    </row>
    <row r="55" spans="2:14" x14ac:dyDescent="0.25">
      <c r="B55" s="121"/>
      <c r="C55" s="159">
        <v>33</v>
      </c>
      <c r="D55" s="160">
        <v>25</v>
      </c>
      <c r="E55" s="160" t="s">
        <v>67</v>
      </c>
      <c r="F55" s="159" t="s">
        <v>526</v>
      </c>
      <c r="G55" s="160" t="s">
        <v>42</v>
      </c>
      <c r="H55" s="168" t="s">
        <v>702</v>
      </c>
      <c r="I55" s="169">
        <v>418</v>
      </c>
      <c r="J55" s="159">
        <v>113.2</v>
      </c>
      <c r="K55" s="163">
        <v>113.8</v>
      </c>
      <c r="L55" s="164">
        <f t="shared" si="0"/>
        <v>227</v>
      </c>
      <c r="M55" s="165">
        <f t="shared" si="1"/>
        <v>0.5430622009569378</v>
      </c>
      <c r="N55" s="122"/>
    </row>
    <row r="56" spans="2:14" x14ac:dyDescent="0.25">
      <c r="B56" s="121"/>
      <c r="C56" s="159">
        <v>34</v>
      </c>
      <c r="D56" s="160">
        <v>28</v>
      </c>
      <c r="E56" s="160" t="s">
        <v>67</v>
      </c>
      <c r="F56" s="159" t="s">
        <v>526</v>
      </c>
      <c r="G56" s="160" t="s">
        <v>42</v>
      </c>
      <c r="H56" s="168">
        <v>9238</v>
      </c>
      <c r="I56" s="169">
        <v>417</v>
      </c>
      <c r="J56" s="159">
        <v>118.2</v>
      </c>
      <c r="K56" s="163">
        <v>116.9</v>
      </c>
      <c r="L56" s="164">
        <f t="shared" si="0"/>
        <v>235.10000000000002</v>
      </c>
      <c r="M56" s="165">
        <f t="shared" si="1"/>
        <v>0.56378896882494012</v>
      </c>
      <c r="N56" s="122"/>
    </row>
    <row r="57" spans="2:14" x14ac:dyDescent="0.25">
      <c r="B57" s="121"/>
      <c r="C57" s="159">
        <v>35</v>
      </c>
      <c r="D57" s="159">
        <v>38</v>
      </c>
      <c r="E57" s="159" t="s">
        <v>67</v>
      </c>
      <c r="F57" s="159" t="s">
        <v>526</v>
      </c>
      <c r="G57" s="160" t="s">
        <v>42</v>
      </c>
      <c r="H57" s="168" t="s">
        <v>703</v>
      </c>
      <c r="I57" s="169">
        <v>394</v>
      </c>
      <c r="J57" s="159">
        <v>110.1</v>
      </c>
      <c r="K57" s="163">
        <v>109.2</v>
      </c>
      <c r="L57" s="164">
        <f t="shared" si="0"/>
        <v>219.3</v>
      </c>
      <c r="M57" s="165">
        <f t="shared" si="1"/>
        <v>0.55659898477157366</v>
      </c>
      <c r="N57" s="122"/>
    </row>
    <row r="58" spans="2:14" x14ac:dyDescent="0.25">
      <c r="B58" s="121"/>
      <c r="C58" s="159">
        <v>36</v>
      </c>
      <c r="D58" s="159">
        <v>26</v>
      </c>
      <c r="E58" s="159" t="s">
        <v>68</v>
      </c>
      <c r="F58" s="159" t="s">
        <v>526</v>
      </c>
      <c r="G58" s="160" t="s">
        <v>42</v>
      </c>
      <c r="H58" s="168" t="s">
        <v>704</v>
      </c>
      <c r="I58" s="169">
        <v>415</v>
      </c>
      <c r="J58" s="159">
        <v>118.8</v>
      </c>
      <c r="K58" s="163">
        <v>119.1</v>
      </c>
      <c r="L58" s="164">
        <f t="shared" si="0"/>
        <v>237.89999999999998</v>
      </c>
      <c r="M58" s="165">
        <f t="shared" si="1"/>
        <v>0.57325301204819268</v>
      </c>
      <c r="N58" s="122"/>
    </row>
    <row r="59" spans="2:14" x14ac:dyDescent="0.25">
      <c r="B59" s="121"/>
      <c r="C59" s="159">
        <v>37</v>
      </c>
      <c r="D59" s="170">
        <v>34</v>
      </c>
      <c r="E59" s="170" t="s">
        <v>67</v>
      </c>
      <c r="F59" s="159" t="s">
        <v>526</v>
      </c>
      <c r="G59" s="171" t="s">
        <v>42</v>
      </c>
      <c r="H59" s="168" t="s">
        <v>705</v>
      </c>
      <c r="I59" s="169">
        <v>398</v>
      </c>
      <c r="J59" s="159">
        <v>119.1</v>
      </c>
      <c r="K59" s="163">
        <v>118.9</v>
      </c>
      <c r="L59" s="164">
        <f t="shared" si="0"/>
        <v>238</v>
      </c>
      <c r="M59" s="165">
        <f t="shared" si="1"/>
        <v>0.59798994974874375</v>
      </c>
      <c r="N59" s="122"/>
    </row>
    <row r="60" spans="2:14" x14ac:dyDescent="0.25">
      <c r="B60" s="121"/>
      <c r="C60" s="159">
        <v>38</v>
      </c>
      <c r="D60" s="170">
        <v>37</v>
      </c>
      <c r="E60" s="170" t="s">
        <v>67</v>
      </c>
      <c r="F60" s="159" t="s">
        <v>526</v>
      </c>
      <c r="G60" s="171" t="s">
        <v>42</v>
      </c>
      <c r="H60" s="168" t="s">
        <v>706</v>
      </c>
      <c r="I60" s="169">
        <v>400</v>
      </c>
      <c r="J60" s="159">
        <v>116.1</v>
      </c>
      <c r="K60" s="163">
        <v>115.7</v>
      </c>
      <c r="L60" s="164">
        <f t="shared" si="0"/>
        <v>231.8</v>
      </c>
      <c r="M60" s="165">
        <f t="shared" si="1"/>
        <v>0.57950000000000002</v>
      </c>
      <c r="N60" s="122"/>
    </row>
    <row r="61" spans="2:14" x14ac:dyDescent="0.25">
      <c r="B61" s="121"/>
      <c r="C61" s="159">
        <v>39</v>
      </c>
      <c r="D61" s="170">
        <v>35</v>
      </c>
      <c r="E61" s="170" t="s">
        <v>67</v>
      </c>
      <c r="F61" s="159" t="s">
        <v>526</v>
      </c>
      <c r="G61" s="171" t="s">
        <v>42</v>
      </c>
      <c r="H61" s="168" t="s">
        <v>707</v>
      </c>
      <c r="I61" s="169">
        <v>398</v>
      </c>
      <c r="J61" s="159">
        <v>114.9</v>
      </c>
      <c r="K61" s="163">
        <v>113.9</v>
      </c>
      <c r="L61" s="164">
        <f t="shared" si="0"/>
        <v>228.8</v>
      </c>
      <c r="M61" s="165">
        <f t="shared" si="1"/>
        <v>0.57487437185929646</v>
      </c>
      <c r="N61" s="122"/>
    </row>
    <row r="62" spans="2:14" x14ac:dyDescent="0.25">
      <c r="B62" s="121"/>
      <c r="C62" s="159">
        <v>40</v>
      </c>
      <c r="D62" s="170">
        <v>40</v>
      </c>
      <c r="E62" s="170" t="s">
        <v>67</v>
      </c>
      <c r="F62" s="159" t="s">
        <v>526</v>
      </c>
      <c r="G62" s="170" t="s">
        <v>42</v>
      </c>
      <c r="H62" s="168" t="s">
        <v>708</v>
      </c>
      <c r="I62" s="169">
        <v>404</v>
      </c>
      <c r="J62" s="159">
        <v>113.7</v>
      </c>
      <c r="K62" s="159">
        <v>114.8</v>
      </c>
      <c r="L62" s="164">
        <f t="shared" si="0"/>
        <v>228.5</v>
      </c>
      <c r="M62" s="165">
        <f t="shared" si="1"/>
        <v>0.56559405940594054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27"/>
      <c r="D66" s="227">
        <f>+COUNT($D$22:$D$65)</f>
        <v>40</v>
      </c>
      <c r="E66" s="227"/>
      <c r="F66" s="373"/>
      <c r="G66" s="373"/>
      <c r="H66" s="149"/>
      <c r="I66" s="148">
        <f>SUM($I$22:$I$65)</f>
        <v>16159</v>
      </c>
      <c r="J66" s="150">
        <f>SUM($J$22:$J$65)</f>
        <v>4605.7999999999993</v>
      </c>
      <c r="K66" s="151">
        <f>SUM($K$22:$K$65)</f>
        <v>4578.1999999999989</v>
      </c>
      <c r="L66" s="148">
        <f>SUM($L$22:$L$65)</f>
        <v>9183.9999999999982</v>
      </c>
      <c r="M66" s="178">
        <f t="shared" si="1"/>
        <v>0.56835200198032043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129.84</v>
      </c>
      <c r="I71" s="119">
        <v>126.44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40</v>
      </c>
      <c r="I72" s="119">
        <v>69.3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35</v>
      </c>
      <c r="I73" s="119">
        <v>178.08</v>
      </c>
      <c r="J73" s="181">
        <v>5</v>
      </c>
      <c r="K73" s="185">
        <v>29.4</v>
      </c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40</v>
      </c>
      <c r="I74" s="119">
        <v>42.04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37.22</v>
      </c>
      <c r="I75" s="119">
        <v>35.36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80</v>
      </c>
      <c r="I76" s="119">
        <v>37.46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0</v>
      </c>
      <c r="I77" s="119">
        <v>0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40</v>
      </c>
      <c r="I78" s="119">
        <v>37.26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40</v>
      </c>
      <c r="I79" s="119">
        <v>33.14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62.84</v>
      </c>
      <c r="I80" s="119">
        <v>56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40</v>
      </c>
      <c r="I81" s="119">
        <v>41.12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40</v>
      </c>
      <c r="I82" s="119">
        <v>13.62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0</v>
      </c>
      <c r="I83" s="119">
        <v>0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669.82</v>
      </c>
      <c r="J84" s="187">
        <f>SUM(J71:J83)</f>
        <v>5</v>
      </c>
      <c r="K84" s="186">
        <f>SUM(K71:K83)</f>
        <v>29.4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40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3">
    <mergeCell ref="L9:M9"/>
    <mergeCell ref="C15:D15"/>
    <mergeCell ref="E15:F15"/>
    <mergeCell ref="C8:D8"/>
    <mergeCell ref="E8:H8"/>
    <mergeCell ref="C9:D9"/>
    <mergeCell ref="E9:H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F91:G91"/>
    <mergeCell ref="F92:G92"/>
    <mergeCell ref="F93:G93"/>
    <mergeCell ref="J8:K8"/>
    <mergeCell ref="L8:M8"/>
    <mergeCell ref="D83:G83"/>
    <mergeCell ref="D84:G84"/>
    <mergeCell ref="F87:G87"/>
    <mergeCell ref="F88:G88"/>
    <mergeCell ref="F89:G89"/>
    <mergeCell ref="F90:G90"/>
    <mergeCell ref="D77:G77"/>
    <mergeCell ref="D78:G78"/>
    <mergeCell ref="D79:G79"/>
    <mergeCell ref="D80:G80"/>
    <mergeCell ref="D81:G81"/>
  </mergeCells>
  <conditionalFormatting sqref="M23:M65">
    <cfRule type="cellIs" dxfId="80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R17" sqref="R17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0.5638912399492173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204.9961538461539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230</v>
      </c>
      <c r="F8" s="344"/>
      <c r="G8" s="344"/>
      <c r="H8" s="345"/>
      <c r="I8" s="146" t="s">
        <v>487</v>
      </c>
      <c r="J8" s="346" t="s">
        <v>563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2600231</v>
      </c>
      <c r="F9" s="344"/>
      <c r="G9" s="344"/>
      <c r="H9" s="345"/>
      <c r="I9" s="146" t="s">
        <v>88</v>
      </c>
      <c r="J9" s="209" t="s">
        <v>733</v>
      </c>
      <c r="K9" s="224" t="s">
        <v>490</v>
      </c>
      <c r="L9" s="344">
        <v>260231</v>
      </c>
      <c r="M9" s="344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25" t="s">
        <v>569</v>
      </c>
      <c r="E12" s="383">
        <v>46041</v>
      </c>
      <c r="F12" s="383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28</v>
      </c>
      <c r="F13" s="349"/>
      <c r="H13" s="117"/>
      <c r="I13" s="123"/>
      <c r="J13" s="215" t="s">
        <v>483</v>
      </c>
      <c r="K13" s="226">
        <f>+COUNTIF($G$22:$G$66,"VQ")*2</f>
        <v>14</v>
      </c>
      <c r="L13" s="226">
        <f>+SUMIF($G$23:$G$65,"VQ",$L$23:$L$65)</f>
        <v>1346.5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26</v>
      </c>
      <c r="F14" s="350"/>
      <c r="H14" s="117"/>
      <c r="I14" s="123"/>
      <c r="J14" s="215" t="s">
        <v>42</v>
      </c>
      <c r="K14" s="226">
        <f>+COUNTIF($G$22:$G$66,"NT")*2</f>
        <v>36</v>
      </c>
      <c r="L14" s="226">
        <f>+SUMIF($G$23:$G$65,"NT",$L$23:$L$65)</f>
        <v>3650.4999999999995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9452</v>
      </c>
      <c r="F15" s="350"/>
      <c r="H15" s="117"/>
      <c r="I15" s="123"/>
      <c r="J15" s="215" t="s">
        <v>484</v>
      </c>
      <c r="K15" s="226">
        <f>+COUNTIF($G$22:$G$66,"NO")*2</f>
        <v>0</v>
      </c>
      <c r="L15" s="226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5329.9000000000015</v>
      </c>
      <c r="F16" s="350"/>
      <c r="H16" s="117"/>
      <c r="I16" s="123"/>
      <c r="J16" s="215" t="s">
        <v>485</v>
      </c>
      <c r="K16" s="226">
        <f>+COUNTIF($G$22:$G$66,"TO")*2</f>
        <v>0</v>
      </c>
      <c r="L16" s="226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0.5638912399492173</v>
      </c>
      <c r="F17" s="350"/>
      <c r="G17" s="124"/>
      <c r="H17" s="125"/>
      <c r="I17" s="123"/>
      <c r="J17" s="215" t="s">
        <v>486</v>
      </c>
      <c r="K17" s="226">
        <f>+COUNTIF($G$22:$G$66,"VA")*2</f>
        <v>2</v>
      </c>
      <c r="L17" s="226">
        <f>+SUMIF($G$23:$G$65,"VA",$L$23:$L$65)</f>
        <v>332.9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204.9961538461539</v>
      </c>
      <c r="F18" s="353"/>
      <c r="G18" s="124"/>
      <c r="H18" s="125"/>
      <c r="I18" s="123"/>
      <c r="J18" s="215" t="s">
        <v>44</v>
      </c>
      <c r="K18" s="226">
        <f>+COUNTIF($G$22:$G$66,"MEJ")*2</f>
        <v>0</v>
      </c>
      <c r="L18" s="226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59</v>
      </c>
      <c r="D23" s="152">
        <v>1</v>
      </c>
      <c r="E23" s="152" t="s">
        <v>68</v>
      </c>
      <c r="F23" s="152" t="s">
        <v>526</v>
      </c>
      <c r="G23" s="153" t="s">
        <v>483</v>
      </c>
      <c r="H23" s="154" t="s">
        <v>41</v>
      </c>
      <c r="I23" s="155">
        <v>385</v>
      </c>
      <c r="J23" s="152">
        <v>104.7</v>
      </c>
      <c r="K23" s="156">
        <v>105.9</v>
      </c>
      <c r="L23" s="157">
        <f t="shared" ref="L23:L65" si="0">+J23+K23</f>
        <v>210.60000000000002</v>
      </c>
      <c r="M23" s="158">
        <f t="shared" ref="M23:M66" si="1">+L23/I23</f>
        <v>0.54701298701298706</v>
      </c>
      <c r="N23" s="122"/>
    </row>
    <row r="24" spans="2:14" x14ac:dyDescent="0.25">
      <c r="B24" s="121"/>
      <c r="C24" s="159">
        <v>41</v>
      </c>
      <c r="D24" s="159">
        <v>2</v>
      </c>
      <c r="E24" s="159" t="s">
        <v>68</v>
      </c>
      <c r="F24" s="159" t="s">
        <v>526</v>
      </c>
      <c r="G24" s="160" t="s">
        <v>483</v>
      </c>
      <c r="H24" s="161" t="s">
        <v>711</v>
      </c>
      <c r="I24" s="162">
        <v>332</v>
      </c>
      <c r="J24" s="159">
        <v>89.1</v>
      </c>
      <c r="K24" s="163">
        <v>88</v>
      </c>
      <c r="L24" s="164">
        <f t="shared" si="0"/>
        <v>177.1</v>
      </c>
      <c r="M24" s="165">
        <f t="shared" si="1"/>
        <v>0.53343373493975899</v>
      </c>
      <c r="N24" s="122"/>
    </row>
    <row r="25" spans="2:14" x14ac:dyDescent="0.25">
      <c r="B25" s="121"/>
      <c r="C25" s="159">
        <v>42</v>
      </c>
      <c r="D25" s="159">
        <v>15</v>
      </c>
      <c r="E25" s="159" t="s">
        <v>75</v>
      </c>
      <c r="F25" s="159" t="s">
        <v>526</v>
      </c>
      <c r="G25" s="160" t="s">
        <v>42</v>
      </c>
      <c r="H25" s="161" t="s">
        <v>453</v>
      </c>
      <c r="I25" s="162">
        <v>464</v>
      </c>
      <c r="J25" s="159">
        <v>136.4</v>
      </c>
      <c r="K25" s="163">
        <v>136.6</v>
      </c>
      <c r="L25" s="164">
        <f t="shared" si="0"/>
        <v>273</v>
      </c>
      <c r="M25" s="165">
        <f t="shared" si="1"/>
        <v>0.58836206896551724</v>
      </c>
      <c r="N25" s="122"/>
    </row>
    <row r="26" spans="2:14" x14ac:dyDescent="0.25">
      <c r="B26" s="121"/>
      <c r="C26" s="159">
        <v>43</v>
      </c>
      <c r="D26" s="159">
        <v>4</v>
      </c>
      <c r="E26" s="159" t="s">
        <v>75</v>
      </c>
      <c r="F26" s="159" t="s">
        <v>526</v>
      </c>
      <c r="G26" s="160" t="s">
        <v>42</v>
      </c>
      <c r="H26" s="161" t="s">
        <v>712</v>
      </c>
      <c r="I26" s="162">
        <v>336</v>
      </c>
      <c r="J26" s="159">
        <v>99.1</v>
      </c>
      <c r="K26" s="163">
        <v>99.7</v>
      </c>
      <c r="L26" s="164">
        <f t="shared" si="0"/>
        <v>198.8</v>
      </c>
      <c r="M26" s="165">
        <f t="shared" si="1"/>
        <v>0.59166666666666667</v>
      </c>
      <c r="N26" s="122"/>
    </row>
    <row r="27" spans="2:14" x14ac:dyDescent="0.25">
      <c r="B27" s="121"/>
      <c r="C27" s="159">
        <v>44</v>
      </c>
      <c r="D27" s="159">
        <v>17</v>
      </c>
      <c r="E27" s="159" t="s">
        <v>68</v>
      </c>
      <c r="F27" s="159" t="s">
        <v>526</v>
      </c>
      <c r="G27" s="160" t="s">
        <v>42</v>
      </c>
      <c r="H27" s="161" t="s">
        <v>713</v>
      </c>
      <c r="I27" s="162">
        <v>335</v>
      </c>
      <c r="J27" s="159">
        <v>89.5</v>
      </c>
      <c r="K27" s="163">
        <v>90.3</v>
      </c>
      <c r="L27" s="164">
        <f t="shared" si="0"/>
        <v>179.8</v>
      </c>
      <c r="M27" s="165">
        <f t="shared" si="1"/>
        <v>0.53671641791044777</v>
      </c>
      <c r="N27" s="122"/>
    </row>
    <row r="28" spans="2:14" x14ac:dyDescent="0.25">
      <c r="B28" s="121"/>
      <c r="C28" s="159">
        <v>45</v>
      </c>
      <c r="D28" s="159">
        <v>13</v>
      </c>
      <c r="E28" s="159" t="s">
        <v>67</v>
      </c>
      <c r="F28" s="159" t="s">
        <v>526</v>
      </c>
      <c r="G28" s="160" t="s">
        <v>42</v>
      </c>
      <c r="H28" s="161" t="s">
        <v>714</v>
      </c>
      <c r="I28" s="162">
        <v>351</v>
      </c>
      <c r="J28" s="159">
        <v>98.1</v>
      </c>
      <c r="K28" s="163">
        <v>98.8</v>
      </c>
      <c r="L28" s="164">
        <f t="shared" si="0"/>
        <v>196.89999999999998</v>
      </c>
      <c r="M28" s="165">
        <f t="shared" si="1"/>
        <v>0.56096866096866094</v>
      </c>
      <c r="N28" s="122"/>
    </row>
    <row r="29" spans="2:14" x14ac:dyDescent="0.25">
      <c r="B29" s="121"/>
      <c r="C29" s="160">
        <v>46</v>
      </c>
      <c r="D29" s="160">
        <v>7</v>
      </c>
      <c r="E29" s="160" t="s">
        <v>67</v>
      </c>
      <c r="F29" s="159" t="s">
        <v>526</v>
      </c>
      <c r="G29" s="160" t="s">
        <v>42</v>
      </c>
      <c r="H29" s="161" t="s">
        <v>715</v>
      </c>
      <c r="I29" s="162">
        <v>396</v>
      </c>
      <c r="J29" s="159">
        <v>113</v>
      </c>
      <c r="K29" s="163">
        <v>112.8</v>
      </c>
      <c r="L29" s="164">
        <f t="shared" si="0"/>
        <v>225.8</v>
      </c>
      <c r="M29" s="165">
        <f t="shared" si="1"/>
        <v>0.57020202020202027</v>
      </c>
      <c r="N29" s="122"/>
    </row>
    <row r="30" spans="2:14" x14ac:dyDescent="0.25">
      <c r="B30" s="121"/>
      <c r="C30" s="160">
        <v>47</v>
      </c>
      <c r="D30" s="160">
        <v>8</v>
      </c>
      <c r="E30" s="160" t="s">
        <v>75</v>
      </c>
      <c r="F30" s="159" t="s">
        <v>526</v>
      </c>
      <c r="G30" s="160" t="s">
        <v>42</v>
      </c>
      <c r="H30" s="161" t="s">
        <v>716</v>
      </c>
      <c r="I30" s="162">
        <v>358</v>
      </c>
      <c r="J30" s="159">
        <v>107.3</v>
      </c>
      <c r="K30" s="163">
        <v>106.2</v>
      </c>
      <c r="L30" s="164">
        <f t="shared" si="0"/>
        <v>213.5</v>
      </c>
      <c r="M30" s="165">
        <f t="shared" si="1"/>
        <v>0.59636871508379885</v>
      </c>
      <c r="N30" s="122"/>
    </row>
    <row r="31" spans="2:14" x14ac:dyDescent="0.25">
      <c r="B31" s="121"/>
      <c r="C31" s="159">
        <v>48</v>
      </c>
      <c r="D31" s="159">
        <v>9</v>
      </c>
      <c r="E31" s="159" t="s">
        <v>75</v>
      </c>
      <c r="F31" s="159" t="s">
        <v>526</v>
      </c>
      <c r="G31" s="160" t="s">
        <v>42</v>
      </c>
      <c r="H31" s="161" t="s">
        <v>717</v>
      </c>
      <c r="I31" s="162">
        <v>376</v>
      </c>
      <c r="J31" s="159">
        <v>104.8</v>
      </c>
      <c r="K31" s="163">
        <v>104.5</v>
      </c>
      <c r="L31" s="164">
        <f t="shared" si="0"/>
        <v>209.3</v>
      </c>
      <c r="M31" s="165">
        <f t="shared" si="1"/>
        <v>0.55664893617021283</v>
      </c>
      <c r="N31" s="122"/>
    </row>
    <row r="32" spans="2:14" x14ac:dyDescent="0.25">
      <c r="B32" s="121"/>
      <c r="C32" s="159">
        <v>49</v>
      </c>
      <c r="D32" s="159">
        <v>6</v>
      </c>
      <c r="E32" s="159" t="s">
        <v>67</v>
      </c>
      <c r="F32" s="159" t="s">
        <v>526</v>
      </c>
      <c r="G32" s="160" t="s">
        <v>42</v>
      </c>
      <c r="H32" s="161" t="s">
        <v>718</v>
      </c>
      <c r="I32" s="162">
        <v>380</v>
      </c>
      <c r="J32" s="159">
        <v>102.4</v>
      </c>
      <c r="K32" s="163">
        <v>101.2</v>
      </c>
      <c r="L32" s="164">
        <f t="shared" si="0"/>
        <v>203.60000000000002</v>
      </c>
      <c r="M32" s="165">
        <f t="shared" si="1"/>
        <v>0.53578947368421059</v>
      </c>
      <c r="N32" s="122"/>
    </row>
    <row r="33" spans="2:14" x14ac:dyDescent="0.25">
      <c r="B33" s="121"/>
      <c r="C33" s="160">
        <v>50</v>
      </c>
      <c r="D33" s="160">
        <v>14</v>
      </c>
      <c r="E33" s="160" t="s">
        <v>67</v>
      </c>
      <c r="F33" s="159" t="s">
        <v>526</v>
      </c>
      <c r="G33" s="160" t="s">
        <v>42</v>
      </c>
      <c r="H33" s="161" t="s">
        <v>719</v>
      </c>
      <c r="I33" s="162">
        <v>353</v>
      </c>
      <c r="J33" s="159">
        <v>100.1</v>
      </c>
      <c r="K33" s="163">
        <v>98.6</v>
      </c>
      <c r="L33" s="164">
        <f t="shared" si="0"/>
        <v>198.7</v>
      </c>
      <c r="M33" s="165">
        <f t="shared" si="1"/>
        <v>0.56288951841359769</v>
      </c>
      <c r="N33" s="122"/>
    </row>
    <row r="34" spans="2:14" x14ac:dyDescent="0.25">
      <c r="B34" s="121"/>
      <c r="C34" s="159">
        <v>51</v>
      </c>
      <c r="D34" s="159">
        <v>19</v>
      </c>
      <c r="E34" s="159" t="s">
        <v>67</v>
      </c>
      <c r="F34" s="159" t="s">
        <v>526</v>
      </c>
      <c r="G34" s="160" t="s">
        <v>42</v>
      </c>
      <c r="H34" s="161" t="s">
        <v>720</v>
      </c>
      <c r="I34" s="162">
        <v>375</v>
      </c>
      <c r="J34" s="159">
        <v>109.9</v>
      </c>
      <c r="K34" s="166">
        <v>109.6</v>
      </c>
      <c r="L34" s="164">
        <f t="shared" si="0"/>
        <v>219.5</v>
      </c>
      <c r="M34" s="167">
        <f t="shared" si="1"/>
        <v>0.58533333333333337</v>
      </c>
      <c r="N34" s="122"/>
    </row>
    <row r="35" spans="2:14" x14ac:dyDescent="0.25">
      <c r="B35" s="121"/>
      <c r="C35" s="159">
        <v>52</v>
      </c>
      <c r="D35" s="159">
        <v>25</v>
      </c>
      <c r="E35" s="159" t="s">
        <v>75</v>
      </c>
      <c r="F35" s="159" t="s">
        <v>527</v>
      </c>
      <c r="G35" s="160" t="s">
        <v>486</v>
      </c>
      <c r="H35" s="161" t="s">
        <v>721</v>
      </c>
      <c r="I35" s="162">
        <v>558</v>
      </c>
      <c r="J35" s="159">
        <v>167.3</v>
      </c>
      <c r="K35" s="163">
        <v>165.6</v>
      </c>
      <c r="L35" s="164">
        <f t="shared" si="0"/>
        <v>332.9</v>
      </c>
      <c r="M35" s="165">
        <f t="shared" si="1"/>
        <v>0.59659498207885298</v>
      </c>
      <c r="N35" s="122"/>
    </row>
    <row r="36" spans="2:14" x14ac:dyDescent="0.25">
      <c r="B36" s="121"/>
      <c r="C36" s="159">
        <v>53</v>
      </c>
      <c r="D36" s="159">
        <v>3</v>
      </c>
      <c r="E36" s="159" t="s">
        <v>68</v>
      </c>
      <c r="F36" s="159" t="s">
        <v>526</v>
      </c>
      <c r="G36" s="160" t="s">
        <v>483</v>
      </c>
      <c r="H36" s="161" t="s">
        <v>722</v>
      </c>
      <c r="I36" s="162">
        <v>343</v>
      </c>
      <c r="J36" s="159">
        <v>97.9</v>
      </c>
      <c r="K36" s="163">
        <v>98</v>
      </c>
      <c r="L36" s="164">
        <f t="shared" si="0"/>
        <v>195.9</v>
      </c>
      <c r="M36" s="165">
        <f t="shared" si="1"/>
        <v>0.57113702623906704</v>
      </c>
      <c r="N36" s="122"/>
    </row>
    <row r="37" spans="2:14" x14ac:dyDescent="0.25">
      <c r="B37" s="121"/>
      <c r="C37" s="159">
        <v>54</v>
      </c>
      <c r="D37" s="159">
        <v>20</v>
      </c>
      <c r="E37" s="159" t="s">
        <v>67</v>
      </c>
      <c r="F37" s="159" t="s">
        <v>526</v>
      </c>
      <c r="G37" s="160" t="s">
        <v>483</v>
      </c>
      <c r="H37" s="161" t="s">
        <v>723</v>
      </c>
      <c r="I37" s="162">
        <v>356</v>
      </c>
      <c r="J37" s="159">
        <v>94.2</v>
      </c>
      <c r="K37" s="163">
        <v>94.3</v>
      </c>
      <c r="L37" s="164">
        <f t="shared" si="0"/>
        <v>188.5</v>
      </c>
      <c r="M37" s="165">
        <f t="shared" si="1"/>
        <v>0.5294943820224719</v>
      </c>
      <c r="N37" s="122"/>
    </row>
    <row r="38" spans="2:14" x14ac:dyDescent="0.25">
      <c r="B38" s="121"/>
      <c r="C38" s="159">
        <v>55</v>
      </c>
      <c r="D38" s="159">
        <v>26</v>
      </c>
      <c r="E38" s="159" t="s">
        <v>67</v>
      </c>
      <c r="F38" s="159" t="s">
        <v>526</v>
      </c>
      <c r="G38" s="159" t="s">
        <v>483</v>
      </c>
      <c r="H38" s="168" t="s">
        <v>724</v>
      </c>
      <c r="I38" s="169">
        <v>364</v>
      </c>
      <c r="J38" s="159">
        <v>101.4</v>
      </c>
      <c r="K38" s="163">
        <v>101.4</v>
      </c>
      <c r="L38" s="164">
        <f t="shared" si="0"/>
        <v>202.8</v>
      </c>
      <c r="M38" s="165">
        <f t="shared" si="1"/>
        <v>0.55714285714285716</v>
      </c>
      <c r="N38" s="122"/>
    </row>
    <row r="39" spans="2:14" x14ac:dyDescent="0.25">
      <c r="B39" s="121"/>
      <c r="C39" s="159">
        <v>56</v>
      </c>
      <c r="D39" s="159">
        <v>23</v>
      </c>
      <c r="E39" s="159" t="s">
        <v>75</v>
      </c>
      <c r="F39" s="159" t="s">
        <v>526</v>
      </c>
      <c r="G39" s="160" t="s">
        <v>42</v>
      </c>
      <c r="H39" s="161" t="s">
        <v>725</v>
      </c>
      <c r="I39" s="162">
        <v>340</v>
      </c>
      <c r="J39" s="159">
        <v>99.3</v>
      </c>
      <c r="K39" s="163">
        <v>97.8</v>
      </c>
      <c r="L39" s="164">
        <f t="shared" si="0"/>
        <v>197.1</v>
      </c>
      <c r="M39" s="165">
        <f t="shared" si="1"/>
        <v>0.57970588235294118</v>
      </c>
      <c r="N39" s="122"/>
    </row>
    <row r="40" spans="2:14" x14ac:dyDescent="0.25">
      <c r="B40" s="121"/>
      <c r="C40" s="159">
        <v>57</v>
      </c>
      <c r="D40" s="159">
        <v>16</v>
      </c>
      <c r="E40" s="159" t="s">
        <v>68</v>
      </c>
      <c r="F40" s="159" t="s">
        <v>526</v>
      </c>
      <c r="G40" s="160" t="s">
        <v>42</v>
      </c>
      <c r="H40" s="161" t="s">
        <v>726</v>
      </c>
      <c r="I40" s="162">
        <v>312</v>
      </c>
      <c r="J40" s="159">
        <v>88.6</v>
      </c>
      <c r="K40" s="163">
        <v>87.5</v>
      </c>
      <c r="L40" s="164">
        <f t="shared" si="0"/>
        <v>176.1</v>
      </c>
      <c r="M40" s="165">
        <f t="shared" si="1"/>
        <v>0.56442307692307692</v>
      </c>
      <c r="N40" s="122"/>
    </row>
    <row r="41" spans="2:14" x14ac:dyDescent="0.25">
      <c r="B41" s="121"/>
      <c r="C41" s="159">
        <v>58</v>
      </c>
      <c r="D41" s="159">
        <v>18</v>
      </c>
      <c r="E41" s="159" t="s">
        <v>67</v>
      </c>
      <c r="F41" s="159" t="s">
        <v>526</v>
      </c>
      <c r="G41" s="160" t="s">
        <v>483</v>
      </c>
      <c r="H41" s="161" t="s">
        <v>727</v>
      </c>
      <c r="I41" s="162">
        <v>326</v>
      </c>
      <c r="J41" s="159">
        <v>90.7</v>
      </c>
      <c r="K41" s="163">
        <v>90.3</v>
      </c>
      <c r="L41" s="164">
        <f t="shared" si="0"/>
        <v>181</v>
      </c>
      <c r="M41" s="165">
        <f t="shared" si="1"/>
        <v>0.55521472392638038</v>
      </c>
      <c r="N41" s="122"/>
    </row>
    <row r="42" spans="2:14" x14ac:dyDescent="0.25">
      <c r="B42" s="121"/>
      <c r="C42" s="160">
        <v>60</v>
      </c>
      <c r="D42" s="160">
        <v>22</v>
      </c>
      <c r="E42" s="160" t="s">
        <v>67</v>
      </c>
      <c r="F42" s="159" t="s">
        <v>526</v>
      </c>
      <c r="G42" s="160" t="s">
        <v>42</v>
      </c>
      <c r="H42" s="161" t="s">
        <v>728</v>
      </c>
      <c r="I42" s="162">
        <v>319</v>
      </c>
      <c r="J42" s="159">
        <v>90.1</v>
      </c>
      <c r="K42" s="163">
        <v>88.5</v>
      </c>
      <c r="L42" s="164">
        <f t="shared" si="0"/>
        <v>178.6</v>
      </c>
      <c r="M42" s="165">
        <f t="shared" si="1"/>
        <v>0.55987460815047019</v>
      </c>
      <c r="N42" s="122"/>
    </row>
    <row r="43" spans="2:14" x14ac:dyDescent="0.25">
      <c r="B43" s="121"/>
      <c r="C43" s="159">
        <v>61</v>
      </c>
      <c r="D43" s="159">
        <v>12</v>
      </c>
      <c r="E43" s="159" t="s">
        <v>68</v>
      </c>
      <c r="F43" s="159" t="s">
        <v>526</v>
      </c>
      <c r="G43" s="160" t="s">
        <v>483</v>
      </c>
      <c r="H43" s="161" t="s">
        <v>729</v>
      </c>
      <c r="I43" s="162">
        <v>359</v>
      </c>
      <c r="J43" s="159">
        <v>95.2</v>
      </c>
      <c r="K43" s="163">
        <v>95.4</v>
      </c>
      <c r="L43" s="164">
        <f t="shared" si="0"/>
        <v>190.60000000000002</v>
      </c>
      <c r="M43" s="165">
        <f t="shared" si="1"/>
        <v>0.53091922005571035</v>
      </c>
      <c r="N43" s="122"/>
    </row>
    <row r="44" spans="2:14" x14ac:dyDescent="0.25">
      <c r="B44" s="121"/>
      <c r="C44" s="160">
        <v>62</v>
      </c>
      <c r="D44" s="160">
        <v>21</v>
      </c>
      <c r="E44" s="160" t="s">
        <v>68</v>
      </c>
      <c r="F44" s="159" t="s">
        <v>526</v>
      </c>
      <c r="G44" s="160" t="s">
        <v>42</v>
      </c>
      <c r="H44" s="161" t="s">
        <v>730</v>
      </c>
      <c r="I44" s="162">
        <v>340</v>
      </c>
      <c r="J44" s="159">
        <v>92.6</v>
      </c>
      <c r="K44" s="163">
        <v>91.9</v>
      </c>
      <c r="L44" s="164">
        <f t="shared" si="0"/>
        <v>184.5</v>
      </c>
      <c r="M44" s="165">
        <f t="shared" si="1"/>
        <v>0.54264705882352937</v>
      </c>
      <c r="N44" s="122"/>
    </row>
    <row r="45" spans="2:14" x14ac:dyDescent="0.25">
      <c r="B45" s="121"/>
      <c r="C45" s="160">
        <v>63</v>
      </c>
      <c r="D45" s="160">
        <v>5</v>
      </c>
      <c r="E45" s="160" t="s">
        <v>75</v>
      </c>
      <c r="F45" s="159" t="s">
        <v>526</v>
      </c>
      <c r="G45" s="160" t="s">
        <v>42</v>
      </c>
      <c r="H45" s="161" t="s">
        <v>41</v>
      </c>
      <c r="I45" s="162">
        <v>324</v>
      </c>
      <c r="J45" s="159">
        <v>90.3</v>
      </c>
      <c r="K45" s="163">
        <v>91</v>
      </c>
      <c r="L45" s="164">
        <f t="shared" si="0"/>
        <v>181.3</v>
      </c>
      <c r="M45" s="165">
        <f t="shared" si="1"/>
        <v>0.5595679012345679</v>
      </c>
      <c r="N45" s="122"/>
    </row>
    <row r="46" spans="2:14" x14ac:dyDescent="0.25">
      <c r="B46" s="121"/>
      <c r="C46" s="160">
        <v>64</v>
      </c>
      <c r="D46" s="160">
        <v>10</v>
      </c>
      <c r="E46" s="160" t="s">
        <v>75</v>
      </c>
      <c r="F46" s="159" t="s">
        <v>526</v>
      </c>
      <c r="G46" s="160" t="s">
        <v>42</v>
      </c>
      <c r="H46" s="161" t="s">
        <v>731</v>
      </c>
      <c r="I46" s="162">
        <v>384</v>
      </c>
      <c r="J46" s="159">
        <v>113.1</v>
      </c>
      <c r="K46" s="163">
        <v>112.5</v>
      </c>
      <c r="L46" s="164">
        <f t="shared" si="0"/>
        <v>225.6</v>
      </c>
      <c r="M46" s="165">
        <f t="shared" si="1"/>
        <v>0.58750000000000002</v>
      </c>
      <c r="N46" s="122"/>
    </row>
    <row r="47" spans="2:14" x14ac:dyDescent="0.25">
      <c r="B47" s="121"/>
      <c r="C47" s="160">
        <v>65</v>
      </c>
      <c r="D47" s="160">
        <v>24</v>
      </c>
      <c r="E47" s="160" t="s">
        <v>75</v>
      </c>
      <c r="F47" s="159" t="s">
        <v>526</v>
      </c>
      <c r="G47" s="160" t="s">
        <v>42</v>
      </c>
      <c r="H47" s="161" t="s">
        <v>41</v>
      </c>
      <c r="I47" s="162">
        <v>368</v>
      </c>
      <c r="J47" s="159">
        <v>107.9</v>
      </c>
      <c r="K47" s="163">
        <v>105.7</v>
      </c>
      <c r="L47" s="164">
        <f t="shared" si="0"/>
        <v>213.60000000000002</v>
      </c>
      <c r="M47" s="165">
        <f t="shared" si="1"/>
        <v>0.58043478260869574</v>
      </c>
      <c r="N47" s="122"/>
    </row>
    <row r="48" spans="2:14" x14ac:dyDescent="0.25">
      <c r="B48" s="121"/>
      <c r="C48" s="160">
        <v>66</v>
      </c>
      <c r="D48" s="160">
        <v>11</v>
      </c>
      <c r="E48" s="160" t="s">
        <v>67</v>
      </c>
      <c r="F48" s="159" t="s">
        <v>526</v>
      </c>
      <c r="G48" s="160" t="s">
        <v>42</v>
      </c>
      <c r="H48" s="161" t="s">
        <v>732</v>
      </c>
      <c r="I48" s="162">
        <v>318</v>
      </c>
      <c r="J48" s="159">
        <v>87.2</v>
      </c>
      <c r="K48" s="163">
        <v>87.6</v>
      </c>
      <c r="L48" s="164">
        <f t="shared" si="0"/>
        <v>174.8</v>
      </c>
      <c r="M48" s="165">
        <f t="shared" si="1"/>
        <v>0.54968553459119496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27"/>
      <c r="D66" s="227">
        <f>+COUNT($D$22:$D$65)</f>
        <v>26</v>
      </c>
      <c r="E66" s="227"/>
      <c r="F66" s="373"/>
      <c r="G66" s="373"/>
      <c r="H66" s="149"/>
      <c r="I66" s="148">
        <f>SUM($I$22:$I$65)</f>
        <v>9452</v>
      </c>
      <c r="J66" s="150">
        <f>SUM($J$22:$J$65)</f>
        <v>2670.2</v>
      </c>
      <c r="K66" s="151">
        <f>SUM($K$22:$K$65)</f>
        <v>2659.6999999999994</v>
      </c>
      <c r="L66" s="148">
        <f>SUM($L$22:$L$65)</f>
        <v>5329.9000000000015</v>
      </c>
      <c r="M66" s="178">
        <f t="shared" si="1"/>
        <v>0.5638912399492173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62.08</v>
      </c>
      <c r="I71" s="119">
        <v>60.06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26</v>
      </c>
      <c r="I72" s="119">
        <v>40.239999999999995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24</v>
      </c>
      <c r="I73" s="119">
        <v>115.46000000000001</v>
      </c>
      <c r="J73" s="181">
        <v>2</v>
      </c>
      <c r="K73" s="185">
        <v>9.84</v>
      </c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26</v>
      </c>
      <c r="I74" s="119">
        <v>27.1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17.760000000000002</v>
      </c>
      <c r="I75" s="119">
        <v>17.16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50</v>
      </c>
      <c r="I76" s="119">
        <v>21.5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104</v>
      </c>
      <c r="I77" s="119">
        <v>16.98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26</v>
      </c>
      <c r="I78" s="119">
        <v>19.079999999999998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26</v>
      </c>
      <c r="I79" s="119">
        <v>19.38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34.86</v>
      </c>
      <c r="I80" s="119">
        <v>33.019999999999996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26</v>
      </c>
      <c r="I81" s="119">
        <v>25.14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26</v>
      </c>
      <c r="I82" s="119">
        <v>8.66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15.02</v>
      </c>
      <c r="I83" s="119">
        <v>13.82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417.59999999999997</v>
      </c>
      <c r="J84" s="187">
        <f>SUM(J71:J83)</f>
        <v>2</v>
      </c>
      <c r="K84" s="186">
        <f>SUM(K71:K83)</f>
        <v>9.84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26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3">
    <mergeCell ref="L9:M9"/>
    <mergeCell ref="C15:D15"/>
    <mergeCell ref="E15:F15"/>
    <mergeCell ref="C8:D8"/>
    <mergeCell ref="E8:H8"/>
    <mergeCell ref="C9:D9"/>
    <mergeCell ref="E9:H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F91:G91"/>
    <mergeCell ref="F92:G92"/>
    <mergeCell ref="F93:G93"/>
    <mergeCell ref="J8:K8"/>
    <mergeCell ref="L8:M8"/>
    <mergeCell ref="D83:G83"/>
    <mergeCell ref="D84:G84"/>
    <mergeCell ref="F87:G87"/>
    <mergeCell ref="F88:G88"/>
    <mergeCell ref="F89:G89"/>
    <mergeCell ref="F90:G90"/>
    <mergeCell ref="D77:G77"/>
    <mergeCell ref="D78:G78"/>
    <mergeCell ref="D79:G79"/>
    <mergeCell ref="D80:G80"/>
    <mergeCell ref="D81:G81"/>
  </mergeCells>
  <conditionalFormatting sqref="M23:M65">
    <cfRule type="cellIs" dxfId="79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E9" sqref="E9:H9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0.57952022204599518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194.87333333333333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566</v>
      </c>
      <c r="F8" s="344"/>
      <c r="G8" s="344"/>
      <c r="H8" s="345"/>
      <c r="I8" s="146" t="s">
        <v>487</v>
      </c>
      <c r="J8" s="209" t="s">
        <v>748</v>
      </c>
      <c r="K8" s="209"/>
      <c r="L8" s="209"/>
      <c r="M8" s="209"/>
      <c r="N8" s="122"/>
    </row>
    <row r="9" spans="2:14" x14ac:dyDescent="0.25">
      <c r="B9" s="121"/>
      <c r="C9" s="347" t="s">
        <v>476</v>
      </c>
      <c r="D9" s="347"/>
      <c r="E9" s="344">
        <v>28012</v>
      </c>
      <c r="F9" s="344"/>
      <c r="G9" s="344"/>
      <c r="H9" s="345"/>
      <c r="I9" s="146" t="s">
        <v>88</v>
      </c>
      <c r="J9" s="209" t="s">
        <v>749</v>
      </c>
      <c r="K9" s="224" t="s">
        <v>490</v>
      </c>
      <c r="L9" s="344">
        <v>417916</v>
      </c>
      <c r="M9" s="344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25" t="s">
        <v>569</v>
      </c>
      <c r="E12" s="383">
        <v>46041</v>
      </c>
      <c r="F12" s="383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29</v>
      </c>
      <c r="F13" s="349"/>
      <c r="H13" s="117"/>
      <c r="I13" s="123"/>
      <c r="J13" s="215" t="s">
        <v>483</v>
      </c>
      <c r="K13" s="226">
        <f>+COUNTIF($G$22:$G$66,"VQ")*2</f>
        <v>0</v>
      </c>
      <c r="L13" s="226">
        <f>+SUMIF($G$23:$G$65,"VQ",$L$23:$L$65)</f>
        <v>0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15</v>
      </c>
      <c r="F14" s="350"/>
      <c r="H14" s="117"/>
      <c r="I14" s="123"/>
      <c r="J14" s="215" t="s">
        <v>42</v>
      </c>
      <c r="K14" s="226">
        <f>+COUNTIF($G$22:$G$66,"NT")*2</f>
        <v>0</v>
      </c>
      <c r="L14" s="226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5044</v>
      </c>
      <c r="F15" s="350"/>
      <c r="H15" s="117"/>
      <c r="I15" s="123"/>
      <c r="J15" s="215" t="s">
        <v>484</v>
      </c>
      <c r="K15" s="226">
        <f>+COUNTIF($G$22:$G$66,"NO")*2</f>
        <v>18</v>
      </c>
      <c r="L15" s="226">
        <f>+SUMIF($G$23:$G$65,"NO",$L$23:$L$65)</f>
        <v>1763.4999999999998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2923.1</v>
      </c>
      <c r="F16" s="350"/>
      <c r="H16" s="117"/>
      <c r="I16" s="123"/>
      <c r="J16" s="215" t="s">
        <v>485</v>
      </c>
      <c r="K16" s="226">
        <f>+COUNTIF($G$22:$G$66,"TO")*2</f>
        <v>0</v>
      </c>
      <c r="L16" s="226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0.57952022204599518</v>
      </c>
      <c r="F17" s="350"/>
      <c r="G17" s="124"/>
      <c r="H17" s="125"/>
      <c r="I17" s="123"/>
      <c r="J17" s="215" t="s">
        <v>486</v>
      </c>
      <c r="K17" s="226">
        <f>+COUNTIF($G$22:$G$66,"VA")*2</f>
        <v>0</v>
      </c>
      <c r="L17" s="226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194.87333333333333</v>
      </c>
      <c r="F18" s="353"/>
      <c r="G18" s="124"/>
      <c r="H18" s="125"/>
      <c r="I18" s="123"/>
      <c r="J18" s="215" t="s">
        <v>44</v>
      </c>
      <c r="K18" s="226">
        <f>+COUNTIF($G$22:$G$66,"MEJ")*2</f>
        <v>12</v>
      </c>
      <c r="L18" s="226">
        <f>+SUMIF($G$23:$G$65,"MEJ",$L$23:$L$65)</f>
        <v>1159.5999999999999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67</v>
      </c>
      <c r="D23" s="152">
        <v>13</v>
      </c>
      <c r="E23" s="152" t="s">
        <v>75</v>
      </c>
      <c r="F23" s="152" t="s">
        <v>526</v>
      </c>
      <c r="G23" s="153" t="s">
        <v>484</v>
      </c>
      <c r="H23" s="154" t="s">
        <v>734</v>
      </c>
      <c r="I23" s="155">
        <v>409</v>
      </c>
      <c r="J23" s="152">
        <v>107.4</v>
      </c>
      <c r="K23" s="156">
        <v>106.4</v>
      </c>
      <c r="L23" s="157">
        <f t="shared" ref="L23:L65" si="0">+J23+K23</f>
        <v>213.8</v>
      </c>
      <c r="M23" s="158">
        <f t="shared" ref="M23:M66" si="1">+L23/I23</f>
        <v>0.52273838630806846</v>
      </c>
      <c r="N23" s="122"/>
    </row>
    <row r="24" spans="2:14" x14ac:dyDescent="0.25">
      <c r="B24" s="121"/>
      <c r="C24" s="159">
        <v>68</v>
      </c>
      <c r="D24" s="159">
        <v>2</v>
      </c>
      <c r="E24" s="159" t="s">
        <v>67</v>
      </c>
      <c r="F24" s="159" t="s">
        <v>526</v>
      </c>
      <c r="G24" s="160" t="s">
        <v>484</v>
      </c>
      <c r="H24" s="161" t="s">
        <v>735</v>
      </c>
      <c r="I24" s="162">
        <v>322</v>
      </c>
      <c r="J24" s="159">
        <v>93</v>
      </c>
      <c r="K24" s="163">
        <v>93</v>
      </c>
      <c r="L24" s="164">
        <f t="shared" si="0"/>
        <v>186</v>
      </c>
      <c r="M24" s="165">
        <f t="shared" si="1"/>
        <v>0.57763975155279501</v>
      </c>
      <c r="N24" s="122"/>
    </row>
    <row r="25" spans="2:14" x14ac:dyDescent="0.25">
      <c r="B25" s="121"/>
      <c r="C25" s="159">
        <v>69</v>
      </c>
      <c r="D25" s="159">
        <v>3</v>
      </c>
      <c r="E25" s="159" t="s">
        <v>67</v>
      </c>
      <c r="F25" s="159" t="s">
        <v>526</v>
      </c>
      <c r="G25" s="160" t="s">
        <v>484</v>
      </c>
      <c r="H25" s="161" t="s">
        <v>86</v>
      </c>
      <c r="I25" s="162">
        <v>316</v>
      </c>
      <c r="J25" s="159">
        <v>86.9</v>
      </c>
      <c r="K25" s="163">
        <v>89</v>
      </c>
      <c r="L25" s="164">
        <f t="shared" si="0"/>
        <v>175.9</v>
      </c>
      <c r="M25" s="165">
        <f t="shared" si="1"/>
        <v>0.55664556962025313</v>
      </c>
      <c r="N25" s="122"/>
    </row>
    <row r="26" spans="2:14" x14ac:dyDescent="0.25">
      <c r="B26" s="121"/>
      <c r="C26" s="159">
        <v>70</v>
      </c>
      <c r="D26" s="159">
        <v>9</v>
      </c>
      <c r="E26" s="159" t="s">
        <v>68</v>
      </c>
      <c r="F26" s="159" t="s">
        <v>526</v>
      </c>
      <c r="G26" s="160" t="s">
        <v>44</v>
      </c>
      <c r="H26" s="161" t="s">
        <v>736</v>
      </c>
      <c r="I26" s="162">
        <v>298</v>
      </c>
      <c r="J26" s="159">
        <v>86.6</v>
      </c>
      <c r="K26" s="163">
        <v>86.8</v>
      </c>
      <c r="L26" s="164">
        <f t="shared" si="0"/>
        <v>173.39999999999998</v>
      </c>
      <c r="M26" s="165">
        <f t="shared" si="1"/>
        <v>0.58187919463087245</v>
      </c>
      <c r="N26" s="122"/>
    </row>
    <row r="27" spans="2:14" x14ac:dyDescent="0.25">
      <c r="B27" s="121"/>
      <c r="C27" s="159">
        <v>71</v>
      </c>
      <c r="D27" s="159">
        <v>10</v>
      </c>
      <c r="E27" s="159" t="s">
        <v>67</v>
      </c>
      <c r="F27" s="159" t="s">
        <v>526</v>
      </c>
      <c r="G27" s="160" t="s">
        <v>44</v>
      </c>
      <c r="H27" s="161" t="s">
        <v>737</v>
      </c>
      <c r="I27" s="162">
        <v>285</v>
      </c>
      <c r="J27" s="159">
        <v>79</v>
      </c>
      <c r="K27" s="163">
        <v>80.400000000000006</v>
      </c>
      <c r="L27" s="164">
        <f t="shared" si="0"/>
        <v>159.4</v>
      </c>
      <c r="M27" s="165">
        <f t="shared" si="1"/>
        <v>0.55929824561403507</v>
      </c>
      <c r="N27" s="122"/>
    </row>
    <row r="28" spans="2:14" x14ac:dyDescent="0.25">
      <c r="B28" s="121"/>
      <c r="C28" s="159">
        <v>72</v>
      </c>
      <c r="D28" s="159">
        <v>4</v>
      </c>
      <c r="E28" s="159" t="s">
        <v>67</v>
      </c>
      <c r="F28" s="159" t="s">
        <v>526</v>
      </c>
      <c r="G28" s="160" t="s">
        <v>484</v>
      </c>
      <c r="H28" s="161" t="s">
        <v>738</v>
      </c>
      <c r="I28" s="162">
        <v>330</v>
      </c>
      <c r="J28" s="159">
        <v>97.8</v>
      </c>
      <c r="K28" s="163">
        <v>98.2</v>
      </c>
      <c r="L28" s="164">
        <f t="shared" si="0"/>
        <v>196</v>
      </c>
      <c r="M28" s="165">
        <f t="shared" si="1"/>
        <v>0.59393939393939399</v>
      </c>
      <c r="N28" s="122"/>
    </row>
    <row r="29" spans="2:14" x14ac:dyDescent="0.25">
      <c r="B29" s="121"/>
      <c r="C29" s="160">
        <v>73</v>
      </c>
      <c r="D29" s="160">
        <v>5</v>
      </c>
      <c r="E29" s="160" t="s">
        <v>67</v>
      </c>
      <c r="F29" s="160" t="s">
        <v>750</v>
      </c>
      <c r="G29" s="160" t="s">
        <v>44</v>
      </c>
      <c r="H29" s="161" t="s">
        <v>739</v>
      </c>
      <c r="I29" s="162">
        <v>339</v>
      </c>
      <c r="J29" s="159">
        <v>97.6</v>
      </c>
      <c r="K29" s="163">
        <v>97.1</v>
      </c>
      <c r="L29" s="164">
        <f t="shared" si="0"/>
        <v>194.7</v>
      </c>
      <c r="M29" s="165">
        <f t="shared" si="1"/>
        <v>0.57433628318584062</v>
      </c>
      <c r="N29" s="122"/>
    </row>
    <row r="30" spans="2:14" x14ac:dyDescent="0.25">
      <c r="B30" s="121"/>
      <c r="C30" s="160">
        <v>74</v>
      </c>
      <c r="D30" s="160">
        <v>14</v>
      </c>
      <c r="E30" s="160" t="s">
        <v>740</v>
      </c>
      <c r="F30" s="160" t="s">
        <v>750</v>
      </c>
      <c r="G30" s="160" t="s">
        <v>44</v>
      </c>
      <c r="H30" s="161" t="s">
        <v>741</v>
      </c>
      <c r="I30" s="162">
        <v>343</v>
      </c>
      <c r="J30" s="159">
        <v>99.4</v>
      </c>
      <c r="K30" s="163">
        <v>98.9</v>
      </c>
      <c r="L30" s="164">
        <f t="shared" si="0"/>
        <v>198.3</v>
      </c>
      <c r="M30" s="165">
        <f t="shared" si="1"/>
        <v>0.57813411078717203</v>
      </c>
      <c r="N30" s="122"/>
    </row>
    <row r="31" spans="2:14" x14ac:dyDescent="0.25">
      <c r="B31" s="121"/>
      <c r="C31" s="159">
        <v>75</v>
      </c>
      <c r="D31" s="159">
        <v>7</v>
      </c>
      <c r="E31" s="159" t="s">
        <v>67</v>
      </c>
      <c r="F31" s="160" t="s">
        <v>750</v>
      </c>
      <c r="G31" s="160" t="s">
        <v>484</v>
      </c>
      <c r="H31" s="161" t="s">
        <v>742</v>
      </c>
      <c r="I31" s="162">
        <v>323</v>
      </c>
      <c r="J31" s="159">
        <v>95.5</v>
      </c>
      <c r="K31" s="163">
        <v>93.9</v>
      </c>
      <c r="L31" s="164">
        <f t="shared" si="0"/>
        <v>189.4</v>
      </c>
      <c r="M31" s="165">
        <f t="shared" si="1"/>
        <v>0.58637770897832819</v>
      </c>
      <c r="N31" s="122"/>
    </row>
    <row r="32" spans="2:14" x14ac:dyDescent="0.25">
      <c r="B32" s="121"/>
      <c r="C32" s="159">
        <v>76</v>
      </c>
      <c r="D32" s="159">
        <v>11</v>
      </c>
      <c r="E32" s="159" t="s">
        <v>67</v>
      </c>
      <c r="F32" s="160" t="s">
        <v>750</v>
      </c>
      <c r="G32" s="160" t="s">
        <v>44</v>
      </c>
      <c r="H32" s="161" t="s">
        <v>743</v>
      </c>
      <c r="I32" s="162">
        <v>330</v>
      </c>
      <c r="J32" s="159">
        <v>96.8</v>
      </c>
      <c r="K32" s="163">
        <v>97.7</v>
      </c>
      <c r="L32" s="164">
        <f t="shared" si="0"/>
        <v>194.5</v>
      </c>
      <c r="M32" s="165">
        <f t="shared" si="1"/>
        <v>0.58939393939393936</v>
      </c>
      <c r="N32" s="122"/>
    </row>
    <row r="33" spans="2:14" x14ac:dyDescent="0.25">
      <c r="B33" s="121"/>
      <c r="C33" s="160">
        <v>77</v>
      </c>
      <c r="D33" s="160">
        <v>1</v>
      </c>
      <c r="E33" s="160" t="s">
        <v>67</v>
      </c>
      <c r="F33" s="160" t="s">
        <v>750</v>
      </c>
      <c r="G33" s="160" t="s">
        <v>484</v>
      </c>
      <c r="H33" s="161" t="s">
        <v>744</v>
      </c>
      <c r="I33" s="162">
        <v>294</v>
      </c>
      <c r="J33" s="159">
        <v>87.3</v>
      </c>
      <c r="K33" s="163">
        <v>89.2</v>
      </c>
      <c r="L33" s="164">
        <f t="shared" si="0"/>
        <v>176.5</v>
      </c>
      <c r="M33" s="165">
        <f t="shared" si="1"/>
        <v>0.60034013605442171</v>
      </c>
      <c r="N33" s="122"/>
    </row>
    <row r="34" spans="2:14" x14ac:dyDescent="0.25">
      <c r="B34" s="121"/>
      <c r="C34" s="159">
        <v>78</v>
      </c>
      <c r="D34" s="159">
        <v>12</v>
      </c>
      <c r="E34" s="159" t="s">
        <v>67</v>
      </c>
      <c r="F34" s="160" t="s">
        <v>750</v>
      </c>
      <c r="G34" s="160" t="s">
        <v>44</v>
      </c>
      <c r="H34" s="161" t="s">
        <v>745</v>
      </c>
      <c r="I34" s="162">
        <v>393</v>
      </c>
      <c r="J34" s="159">
        <v>119.6</v>
      </c>
      <c r="K34" s="166">
        <v>119.7</v>
      </c>
      <c r="L34" s="164">
        <f t="shared" si="0"/>
        <v>239.3</v>
      </c>
      <c r="M34" s="167">
        <f t="shared" si="1"/>
        <v>0.60890585241730277</v>
      </c>
      <c r="N34" s="122"/>
    </row>
    <row r="35" spans="2:14" x14ac:dyDescent="0.25">
      <c r="B35" s="121"/>
      <c r="C35" s="159">
        <v>79</v>
      </c>
      <c r="D35" s="159">
        <v>8</v>
      </c>
      <c r="E35" s="159" t="s">
        <v>67</v>
      </c>
      <c r="F35" s="160" t="s">
        <v>750</v>
      </c>
      <c r="G35" s="160" t="s">
        <v>484</v>
      </c>
      <c r="H35" s="161" t="s">
        <v>746</v>
      </c>
      <c r="I35" s="162">
        <v>377</v>
      </c>
      <c r="J35" s="159">
        <v>112.9</v>
      </c>
      <c r="K35" s="163">
        <v>113.2</v>
      </c>
      <c r="L35" s="164">
        <f t="shared" si="0"/>
        <v>226.10000000000002</v>
      </c>
      <c r="M35" s="165">
        <f t="shared" si="1"/>
        <v>0.59973474801061011</v>
      </c>
      <c r="N35" s="122"/>
    </row>
    <row r="36" spans="2:14" x14ac:dyDescent="0.25">
      <c r="B36" s="121"/>
      <c r="C36" s="159">
        <v>80</v>
      </c>
      <c r="D36" s="159">
        <v>15</v>
      </c>
      <c r="E36" s="159" t="s">
        <v>68</v>
      </c>
      <c r="F36" s="160" t="s">
        <v>750</v>
      </c>
      <c r="G36" s="160" t="s">
        <v>484</v>
      </c>
      <c r="H36" s="161" t="s">
        <v>599</v>
      </c>
      <c r="I36" s="162">
        <v>342</v>
      </c>
      <c r="J36" s="159">
        <v>101.9</v>
      </c>
      <c r="K36" s="163">
        <v>100.8</v>
      </c>
      <c r="L36" s="164">
        <f t="shared" si="0"/>
        <v>202.7</v>
      </c>
      <c r="M36" s="165">
        <f t="shared" si="1"/>
        <v>0.59269005847953216</v>
      </c>
      <c r="N36" s="122"/>
    </row>
    <row r="37" spans="2:14" x14ac:dyDescent="0.25">
      <c r="B37" s="121"/>
      <c r="C37" s="159">
        <v>81</v>
      </c>
      <c r="D37" s="159">
        <v>6</v>
      </c>
      <c r="E37" s="159" t="s">
        <v>67</v>
      </c>
      <c r="F37" s="160" t="s">
        <v>750</v>
      </c>
      <c r="G37" s="160" t="s">
        <v>484</v>
      </c>
      <c r="H37" s="161" t="s">
        <v>747</v>
      </c>
      <c r="I37" s="162">
        <v>343</v>
      </c>
      <c r="J37" s="159">
        <v>99.3</v>
      </c>
      <c r="K37" s="163">
        <v>97.8</v>
      </c>
      <c r="L37" s="164">
        <f t="shared" si="0"/>
        <v>197.1</v>
      </c>
      <c r="M37" s="165">
        <f t="shared" si="1"/>
        <v>0.57463556851311948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27"/>
      <c r="D66" s="227">
        <f>+COUNT($D$22:$D$65)</f>
        <v>15</v>
      </c>
      <c r="E66" s="227"/>
      <c r="F66" s="373"/>
      <c r="G66" s="373"/>
      <c r="H66" s="149"/>
      <c r="I66" s="148">
        <f>SUM($I$22:$I$65)</f>
        <v>5044</v>
      </c>
      <c r="J66" s="150">
        <f>SUM($J$22:$J$65)</f>
        <v>1461</v>
      </c>
      <c r="K66" s="151">
        <f>SUM($K$22:$K$65)</f>
        <v>1462.1000000000001</v>
      </c>
      <c r="L66" s="148">
        <f>SUM($L$22:$L$65)</f>
        <v>2923.1</v>
      </c>
      <c r="M66" s="178">
        <f t="shared" si="1"/>
        <v>0.57952022204599518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33.54</v>
      </c>
      <c r="I71" s="119">
        <v>32.299999999999997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15</v>
      </c>
      <c r="I72" s="119">
        <v>21.56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11</v>
      </c>
      <c r="I73" s="119">
        <v>49.22</v>
      </c>
      <c r="J73" s="181">
        <v>4</v>
      </c>
      <c r="K73" s="185">
        <v>19.62</v>
      </c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15</v>
      </c>
      <c r="I74" s="119">
        <v>14.2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9.66</v>
      </c>
      <c r="I75" s="119">
        <v>9.36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30</v>
      </c>
      <c r="I76" s="119">
        <v>12.18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60</v>
      </c>
      <c r="I77" s="119">
        <v>8.76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15</v>
      </c>
      <c r="I78" s="119">
        <v>9.6999999999999993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15</v>
      </c>
      <c r="I79" s="119">
        <v>9.6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17.36</v>
      </c>
      <c r="I80" s="119">
        <v>16.559999999999999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15</v>
      </c>
      <c r="I81" s="119">
        <v>13.32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15</v>
      </c>
      <c r="I82" s="119">
        <v>4.6399999999999997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9.8800000000000008</v>
      </c>
      <c r="I83" s="119">
        <v>8.8800000000000008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210.27999999999994</v>
      </c>
      <c r="J84" s="187">
        <f>SUM(J71:J83)</f>
        <v>4</v>
      </c>
      <c r="K84" s="186">
        <f>SUM(K71:K83)</f>
        <v>19.62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15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1">
    <mergeCell ref="L9:M9"/>
    <mergeCell ref="C15:D15"/>
    <mergeCell ref="E15:F15"/>
    <mergeCell ref="C8:D8"/>
    <mergeCell ref="E8:H8"/>
    <mergeCell ref="C9:D9"/>
    <mergeCell ref="E9:H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78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A68" zoomScale="90" zoomScaleNormal="90" workbookViewId="0">
      <selection activeCell="E13" sqref="E13:F13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0.54662921348314608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194.6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814</v>
      </c>
      <c r="F8" s="344"/>
      <c r="G8" s="344"/>
      <c r="H8" s="345"/>
      <c r="I8" s="146" t="s">
        <v>487</v>
      </c>
      <c r="J8" s="381" t="s">
        <v>814</v>
      </c>
      <c r="K8" s="381"/>
      <c r="L8" s="381" t="s">
        <v>814</v>
      </c>
      <c r="M8" s="381"/>
      <c r="N8" s="122"/>
    </row>
    <row r="9" spans="2:14" x14ac:dyDescent="0.25">
      <c r="B9" s="121"/>
      <c r="C9" s="347" t="s">
        <v>476</v>
      </c>
      <c r="D9" s="347"/>
      <c r="E9" s="344">
        <v>65705</v>
      </c>
      <c r="F9" s="344"/>
      <c r="G9" s="344"/>
      <c r="H9" s="345"/>
      <c r="I9" s="146" t="s">
        <v>88</v>
      </c>
      <c r="J9" s="209" t="s">
        <v>815</v>
      </c>
      <c r="K9" s="228" t="s">
        <v>490</v>
      </c>
      <c r="L9" s="369">
        <v>2600287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29" t="s">
        <v>569</v>
      </c>
      <c r="E12" s="384">
        <v>46042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30</v>
      </c>
      <c r="F13" s="349"/>
      <c r="H13" s="117"/>
      <c r="I13" s="123"/>
      <c r="J13" s="215" t="s">
        <v>483</v>
      </c>
      <c r="K13" s="230">
        <f>+COUNTIF($G$22:$G$66,"VQ")*2</f>
        <v>0</v>
      </c>
      <c r="L13" s="230">
        <f>+SUMIF($G$23:$G$65,"VQ",$L$23:$L$65)</f>
        <v>0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1</v>
      </c>
      <c r="F14" s="350"/>
      <c r="H14" s="117"/>
      <c r="I14" s="123"/>
      <c r="J14" s="215" t="s">
        <v>42</v>
      </c>
      <c r="K14" s="230">
        <f>+COUNTIF($G$22:$G$66,"NT")*2</f>
        <v>0</v>
      </c>
      <c r="L14" s="230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356</v>
      </c>
      <c r="F15" s="350"/>
      <c r="H15" s="117"/>
      <c r="I15" s="123"/>
      <c r="J15" s="215" t="s">
        <v>484</v>
      </c>
      <c r="K15" s="230">
        <f>+COUNTIF($G$22:$G$66,"NO")*2</f>
        <v>0</v>
      </c>
      <c r="L15" s="230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194.6</v>
      </c>
      <c r="F16" s="350"/>
      <c r="H16" s="117"/>
      <c r="I16" s="123"/>
      <c r="J16" s="215" t="s">
        <v>485</v>
      </c>
      <c r="K16" s="230">
        <f>+COUNTIF($G$22:$G$66,"TO")*2</f>
        <v>0</v>
      </c>
      <c r="L16" s="230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0.54662921348314608</v>
      </c>
      <c r="F17" s="350"/>
      <c r="G17" s="124"/>
      <c r="H17" s="125"/>
      <c r="I17" s="123"/>
      <c r="J17" s="215" t="s">
        <v>486</v>
      </c>
      <c r="K17" s="230">
        <f>+COUNTIF($G$22:$G$66,"VA")*2</f>
        <v>0</v>
      </c>
      <c r="L17" s="230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194.6</v>
      </c>
      <c r="F18" s="353"/>
      <c r="G18" s="124"/>
      <c r="H18" s="125"/>
      <c r="I18" s="123"/>
      <c r="J18" s="215" t="s">
        <v>44</v>
      </c>
      <c r="K18" s="230">
        <f>+COUNTIF($G$22:$G$66,"MEJ")*2</f>
        <v>2</v>
      </c>
      <c r="L18" s="230">
        <f>+SUMIF($G$23:$G$65,"MEJ",$L$23:$L$65)</f>
        <v>194.6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7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8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9">
        <v>51</v>
      </c>
      <c r="D23" s="159">
        <v>4</v>
      </c>
      <c r="E23" s="159" t="s">
        <v>67</v>
      </c>
      <c r="F23" s="159" t="s">
        <v>81</v>
      </c>
      <c r="G23" s="160" t="s">
        <v>44</v>
      </c>
      <c r="H23" s="161" t="s">
        <v>800</v>
      </c>
      <c r="I23" s="162">
        <v>356</v>
      </c>
      <c r="J23" s="159">
        <v>97.5</v>
      </c>
      <c r="K23" s="163">
        <v>97.1</v>
      </c>
      <c r="L23" s="157">
        <f t="shared" ref="L23:L65" si="0">+J23+K23</f>
        <v>194.6</v>
      </c>
      <c r="M23" s="158">
        <f t="shared" ref="M23:M66" si="1">+L23/I23</f>
        <v>0.54662921348314608</v>
      </c>
      <c r="N23" s="122"/>
    </row>
    <row r="24" spans="2:14" x14ac:dyDescent="0.25">
      <c r="B24" s="121"/>
      <c r="C24" s="159"/>
      <c r="D24" s="159"/>
      <c r="E24" s="159"/>
      <c r="F24" s="159"/>
      <c r="G24" s="160"/>
      <c r="H24" s="161"/>
      <c r="I24" s="162"/>
      <c r="J24" s="159"/>
      <c r="K24" s="163"/>
      <c r="L24" s="164">
        <f t="shared" si="0"/>
        <v>0</v>
      </c>
      <c r="M24" s="165" t="e">
        <f t="shared" si="1"/>
        <v>#DIV/0!</v>
      </c>
      <c r="N24" s="122"/>
    </row>
    <row r="25" spans="2:14" x14ac:dyDescent="0.25">
      <c r="B25" s="121"/>
      <c r="C25" s="159"/>
      <c r="D25" s="159"/>
      <c r="E25" s="159"/>
      <c r="F25" s="159"/>
      <c r="G25" s="160"/>
      <c r="H25" s="161"/>
      <c r="I25" s="162"/>
      <c r="J25" s="159"/>
      <c r="K25" s="163"/>
      <c r="L25" s="164">
        <f t="shared" si="0"/>
        <v>0</v>
      </c>
      <c r="M25" s="165" t="e">
        <f t="shared" si="1"/>
        <v>#DIV/0!</v>
      </c>
      <c r="N25" s="122"/>
    </row>
    <row r="26" spans="2:14" x14ac:dyDescent="0.25">
      <c r="B26" s="121"/>
      <c r="C26" s="159"/>
      <c r="D26" s="159"/>
      <c r="E26" s="159"/>
      <c r="F26" s="159"/>
      <c r="G26" s="160"/>
      <c r="H26" s="161"/>
      <c r="I26" s="162"/>
      <c r="J26" s="159"/>
      <c r="K26" s="163"/>
      <c r="L26" s="164">
        <f t="shared" si="0"/>
        <v>0</v>
      </c>
      <c r="M26" s="165" t="e">
        <f t="shared" si="1"/>
        <v>#DIV/0!</v>
      </c>
      <c r="N26" s="122"/>
    </row>
    <row r="27" spans="2:14" x14ac:dyDescent="0.25">
      <c r="B27" s="121"/>
      <c r="C27" s="159"/>
      <c r="D27" s="159"/>
      <c r="E27" s="159"/>
      <c r="F27" s="159"/>
      <c r="G27" s="160"/>
      <c r="H27" s="161"/>
      <c r="I27" s="162"/>
      <c r="J27" s="159"/>
      <c r="K27" s="163"/>
      <c r="L27" s="164">
        <f t="shared" si="0"/>
        <v>0</v>
      </c>
      <c r="M27" s="165" t="e">
        <f t="shared" si="1"/>
        <v>#DIV/0!</v>
      </c>
      <c r="N27" s="122"/>
    </row>
    <row r="28" spans="2:14" x14ac:dyDescent="0.25">
      <c r="B28" s="121"/>
      <c r="C28" s="159"/>
      <c r="D28" s="159"/>
      <c r="E28" s="159"/>
      <c r="F28" s="159"/>
      <c r="G28" s="160"/>
      <c r="H28" s="161"/>
      <c r="I28" s="162"/>
      <c r="J28" s="159"/>
      <c r="K28" s="163"/>
      <c r="L28" s="164">
        <f t="shared" si="0"/>
        <v>0</v>
      </c>
      <c r="M28" s="165" t="e">
        <f t="shared" si="1"/>
        <v>#DIV/0!</v>
      </c>
      <c r="N28" s="122"/>
    </row>
    <row r="29" spans="2:14" x14ac:dyDescent="0.25">
      <c r="B29" s="121"/>
      <c r="C29" s="160"/>
      <c r="D29" s="160"/>
      <c r="E29" s="160"/>
      <c r="F29" s="160"/>
      <c r="G29" s="160"/>
      <c r="H29" s="161"/>
      <c r="I29" s="162"/>
      <c r="J29" s="159"/>
      <c r="K29" s="163"/>
      <c r="L29" s="164">
        <f t="shared" si="0"/>
        <v>0</v>
      </c>
      <c r="M29" s="165" t="e">
        <f t="shared" si="1"/>
        <v>#DIV/0!</v>
      </c>
      <c r="N29" s="122"/>
    </row>
    <row r="30" spans="2:14" x14ac:dyDescent="0.25">
      <c r="B30" s="121"/>
      <c r="C30" s="160"/>
      <c r="D30" s="160"/>
      <c r="E30" s="160"/>
      <c r="F30" s="160"/>
      <c r="G30" s="160"/>
      <c r="H30" s="161"/>
      <c r="I30" s="162"/>
      <c r="J30" s="159"/>
      <c r="K30" s="163"/>
      <c r="L30" s="164">
        <f t="shared" si="0"/>
        <v>0</v>
      </c>
      <c r="M30" s="165" t="e">
        <f t="shared" si="1"/>
        <v>#DIV/0!</v>
      </c>
      <c r="N30" s="122"/>
    </row>
    <row r="31" spans="2:14" x14ac:dyDescent="0.25">
      <c r="B31" s="121"/>
      <c r="C31" s="159"/>
      <c r="D31" s="159"/>
      <c r="E31" s="159"/>
      <c r="F31" s="159"/>
      <c r="G31" s="160"/>
      <c r="H31" s="161"/>
      <c r="I31" s="162"/>
      <c r="J31" s="159"/>
      <c r="K31" s="163"/>
      <c r="L31" s="164">
        <f t="shared" si="0"/>
        <v>0</v>
      </c>
      <c r="M31" s="165" t="e">
        <f t="shared" si="1"/>
        <v>#DIV/0!</v>
      </c>
      <c r="N31" s="122"/>
    </row>
    <row r="32" spans="2:14" x14ac:dyDescent="0.25">
      <c r="B32" s="121"/>
      <c r="C32" s="159"/>
      <c r="D32" s="159"/>
      <c r="E32" s="159"/>
      <c r="F32" s="159"/>
      <c r="G32" s="160"/>
      <c r="H32" s="161"/>
      <c r="I32" s="162"/>
      <c r="J32" s="159"/>
      <c r="K32" s="163"/>
      <c r="L32" s="164">
        <f t="shared" si="0"/>
        <v>0</v>
      </c>
      <c r="M32" s="165" t="e">
        <f t="shared" si="1"/>
        <v>#DIV/0!</v>
      </c>
      <c r="N32" s="122"/>
    </row>
    <row r="33" spans="2:14" x14ac:dyDescent="0.25">
      <c r="B33" s="121"/>
      <c r="C33" s="160"/>
      <c r="D33" s="160"/>
      <c r="E33" s="160"/>
      <c r="F33" s="160"/>
      <c r="G33" s="160"/>
      <c r="H33" s="161"/>
      <c r="I33" s="162"/>
      <c r="J33" s="159"/>
      <c r="K33" s="163"/>
      <c r="L33" s="164">
        <f t="shared" si="0"/>
        <v>0</v>
      </c>
      <c r="M33" s="165" t="e">
        <f t="shared" si="1"/>
        <v>#DIV/0!</v>
      </c>
      <c r="N33" s="122"/>
    </row>
    <row r="34" spans="2:14" x14ac:dyDescent="0.25">
      <c r="B34" s="121"/>
      <c r="C34" s="159"/>
      <c r="D34" s="159"/>
      <c r="E34" s="159"/>
      <c r="F34" s="159"/>
      <c r="G34" s="160"/>
      <c r="H34" s="161"/>
      <c r="I34" s="162"/>
      <c r="J34" s="159"/>
      <c r="K34" s="166"/>
      <c r="L34" s="164">
        <f t="shared" si="0"/>
        <v>0</v>
      </c>
      <c r="M34" s="167" t="e">
        <f t="shared" si="1"/>
        <v>#DIV/0!</v>
      </c>
      <c r="N34" s="122"/>
    </row>
    <row r="35" spans="2:14" x14ac:dyDescent="0.25">
      <c r="B35" s="121"/>
      <c r="C35" s="159"/>
      <c r="D35" s="159"/>
      <c r="E35" s="159"/>
      <c r="F35" s="159"/>
      <c r="G35" s="160"/>
      <c r="H35" s="161"/>
      <c r="I35" s="162"/>
      <c r="J35" s="159"/>
      <c r="K35" s="163"/>
      <c r="L35" s="164">
        <f t="shared" si="0"/>
        <v>0</v>
      </c>
      <c r="M35" s="165" t="e">
        <f t="shared" si="1"/>
        <v>#DIV/0!</v>
      </c>
      <c r="N35" s="122"/>
    </row>
    <row r="36" spans="2:14" x14ac:dyDescent="0.25">
      <c r="B36" s="121"/>
      <c r="C36" s="159"/>
      <c r="D36" s="159"/>
      <c r="E36" s="159"/>
      <c r="F36" s="159"/>
      <c r="G36" s="160"/>
      <c r="H36" s="161"/>
      <c r="I36" s="162"/>
      <c r="J36" s="159"/>
      <c r="K36" s="163"/>
      <c r="L36" s="164">
        <f t="shared" si="0"/>
        <v>0</v>
      </c>
      <c r="M36" s="165" t="e">
        <f t="shared" si="1"/>
        <v>#DIV/0!</v>
      </c>
      <c r="N36" s="122"/>
    </row>
    <row r="37" spans="2:14" x14ac:dyDescent="0.25">
      <c r="B37" s="121"/>
      <c r="C37" s="159"/>
      <c r="D37" s="159"/>
      <c r="E37" s="159"/>
      <c r="F37" s="159"/>
      <c r="G37" s="160"/>
      <c r="H37" s="161"/>
      <c r="I37" s="162"/>
      <c r="J37" s="159"/>
      <c r="K37" s="163"/>
      <c r="L37" s="164">
        <f t="shared" si="0"/>
        <v>0</v>
      </c>
      <c r="M37" s="165" t="e">
        <f t="shared" si="1"/>
        <v>#DIV/0!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31"/>
      <c r="D66" s="231">
        <f>+COUNT($D$22:$D$65)</f>
        <v>1</v>
      </c>
      <c r="E66" s="231"/>
      <c r="F66" s="373"/>
      <c r="G66" s="373"/>
      <c r="H66" s="149"/>
      <c r="I66" s="148">
        <f>SUM($I$22:$I$65)</f>
        <v>356</v>
      </c>
      <c r="J66" s="150">
        <f>SUM($J$22:$J$65)</f>
        <v>97.5</v>
      </c>
      <c r="K66" s="151">
        <f>SUM($K$22:$K$65)</f>
        <v>97.1</v>
      </c>
      <c r="L66" s="148">
        <f>SUM($L$22:$L$65)</f>
        <v>194.6</v>
      </c>
      <c r="M66" s="178">
        <f t="shared" si="1"/>
        <v>0.54662921348314608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/>
      <c r="I71" s="119"/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/>
      <c r="I72" s="119"/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/>
      <c r="I73" s="119"/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/>
      <c r="I74" s="119"/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/>
      <c r="I75" s="119"/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/>
      <c r="I76" s="119"/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/>
      <c r="I77" s="119"/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/>
      <c r="I78" s="119"/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/>
      <c r="I79" s="119"/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/>
      <c r="I80" s="119"/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/>
      <c r="I81" s="119"/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/>
      <c r="I82" s="119"/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/>
      <c r="I83" s="119"/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0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1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77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P78" sqref="P78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0.57277313574018607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213.71176470588239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814</v>
      </c>
      <c r="F8" s="344"/>
      <c r="G8" s="344"/>
      <c r="H8" s="345"/>
      <c r="I8" s="146" t="s">
        <v>487</v>
      </c>
      <c r="J8" s="381" t="s">
        <v>814</v>
      </c>
      <c r="K8" s="381"/>
      <c r="L8" s="381" t="s">
        <v>814</v>
      </c>
      <c r="M8" s="381"/>
      <c r="N8" s="122"/>
    </row>
    <row r="9" spans="2:14" x14ac:dyDescent="0.25">
      <c r="B9" s="121"/>
      <c r="C9" s="347" t="s">
        <v>476</v>
      </c>
      <c r="D9" s="347"/>
      <c r="E9" s="344">
        <v>65705</v>
      </c>
      <c r="F9" s="344"/>
      <c r="G9" s="344"/>
      <c r="H9" s="345"/>
      <c r="I9" s="146" t="s">
        <v>88</v>
      </c>
      <c r="J9" s="209" t="s">
        <v>815</v>
      </c>
      <c r="K9" s="232" t="s">
        <v>490</v>
      </c>
      <c r="L9" s="369">
        <v>2600287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33" t="s">
        <v>569</v>
      </c>
      <c r="E12" s="384">
        <v>46043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30</v>
      </c>
      <c r="F13" s="349"/>
      <c r="H13" s="117"/>
      <c r="I13" s="123"/>
      <c r="J13" s="215" t="s">
        <v>483</v>
      </c>
      <c r="K13" s="234">
        <f>+COUNTIF($G$22:$G$66,"VQ")*2</f>
        <v>0</v>
      </c>
      <c r="L13" s="234">
        <f>+SUMIF($G$23:$G$65,"VQ",$L$23:$L$65)</f>
        <v>0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17</v>
      </c>
      <c r="F14" s="350"/>
      <c r="H14" s="117"/>
      <c r="I14" s="123"/>
      <c r="J14" s="215" t="s">
        <v>42</v>
      </c>
      <c r="K14" s="234">
        <f>+COUNTIF($G$22:$G$66,"NT")*2</f>
        <v>0</v>
      </c>
      <c r="L14" s="234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6343</v>
      </c>
      <c r="F15" s="350"/>
      <c r="H15" s="117"/>
      <c r="I15" s="123"/>
      <c r="J15" s="215" t="s">
        <v>484</v>
      </c>
      <c r="K15" s="234">
        <f>+COUNTIF($G$22:$G$66,"NO")*2</f>
        <v>0</v>
      </c>
      <c r="L15" s="234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3633.1000000000004</v>
      </c>
      <c r="F16" s="350"/>
      <c r="H16" s="117"/>
      <c r="I16" s="123"/>
      <c r="J16" s="215" t="s">
        <v>485</v>
      </c>
      <c r="K16" s="234">
        <f>+COUNTIF($G$22:$G$66,"TO")*2</f>
        <v>0</v>
      </c>
      <c r="L16" s="234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0.57277313574018607</v>
      </c>
      <c r="F17" s="350"/>
      <c r="G17" s="124"/>
      <c r="H17" s="125"/>
      <c r="I17" s="123"/>
      <c r="J17" s="215" t="s">
        <v>486</v>
      </c>
      <c r="K17" s="234">
        <f>+COUNTIF($G$22:$G$66,"VA")*2</f>
        <v>0</v>
      </c>
      <c r="L17" s="234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213.71176470588239</v>
      </c>
      <c r="F18" s="353"/>
      <c r="G18" s="124"/>
      <c r="H18" s="125"/>
      <c r="I18" s="123"/>
      <c r="J18" s="215" t="s">
        <v>44</v>
      </c>
      <c r="K18" s="234">
        <f>+COUNTIF($G$22:$G$66,"MEJ")*2</f>
        <v>34</v>
      </c>
      <c r="L18" s="234">
        <f>+SUMIF($G$23:$G$65,"MEJ",$L$23:$L$65)</f>
        <v>3633.1000000000004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</v>
      </c>
      <c r="D23" s="152">
        <v>12</v>
      </c>
      <c r="E23" s="152" t="s">
        <v>67</v>
      </c>
      <c r="F23" s="152" t="s">
        <v>526</v>
      </c>
      <c r="G23" s="153" t="s">
        <v>44</v>
      </c>
      <c r="H23" s="154" t="s">
        <v>807</v>
      </c>
      <c r="I23" s="155">
        <v>353</v>
      </c>
      <c r="J23" s="152">
        <v>100.9</v>
      </c>
      <c r="K23" s="156">
        <v>99.7</v>
      </c>
      <c r="L23" s="157">
        <f t="shared" ref="L23:L65" si="0">+J23+K23</f>
        <v>200.60000000000002</v>
      </c>
      <c r="M23" s="158">
        <f t="shared" ref="M23:M66" si="1">+L23/I23</f>
        <v>0.56827195467422098</v>
      </c>
      <c r="N23" s="122"/>
    </row>
    <row r="24" spans="2:14" x14ac:dyDescent="0.25">
      <c r="B24" s="121"/>
      <c r="C24" s="159">
        <v>2</v>
      </c>
      <c r="D24" s="159">
        <v>1</v>
      </c>
      <c r="E24" s="159" t="s">
        <v>67</v>
      </c>
      <c r="F24" s="159" t="s">
        <v>526</v>
      </c>
      <c r="G24" s="160" t="s">
        <v>44</v>
      </c>
      <c r="H24" s="161" t="s">
        <v>798</v>
      </c>
      <c r="I24" s="162">
        <v>353</v>
      </c>
      <c r="J24" s="159">
        <v>101.3</v>
      </c>
      <c r="K24" s="163">
        <v>99.5</v>
      </c>
      <c r="L24" s="164">
        <f t="shared" si="0"/>
        <v>200.8</v>
      </c>
      <c r="M24" s="165">
        <f t="shared" si="1"/>
        <v>0.56883852691218129</v>
      </c>
      <c r="N24" s="122"/>
    </row>
    <row r="25" spans="2:14" x14ac:dyDescent="0.25">
      <c r="B25" s="121"/>
      <c r="C25" s="159">
        <v>3</v>
      </c>
      <c r="D25" s="159">
        <v>11</v>
      </c>
      <c r="E25" s="159" t="s">
        <v>67</v>
      </c>
      <c r="F25" s="159" t="s">
        <v>526</v>
      </c>
      <c r="G25" s="160" t="s">
        <v>44</v>
      </c>
      <c r="H25" s="161" t="s">
        <v>806</v>
      </c>
      <c r="I25" s="162">
        <v>359</v>
      </c>
      <c r="J25" s="159">
        <v>100.2</v>
      </c>
      <c r="K25" s="163">
        <v>99.6</v>
      </c>
      <c r="L25" s="164">
        <f t="shared" si="0"/>
        <v>199.8</v>
      </c>
      <c r="M25" s="165">
        <f t="shared" si="1"/>
        <v>0.55654596100278553</v>
      </c>
      <c r="N25" s="122"/>
    </row>
    <row r="26" spans="2:14" x14ac:dyDescent="0.25">
      <c r="B26" s="121"/>
      <c r="C26" s="159">
        <v>4</v>
      </c>
      <c r="D26" s="159">
        <v>3</v>
      </c>
      <c r="E26" s="159" t="s">
        <v>68</v>
      </c>
      <c r="F26" s="159" t="s">
        <v>526</v>
      </c>
      <c r="G26" s="160" t="s">
        <v>44</v>
      </c>
      <c r="H26" s="161" t="s">
        <v>799</v>
      </c>
      <c r="I26" s="162">
        <v>405</v>
      </c>
      <c r="J26" s="159">
        <v>117.2</v>
      </c>
      <c r="K26" s="163">
        <v>115.7</v>
      </c>
      <c r="L26" s="164">
        <f t="shared" si="0"/>
        <v>232.9</v>
      </c>
      <c r="M26" s="165">
        <f t="shared" si="1"/>
        <v>0.57506172839506176</v>
      </c>
      <c r="N26" s="122"/>
    </row>
    <row r="27" spans="2:14" x14ac:dyDescent="0.25">
      <c r="B27" s="121"/>
      <c r="C27" s="159">
        <v>5</v>
      </c>
      <c r="D27" s="159">
        <v>18</v>
      </c>
      <c r="E27" s="159" t="s">
        <v>67</v>
      </c>
      <c r="F27" s="159" t="s">
        <v>526</v>
      </c>
      <c r="G27" s="160" t="s">
        <v>44</v>
      </c>
      <c r="H27" s="161" t="s">
        <v>813</v>
      </c>
      <c r="I27" s="162">
        <v>395</v>
      </c>
      <c r="J27" s="159">
        <v>116.9</v>
      </c>
      <c r="K27" s="163">
        <v>114.8</v>
      </c>
      <c r="L27" s="164">
        <f t="shared" si="0"/>
        <v>231.7</v>
      </c>
      <c r="M27" s="165">
        <f t="shared" si="1"/>
        <v>0.58658227848101263</v>
      </c>
      <c r="N27" s="122"/>
    </row>
    <row r="28" spans="2:14" x14ac:dyDescent="0.25">
      <c r="B28" s="121"/>
      <c r="C28" s="159">
        <v>6</v>
      </c>
      <c r="D28" s="159">
        <v>13</v>
      </c>
      <c r="E28" s="159" t="s">
        <v>67</v>
      </c>
      <c r="F28" s="159" t="s">
        <v>526</v>
      </c>
      <c r="G28" s="160" t="s">
        <v>44</v>
      </c>
      <c r="H28" s="161" t="s">
        <v>808</v>
      </c>
      <c r="I28" s="162">
        <v>362</v>
      </c>
      <c r="J28" s="159">
        <v>103.2</v>
      </c>
      <c r="K28" s="163">
        <v>101.2</v>
      </c>
      <c r="L28" s="164">
        <f t="shared" si="0"/>
        <v>204.4</v>
      </c>
      <c r="M28" s="165">
        <f t="shared" si="1"/>
        <v>0.56464088397790058</v>
      </c>
      <c r="N28" s="122"/>
    </row>
    <row r="29" spans="2:14" x14ac:dyDescent="0.25">
      <c r="B29" s="121"/>
      <c r="C29" s="160">
        <v>7</v>
      </c>
      <c r="D29" s="160">
        <v>14</v>
      </c>
      <c r="E29" s="160" t="s">
        <v>67</v>
      </c>
      <c r="F29" s="159" t="s">
        <v>526</v>
      </c>
      <c r="G29" s="160" t="s">
        <v>44</v>
      </c>
      <c r="H29" s="161" t="s">
        <v>809</v>
      </c>
      <c r="I29" s="162">
        <v>409</v>
      </c>
      <c r="J29" s="159">
        <v>116.7</v>
      </c>
      <c r="K29" s="163">
        <v>115.5</v>
      </c>
      <c r="L29" s="164">
        <f t="shared" si="0"/>
        <v>232.2</v>
      </c>
      <c r="M29" s="165">
        <f t="shared" si="1"/>
        <v>0.56772616136919307</v>
      </c>
      <c r="N29" s="122"/>
    </row>
    <row r="30" spans="2:14" x14ac:dyDescent="0.25">
      <c r="B30" s="121"/>
      <c r="C30" s="160">
        <v>8</v>
      </c>
      <c r="D30" s="160">
        <v>8</v>
      </c>
      <c r="E30" s="160" t="s">
        <v>67</v>
      </c>
      <c r="F30" s="159" t="s">
        <v>526</v>
      </c>
      <c r="G30" s="160" t="s">
        <v>44</v>
      </c>
      <c r="H30" s="161" t="s">
        <v>804</v>
      </c>
      <c r="I30" s="162">
        <v>348</v>
      </c>
      <c r="J30" s="159">
        <v>102.7</v>
      </c>
      <c r="K30" s="163">
        <v>103.4</v>
      </c>
      <c r="L30" s="164">
        <f t="shared" si="0"/>
        <v>206.10000000000002</v>
      </c>
      <c r="M30" s="165">
        <f t="shared" si="1"/>
        <v>0.59224137931034493</v>
      </c>
      <c r="N30" s="122"/>
    </row>
    <row r="31" spans="2:14" x14ac:dyDescent="0.25">
      <c r="B31" s="121"/>
      <c r="C31" s="159">
        <v>9</v>
      </c>
      <c r="D31" s="159">
        <v>7</v>
      </c>
      <c r="E31" s="159" t="s">
        <v>67</v>
      </c>
      <c r="F31" s="159" t="s">
        <v>526</v>
      </c>
      <c r="G31" s="160" t="s">
        <v>44</v>
      </c>
      <c r="H31" s="161" t="s">
        <v>803</v>
      </c>
      <c r="I31" s="162">
        <v>380</v>
      </c>
      <c r="J31" s="159">
        <v>112.1</v>
      </c>
      <c r="K31" s="163">
        <v>109.7</v>
      </c>
      <c r="L31" s="164">
        <f t="shared" si="0"/>
        <v>221.8</v>
      </c>
      <c r="M31" s="165">
        <f t="shared" si="1"/>
        <v>0.58368421052631581</v>
      </c>
      <c r="N31" s="122"/>
    </row>
    <row r="32" spans="2:14" x14ac:dyDescent="0.25">
      <c r="B32" s="121"/>
      <c r="C32" s="159">
        <v>10</v>
      </c>
      <c r="D32" s="159">
        <v>5</v>
      </c>
      <c r="E32" s="159" t="s">
        <v>67</v>
      </c>
      <c r="F32" s="159" t="s">
        <v>526</v>
      </c>
      <c r="G32" s="160" t="s">
        <v>44</v>
      </c>
      <c r="H32" s="161" t="s">
        <v>801</v>
      </c>
      <c r="I32" s="162">
        <v>382</v>
      </c>
      <c r="J32" s="159">
        <v>105</v>
      </c>
      <c r="K32" s="163">
        <v>103.5</v>
      </c>
      <c r="L32" s="164">
        <f t="shared" si="0"/>
        <v>208.5</v>
      </c>
      <c r="M32" s="165">
        <f t="shared" si="1"/>
        <v>0.54581151832460728</v>
      </c>
      <c r="N32" s="122"/>
    </row>
    <row r="33" spans="2:14" x14ac:dyDescent="0.25">
      <c r="B33" s="121"/>
      <c r="C33" s="160">
        <v>11</v>
      </c>
      <c r="D33" s="160">
        <v>2</v>
      </c>
      <c r="E33" s="160" t="s">
        <v>67</v>
      </c>
      <c r="F33" s="159" t="s">
        <v>526</v>
      </c>
      <c r="G33" s="160" t="s">
        <v>44</v>
      </c>
      <c r="H33" s="161" t="s">
        <v>244</v>
      </c>
      <c r="I33" s="162">
        <v>378</v>
      </c>
      <c r="J33" s="159">
        <v>111.3</v>
      </c>
      <c r="K33" s="163">
        <v>108.7</v>
      </c>
      <c r="L33" s="164">
        <f t="shared" si="0"/>
        <v>220</v>
      </c>
      <c r="M33" s="165">
        <f t="shared" si="1"/>
        <v>0.58201058201058198</v>
      </c>
      <c r="N33" s="122"/>
    </row>
    <row r="34" spans="2:14" x14ac:dyDescent="0.25">
      <c r="B34" s="121"/>
      <c r="C34" s="159">
        <v>12</v>
      </c>
      <c r="D34" s="159">
        <v>16</v>
      </c>
      <c r="E34" s="159" t="s">
        <v>67</v>
      </c>
      <c r="F34" s="159" t="s">
        <v>526</v>
      </c>
      <c r="G34" s="160" t="s">
        <v>44</v>
      </c>
      <c r="H34" s="161" t="s">
        <v>811</v>
      </c>
      <c r="I34" s="162">
        <v>373</v>
      </c>
      <c r="J34" s="159">
        <v>98.8</v>
      </c>
      <c r="K34" s="166">
        <v>97.9</v>
      </c>
      <c r="L34" s="164">
        <f t="shared" si="0"/>
        <v>196.7</v>
      </c>
      <c r="M34" s="167">
        <f t="shared" si="1"/>
        <v>0.52734584450402144</v>
      </c>
      <c r="N34" s="122"/>
    </row>
    <row r="35" spans="2:14" x14ac:dyDescent="0.25">
      <c r="B35" s="121"/>
      <c r="C35" s="159">
        <v>13</v>
      </c>
      <c r="D35" s="159">
        <v>10</v>
      </c>
      <c r="E35" s="159" t="s">
        <v>67</v>
      </c>
      <c r="F35" s="159" t="s">
        <v>526</v>
      </c>
      <c r="G35" s="160" t="s">
        <v>44</v>
      </c>
      <c r="H35" s="161" t="s">
        <v>41</v>
      </c>
      <c r="I35" s="162">
        <v>361</v>
      </c>
      <c r="J35" s="159">
        <v>108.7</v>
      </c>
      <c r="K35" s="163">
        <v>109.1</v>
      </c>
      <c r="L35" s="164">
        <f t="shared" si="0"/>
        <v>217.8</v>
      </c>
      <c r="M35" s="165">
        <f t="shared" si="1"/>
        <v>0.60332409972299172</v>
      </c>
      <c r="N35" s="122"/>
    </row>
    <row r="36" spans="2:14" x14ac:dyDescent="0.25">
      <c r="B36" s="121"/>
      <c r="C36" s="159">
        <v>14</v>
      </c>
      <c r="D36" s="159">
        <v>6</v>
      </c>
      <c r="E36" s="159" t="s">
        <v>67</v>
      </c>
      <c r="F36" s="159" t="s">
        <v>526</v>
      </c>
      <c r="G36" s="160" t="s">
        <v>44</v>
      </c>
      <c r="H36" s="161" t="s">
        <v>802</v>
      </c>
      <c r="I36" s="162">
        <v>344</v>
      </c>
      <c r="J36" s="159">
        <v>101.3</v>
      </c>
      <c r="K36" s="163">
        <v>101</v>
      </c>
      <c r="L36" s="164">
        <f t="shared" si="0"/>
        <v>202.3</v>
      </c>
      <c r="M36" s="165">
        <f t="shared" si="1"/>
        <v>0.58808139534883719</v>
      </c>
      <c r="N36" s="122"/>
    </row>
    <row r="37" spans="2:14" x14ac:dyDescent="0.25">
      <c r="B37" s="121"/>
      <c r="C37" s="159">
        <v>15</v>
      </c>
      <c r="D37" s="159">
        <v>9</v>
      </c>
      <c r="E37" s="159" t="s">
        <v>67</v>
      </c>
      <c r="F37" s="159" t="s">
        <v>526</v>
      </c>
      <c r="G37" s="160" t="s">
        <v>44</v>
      </c>
      <c r="H37" s="161" t="s">
        <v>805</v>
      </c>
      <c r="I37" s="162">
        <v>372</v>
      </c>
      <c r="J37" s="159">
        <v>113.6</v>
      </c>
      <c r="K37" s="163">
        <v>112.6</v>
      </c>
      <c r="L37" s="164">
        <f t="shared" si="0"/>
        <v>226.2</v>
      </c>
      <c r="M37" s="165">
        <f t="shared" si="1"/>
        <v>0.60806451612903223</v>
      </c>
      <c r="N37" s="122"/>
    </row>
    <row r="38" spans="2:14" x14ac:dyDescent="0.25">
      <c r="B38" s="121"/>
      <c r="C38" s="159">
        <v>16</v>
      </c>
      <c r="D38" s="159">
        <v>17</v>
      </c>
      <c r="E38" s="159" t="s">
        <v>67</v>
      </c>
      <c r="F38" s="159" t="s">
        <v>526</v>
      </c>
      <c r="G38" s="159" t="s">
        <v>44</v>
      </c>
      <c r="H38" s="168" t="s">
        <v>812</v>
      </c>
      <c r="I38" s="169">
        <v>392</v>
      </c>
      <c r="J38" s="159">
        <v>109.2</v>
      </c>
      <c r="K38" s="163">
        <v>106.6</v>
      </c>
      <c r="L38" s="164">
        <f t="shared" si="0"/>
        <v>215.8</v>
      </c>
      <c r="M38" s="165">
        <f t="shared" si="1"/>
        <v>0.55051020408163265</v>
      </c>
      <c r="N38" s="122"/>
    </row>
    <row r="39" spans="2:14" x14ac:dyDescent="0.25">
      <c r="B39" s="121"/>
      <c r="C39" s="159">
        <v>17</v>
      </c>
      <c r="D39" s="159">
        <v>15</v>
      </c>
      <c r="E39" s="159" t="s">
        <v>67</v>
      </c>
      <c r="F39" s="159" t="s">
        <v>526</v>
      </c>
      <c r="G39" s="160" t="s">
        <v>44</v>
      </c>
      <c r="H39" s="161" t="s">
        <v>810</v>
      </c>
      <c r="I39" s="162">
        <v>377</v>
      </c>
      <c r="J39" s="159">
        <v>108</v>
      </c>
      <c r="K39" s="163">
        <v>107.5</v>
      </c>
      <c r="L39" s="164">
        <f t="shared" si="0"/>
        <v>215.5</v>
      </c>
      <c r="M39" s="165">
        <f t="shared" si="1"/>
        <v>0.57161803713527848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35"/>
      <c r="D66" s="235">
        <f>+COUNT($D$22:$D$65)</f>
        <v>17</v>
      </c>
      <c r="E66" s="235"/>
      <c r="F66" s="373"/>
      <c r="G66" s="373"/>
      <c r="H66" s="149"/>
      <c r="I66" s="148">
        <f>SUM($I$22:$I$65)</f>
        <v>6343</v>
      </c>
      <c r="J66" s="150">
        <f>SUM($J$22:$J$65)</f>
        <v>1827.1000000000001</v>
      </c>
      <c r="K66" s="151">
        <f>SUM($K$22:$K$65)</f>
        <v>1805.9999999999998</v>
      </c>
      <c r="L66" s="148">
        <f>SUM($L$22:$L$65)</f>
        <v>3633.1000000000004</v>
      </c>
      <c r="M66" s="178">
        <f t="shared" si="1"/>
        <v>0.57277313574018607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41.24</v>
      </c>
      <c r="I71" s="119">
        <v>39.36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17</v>
      </c>
      <c r="I72" s="119">
        <v>25.64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14</v>
      </c>
      <c r="I73" s="119">
        <v>57.02</v>
      </c>
      <c r="J73" s="181">
        <v>3</v>
      </c>
      <c r="K73" s="185">
        <v>13.22</v>
      </c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17</v>
      </c>
      <c r="I74" s="119">
        <v>18.5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11.86</v>
      </c>
      <c r="I75" s="119">
        <v>11.3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34</v>
      </c>
      <c r="I76" s="119">
        <v>13.54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38</v>
      </c>
      <c r="I77" s="119">
        <v>11.78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17</v>
      </c>
      <c r="I78" s="119">
        <v>13.74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17</v>
      </c>
      <c r="I79" s="119">
        <v>12.16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26.36</v>
      </c>
      <c r="I80" s="119">
        <v>22.54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17</v>
      </c>
      <c r="I81" s="119">
        <v>16.02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17</v>
      </c>
      <c r="I82" s="119">
        <v>5.38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9.6999999999999993</v>
      </c>
      <c r="I83" s="119">
        <v>8.6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255.58</v>
      </c>
      <c r="J84" s="187">
        <f>SUM(J71:J83)</f>
        <v>3</v>
      </c>
      <c r="K84" s="186">
        <f>SUM(K71:K83)</f>
        <v>13.22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17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76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102"/>
  <sheetViews>
    <sheetView view="pageBreakPreview" topLeftCell="A69" zoomScale="60" zoomScaleNormal="90" workbookViewId="0">
      <selection activeCell="R76" sqref="R76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+M73</f>
        <v>0.59075667240206475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+L73/D73</f>
        <v>295.27199999999999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303</v>
      </c>
      <c r="F8" s="344"/>
      <c r="G8" s="344"/>
      <c r="H8" s="345"/>
      <c r="I8" s="146" t="s">
        <v>487</v>
      </c>
      <c r="J8" s="381" t="s">
        <v>751</v>
      </c>
      <c r="K8" s="381"/>
      <c r="L8" s="381"/>
      <c r="M8" s="381"/>
      <c r="N8" s="122"/>
    </row>
    <row r="9" spans="2:14" x14ac:dyDescent="0.25">
      <c r="B9" s="121"/>
      <c r="C9" s="347" t="s">
        <v>476</v>
      </c>
      <c r="D9" s="347"/>
      <c r="E9" s="344">
        <v>65705</v>
      </c>
      <c r="F9" s="344"/>
      <c r="G9" s="344"/>
      <c r="H9" s="345"/>
      <c r="I9" s="146" t="s">
        <v>88</v>
      </c>
      <c r="J9" s="209" t="s">
        <v>752</v>
      </c>
      <c r="K9" s="228" t="s">
        <v>490</v>
      </c>
      <c r="L9" s="369">
        <v>45003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29" t="s">
        <v>569</v>
      </c>
      <c r="E12" s="384">
        <v>46042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31</v>
      </c>
      <c r="F13" s="349"/>
      <c r="H13" s="117"/>
      <c r="I13" s="123"/>
      <c r="J13" s="215" t="s">
        <v>483</v>
      </c>
      <c r="K13" s="230">
        <f>+COUNTIF($G$22:$G$73,"VQ")*2</f>
        <v>20</v>
      </c>
      <c r="L13" s="230">
        <f>+SUMIF($G$23:$G$72,"VQ",$L$23:$L$72)</f>
        <v>2749.7000000000003</v>
      </c>
      <c r="N13" s="122"/>
    </row>
    <row r="14" spans="2:14" x14ac:dyDescent="0.25">
      <c r="B14" s="121"/>
      <c r="C14" s="348" t="s">
        <v>478</v>
      </c>
      <c r="D14" s="348"/>
      <c r="E14" s="350">
        <f>+D73</f>
        <v>50</v>
      </c>
      <c r="F14" s="350"/>
      <c r="H14" s="117"/>
      <c r="I14" s="123"/>
      <c r="J14" s="215" t="s">
        <v>42</v>
      </c>
      <c r="K14" s="230">
        <f>+COUNTIF($G$22:$G$73,"NT")*2</f>
        <v>70</v>
      </c>
      <c r="L14" s="230">
        <f>+SUMIF($G$23:$G$72,"NT",$L$23:$L$72)</f>
        <v>10585.900000000003</v>
      </c>
      <c r="N14" s="122"/>
    </row>
    <row r="15" spans="2:14" x14ac:dyDescent="0.25">
      <c r="B15" s="121"/>
      <c r="C15" s="348" t="s">
        <v>479</v>
      </c>
      <c r="D15" s="348"/>
      <c r="E15" s="351">
        <f>+I73</f>
        <v>24991</v>
      </c>
      <c r="F15" s="350"/>
      <c r="H15" s="117"/>
      <c r="I15" s="123"/>
      <c r="J15" s="215" t="s">
        <v>484</v>
      </c>
      <c r="K15" s="230">
        <f>+COUNTIF($G$22:$G$73,"NO")*2</f>
        <v>0</v>
      </c>
      <c r="L15" s="230">
        <f>+SUMIF($G$23:$G$72,"NO",$L$23:$L$72)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+L73</f>
        <v>14763.6</v>
      </c>
      <c r="F16" s="350"/>
      <c r="H16" s="117"/>
      <c r="I16" s="123"/>
      <c r="J16" s="215" t="s">
        <v>485</v>
      </c>
      <c r="K16" s="230">
        <f>+COUNTIF($G$22:$G$73,"TO")*2</f>
        <v>0</v>
      </c>
      <c r="L16" s="230">
        <f>+SUMIF($G$23:$G$72,"TO",$L$23:$L$72)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+M73</f>
        <v>0.59075667240206475</v>
      </c>
      <c r="F17" s="350"/>
      <c r="G17" s="124"/>
      <c r="H17" s="125"/>
      <c r="I17" s="123"/>
      <c r="J17" s="215" t="s">
        <v>486</v>
      </c>
      <c r="K17" s="230">
        <f>+COUNTIF($G$22:$G$73,"VA")*2</f>
        <v>10</v>
      </c>
      <c r="L17" s="230">
        <f>+SUMIF($G$23:$G$72,"VA",$L$23:$L$72)</f>
        <v>1428</v>
      </c>
      <c r="N17" s="122"/>
    </row>
    <row r="18" spans="2:14" x14ac:dyDescent="0.25">
      <c r="B18" s="121"/>
      <c r="C18" s="348" t="s">
        <v>482</v>
      </c>
      <c r="D18" s="348"/>
      <c r="E18" s="353">
        <f>+L73/D73</f>
        <v>295.27199999999999</v>
      </c>
      <c r="F18" s="353"/>
      <c r="G18" s="124"/>
      <c r="H18" s="125"/>
      <c r="I18" s="123"/>
      <c r="J18" s="215" t="s">
        <v>44</v>
      </c>
      <c r="K18" s="230">
        <f>+COUNTIF($G$22:$G$73,"MEJ")*2</f>
        <v>0</v>
      </c>
      <c r="L18" s="230">
        <f>+SUMIF($G$23:$G$72,"MEJ",$L$23:$L$72)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</v>
      </c>
      <c r="D23" s="152">
        <v>36</v>
      </c>
      <c r="E23" s="152" t="s">
        <v>75</v>
      </c>
      <c r="F23" s="152" t="s">
        <v>526</v>
      </c>
      <c r="G23" s="153" t="s">
        <v>486</v>
      </c>
      <c r="H23" s="154" t="s">
        <v>753</v>
      </c>
      <c r="I23" s="155">
        <v>496</v>
      </c>
      <c r="J23" s="152">
        <v>152</v>
      </c>
      <c r="K23" s="156">
        <v>148.4</v>
      </c>
      <c r="L23" s="157">
        <f t="shared" ref="L23:L72" si="0">+J23+K23</f>
        <v>300.39999999999998</v>
      </c>
      <c r="M23" s="158">
        <f t="shared" ref="M23:M73" si="1">+L23/I23</f>
        <v>0.60564516129032253</v>
      </c>
      <c r="N23" s="122"/>
    </row>
    <row r="24" spans="2:14" x14ac:dyDescent="0.25">
      <c r="B24" s="121"/>
      <c r="C24" s="159">
        <v>2</v>
      </c>
      <c r="D24" s="159">
        <v>44</v>
      </c>
      <c r="E24" s="159" t="s">
        <v>67</v>
      </c>
      <c r="F24" s="159" t="s">
        <v>526</v>
      </c>
      <c r="G24" s="160" t="s">
        <v>42</v>
      </c>
      <c r="H24" s="161" t="s">
        <v>754</v>
      </c>
      <c r="I24" s="162">
        <v>506</v>
      </c>
      <c r="J24" s="159">
        <v>152.5</v>
      </c>
      <c r="K24" s="163">
        <v>150.69999999999999</v>
      </c>
      <c r="L24" s="164">
        <f t="shared" si="0"/>
        <v>303.2</v>
      </c>
      <c r="M24" s="165">
        <f t="shared" si="1"/>
        <v>0.59920948616600789</v>
      </c>
      <c r="N24" s="122"/>
    </row>
    <row r="25" spans="2:14" x14ac:dyDescent="0.25">
      <c r="B25" s="121"/>
      <c r="C25" s="159">
        <v>3</v>
      </c>
      <c r="D25" s="159">
        <v>40</v>
      </c>
      <c r="E25" s="159" t="s">
        <v>75</v>
      </c>
      <c r="F25" s="159" t="s">
        <v>526</v>
      </c>
      <c r="G25" s="160" t="s">
        <v>42</v>
      </c>
      <c r="H25" s="161" t="s">
        <v>755</v>
      </c>
      <c r="I25" s="162">
        <v>510</v>
      </c>
      <c r="J25" s="159">
        <v>154.9</v>
      </c>
      <c r="K25" s="163">
        <v>155.4</v>
      </c>
      <c r="L25" s="164">
        <f t="shared" si="0"/>
        <v>310.3</v>
      </c>
      <c r="M25" s="165">
        <f t="shared" si="1"/>
        <v>0.60843137254901958</v>
      </c>
      <c r="N25" s="122"/>
    </row>
    <row r="26" spans="2:14" x14ac:dyDescent="0.25">
      <c r="B26" s="121"/>
      <c r="C26" s="159">
        <v>4</v>
      </c>
      <c r="D26" s="159">
        <v>30</v>
      </c>
      <c r="E26" s="159" t="s">
        <v>67</v>
      </c>
      <c r="F26" s="159" t="s">
        <v>527</v>
      </c>
      <c r="G26" s="160" t="s">
        <v>42</v>
      </c>
      <c r="H26" s="161" t="s">
        <v>756</v>
      </c>
      <c r="I26" s="162">
        <v>512</v>
      </c>
      <c r="J26" s="159">
        <v>160.69999999999999</v>
      </c>
      <c r="K26" s="163">
        <v>157.69999999999999</v>
      </c>
      <c r="L26" s="164">
        <f t="shared" si="0"/>
        <v>318.39999999999998</v>
      </c>
      <c r="M26" s="165">
        <f t="shared" si="1"/>
        <v>0.62187499999999996</v>
      </c>
      <c r="N26" s="122"/>
    </row>
    <row r="27" spans="2:14" x14ac:dyDescent="0.25">
      <c r="B27" s="121"/>
      <c r="C27" s="159">
        <v>5</v>
      </c>
      <c r="D27" s="159">
        <v>41</v>
      </c>
      <c r="E27" s="159" t="s">
        <v>75</v>
      </c>
      <c r="F27" s="159" t="s">
        <v>526</v>
      </c>
      <c r="G27" s="160" t="s">
        <v>42</v>
      </c>
      <c r="H27" s="161" t="s">
        <v>757</v>
      </c>
      <c r="I27" s="162">
        <v>502</v>
      </c>
      <c r="J27" s="159">
        <v>152.6</v>
      </c>
      <c r="K27" s="163">
        <v>157.30000000000001</v>
      </c>
      <c r="L27" s="164">
        <f t="shared" si="0"/>
        <v>309.89999999999998</v>
      </c>
      <c r="M27" s="165">
        <f t="shared" si="1"/>
        <v>0.61733067729083657</v>
      </c>
      <c r="N27" s="122"/>
    </row>
    <row r="28" spans="2:14" x14ac:dyDescent="0.25">
      <c r="B28" s="121"/>
      <c r="C28" s="159">
        <v>6</v>
      </c>
      <c r="D28" s="159">
        <v>38</v>
      </c>
      <c r="E28" s="159" t="s">
        <v>67</v>
      </c>
      <c r="F28" s="159" t="s">
        <v>526</v>
      </c>
      <c r="G28" s="160" t="s">
        <v>42</v>
      </c>
      <c r="H28" s="161" t="s">
        <v>758</v>
      </c>
      <c r="I28" s="162">
        <v>502</v>
      </c>
      <c r="J28" s="159">
        <v>154</v>
      </c>
      <c r="K28" s="163">
        <v>155.69999999999999</v>
      </c>
      <c r="L28" s="164">
        <f t="shared" si="0"/>
        <v>309.7</v>
      </c>
      <c r="M28" s="165">
        <f t="shared" si="1"/>
        <v>0.61693227091633462</v>
      </c>
      <c r="N28" s="122"/>
    </row>
    <row r="29" spans="2:14" x14ac:dyDescent="0.25">
      <c r="B29" s="121"/>
      <c r="C29" s="160">
        <v>7</v>
      </c>
      <c r="D29" s="160">
        <v>49</v>
      </c>
      <c r="E29" s="160" t="s">
        <v>67</v>
      </c>
      <c r="F29" s="160" t="s">
        <v>526</v>
      </c>
      <c r="G29" s="160" t="s">
        <v>486</v>
      </c>
      <c r="H29" s="161" t="s">
        <v>759</v>
      </c>
      <c r="I29" s="162">
        <v>568</v>
      </c>
      <c r="J29" s="159">
        <v>152</v>
      </c>
      <c r="K29" s="163">
        <v>154.6</v>
      </c>
      <c r="L29" s="164">
        <f t="shared" si="0"/>
        <v>306.60000000000002</v>
      </c>
      <c r="M29" s="165">
        <f t="shared" si="1"/>
        <v>0.5397887323943662</v>
      </c>
      <c r="N29" s="122"/>
    </row>
    <row r="30" spans="2:14" x14ac:dyDescent="0.25">
      <c r="B30" s="121"/>
      <c r="C30" s="160">
        <v>8</v>
      </c>
      <c r="D30" s="160">
        <v>48</v>
      </c>
      <c r="E30" s="160" t="s">
        <v>68</v>
      </c>
      <c r="F30" s="160" t="s">
        <v>750</v>
      </c>
      <c r="G30" s="160" t="s">
        <v>483</v>
      </c>
      <c r="H30" s="161" t="s">
        <v>760</v>
      </c>
      <c r="I30" s="162">
        <v>443</v>
      </c>
      <c r="J30" s="159">
        <v>136.69999999999999</v>
      </c>
      <c r="K30" s="163">
        <v>136</v>
      </c>
      <c r="L30" s="164">
        <f t="shared" si="0"/>
        <v>272.7</v>
      </c>
      <c r="M30" s="165">
        <f t="shared" si="1"/>
        <v>0.61557562076749428</v>
      </c>
      <c r="N30" s="122"/>
    </row>
    <row r="31" spans="2:14" x14ac:dyDescent="0.25">
      <c r="B31" s="121"/>
      <c r="C31" s="159">
        <v>9</v>
      </c>
      <c r="D31" s="159">
        <v>33</v>
      </c>
      <c r="E31" s="159" t="s">
        <v>68</v>
      </c>
      <c r="F31" s="159" t="s">
        <v>526</v>
      </c>
      <c r="G31" s="160" t="s">
        <v>42</v>
      </c>
      <c r="H31" s="161" t="s">
        <v>761</v>
      </c>
      <c r="I31" s="162">
        <v>496</v>
      </c>
      <c r="J31" s="159">
        <v>147.5</v>
      </c>
      <c r="K31" s="163">
        <v>148.69999999999999</v>
      </c>
      <c r="L31" s="164">
        <f t="shared" si="0"/>
        <v>296.2</v>
      </c>
      <c r="M31" s="165">
        <f t="shared" si="1"/>
        <v>0.5971774193548387</v>
      </c>
      <c r="N31" s="122"/>
    </row>
    <row r="32" spans="2:14" x14ac:dyDescent="0.25">
      <c r="B32" s="121"/>
      <c r="C32" s="159">
        <v>10</v>
      </c>
      <c r="D32" s="159">
        <v>31</v>
      </c>
      <c r="E32" s="159" t="s">
        <v>75</v>
      </c>
      <c r="F32" s="159" t="s">
        <v>526</v>
      </c>
      <c r="G32" s="160" t="s">
        <v>483</v>
      </c>
      <c r="H32" s="161" t="s">
        <v>762</v>
      </c>
      <c r="I32" s="162">
        <v>469</v>
      </c>
      <c r="J32" s="159">
        <v>135.5</v>
      </c>
      <c r="K32" s="163">
        <v>134.69999999999999</v>
      </c>
      <c r="L32" s="164">
        <f t="shared" si="0"/>
        <v>270.2</v>
      </c>
      <c r="M32" s="165">
        <f t="shared" si="1"/>
        <v>0.57611940298507458</v>
      </c>
      <c r="N32" s="122"/>
    </row>
    <row r="33" spans="2:14" x14ac:dyDescent="0.25">
      <c r="B33" s="121"/>
      <c r="C33" s="160">
        <v>11</v>
      </c>
      <c r="D33" s="160">
        <v>35</v>
      </c>
      <c r="E33" s="160" t="s">
        <v>67</v>
      </c>
      <c r="F33" s="160" t="s">
        <v>527</v>
      </c>
      <c r="G33" s="160" t="s">
        <v>42</v>
      </c>
      <c r="H33" s="161" t="s">
        <v>763</v>
      </c>
      <c r="I33" s="162">
        <v>508</v>
      </c>
      <c r="J33" s="159">
        <v>151.80000000000001</v>
      </c>
      <c r="K33" s="163">
        <v>151</v>
      </c>
      <c r="L33" s="164">
        <f t="shared" si="0"/>
        <v>302.8</v>
      </c>
      <c r="M33" s="165">
        <f t="shared" si="1"/>
        <v>0.59606299212598424</v>
      </c>
      <c r="N33" s="122"/>
    </row>
    <row r="34" spans="2:14" x14ac:dyDescent="0.25">
      <c r="B34" s="121"/>
      <c r="C34" s="159">
        <v>12</v>
      </c>
      <c r="D34" s="159">
        <v>46</v>
      </c>
      <c r="E34" s="159" t="s">
        <v>67</v>
      </c>
      <c r="F34" s="159" t="s">
        <v>526</v>
      </c>
      <c r="G34" s="160" t="s">
        <v>42</v>
      </c>
      <c r="H34" s="161" t="s">
        <v>764</v>
      </c>
      <c r="I34" s="162">
        <v>508</v>
      </c>
      <c r="J34" s="159">
        <v>152.5</v>
      </c>
      <c r="K34" s="166">
        <v>153.6</v>
      </c>
      <c r="L34" s="164">
        <f t="shared" si="0"/>
        <v>306.10000000000002</v>
      </c>
      <c r="M34" s="167">
        <f t="shared" si="1"/>
        <v>0.60255905511811025</v>
      </c>
      <c r="N34" s="122"/>
    </row>
    <row r="35" spans="2:14" x14ac:dyDescent="0.25">
      <c r="B35" s="121"/>
      <c r="C35" s="159">
        <v>13</v>
      </c>
      <c r="D35" s="159">
        <v>29</v>
      </c>
      <c r="E35" s="159" t="s">
        <v>68</v>
      </c>
      <c r="F35" s="159" t="s">
        <v>526</v>
      </c>
      <c r="G35" s="160" t="s">
        <v>42</v>
      </c>
      <c r="H35" s="161" t="s">
        <v>765</v>
      </c>
      <c r="I35" s="162">
        <v>477</v>
      </c>
      <c r="J35" s="159">
        <v>143</v>
      </c>
      <c r="K35" s="163">
        <v>145.4</v>
      </c>
      <c r="L35" s="164">
        <f t="shared" si="0"/>
        <v>288.39999999999998</v>
      </c>
      <c r="M35" s="165">
        <f t="shared" si="1"/>
        <v>0.60461215932914036</v>
      </c>
      <c r="N35" s="122"/>
    </row>
    <row r="36" spans="2:14" x14ac:dyDescent="0.25">
      <c r="B36" s="121"/>
      <c r="C36" s="159">
        <v>14</v>
      </c>
      <c r="D36" s="159">
        <v>28</v>
      </c>
      <c r="E36" s="159" t="s">
        <v>75</v>
      </c>
      <c r="F36" s="159" t="s">
        <v>526</v>
      </c>
      <c r="G36" s="160" t="s">
        <v>42</v>
      </c>
      <c r="H36" s="161" t="s">
        <v>766</v>
      </c>
      <c r="I36" s="162">
        <v>504</v>
      </c>
      <c r="J36" s="159">
        <v>153.4</v>
      </c>
      <c r="K36" s="163">
        <v>153</v>
      </c>
      <c r="L36" s="164">
        <f t="shared" si="0"/>
        <v>306.39999999999998</v>
      </c>
      <c r="M36" s="165">
        <f t="shared" si="1"/>
        <v>0.60793650793650789</v>
      </c>
      <c r="N36" s="122"/>
    </row>
    <row r="37" spans="2:14" x14ac:dyDescent="0.25">
      <c r="B37" s="121"/>
      <c r="C37" s="159">
        <v>15</v>
      </c>
      <c r="D37" s="159">
        <v>45</v>
      </c>
      <c r="E37" s="159" t="s">
        <v>67</v>
      </c>
      <c r="F37" s="159" t="s">
        <v>526</v>
      </c>
      <c r="G37" s="160" t="s">
        <v>42</v>
      </c>
      <c r="H37" s="161" t="s">
        <v>767</v>
      </c>
      <c r="I37" s="162">
        <v>526</v>
      </c>
      <c r="J37" s="159">
        <v>152.4</v>
      </c>
      <c r="K37" s="163">
        <v>150.5</v>
      </c>
      <c r="L37" s="164">
        <f t="shared" si="0"/>
        <v>302.89999999999998</v>
      </c>
      <c r="M37" s="165">
        <f t="shared" si="1"/>
        <v>0.57585551330798479</v>
      </c>
      <c r="N37" s="122"/>
    </row>
    <row r="38" spans="2:14" x14ac:dyDescent="0.25">
      <c r="B38" s="121"/>
      <c r="C38" s="159">
        <v>16</v>
      </c>
      <c r="D38" s="159">
        <v>34</v>
      </c>
      <c r="E38" s="159" t="s">
        <v>67</v>
      </c>
      <c r="F38" s="159" t="s">
        <v>526</v>
      </c>
      <c r="G38" s="159" t="s">
        <v>483</v>
      </c>
      <c r="H38" s="168" t="s">
        <v>768</v>
      </c>
      <c r="I38" s="169">
        <v>471</v>
      </c>
      <c r="J38" s="159">
        <v>138</v>
      </c>
      <c r="K38" s="163">
        <v>140</v>
      </c>
      <c r="L38" s="164">
        <f t="shared" si="0"/>
        <v>278</v>
      </c>
      <c r="M38" s="165">
        <f t="shared" si="1"/>
        <v>0.59023354564755837</v>
      </c>
      <c r="N38" s="122"/>
    </row>
    <row r="39" spans="2:14" x14ac:dyDescent="0.25">
      <c r="B39" s="121"/>
      <c r="C39" s="159">
        <v>17</v>
      </c>
      <c r="D39" s="159">
        <v>27</v>
      </c>
      <c r="E39" s="159" t="s">
        <v>67</v>
      </c>
      <c r="F39" s="159" t="s">
        <v>526</v>
      </c>
      <c r="G39" s="160" t="s">
        <v>42</v>
      </c>
      <c r="H39" s="161" t="s">
        <v>769</v>
      </c>
      <c r="I39" s="162">
        <v>528</v>
      </c>
      <c r="J39" s="159">
        <v>150.4</v>
      </c>
      <c r="K39" s="163">
        <v>150.19999999999999</v>
      </c>
      <c r="L39" s="164">
        <f t="shared" si="0"/>
        <v>300.60000000000002</v>
      </c>
      <c r="M39" s="165">
        <f t="shared" si="1"/>
        <v>0.56931818181818183</v>
      </c>
      <c r="N39" s="122"/>
    </row>
    <row r="40" spans="2:14" x14ac:dyDescent="0.25">
      <c r="B40" s="121"/>
      <c r="C40" s="159">
        <v>18</v>
      </c>
      <c r="D40" s="159">
        <v>21</v>
      </c>
      <c r="E40" s="159" t="s">
        <v>67</v>
      </c>
      <c r="F40" s="159" t="s">
        <v>526</v>
      </c>
      <c r="G40" s="160" t="s">
        <v>42</v>
      </c>
      <c r="H40" s="161">
        <v>5791</v>
      </c>
      <c r="I40" s="162">
        <v>516</v>
      </c>
      <c r="J40" s="159">
        <v>137.1</v>
      </c>
      <c r="K40" s="163">
        <v>136.6</v>
      </c>
      <c r="L40" s="164">
        <f t="shared" si="0"/>
        <v>273.7</v>
      </c>
      <c r="M40" s="165">
        <f t="shared" si="1"/>
        <v>0.53042635658914727</v>
      </c>
      <c r="N40" s="122"/>
    </row>
    <row r="41" spans="2:14" x14ac:dyDescent="0.25">
      <c r="B41" s="121"/>
      <c r="C41" s="159">
        <v>19</v>
      </c>
      <c r="D41" s="159">
        <v>32</v>
      </c>
      <c r="E41" s="159" t="s">
        <v>67</v>
      </c>
      <c r="F41" s="159" t="s">
        <v>526</v>
      </c>
      <c r="G41" s="160" t="s">
        <v>483</v>
      </c>
      <c r="H41" s="161" t="s">
        <v>770</v>
      </c>
      <c r="I41" s="162">
        <v>456</v>
      </c>
      <c r="J41" s="159">
        <v>139.9</v>
      </c>
      <c r="K41" s="163">
        <v>140</v>
      </c>
      <c r="L41" s="164">
        <f t="shared" si="0"/>
        <v>279.89999999999998</v>
      </c>
      <c r="M41" s="165">
        <f t="shared" si="1"/>
        <v>0.6138157894736842</v>
      </c>
      <c r="N41" s="122"/>
    </row>
    <row r="42" spans="2:14" x14ac:dyDescent="0.25">
      <c r="B42" s="121"/>
      <c r="C42" s="160">
        <v>20</v>
      </c>
      <c r="D42" s="160">
        <v>43</v>
      </c>
      <c r="E42" s="160" t="s">
        <v>75</v>
      </c>
      <c r="F42" s="160" t="s">
        <v>526</v>
      </c>
      <c r="G42" s="160" t="s">
        <v>42</v>
      </c>
      <c r="H42" s="161" t="s">
        <v>771</v>
      </c>
      <c r="I42" s="162">
        <v>476</v>
      </c>
      <c r="J42" s="159">
        <v>146.5</v>
      </c>
      <c r="K42" s="163">
        <v>145.4</v>
      </c>
      <c r="L42" s="164">
        <f t="shared" si="0"/>
        <v>291.89999999999998</v>
      </c>
      <c r="M42" s="165">
        <f t="shared" si="1"/>
        <v>0.61323529411764699</v>
      </c>
      <c r="N42" s="122"/>
    </row>
    <row r="43" spans="2:14" x14ac:dyDescent="0.25">
      <c r="B43" s="121"/>
      <c r="C43" s="159">
        <v>21</v>
      </c>
      <c r="D43" s="159">
        <v>37</v>
      </c>
      <c r="E43" s="159" t="s">
        <v>67</v>
      </c>
      <c r="F43" s="159" t="s">
        <v>526</v>
      </c>
      <c r="G43" s="160" t="s">
        <v>42</v>
      </c>
      <c r="H43" s="161" t="s">
        <v>772</v>
      </c>
      <c r="I43" s="162">
        <v>500</v>
      </c>
      <c r="J43" s="159">
        <v>149.69999999999999</v>
      </c>
      <c r="K43" s="163">
        <v>147.5</v>
      </c>
      <c r="L43" s="164">
        <f t="shared" si="0"/>
        <v>297.2</v>
      </c>
      <c r="M43" s="165">
        <f t="shared" si="1"/>
        <v>0.59439999999999993</v>
      </c>
      <c r="N43" s="122"/>
    </row>
    <row r="44" spans="2:14" x14ac:dyDescent="0.25">
      <c r="B44" s="121"/>
      <c r="C44" s="160">
        <v>22</v>
      </c>
      <c r="D44" s="160">
        <v>47</v>
      </c>
      <c r="E44" s="160" t="s">
        <v>67</v>
      </c>
      <c r="F44" s="160" t="s">
        <v>526</v>
      </c>
      <c r="G44" s="160" t="s">
        <v>42</v>
      </c>
      <c r="H44" s="161" t="s">
        <v>773</v>
      </c>
      <c r="I44" s="162">
        <v>512</v>
      </c>
      <c r="J44" s="159">
        <v>153.80000000000001</v>
      </c>
      <c r="K44" s="163">
        <v>151.80000000000001</v>
      </c>
      <c r="L44" s="164">
        <f t="shared" si="0"/>
        <v>305.60000000000002</v>
      </c>
      <c r="M44" s="165">
        <f t="shared" si="1"/>
        <v>0.59687500000000004</v>
      </c>
      <c r="N44" s="122"/>
    </row>
    <row r="45" spans="2:14" x14ac:dyDescent="0.25">
      <c r="B45" s="121"/>
      <c r="C45" s="160">
        <v>23</v>
      </c>
      <c r="D45" s="160">
        <v>39</v>
      </c>
      <c r="E45" s="160" t="s">
        <v>68</v>
      </c>
      <c r="F45" s="160" t="s">
        <v>526</v>
      </c>
      <c r="G45" s="160" t="s">
        <v>486</v>
      </c>
      <c r="H45" s="161" t="s">
        <v>317</v>
      </c>
      <c r="I45" s="162">
        <v>448</v>
      </c>
      <c r="J45" s="159">
        <v>132.9</v>
      </c>
      <c r="K45" s="163">
        <v>133.5</v>
      </c>
      <c r="L45" s="164">
        <f t="shared" si="0"/>
        <v>266.39999999999998</v>
      </c>
      <c r="M45" s="165">
        <f t="shared" si="1"/>
        <v>0.59464285714285714</v>
      </c>
      <c r="N45" s="122"/>
    </row>
    <row r="46" spans="2:14" x14ac:dyDescent="0.25">
      <c r="B46" s="121"/>
      <c r="C46" s="160">
        <v>24</v>
      </c>
      <c r="D46" s="160">
        <v>42</v>
      </c>
      <c r="E46" s="160" t="s">
        <v>68</v>
      </c>
      <c r="F46" s="160" t="s">
        <v>526</v>
      </c>
      <c r="G46" s="160" t="s">
        <v>486</v>
      </c>
      <c r="H46" s="161" t="s">
        <v>774</v>
      </c>
      <c r="I46" s="162">
        <v>442</v>
      </c>
      <c r="J46" s="159">
        <v>126.1</v>
      </c>
      <c r="K46" s="163">
        <v>125.8</v>
      </c>
      <c r="L46" s="164">
        <f t="shared" ref="L46:L52" si="2">+J46+K46</f>
        <v>251.89999999999998</v>
      </c>
      <c r="M46" s="165">
        <f t="shared" ref="M46:M52" si="3">+L46/I46</f>
        <v>0.56990950226244341</v>
      </c>
      <c r="N46" s="122"/>
    </row>
    <row r="47" spans="2:14" x14ac:dyDescent="0.25">
      <c r="B47" s="121"/>
      <c r="C47" s="160">
        <v>25</v>
      </c>
      <c r="D47" s="160">
        <v>2</v>
      </c>
      <c r="E47" s="160" t="s">
        <v>75</v>
      </c>
      <c r="F47" s="160" t="s">
        <v>526</v>
      </c>
      <c r="G47" s="160" t="s">
        <v>42</v>
      </c>
      <c r="H47" s="161" t="s">
        <v>367</v>
      </c>
      <c r="I47" s="162">
        <v>532</v>
      </c>
      <c r="J47" s="159">
        <v>163.4</v>
      </c>
      <c r="K47" s="163">
        <v>161.6</v>
      </c>
      <c r="L47" s="164">
        <f t="shared" si="2"/>
        <v>325</v>
      </c>
      <c r="M47" s="165">
        <f t="shared" si="3"/>
        <v>0.61090225563909772</v>
      </c>
      <c r="N47" s="122"/>
    </row>
    <row r="48" spans="2:14" x14ac:dyDescent="0.25">
      <c r="B48" s="121"/>
      <c r="C48" s="160">
        <v>26</v>
      </c>
      <c r="D48" s="160">
        <v>10</v>
      </c>
      <c r="E48" s="160" t="s">
        <v>75</v>
      </c>
      <c r="F48" s="160" t="s">
        <v>526</v>
      </c>
      <c r="G48" s="160" t="s">
        <v>42</v>
      </c>
      <c r="H48" s="161" t="s">
        <v>775</v>
      </c>
      <c r="I48" s="162">
        <v>494</v>
      </c>
      <c r="J48" s="159">
        <v>147</v>
      </c>
      <c r="K48" s="163">
        <v>145.69999999999999</v>
      </c>
      <c r="L48" s="164">
        <f t="shared" si="2"/>
        <v>292.7</v>
      </c>
      <c r="M48" s="165">
        <f t="shared" si="3"/>
        <v>0.59251012145748982</v>
      </c>
      <c r="N48" s="122"/>
    </row>
    <row r="49" spans="2:14" x14ac:dyDescent="0.25">
      <c r="B49" s="121"/>
      <c r="C49" s="160">
        <v>27</v>
      </c>
      <c r="D49" s="160">
        <v>7</v>
      </c>
      <c r="E49" s="160" t="s">
        <v>75</v>
      </c>
      <c r="F49" s="160" t="s">
        <v>526</v>
      </c>
      <c r="G49" s="160" t="s">
        <v>42</v>
      </c>
      <c r="H49" s="161" t="s">
        <v>776</v>
      </c>
      <c r="I49" s="162">
        <v>477</v>
      </c>
      <c r="J49" s="159">
        <v>141.1</v>
      </c>
      <c r="K49" s="163">
        <v>141.69999999999999</v>
      </c>
      <c r="L49" s="164">
        <f t="shared" si="2"/>
        <v>282.79999999999995</v>
      </c>
      <c r="M49" s="165">
        <f t="shared" si="3"/>
        <v>0.59287211740041923</v>
      </c>
      <c r="N49" s="122"/>
    </row>
    <row r="50" spans="2:14" x14ac:dyDescent="0.25">
      <c r="B50" s="121"/>
      <c r="C50" s="160">
        <v>28</v>
      </c>
      <c r="D50" s="160">
        <v>23</v>
      </c>
      <c r="E50" s="160" t="s">
        <v>75</v>
      </c>
      <c r="F50" s="160" t="s">
        <v>526</v>
      </c>
      <c r="G50" s="160" t="s">
        <v>483</v>
      </c>
      <c r="H50" s="161" t="s">
        <v>777</v>
      </c>
      <c r="I50" s="162">
        <v>492</v>
      </c>
      <c r="J50" s="159">
        <v>143.9</v>
      </c>
      <c r="K50" s="163">
        <v>143.80000000000001</v>
      </c>
      <c r="L50" s="164">
        <f t="shared" si="2"/>
        <v>287.70000000000005</v>
      </c>
      <c r="M50" s="165">
        <f t="shared" si="3"/>
        <v>0.58475609756097569</v>
      </c>
      <c r="N50" s="122"/>
    </row>
    <row r="51" spans="2:14" x14ac:dyDescent="0.25">
      <c r="B51" s="121"/>
      <c r="C51" s="160">
        <v>29</v>
      </c>
      <c r="D51" s="160">
        <v>12</v>
      </c>
      <c r="E51" s="160" t="s">
        <v>68</v>
      </c>
      <c r="F51" s="160" t="s">
        <v>526</v>
      </c>
      <c r="G51" s="160" t="s">
        <v>42</v>
      </c>
      <c r="H51" s="161" t="s">
        <v>390</v>
      </c>
      <c r="I51" s="162">
        <v>494</v>
      </c>
      <c r="J51" s="159">
        <v>151.1</v>
      </c>
      <c r="K51" s="163">
        <v>150.30000000000001</v>
      </c>
      <c r="L51" s="164">
        <f t="shared" si="2"/>
        <v>301.39999999999998</v>
      </c>
      <c r="M51" s="165">
        <f t="shared" si="3"/>
        <v>0.61012145748987845</v>
      </c>
      <c r="N51" s="122"/>
    </row>
    <row r="52" spans="2:14" x14ac:dyDescent="0.25">
      <c r="B52" s="121"/>
      <c r="C52" s="160">
        <v>30</v>
      </c>
      <c r="D52" s="160">
        <v>15</v>
      </c>
      <c r="E52" s="160" t="s">
        <v>67</v>
      </c>
      <c r="F52" s="160" t="s">
        <v>526</v>
      </c>
      <c r="G52" s="160" t="s">
        <v>42</v>
      </c>
      <c r="H52" s="161" t="s">
        <v>778</v>
      </c>
      <c r="I52" s="162">
        <v>548</v>
      </c>
      <c r="J52" s="159">
        <v>164.4</v>
      </c>
      <c r="K52" s="163">
        <v>165.4</v>
      </c>
      <c r="L52" s="164">
        <f t="shared" si="2"/>
        <v>329.8</v>
      </c>
      <c r="M52" s="165">
        <f t="shared" si="3"/>
        <v>0.60182481751824823</v>
      </c>
      <c r="N52" s="122"/>
    </row>
    <row r="53" spans="2:14" x14ac:dyDescent="0.25">
      <c r="B53" s="121"/>
      <c r="C53" s="160">
        <v>31</v>
      </c>
      <c r="D53" s="160">
        <v>20</v>
      </c>
      <c r="E53" s="160" t="s">
        <v>68</v>
      </c>
      <c r="F53" s="160" t="s">
        <v>526</v>
      </c>
      <c r="G53" s="160" t="s">
        <v>42</v>
      </c>
      <c r="H53" s="161" t="s">
        <v>779</v>
      </c>
      <c r="I53" s="162">
        <v>512</v>
      </c>
      <c r="J53" s="159">
        <v>153.80000000000001</v>
      </c>
      <c r="K53" s="163">
        <v>153.9</v>
      </c>
      <c r="L53" s="164">
        <f t="shared" si="0"/>
        <v>307.70000000000005</v>
      </c>
      <c r="M53" s="165">
        <f t="shared" si="1"/>
        <v>0.60097656250000009</v>
      </c>
      <c r="N53" s="122"/>
    </row>
    <row r="54" spans="2:14" x14ac:dyDescent="0.25">
      <c r="B54" s="121"/>
      <c r="C54" s="160">
        <v>32</v>
      </c>
      <c r="D54" s="160">
        <v>5</v>
      </c>
      <c r="E54" s="160" t="s">
        <v>75</v>
      </c>
      <c r="F54" s="160" t="s">
        <v>526</v>
      </c>
      <c r="G54" s="160" t="s">
        <v>42</v>
      </c>
      <c r="H54" s="161" t="s">
        <v>780</v>
      </c>
      <c r="I54" s="162">
        <v>510</v>
      </c>
      <c r="J54" s="159">
        <v>146.9</v>
      </c>
      <c r="K54" s="163">
        <v>145</v>
      </c>
      <c r="L54" s="164">
        <f t="shared" si="0"/>
        <v>291.89999999999998</v>
      </c>
      <c r="M54" s="165">
        <f t="shared" si="1"/>
        <v>0.57235294117647051</v>
      </c>
      <c r="N54" s="122"/>
    </row>
    <row r="55" spans="2:14" x14ac:dyDescent="0.25">
      <c r="B55" s="121"/>
      <c r="C55" s="160">
        <v>33</v>
      </c>
      <c r="D55" s="160">
        <v>9</v>
      </c>
      <c r="E55" s="160" t="s">
        <v>75</v>
      </c>
      <c r="F55" s="160" t="s">
        <v>526</v>
      </c>
      <c r="G55" s="160" t="s">
        <v>42</v>
      </c>
      <c r="H55" s="161" t="s">
        <v>781</v>
      </c>
      <c r="I55" s="162">
        <v>508</v>
      </c>
      <c r="J55" s="159">
        <v>155.4</v>
      </c>
      <c r="K55" s="163">
        <v>153.1</v>
      </c>
      <c r="L55" s="164">
        <f t="shared" si="0"/>
        <v>308.5</v>
      </c>
      <c r="M55" s="165">
        <f t="shared" si="1"/>
        <v>0.60728346456692917</v>
      </c>
      <c r="N55" s="122"/>
    </row>
    <row r="56" spans="2:14" x14ac:dyDescent="0.25">
      <c r="B56" s="121"/>
      <c r="C56" s="160">
        <v>34</v>
      </c>
      <c r="D56" s="160">
        <v>13</v>
      </c>
      <c r="E56" s="160" t="s">
        <v>68</v>
      </c>
      <c r="F56" s="160" t="s">
        <v>526</v>
      </c>
      <c r="G56" s="160" t="s">
        <v>483</v>
      </c>
      <c r="H56" s="161" t="s">
        <v>782</v>
      </c>
      <c r="I56" s="162">
        <v>466</v>
      </c>
      <c r="J56" s="159">
        <v>131</v>
      </c>
      <c r="K56" s="163">
        <v>132.80000000000001</v>
      </c>
      <c r="L56" s="164">
        <f t="shared" si="0"/>
        <v>263.8</v>
      </c>
      <c r="M56" s="165">
        <f t="shared" si="1"/>
        <v>0.56609442060085835</v>
      </c>
      <c r="N56" s="122"/>
    </row>
    <row r="57" spans="2:14" x14ac:dyDescent="0.25">
      <c r="B57" s="121"/>
      <c r="C57" s="159">
        <v>35</v>
      </c>
      <c r="D57" s="159">
        <v>24</v>
      </c>
      <c r="E57" s="159" t="s">
        <v>67</v>
      </c>
      <c r="F57" s="159" t="s">
        <v>526</v>
      </c>
      <c r="G57" s="160" t="s">
        <v>483</v>
      </c>
      <c r="H57" s="161" t="s">
        <v>783</v>
      </c>
      <c r="I57" s="162">
        <v>453</v>
      </c>
      <c r="J57" s="159">
        <v>132.4</v>
      </c>
      <c r="K57" s="163">
        <v>131.4</v>
      </c>
      <c r="L57" s="164">
        <f t="shared" si="0"/>
        <v>263.8</v>
      </c>
      <c r="M57" s="165">
        <f t="shared" si="1"/>
        <v>0.58233995584988962</v>
      </c>
      <c r="N57" s="122"/>
    </row>
    <row r="58" spans="2:14" x14ac:dyDescent="0.25">
      <c r="B58" s="121"/>
      <c r="C58" s="159">
        <v>36</v>
      </c>
      <c r="D58" s="159">
        <v>6</v>
      </c>
      <c r="E58" s="159" t="s">
        <v>67</v>
      </c>
      <c r="F58" s="159" t="s">
        <v>526</v>
      </c>
      <c r="G58" s="160" t="s">
        <v>42</v>
      </c>
      <c r="H58" s="168" t="s">
        <v>784</v>
      </c>
      <c r="I58" s="169">
        <v>494</v>
      </c>
      <c r="J58" s="159">
        <v>147.69999999999999</v>
      </c>
      <c r="K58" s="163">
        <v>148</v>
      </c>
      <c r="L58" s="164">
        <f t="shared" si="0"/>
        <v>295.7</v>
      </c>
      <c r="M58" s="165">
        <f t="shared" si="1"/>
        <v>0.59858299595141695</v>
      </c>
      <c r="N58" s="122"/>
    </row>
    <row r="59" spans="2:14" x14ac:dyDescent="0.25">
      <c r="B59" s="121"/>
      <c r="C59" s="159">
        <v>37</v>
      </c>
      <c r="D59" s="160">
        <v>22</v>
      </c>
      <c r="E59" s="160" t="s">
        <v>67</v>
      </c>
      <c r="F59" s="160" t="s">
        <v>526</v>
      </c>
      <c r="G59" s="160" t="s">
        <v>42</v>
      </c>
      <c r="H59" s="168" t="s">
        <v>218</v>
      </c>
      <c r="I59" s="169">
        <v>514</v>
      </c>
      <c r="J59" s="159">
        <v>156.19999999999999</v>
      </c>
      <c r="K59" s="163">
        <v>155.1</v>
      </c>
      <c r="L59" s="164">
        <f t="shared" si="0"/>
        <v>311.29999999999995</v>
      </c>
      <c r="M59" s="165">
        <f t="shared" si="1"/>
        <v>0.60564202334630346</v>
      </c>
      <c r="N59" s="122"/>
    </row>
    <row r="60" spans="2:14" x14ac:dyDescent="0.25">
      <c r="B60" s="121"/>
      <c r="C60" s="159">
        <v>38</v>
      </c>
      <c r="D60" s="160">
        <v>26</v>
      </c>
      <c r="E60" s="160" t="s">
        <v>67</v>
      </c>
      <c r="F60" s="160" t="s">
        <v>526</v>
      </c>
      <c r="G60" s="160" t="s">
        <v>42</v>
      </c>
      <c r="H60" s="168" t="s">
        <v>785</v>
      </c>
      <c r="I60" s="169">
        <v>496</v>
      </c>
      <c r="J60" s="159">
        <v>150.1</v>
      </c>
      <c r="K60" s="163">
        <v>151</v>
      </c>
      <c r="L60" s="164">
        <f t="shared" si="0"/>
        <v>301.10000000000002</v>
      </c>
      <c r="M60" s="165">
        <f t="shared" si="1"/>
        <v>0.60705645161290323</v>
      </c>
      <c r="N60" s="122"/>
    </row>
    <row r="61" spans="2:14" x14ac:dyDescent="0.25">
      <c r="B61" s="121"/>
      <c r="C61" s="159">
        <v>39</v>
      </c>
      <c r="D61" s="160">
        <v>25</v>
      </c>
      <c r="E61" s="160" t="s">
        <v>75</v>
      </c>
      <c r="F61" s="160" t="s">
        <v>526</v>
      </c>
      <c r="G61" s="160" t="s">
        <v>483</v>
      </c>
      <c r="H61" s="168" t="s">
        <v>786</v>
      </c>
      <c r="I61" s="169">
        <v>471</v>
      </c>
      <c r="J61" s="159">
        <v>139.30000000000001</v>
      </c>
      <c r="K61" s="163">
        <v>137.4</v>
      </c>
      <c r="L61" s="164">
        <f t="shared" si="0"/>
        <v>276.70000000000005</v>
      </c>
      <c r="M61" s="165">
        <f t="shared" si="1"/>
        <v>0.58747346072186846</v>
      </c>
      <c r="N61" s="122"/>
    </row>
    <row r="62" spans="2:14" x14ac:dyDescent="0.25">
      <c r="B62" s="121"/>
      <c r="C62" s="159">
        <v>40</v>
      </c>
      <c r="D62" s="160">
        <v>16</v>
      </c>
      <c r="E62" s="160" t="s">
        <v>67</v>
      </c>
      <c r="F62" s="160" t="s">
        <v>526</v>
      </c>
      <c r="G62" s="160" t="s">
        <v>42</v>
      </c>
      <c r="H62" s="168" t="s">
        <v>787</v>
      </c>
      <c r="I62" s="169">
        <v>546</v>
      </c>
      <c r="J62" s="159">
        <v>161.5</v>
      </c>
      <c r="K62" s="163">
        <v>161.4</v>
      </c>
      <c r="L62" s="164">
        <f t="shared" si="0"/>
        <v>322.89999999999998</v>
      </c>
      <c r="M62" s="165">
        <f t="shared" si="1"/>
        <v>0.5913919413919414</v>
      </c>
      <c r="N62" s="122"/>
    </row>
    <row r="63" spans="2:14" x14ac:dyDescent="0.25">
      <c r="B63" s="121"/>
      <c r="C63" s="159">
        <v>41</v>
      </c>
      <c r="D63" s="160">
        <v>1</v>
      </c>
      <c r="E63" s="160" t="s">
        <v>75</v>
      </c>
      <c r="F63" s="160" t="s">
        <v>526</v>
      </c>
      <c r="G63" s="160" t="s">
        <v>42</v>
      </c>
      <c r="H63" s="168" t="s">
        <v>788</v>
      </c>
      <c r="I63" s="169">
        <v>598</v>
      </c>
      <c r="J63" s="159">
        <v>171.1</v>
      </c>
      <c r="K63" s="163">
        <v>171.1</v>
      </c>
      <c r="L63" s="164">
        <f t="shared" si="0"/>
        <v>342.2</v>
      </c>
      <c r="M63" s="165">
        <f t="shared" si="1"/>
        <v>0.5722408026755853</v>
      </c>
      <c r="N63" s="122"/>
    </row>
    <row r="64" spans="2:14" x14ac:dyDescent="0.25">
      <c r="B64" s="121"/>
      <c r="C64" s="159">
        <v>42</v>
      </c>
      <c r="D64" s="159">
        <v>11</v>
      </c>
      <c r="E64" s="159" t="s">
        <v>75</v>
      </c>
      <c r="F64" s="159" t="s">
        <v>526</v>
      </c>
      <c r="G64" s="160" t="s">
        <v>42</v>
      </c>
      <c r="H64" s="168" t="s">
        <v>789</v>
      </c>
      <c r="I64" s="169">
        <v>485</v>
      </c>
      <c r="J64" s="159">
        <v>135.6</v>
      </c>
      <c r="K64" s="163">
        <v>131.1</v>
      </c>
      <c r="L64" s="164">
        <f t="shared" si="0"/>
        <v>266.7</v>
      </c>
      <c r="M64" s="165">
        <f t="shared" si="1"/>
        <v>0.54989690721649487</v>
      </c>
      <c r="N64" s="122"/>
    </row>
    <row r="65" spans="2:14" x14ac:dyDescent="0.25">
      <c r="B65" s="121"/>
      <c r="C65" s="159">
        <v>43</v>
      </c>
      <c r="D65" s="159">
        <v>14</v>
      </c>
      <c r="E65" s="159" t="s">
        <v>67</v>
      </c>
      <c r="F65" s="159" t="s">
        <v>526</v>
      </c>
      <c r="G65" s="160" t="s">
        <v>42</v>
      </c>
      <c r="H65" s="168" t="s">
        <v>790</v>
      </c>
      <c r="I65" s="169">
        <v>506</v>
      </c>
      <c r="J65" s="159">
        <v>143.5</v>
      </c>
      <c r="K65" s="163">
        <v>141.6</v>
      </c>
      <c r="L65" s="164">
        <f t="shared" si="0"/>
        <v>285.10000000000002</v>
      </c>
      <c r="M65" s="165">
        <f t="shared" si="1"/>
        <v>0.56343873517786569</v>
      </c>
      <c r="N65" s="122"/>
    </row>
    <row r="66" spans="2:14" x14ac:dyDescent="0.25">
      <c r="B66" s="121"/>
      <c r="C66" s="159">
        <v>44</v>
      </c>
      <c r="D66" s="170">
        <v>50</v>
      </c>
      <c r="E66" s="170" t="s">
        <v>67</v>
      </c>
      <c r="F66" s="170" t="s">
        <v>526</v>
      </c>
      <c r="G66" s="171" t="s">
        <v>486</v>
      </c>
      <c r="H66" s="168" t="s">
        <v>791</v>
      </c>
      <c r="I66" s="169">
        <v>499</v>
      </c>
      <c r="J66" s="159">
        <v>152.19999999999999</v>
      </c>
      <c r="K66" s="163">
        <v>150.5</v>
      </c>
      <c r="L66" s="164">
        <f t="shared" si="0"/>
        <v>302.7</v>
      </c>
      <c r="M66" s="165">
        <f t="shared" si="1"/>
        <v>0.60661322645290583</v>
      </c>
      <c r="N66" s="122"/>
    </row>
    <row r="67" spans="2:14" x14ac:dyDescent="0.25">
      <c r="B67" s="121"/>
      <c r="C67" s="159">
        <v>45</v>
      </c>
      <c r="D67" s="170">
        <v>3</v>
      </c>
      <c r="E67" s="170" t="s">
        <v>75</v>
      </c>
      <c r="F67" s="170" t="s">
        <v>526</v>
      </c>
      <c r="G67" s="171" t="s">
        <v>42</v>
      </c>
      <c r="H67" s="168" t="s">
        <v>792</v>
      </c>
      <c r="I67" s="169">
        <v>500</v>
      </c>
      <c r="J67" s="159">
        <v>152.80000000000001</v>
      </c>
      <c r="K67" s="163">
        <v>150.80000000000001</v>
      </c>
      <c r="L67" s="164">
        <f t="shared" si="0"/>
        <v>303.60000000000002</v>
      </c>
      <c r="M67" s="165">
        <f t="shared" si="1"/>
        <v>0.60720000000000007</v>
      </c>
      <c r="N67" s="122"/>
    </row>
    <row r="68" spans="2:14" x14ac:dyDescent="0.25">
      <c r="B68" s="121"/>
      <c r="C68" s="159">
        <v>46</v>
      </c>
      <c r="D68" s="170">
        <v>18</v>
      </c>
      <c r="E68" s="170" t="s">
        <v>68</v>
      </c>
      <c r="F68" s="170" t="s">
        <v>526</v>
      </c>
      <c r="G68" s="171" t="s">
        <v>42</v>
      </c>
      <c r="H68" s="168" t="s">
        <v>793</v>
      </c>
      <c r="I68" s="169">
        <v>532</v>
      </c>
      <c r="J68" s="159">
        <v>153.80000000000001</v>
      </c>
      <c r="K68" s="163">
        <v>154.30000000000001</v>
      </c>
      <c r="L68" s="164">
        <f t="shared" si="0"/>
        <v>308.10000000000002</v>
      </c>
      <c r="M68" s="165">
        <f t="shared" si="1"/>
        <v>0.57913533834586473</v>
      </c>
      <c r="N68" s="122"/>
    </row>
    <row r="69" spans="2:14" x14ac:dyDescent="0.25">
      <c r="B69" s="121"/>
      <c r="C69" s="159">
        <v>47</v>
      </c>
      <c r="D69" s="170">
        <v>19</v>
      </c>
      <c r="E69" s="170" t="s">
        <v>68</v>
      </c>
      <c r="F69" s="170" t="s">
        <v>526</v>
      </c>
      <c r="G69" s="170" t="s">
        <v>42</v>
      </c>
      <c r="H69" s="168" t="s">
        <v>794</v>
      </c>
      <c r="I69" s="169">
        <v>493</v>
      </c>
      <c r="J69" s="159">
        <v>144</v>
      </c>
      <c r="K69" s="159">
        <v>143.69999999999999</v>
      </c>
      <c r="L69" s="164">
        <f t="shared" si="0"/>
        <v>287.7</v>
      </c>
      <c r="M69" s="165">
        <f t="shared" si="1"/>
        <v>0.58356997971602431</v>
      </c>
      <c r="N69" s="122"/>
    </row>
    <row r="70" spans="2:14" x14ac:dyDescent="0.25">
      <c r="B70" s="121"/>
      <c r="C70" s="159">
        <v>48</v>
      </c>
      <c r="D70" s="170">
        <v>8</v>
      </c>
      <c r="E70" s="170" t="s">
        <v>75</v>
      </c>
      <c r="F70" s="170" t="s">
        <v>526</v>
      </c>
      <c r="G70" s="170" t="s">
        <v>483</v>
      </c>
      <c r="H70" s="205" t="s">
        <v>795</v>
      </c>
      <c r="I70" s="169">
        <v>506</v>
      </c>
      <c r="J70" s="159">
        <v>148.19999999999999</v>
      </c>
      <c r="K70" s="159">
        <v>148.1</v>
      </c>
      <c r="L70" s="164">
        <f t="shared" si="0"/>
        <v>296.29999999999995</v>
      </c>
      <c r="M70" s="165">
        <f t="shared" si="1"/>
        <v>0.58557312252964422</v>
      </c>
      <c r="N70" s="122"/>
    </row>
    <row r="71" spans="2:14" x14ac:dyDescent="0.25">
      <c r="B71" s="121"/>
      <c r="C71" s="159">
        <v>49</v>
      </c>
      <c r="D71" s="170">
        <v>17</v>
      </c>
      <c r="E71" s="170" t="s">
        <v>68</v>
      </c>
      <c r="F71" s="170" t="s">
        <v>526</v>
      </c>
      <c r="G71" s="170" t="s">
        <v>483</v>
      </c>
      <c r="H71" s="168" t="s">
        <v>796</v>
      </c>
      <c r="I71" s="169">
        <v>465</v>
      </c>
      <c r="J71" s="159">
        <v>129.80000000000001</v>
      </c>
      <c r="K71" s="163">
        <v>130.80000000000001</v>
      </c>
      <c r="L71" s="164">
        <f t="shared" si="0"/>
        <v>260.60000000000002</v>
      </c>
      <c r="M71" s="165">
        <f t="shared" si="1"/>
        <v>0.56043010752688172</v>
      </c>
      <c r="N71" s="122"/>
    </row>
    <row r="72" spans="2:14" x14ac:dyDescent="0.25">
      <c r="B72" s="121"/>
      <c r="C72" s="172">
        <v>50</v>
      </c>
      <c r="D72" s="173">
        <v>4</v>
      </c>
      <c r="E72" s="173" t="s">
        <v>67</v>
      </c>
      <c r="F72" s="173" t="s">
        <v>526</v>
      </c>
      <c r="G72" s="173" t="s">
        <v>42</v>
      </c>
      <c r="H72" s="174" t="s">
        <v>797</v>
      </c>
      <c r="I72" s="175">
        <v>524</v>
      </c>
      <c r="J72" s="172">
        <v>150.1</v>
      </c>
      <c r="K72" s="206">
        <v>148.30000000000001</v>
      </c>
      <c r="L72" s="176">
        <f t="shared" si="0"/>
        <v>298.39999999999998</v>
      </c>
      <c r="M72" s="177">
        <f t="shared" si="1"/>
        <v>0.56946564885496176</v>
      </c>
      <c r="N72" s="122"/>
    </row>
    <row r="73" spans="2:14" x14ac:dyDescent="0.25">
      <c r="B73" s="121"/>
      <c r="C73" s="231"/>
      <c r="D73" s="231">
        <f>+COUNT($D$22:$D$72)</f>
        <v>50</v>
      </c>
      <c r="E73" s="231"/>
      <c r="F73" s="373"/>
      <c r="G73" s="373"/>
      <c r="H73" s="149"/>
      <c r="I73" s="148">
        <f>SUM($I$22:$I$72)</f>
        <v>24991</v>
      </c>
      <c r="J73" s="150">
        <f>SUM($J$22:$J$72)</f>
        <v>7392.2000000000007</v>
      </c>
      <c r="K73" s="151">
        <f>SUM($K$22:$K$72)</f>
        <v>7371.4000000000005</v>
      </c>
      <c r="L73" s="148">
        <f>SUM($L$22:$L$72)</f>
        <v>14763.6</v>
      </c>
      <c r="M73" s="178">
        <f t="shared" si="1"/>
        <v>0.59075667240206475</v>
      </c>
      <c r="N73" s="122"/>
    </row>
    <row r="74" spans="2:14" ht="16.5" thickBot="1" x14ac:dyDescent="0.3">
      <c r="B74" s="129"/>
      <c r="C74" s="130"/>
      <c r="D74" s="130"/>
      <c r="E74" s="130"/>
      <c r="F74" s="130"/>
      <c r="G74" s="130"/>
      <c r="H74" s="131"/>
      <c r="I74" s="130"/>
      <c r="J74" s="131"/>
      <c r="K74" s="130"/>
      <c r="L74" s="130"/>
      <c r="M74" s="130"/>
      <c r="N74" s="132"/>
    </row>
    <row r="75" spans="2:14" ht="17.25" thickTop="1" thickBot="1" x14ac:dyDescent="0.3">
      <c r="B75" s="133"/>
      <c r="C75" s="133"/>
      <c r="D75" s="133"/>
      <c r="E75" s="133"/>
      <c r="F75" s="133"/>
      <c r="G75" s="133"/>
      <c r="H75" s="134"/>
      <c r="I75" s="133"/>
      <c r="J75" s="134"/>
      <c r="K75" s="133"/>
      <c r="L75" s="133"/>
      <c r="M75" s="133"/>
      <c r="N75" s="133"/>
    </row>
    <row r="76" spans="2:14" ht="16.5" thickTop="1" x14ac:dyDescent="0.25">
      <c r="B76" s="135"/>
      <c r="C76" s="133"/>
      <c r="D76" s="133"/>
      <c r="E76" s="133"/>
      <c r="F76" s="133"/>
      <c r="G76" s="133"/>
      <c r="H76" s="134"/>
      <c r="I76" s="133"/>
      <c r="J76" s="134"/>
      <c r="K76" s="133"/>
      <c r="L76" s="133"/>
      <c r="M76" s="133"/>
      <c r="N76" s="136"/>
    </row>
    <row r="77" spans="2:14" ht="32.25" customHeight="1" x14ac:dyDescent="0.25">
      <c r="B77" s="121"/>
      <c r="D77" s="374" t="s">
        <v>12</v>
      </c>
      <c r="E77" s="375"/>
      <c r="F77" s="375"/>
      <c r="G77" s="375"/>
      <c r="H77" s="180" t="s">
        <v>491</v>
      </c>
      <c r="I77" s="183" t="s">
        <v>489</v>
      </c>
      <c r="J77" s="200" t="s">
        <v>54</v>
      </c>
      <c r="K77" s="201" t="s">
        <v>492</v>
      </c>
      <c r="N77" s="122"/>
    </row>
    <row r="78" spans="2:14" x14ac:dyDescent="0.25">
      <c r="B78" s="121"/>
      <c r="D78" s="367" t="s">
        <v>59</v>
      </c>
      <c r="E78" s="368"/>
      <c r="F78" s="368"/>
      <c r="G78" s="368"/>
      <c r="H78" s="181">
        <v>121.66</v>
      </c>
      <c r="I78" s="119">
        <v>117.63999999999999</v>
      </c>
      <c r="J78" s="181"/>
      <c r="K78" s="185"/>
      <c r="N78" s="122"/>
    </row>
    <row r="79" spans="2:14" x14ac:dyDescent="0.25">
      <c r="B79" s="121"/>
      <c r="D79" s="367" t="s">
        <v>15</v>
      </c>
      <c r="E79" s="368"/>
      <c r="F79" s="368"/>
      <c r="G79" s="368"/>
      <c r="H79" s="181">
        <v>45</v>
      </c>
      <c r="I79" s="119">
        <v>89.94</v>
      </c>
      <c r="J79" s="181"/>
      <c r="K79" s="185"/>
      <c r="N79" s="122"/>
    </row>
    <row r="80" spans="2:14" x14ac:dyDescent="0.25">
      <c r="B80" s="121"/>
      <c r="D80" s="367" t="s">
        <v>13</v>
      </c>
      <c r="E80" s="368"/>
      <c r="F80" s="368"/>
      <c r="G80" s="368"/>
      <c r="H80" s="181">
        <v>43</v>
      </c>
      <c r="I80" s="119">
        <v>241.28</v>
      </c>
      <c r="J80" s="181">
        <v>2</v>
      </c>
      <c r="K80" s="185">
        <v>12.96</v>
      </c>
      <c r="N80" s="122"/>
    </row>
    <row r="81" spans="2:14" x14ac:dyDescent="0.25">
      <c r="B81" s="121"/>
      <c r="D81" s="367" t="s">
        <v>16</v>
      </c>
      <c r="E81" s="368"/>
      <c r="F81" s="368"/>
      <c r="G81" s="368"/>
      <c r="H81" s="181">
        <v>45</v>
      </c>
      <c r="I81" s="119">
        <v>57.86</v>
      </c>
      <c r="J81" s="181"/>
      <c r="K81" s="185"/>
      <c r="N81" s="122"/>
    </row>
    <row r="82" spans="2:14" x14ac:dyDescent="0.25">
      <c r="B82" s="121"/>
      <c r="D82" s="367" t="s">
        <v>60</v>
      </c>
      <c r="E82" s="368"/>
      <c r="F82" s="368"/>
      <c r="G82" s="368"/>
      <c r="H82" s="181">
        <v>35.519999999999996</v>
      </c>
      <c r="I82" s="119">
        <v>35.78</v>
      </c>
      <c r="J82" s="181"/>
      <c r="K82" s="185"/>
      <c r="N82" s="122"/>
    </row>
    <row r="83" spans="2:14" x14ac:dyDescent="0.25">
      <c r="B83" s="121"/>
      <c r="D83" s="367" t="s">
        <v>14</v>
      </c>
      <c r="E83" s="368"/>
      <c r="F83" s="368"/>
      <c r="G83" s="368"/>
      <c r="H83" s="181">
        <v>100</v>
      </c>
      <c r="I83" s="119">
        <v>49.72</v>
      </c>
      <c r="J83" s="181"/>
      <c r="K83" s="185"/>
      <c r="N83" s="122"/>
    </row>
    <row r="84" spans="2:14" x14ac:dyDescent="0.25">
      <c r="B84" s="121"/>
      <c r="D84" s="367" t="s">
        <v>20</v>
      </c>
      <c r="E84" s="368"/>
      <c r="F84" s="368"/>
      <c r="G84" s="368"/>
      <c r="H84" s="181">
        <v>200</v>
      </c>
      <c r="I84" s="119">
        <v>37.86</v>
      </c>
      <c r="J84" s="181"/>
      <c r="K84" s="185"/>
      <c r="N84" s="122"/>
    </row>
    <row r="85" spans="2:14" x14ac:dyDescent="0.25">
      <c r="B85" s="121"/>
      <c r="D85" s="367" t="s">
        <v>17</v>
      </c>
      <c r="E85" s="368"/>
      <c r="F85" s="368"/>
      <c r="G85" s="368"/>
      <c r="H85" s="181">
        <v>45</v>
      </c>
      <c r="I85" s="119">
        <v>53.06</v>
      </c>
      <c r="J85" s="181"/>
      <c r="K85" s="185"/>
      <c r="N85" s="122"/>
    </row>
    <row r="86" spans="2:14" x14ac:dyDescent="0.25">
      <c r="B86" s="121"/>
      <c r="D86" s="367" t="s">
        <v>61</v>
      </c>
      <c r="E86" s="368"/>
      <c r="F86" s="368"/>
      <c r="G86" s="368"/>
      <c r="H86" s="181">
        <v>45</v>
      </c>
      <c r="I86" s="119">
        <v>47.46</v>
      </c>
      <c r="J86" s="181"/>
      <c r="K86" s="185"/>
      <c r="N86" s="122"/>
    </row>
    <row r="87" spans="2:14" x14ac:dyDescent="0.25">
      <c r="B87" s="121"/>
      <c r="D87" s="367" t="s">
        <v>48</v>
      </c>
      <c r="E87" s="368"/>
      <c r="F87" s="368"/>
      <c r="G87" s="368"/>
      <c r="H87" s="181">
        <v>78.64</v>
      </c>
      <c r="I87" s="119">
        <v>75.78</v>
      </c>
      <c r="J87" s="181"/>
      <c r="K87" s="185"/>
      <c r="N87" s="122"/>
    </row>
    <row r="88" spans="2:14" x14ac:dyDescent="0.25">
      <c r="B88" s="121"/>
      <c r="D88" s="367" t="s">
        <v>19</v>
      </c>
      <c r="E88" s="368"/>
      <c r="F88" s="368"/>
      <c r="G88" s="368"/>
      <c r="H88" s="181">
        <v>45</v>
      </c>
      <c r="I88" s="119">
        <v>64.52000000000001</v>
      </c>
      <c r="J88" s="181"/>
      <c r="K88" s="185"/>
      <c r="N88" s="122"/>
    </row>
    <row r="89" spans="2:14" x14ac:dyDescent="0.25">
      <c r="B89" s="121"/>
      <c r="D89" s="367" t="s">
        <v>18</v>
      </c>
      <c r="E89" s="368"/>
      <c r="F89" s="368"/>
      <c r="G89" s="368"/>
      <c r="H89" s="181">
        <v>50</v>
      </c>
      <c r="I89" s="119">
        <v>14.9</v>
      </c>
      <c r="J89" s="181"/>
      <c r="K89" s="185"/>
      <c r="N89" s="122"/>
    </row>
    <row r="90" spans="2:14" x14ac:dyDescent="0.25">
      <c r="B90" s="121"/>
      <c r="D90" s="367" t="s">
        <v>49</v>
      </c>
      <c r="E90" s="368"/>
      <c r="F90" s="368"/>
      <c r="G90" s="368"/>
      <c r="H90" s="181">
        <v>26.74</v>
      </c>
      <c r="I90" s="119">
        <v>25.58</v>
      </c>
      <c r="J90" s="181"/>
      <c r="K90" s="185"/>
      <c r="N90" s="122"/>
    </row>
    <row r="91" spans="2:14" x14ac:dyDescent="0.25">
      <c r="B91" s="121"/>
      <c r="D91" s="370" t="s">
        <v>21</v>
      </c>
      <c r="E91" s="371"/>
      <c r="F91" s="371"/>
      <c r="G91" s="372"/>
      <c r="H91" s="182"/>
      <c r="I91" s="184">
        <f>SUM(I78:I90)</f>
        <v>911.38000000000011</v>
      </c>
      <c r="J91" s="187">
        <f>SUM(J78:J90)</f>
        <v>2</v>
      </c>
      <c r="K91" s="186">
        <f>SUM(K78:K90)</f>
        <v>12.96</v>
      </c>
      <c r="N91" s="122"/>
    </row>
    <row r="92" spans="2:14" ht="16.5" thickBot="1" x14ac:dyDescent="0.3">
      <c r="B92" s="129"/>
      <c r="C92" s="130"/>
      <c r="D92" s="130"/>
      <c r="E92" s="130"/>
      <c r="F92" s="130"/>
      <c r="G92" s="130"/>
      <c r="H92" s="131"/>
      <c r="I92" s="130"/>
      <c r="J92" s="131"/>
      <c r="K92" s="130"/>
      <c r="L92" s="130"/>
      <c r="M92" s="130"/>
      <c r="N92" s="132"/>
    </row>
    <row r="93" spans="2:14" ht="16.5" thickTop="1" x14ac:dyDescent="0.25">
      <c r="B93" s="121"/>
      <c r="G93" s="137"/>
      <c r="H93" s="138"/>
      <c r="I93" s="137"/>
      <c r="J93" s="138"/>
      <c r="N93" s="122"/>
    </row>
    <row r="94" spans="2:14" ht="15.75" customHeight="1" x14ac:dyDescent="0.25">
      <c r="B94" s="121"/>
      <c r="F94" s="365" t="s">
        <v>22</v>
      </c>
      <c r="G94" s="365"/>
      <c r="H94" s="188" t="s">
        <v>33</v>
      </c>
      <c r="I94" s="180" t="s">
        <v>31</v>
      </c>
      <c r="N94" s="122"/>
    </row>
    <row r="95" spans="2:14" x14ac:dyDescent="0.25">
      <c r="B95" s="121"/>
      <c r="F95" s="366" t="s">
        <v>23</v>
      </c>
      <c r="G95" s="366"/>
      <c r="H95" s="190"/>
      <c r="I95" s="191"/>
      <c r="N95" s="122"/>
    </row>
    <row r="96" spans="2:14" x14ac:dyDescent="0.25">
      <c r="B96" s="121"/>
      <c r="F96" s="378" t="s">
        <v>24</v>
      </c>
      <c r="G96" s="378"/>
      <c r="H96" s="192">
        <f>+D73</f>
        <v>50</v>
      </c>
      <c r="I96" s="193"/>
      <c r="N96" s="122"/>
    </row>
    <row r="97" spans="2:14" x14ac:dyDescent="0.25">
      <c r="B97" s="121"/>
      <c r="F97" s="378" t="s">
        <v>34</v>
      </c>
      <c r="G97" s="378"/>
      <c r="H97" s="194"/>
      <c r="I97" s="193"/>
      <c r="N97" s="122"/>
    </row>
    <row r="98" spans="2:14" x14ac:dyDescent="0.25">
      <c r="B98" s="121"/>
      <c r="F98" s="378" t="s">
        <v>35</v>
      </c>
      <c r="G98" s="378"/>
      <c r="H98" s="194"/>
      <c r="I98" s="193"/>
      <c r="N98" s="122"/>
    </row>
    <row r="99" spans="2:14" x14ac:dyDescent="0.25">
      <c r="B99" s="121"/>
      <c r="F99" s="379" t="s">
        <v>29</v>
      </c>
      <c r="G99" s="379"/>
      <c r="H99" s="195"/>
      <c r="I99" s="196"/>
      <c r="N99" s="122"/>
    </row>
    <row r="100" spans="2:14" x14ac:dyDescent="0.25">
      <c r="B100" s="121"/>
      <c r="F100" s="380" t="s">
        <v>21</v>
      </c>
      <c r="G100" s="380"/>
      <c r="H100" s="189"/>
      <c r="I100" s="182">
        <f>SUM(I95:I99)</f>
        <v>0</v>
      </c>
      <c r="N100" s="122"/>
    </row>
    <row r="101" spans="2:14" ht="16.5" thickBot="1" x14ac:dyDescent="0.3">
      <c r="B101" s="129"/>
      <c r="C101" s="130"/>
      <c r="D101" s="130"/>
      <c r="E101" s="130"/>
      <c r="F101" s="130"/>
      <c r="G101" s="130"/>
      <c r="H101" s="131"/>
      <c r="I101" s="130"/>
      <c r="J101" s="131"/>
      <c r="K101" s="130"/>
      <c r="L101" s="130"/>
      <c r="M101" s="130"/>
      <c r="N101" s="132"/>
    </row>
    <row r="102" spans="2:14" ht="16.5" thickTop="1" x14ac:dyDescent="0.25">
      <c r="I102" s="139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7:G77"/>
    <mergeCell ref="C21:C22"/>
    <mergeCell ref="D21:D22"/>
    <mergeCell ref="E21:E22"/>
    <mergeCell ref="F21:G21"/>
    <mergeCell ref="J21:J22"/>
    <mergeCell ref="K21:K22"/>
    <mergeCell ref="L21:L22"/>
    <mergeCell ref="M21:M22"/>
    <mergeCell ref="F73:G73"/>
    <mergeCell ref="H21:H22"/>
    <mergeCell ref="I21:I22"/>
    <mergeCell ref="D89:G89"/>
    <mergeCell ref="D78:G78"/>
    <mergeCell ref="D79:G79"/>
    <mergeCell ref="D80:G80"/>
    <mergeCell ref="D81:G81"/>
    <mergeCell ref="D82:G82"/>
    <mergeCell ref="D83:G83"/>
    <mergeCell ref="D84:G84"/>
    <mergeCell ref="D85:G85"/>
    <mergeCell ref="D86:G86"/>
    <mergeCell ref="D87:G87"/>
    <mergeCell ref="D88:G88"/>
    <mergeCell ref="F98:G98"/>
    <mergeCell ref="F99:G99"/>
    <mergeCell ref="F100:G100"/>
    <mergeCell ref="D90:G90"/>
    <mergeCell ref="D91:G91"/>
    <mergeCell ref="F94:G94"/>
    <mergeCell ref="F95:G95"/>
    <mergeCell ref="F96:G96"/>
    <mergeCell ref="F97:G97"/>
  </mergeCells>
  <conditionalFormatting sqref="M23:M72">
    <cfRule type="cellIs" dxfId="75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rowBreaks count="1" manualBreakCount="1">
    <brk id="75" min="1" max="13" man="1"/>
  </rowBreaks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G64" zoomScale="90" zoomScaleNormal="90" workbookViewId="0">
      <selection activeCell="I71" sqref="I71:I83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0.59564752051373526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208.7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817</v>
      </c>
      <c r="F8" s="344"/>
      <c r="G8" s="344"/>
      <c r="H8" s="345"/>
      <c r="I8" s="146" t="s">
        <v>487</v>
      </c>
      <c r="J8" s="346" t="s">
        <v>818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41927</v>
      </c>
      <c r="F9" s="344"/>
      <c r="G9" s="344"/>
      <c r="H9" s="345"/>
      <c r="I9" s="146" t="s">
        <v>88</v>
      </c>
      <c r="J9" s="209" t="s">
        <v>819</v>
      </c>
      <c r="K9" s="236" t="s">
        <v>490</v>
      </c>
      <c r="L9" s="369" t="s">
        <v>820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37" t="s">
        <v>569</v>
      </c>
      <c r="E12" s="384">
        <v>46044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32</v>
      </c>
      <c r="F13" s="349"/>
      <c r="H13" s="117"/>
      <c r="I13" s="123"/>
      <c r="J13" s="215" t="s">
        <v>483</v>
      </c>
      <c r="K13" s="238">
        <f>+COUNTIF($G$22:$G$66,"VQ")*2</f>
        <v>0</v>
      </c>
      <c r="L13" s="238">
        <f>+SUMIF($G$23:$G$65,"VQ",$L$23:$L$65)</f>
        <v>0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8</v>
      </c>
      <c r="F14" s="350"/>
      <c r="H14" s="117"/>
      <c r="I14" s="123"/>
      <c r="J14" s="215" t="s">
        <v>42</v>
      </c>
      <c r="K14" s="238">
        <f>+COUNTIF($G$22:$G$66,"NT")*2</f>
        <v>0</v>
      </c>
      <c r="L14" s="238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2803</v>
      </c>
      <c r="F15" s="350"/>
      <c r="H15" s="117"/>
      <c r="I15" s="123"/>
      <c r="J15" s="215" t="s">
        <v>484</v>
      </c>
      <c r="K15" s="238">
        <f>+COUNTIF($G$22:$G$66,"NO")*2</f>
        <v>0</v>
      </c>
      <c r="L15" s="238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1669.6</v>
      </c>
      <c r="F16" s="350"/>
      <c r="H16" s="117"/>
      <c r="I16" s="123"/>
      <c r="J16" s="215" t="s">
        <v>485</v>
      </c>
      <c r="K16" s="238">
        <f>+COUNTIF($G$22:$G$66,"TO")*2</f>
        <v>0</v>
      </c>
      <c r="L16" s="238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0.59564752051373526</v>
      </c>
      <c r="F17" s="350"/>
      <c r="G17" s="124"/>
      <c r="H17" s="125"/>
      <c r="I17" s="123"/>
      <c r="J17" s="215" t="s">
        <v>486</v>
      </c>
      <c r="K17" s="238">
        <f>+COUNTIF($G$22:$G$66,"VA")*2</f>
        <v>0</v>
      </c>
      <c r="L17" s="238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208.7</v>
      </c>
      <c r="F18" s="353"/>
      <c r="G18" s="124"/>
      <c r="H18" s="125"/>
      <c r="I18" s="123"/>
      <c r="J18" s="215" t="s">
        <v>44</v>
      </c>
      <c r="K18" s="238">
        <f>+COUNTIF($G$22:$G$66,"MEJ")*2</f>
        <v>16</v>
      </c>
      <c r="L18" s="238">
        <f>+SUMIF($G$23:$G$65,"MEJ",$L$23:$L$65)</f>
        <v>1669.6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</v>
      </c>
      <c r="D23" s="152">
        <v>6</v>
      </c>
      <c r="E23" s="152" t="s">
        <v>67</v>
      </c>
      <c r="F23" s="152" t="s">
        <v>526</v>
      </c>
      <c r="G23" s="153" t="s">
        <v>44</v>
      </c>
      <c r="H23" s="154" t="s">
        <v>391</v>
      </c>
      <c r="I23" s="155">
        <v>434</v>
      </c>
      <c r="J23" s="152">
        <v>137.5</v>
      </c>
      <c r="K23" s="156">
        <v>135.4</v>
      </c>
      <c r="L23" s="157">
        <f t="shared" ref="L23:L65" si="0">+J23+K23</f>
        <v>272.89999999999998</v>
      </c>
      <c r="M23" s="158">
        <f t="shared" ref="M23:M66" si="1">+L23/I23</f>
        <v>0.62880184331797229</v>
      </c>
      <c r="N23" s="122"/>
    </row>
    <row r="24" spans="2:14" x14ac:dyDescent="0.25">
      <c r="B24" s="121"/>
      <c r="C24" s="159">
        <v>2</v>
      </c>
      <c r="D24" s="159">
        <v>1</v>
      </c>
      <c r="E24" s="159" t="s">
        <v>67</v>
      </c>
      <c r="F24" s="159" t="s">
        <v>526</v>
      </c>
      <c r="G24" s="160" t="s">
        <v>44</v>
      </c>
      <c r="H24" s="161" t="s">
        <v>41</v>
      </c>
      <c r="I24" s="162">
        <v>290</v>
      </c>
      <c r="J24" s="159">
        <v>90.4</v>
      </c>
      <c r="K24" s="163">
        <v>90.3</v>
      </c>
      <c r="L24" s="164">
        <f t="shared" si="0"/>
        <v>180.7</v>
      </c>
      <c r="M24" s="165">
        <f t="shared" si="1"/>
        <v>0.62310344827586206</v>
      </c>
      <c r="N24" s="122"/>
    </row>
    <row r="25" spans="2:14" x14ac:dyDescent="0.25">
      <c r="B25" s="121"/>
      <c r="C25" s="159">
        <v>3</v>
      </c>
      <c r="D25" s="159">
        <v>4</v>
      </c>
      <c r="E25" s="159" t="s">
        <v>67</v>
      </c>
      <c r="F25" s="159" t="s">
        <v>526</v>
      </c>
      <c r="G25" s="160" t="s">
        <v>44</v>
      </c>
      <c r="H25" s="161" t="s">
        <v>816</v>
      </c>
      <c r="I25" s="162">
        <v>456</v>
      </c>
      <c r="J25" s="159">
        <v>137.69999999999999</v>
      </c>
      <c r="K25" s="163">
        <v>137.30000000000001</v>
      </c>
      <c r="L25" s="164">
        <f t="shared" si="0"/>
        <v>275</v>
      </c>
      <c r="M25" s="165">
        <f t="shared" si="1"/>
        <v>0.60307017543859653</v>
      </c>
      <c r="N25" s="122"/>
    </row>
    <row r="26" spans="2:14" x14ac:dyDescent="0.25">
      <c r="B26" s="121"/>
      <c r="C26" s="159">
        <v>4</v>
      </c>
      <c r="D26" s="159">
        <v>3</v>
      </c>
      <c r="E26" s="159" t="s">
        <v>67</v>
      </c>
      <c r="F26" s="159" t="s">
        <v>526</v>
      </c>
      <c r="G26" s="160" t="s">
        <v>44</v>
      </c>
      <c r="H26" s="161" t="s">
        <v>377</v>
      </c>
      <c r="I26" s="162">
        <v>331</v>
      </c>
      <c r="J26" s="159">
        <v>99.4</v>
      </c>
      <c r="K26" s="163">
        <v>99.6</v>
      </c>
      <c r="L26" s="164">
        <f t="shared" si="0"/>
        <v>199</v>
      </c>
      <c r="M26" s="165">
        <f t="shared" si="1"/>
        <v>0.6012084592145015</v>
      </c>
      <c r="N26" s="122"/>
    </row>
    <row r="27" spans="2:14" x14ac:dyDescent="0.25">
      <c r="B27" s="121"/>
      <c r="C27" s="159">
        <v>5</v>
      </c>
      <c r="D27" s="159">
        <v>2</v>
      </c>
      <c r="E27" s="159" t="s">
        <v>68</v>
      </c>
      <c r="F27" s="159" t="s">
        <v>526</v>
      </c>
      <c r="G27" s="160" t="s">
        <v>44</v>
      </c>
      <c r="H27" s="161" t="s">
        <v>41</v>
      </c>
      <c r="I27" s="162">
        <v>276</v>
      </c>
      <c r="J27" s="159">
        <v>81.7</v>
      </c>
      <c r="K27" s="163">
        <v>82.4</v>
      </c>
      <c r="L27" s="164">
        <f t="shared" si="0"/>
        <v>164.10000000000002</v>
      </c>
      <c r="M27" s="165">
        <f t="shared" si="1"/>
        <v>0.59456521739130441</v>
      </c>
      <c r="N27" s="122"/>
    </row>
    <row r="28" spans="2:14" x14ac:dyDescent="0.25">
      <c r="B28" s="121"/>
      <c r="C28" s="159">
        <v>6</v>
      </c>
      <c r="D28" s="159">
        <v>5</v>
      </c>
      <c r="E28" s="159" t="s">
        <v>67</v>
      </c>
      <c r="F28" s="159" t="s">
        <v>526</v>
      </c>
      <c r="G28" s="160" t="s">
        <v>44</v>
      </c>
      <c r="H28" s="161" t="s">
        <v>373</v>
      </c>
      <c r="I28" s="162">
        <v>434</v>
      </c>
      <c r="J28" s="159">
        <v>128.30000000000001</v>
      </c>
      <c r="K28" s="163">
        <v>124.6</v>
      </c>
      <c r="L28" s="164">
        <f t="shared" si="0"/>
        <v>252.9</v>
      </c>
      <c r="M28" s="165">
        <f t="shared" si="1"/>
        <v>0.58271889400921661</v>
      </c>
      <c r="N28" s="122"/>
    </row>
    <row r="29" spans="2:14" x14ac:dyDescent="0.25">
      <c r="B29" s="121"/>
      <c r="C29" s="160">
        <v>7</v>
      </c>
      <c r="D29" s="160">
        <v>8</v>
      </c>
      <c r="E29" s="160" t="s">
        <v>75</v>
      </c>
      <c r="F29" s="160" t="s">
        <v>526</v>
      </c>
      <c r="G29" s="160" t="s">
        <v>44</v>
      </c>
      <c r="H29" s="161" t="s">
        <v>41</v>
      </c>
      <c r="I29" s="162">
        <v>268</v>
      </c>
      <c r="J29" s="159">
        <v>77.900000000000006</v>
      </c>
      <c r="K29" s="163">
        <v>77.099999999999994</v>
      </c>
      <c r="L29" s="164">
        <f t="shared" si="0"/>
        <v>155</v>
      </c>
      <c r="M29" s="165">
        <f t="shared" si="1"/>
        <v>0.57835820895522383</v>
      </c>
      <c r="N29" s="122"/>
    </row>
    <row r="30" spans="2:14" x14ac:dyDescent="0.25">
      <c r="B30" s="121"/>
      <c r="C30" s="160">
        <v>8</v>
      </c>
      <c r="D30" s="160">
        <v>7</v>
      </c>
      <c r="E30" s="160" t="s">
        <v>75</v>
      </c>
      <c r="F30" s="160" t="s">
        <v>526</v>
      </c>
      <c r="G30" s="160" t="s">
        <v>44</v>
      </c>
      <c r="H30" s="161" t="s">
        <v>41</v>
      </c>
      <c r="I30" s="162">
        <v>314</v>
      </c>
      <c r="J30" s="159">
        <v>84.9</v>
      </c>
      <c r="K30" s="163">
        <v>85.1</v>
      </c>
      <c r="L30" s="164">
        <f t="shared" si="0"/>
        <v>170</v>
      </c>
      <c r="M30" s="165">
        <f t="shared" si="1"/>
        <v>0.54140127388535031</v>
      </c>
      <c r="N30" s="122"/>
    </row>
    <row r="31" spans="2:14" x14ac:dyDescent="0.25">
      <c r="B31" s="121"/>
      <c r="C31" s="159"/>
      <c r="D31" s="159"/>
      <c r="E31" s="159"/>
      <c r="F31" s="159"/>
      <c r="G31" s="160"/>
      <c r="H31" s="161"/>
      <c r="I31" s="162"/>
      <c r="J31" s="159"/>
      <c r="K31" s="163"/>
      <c r="L31" s="164">
        <f t="shared" si="0"/>
        <v>0</v>
      </c>
      <c r="M31" s="165" t="e">
        <f t="shared" si="1"/>
        <v>#DIV/0!</v>
      </c>
      <c r="N31" s="122"/>
    </row>
    <row r="32" spans="2:14" x14ac:dyDescent="0.25">
      <c r="B32" s="121"/>
      <c r="C32" s="159"/>
      <c r="D32" s="159"/>
      <c r="E32" s="159"/>
      <c r="F32" s="159"/>
      <c r="G32" s="160"/>
      <c r="H32" s="161"/>
      <c r="I32" s="162"/>
      <c r="J32" s="159"/>
      <c r="K32" s="163"/>
      <c r="L32" s="164">
        <f t="shared" si="0"/>
        <v>0</v>
      </c>
      <c r="M32" s="165" t="e">
        <f t="shared" si="1"/>
        <v>#DIV/0!</v>
      </c>
      <c r="N32" s="122"/>
    </row>
    <row r="33" spans="2:14" x14ac:dyDescent="0.25">
      <c r="B33" s="121"/>
      <c r="C33" s="160"/>
      <c r="D33" s="160"/>
      <c r="E33" s="160"/>
      <c r="F33" s="160"/>
      <c r="G33" s="160"/>
      <c r="H33" s="161"/>
      <c r="I33" s="162"/>
      <c r="J33" s="159"/>
      <c r="K33" s="163"/>
      <c r="L33" s="164">
        <f t="shared" si="0"/>
        <v>0</v>
      </c>
      <c r="M33" s="165" t="e">
        <f t="shared" si="1"/>
        <v>#DIV/0!</v>
      </c>
      <c r="N33" s="122"/>
    </row>
    <row r="34" spans="2:14" x14ac:dyDescent="0.25">
      <c r="B34" s="121"/>
      <c r="C34" s="159"/>
      <c r="D34" s="159"/>
      <c r="E34" s="159"/>
      <c r="F34" s="159"/>
      <c r="G34" s="160"/>
      <c r="H34" s="161"/>
      <c r="I34" s="162"/>
      <c r="J34" s="159"/>
      <c r="K34" s="166"/>
      <c r="L34" s="164">
        <f t="shared" si="0"/>
        <v>0</v>
      </c>
      <c r="M34" s="167" t="e">
        <f t="shared" si="1"/>
        <v>#DIV/0!</v>
      </c>
      <c r="N34" s="122"/>
    </row>
    <row r="35" spans="2:14" x14ac:dyDescent="0.25">
      <c r="B35" s="121"/>
      <c r="C35" s="159"/>
      <c r="D35" s="159"/>
      <c r="E35" s="159"/>
      <c r="F35" s="159"/>
      <c r="G35" s="160"/>
      <c r="H35" s="161"/>
      <c r="I35" s="162"/>
      <c r="J35" s="159"/>
      <c r="K35" s="163"/>
      <c r="L35" s="164">
        <f t="shared" si="0"/>
        <v>0</v>
      </c>
      <c r="M35" s="165" t="e">
        <f t="shared" si="1"/>
        <v>#DIV/0!</v>
      </c>
      <c r="N35" s="122"/>
    </row>
    <row r="36" spans="2:14" x14ac:dyDescent="0.25">
      <c r="B36" s="121"/>
      <c r="C36" s="159"/>
      <c r="D36" s="159"/>
      <c r="E36" s="159"/>
      <c r="F36" s="159"/>
      <c r="G36" s="160"/>
      <c r="H36" s="161"/>
      <c r="I36" s="162"/>
      <c r="J36" s="159"/>
      <c r="K36" s="163"/>
      <c r="L36" s="164">
        <f t="shared" si="0"/>
        <v>0</v>
      </c>
      <c r="M36" s="165" t="e">
        <f t="shared" si="1"/>
        <v>#DIV/0!</v>
      </c>
      <c r="N36" s="122"/>
    </row>
    <row r="37" spans="2:14" x14ac:dyDescent="0.25">
      <c r="B37" s="121"/>
      <c r="C37" s="159"/>
      <c r="D37" s="159"/>
      <c r="E37" s="159"/>
      <c r="F37" s="159"/>
      <c r="G37" s="160"/>
      <c r="H37" s="161"/>
      <c r="I37" s="162"/>
      <c r="J37" s="159"/>
      <c r="K37" s="163"/>
      <c r="L37" s="164">
        <f t="shared" si="0"/>
        <v>0</v>
      </c>
      <c r="M37" s="165" t="e">
        <f t="shared" si="1"/>
        <v>#DIV/0!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39"/>
      <c r="D66" s="239">
        <f>+COUNT($D$22:$D$65)</f>
        <v>8</v>
      </c>
      <c r="E66" s="239"/>
      <c r="F66" s="373"/>
      <c r="G66" s="373"/>
      <c r="H66" s="149"/>
      <c r="I66" s="148">
        <f>SUM($I$22:$I$65)</f>
        <v>2803</v>
      </c>
      <c r="J66" s="150">
        <f>SUM($J$22:$J$65)</f>
        <v>837.8</v>
      </c>
      <c r="K66" s="151">
        <f>SUM($K$22:$K$65)</f>
        <v>831.80000000000007</v>
      </c>
      <c r="L66" s="148">
        <f>SUM($L$22:$L$65)</f>
        <v>1669.6</v>
      </c>
      <c r="M66" s="178">
        <f t="shared" si="1"/>
        <v>0.59564752051373526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15.26</v>
      </c>
      <c r="I71" s="119">
        <v>14.94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8</v>
      </c>
      <c r="I72" s="119">
        <v>11.5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8</v>
      </c>
      <c r="I73" s="119">
        <v>35.28</v>
      </c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8</v>
      </c>
      <c r="I74" s="119">
        <v>8.36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4.76</v>
      </c>
      <c r="I75" s="119">
        <v>4.58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16</v>
      </c>
      <c r="I76" s="119">
        <v>6.62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32</v>
      </c>
      <c r="I77" s="119">
        <v>4.5999999999999996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8</v>
      </c>
      <c r="I78" s="119">
        <v>4.4000000000000004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8</v>
      </c>
      <c r="I79" s="119">
        <v>5.16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9.92</v>
      </c>
      <c r="I80" s="119">
        <v>4.5999999999999996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8</v>
      </c>
      <c r="I81" s="119">
        <v>8.3000000000000007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8</v>
      </c>
      <c r="I82" s="119">
        <v>2.68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4.68</v>
      </c>
      <c r="I83" s="119">
        <v>4.5199999999999996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115.53999999999999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8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74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G67" zoomScale="90" zoomScaleNormal="90" workbookViewId="0">
      <selection activeCell="I73" sqref="I73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0.58714742253716823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211.285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566</v>
      </c>
      <c r="F8" s="344"/>
      <c r="G8" s="344"/>
      <c r="H8" s="345"/>
      <c r="I8" s="146" t="s">
        <v>487</v>
      </c>
      <c r="J8" s="346" t="s">
        <v>618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28012</v>
      </c>
      <c r="F9" s="344"/>
      <c r="G9" s="344"/>
      <c r="H9" s="345"/>
      <c r="I9" s="146" t="s">
        <v>88</v>
      </c>
      <c r="J9" s="209" t="s">
        <v>831</v>
      </c>
      <c r="K9" s="236" t="s">
        <v>490</v>
      </c>
      <c r="L9" s="369" t="s">
        <v>832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37" t="s">
        <v>569</v>
      </c>
      <c r="E12" s="384">
        <v>46044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33</v>
      </c>
      <c r="F13" s="349"/>
      <c r="H13" s="117"/>
      <c r="I13" s="123"/>
      <c r="J13" s="215" t="s">
        <v>483</v>
      </c>
      <c r="K13" s="238">
        <f>+COUNTIF($G$22:$G$66,"VQ")*2</f>
        <v>20</v>
      </c>
      <c r="L13" s="238">
        <f>+SUMIF($G$23:$G$65,"VQ",$L$23:$L$65)</f>
        <v>1695.8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20</v>
      </c>
      <c r="F14" s="350"/>
      <c r="H14" s="117"/>
      <c r="I14" s="123"/>
      <c r="J14" s="215" t="s">
        <v>42</v>
      </c>
      <c r="K14" s="238">
        <f>+COUNTIF($G$22:$G$66,"NT")*2</f>
        <v>0</v>
      </c>
      <c r="L14" s="238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7197</v>
      </c>
      <c r="F15" s="350"/>
      <c r="H15" s="117"/>
      <c r="I15" s="123"/>
      <c r="J15" s="215" t="s">
        <v>484</v>
      </c>
      <c r="K15" s="238">
        <f>+COUNTIF($G$22:$G$66,"NO")*2</f>
        <v>0</v>
      </c>
      <c r="L15" s="238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4225.7</v>
      </c>
      <c r="F16" s="350"/>
      <c r="H16" s="117"/>
      <c r="I16" s="123"/>
      <c r="J16" s="215" t="s">
        <v>485</v>
      </c>
      <c r="K16" s="238">
        <f>+COUNTIF($G$22:$G$66,"TO")*2</f>
        <v>0</v>
      </c>
      <c r="L16" s="238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0.58714742253716823</v>
      </c>
      <c r="F17" s="350"/>
      <c r="G17" s="124"/>
      <c r="H17" s="125"/>
      <c r="I17" s="123"/>
      <c r="J17" s="215" t="s">
        <v>486</v>
      </c>
      <c r="K17" s="238">
        <f>+COUNTIF($G$22:$G$66,"VA")*2</f>
        <v>0</v>
      </c>
      <c r="L17" s="238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211.285</v>
      </c>
      <c r="F18" s="353"/>
      <c r="G18" s="124"/>
      <c r="H18" s="125"/>
      <c r="I18" s="123"/>
      <c r="J18" s="215" t="s">
        <v>44</v>
      </c>
      <c r="K18" s="238">
        <f>+COUNTIF($G$22:$G$66,"MEJ")*2</f>
        <v>20</v>
      </c>
      <c r="L18" s="238">
        <f>+SUMIF($G$23:$G$65,"MEJ",$L$23:$L$65)</f>
        <v>2529.8999999999996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9</v>
      </c>
      <c r="D23" s="152">
        <v>15</v>
      </c>
      <c r="E23" s="152" t="s">
        <v>67</v>
      </c>
      <c r="F23" s="152" t="s">
        <v>526</v>
      </c>
      <c r="G23" s="153" t="s">
        <v>483</v>
      </c>
      <c r="H23" s="154" t="s">
        <v>553</v>
      </c>
      <c r="I23" s="155">
        <v>268</v>
      </c>
      <c r="J23" s="152">
        <v>75.2</v>
      </c>
      <c r="K23" s="156">
        <v>75.3</v>
      </c>
      <c r="L23" s="157">
        <f t="shared" ref="L23:L65" si="0">+J23+K23</f>
        <v>150.5</v>
      </c>
      <c r="M23" s="158">
        <f t="shared" ref="M23:M66" si="1">+L23/I23</f>
        <v>0.56156716417910446</v>
      </c>
      <c r="N23" s="122"/>
    </row>
    <row r="24" spans="2:14" x14ac:dyDescent="0.25">
      <c r="B24" s="121"/>
      <c r="C24" s="159">
        <v>10</v>
      </c>
      <c r="D24" s="159">
        <v>16</v>
      </c>
      <c r="E24" s="159" t="s">
        <v>68</v>
      </c>
      <c r="F24" s="159" t="s">
        <v>526</v>
      </c>
      <c r="G24" s="160" t="s">
        <v>483</v>
      </c>
      <c r="H24" s="161" t="s">
        <v>41</v>
      </c>
      <c r="I24" s="162">
        <v>286</v>
      </c>
      <c r="J24" s="159">
        <v>82.6</v>
      </c>
      <c r="K24" s="163">
        <v>82.2</v>
      </c>
      <c r="L24" s="164">
        <f t="shared" si="0"/>
        <v>164.8</v>
      </c>
      <c r="M24" s="165">
        <f t="shared" si="1"/>
        <v>0.5762237762237763</v>
      </c>
      <c r="N24" s="122"/>
    </row>
    <row r="25" spans="2:14" x14ac:dyDescent="0.25">
      <c r="B25" s="121"/>
      <c r="C25" s="159">
        <v>11</v>
      </c>
      <c r="D25" s="159">
        <v>11</v>
      </c>
      <c r="E25" s="159" t="s">
        <v>75</v>
      </c>
      <c r="F25" s="159" t="s">
        <v>526</v>
      </c>
      <c r="G25" s="160" t="s">
        <v>44</v>
      </c>
      <c r="H25" s="161" t="s">
        <v>821</v>
      </c>
      <c r="I25" s="162">
        <v>422</v>
      </c>
      <c r="J25" s="159">
        <v>125.3</v>
      </c>
      <c r="K25" s="163">
        <v>123.7</v>
      </c>
      <c r="L25" s="164">
        <f t="shared" si="0"/>
        <v>249</v>
      </c>
      <c r="M25" s="165">
        <f t="shared" si="1"/>
        <v>0.59004739336492895</v>
      </c>
      <c r="N25" s="122"/>
    </row>
    <row r="26" spans="2:14" x14ac:dyDescent="0.25">
      <c r="B26" s="121"/>
      <c r="C26" s="159">
        <v>12</v>
      </c>
      <c r="D26" s="159">
        <v>9</v>
      </c>
      <c r="E26" s="159" t="s">
        <v>68</v>
      </c>
      <c r="F26" s="159" t="s">
        <v>526</v>
      </c>
      <c r="G26" s="160" t="s">
        <v>44</v>
      </c>
      <c r="H26" s="161" t="s">
        <v>41</v>
      </c>
      <c r="I26" s="162">
        <v>440</v>
      </c>
      <c r="J26" s="159">
        <v>123.9</v>
      </c>
      <c r="K26" s="163">
        <v>123</v>
      </c>
      <c r="L26" s="164">
        <f t="shared" si="0"/>
        <v>246.9</v>
      </c>
      <c r="M26" s="165">
        <f t="shared" si="1"/>
        <v>0.56113636363636366</v>
      </c>
      <c r="N26" s="122"/>
    </row>
    <row r="27" spans="2:14" x14ac:dyDescent="0.25">
      <c r="B27" s="121"/>
      <c r="C27" s="159">
        <v>13</v>
      </c>
      <c r="D27" s="159">
        <v>17</v>
      </c>
      <c r="E27" s="159" t="s">
        <v>68</v>
      </c>
      <c r="F27" s="159" t="s">
        <v>526</v>
      </c>
      <c r="G27" s="160" t="s">
        <v>483</v>
      </c>
      <c r="H27" s="161" t="s">
        <v>41</v>
      </c>
      <c r="I27" s="162">
        <v>303</v>
      </c>
      <c r="J27" s="159">
        <v>87.4</v>
      </c>
      <c r="K27" s="163">
        <v>87.9</v>
      </c>
      <c r="L27" s="164">
        <f t="shared" si="0"/>
        <v>175.3</v>
      </c>
      <c r="M27" s="165">
        <f t="shared" si="1"/>
        <v>0.57854785478547854</v>
      </c>
      <c r="N27" s="122"/>
    </row>
    <row r="28" spans="2:14" x14ac:dyDescent="0.25">
      <c r="B28" s="121"/>
      <c r="C28" s="159">
        <v>14</v>
      </c>
      <c r="D28" s="159">
        <v>19</v>
      </c>
      <c r="E28" s="159" t="s">
        <v>67</v>
      </c>
      <c r="F28" s="159" t="s">
        <v>526</v>
      </c>
      <c r="G28" s="160" t="s">
        <v>44</v>
      </c>
      <c r="H28" s="161" t="s">
        <v>822</v>
      </c>
      <c r="I28" s="162">
        <v>438</v>
      </c>
      <c r="J28" s="159">
        <v>134.19999999999999</v>
      </c>
      <c r="K28" s="163">
        <v>133</v>
      </c>
      <c r="L28" s="164">
        <f t="shared" si="0"/>
        <v>267.2</v>
      </c>
      <c r="M28" s="165">
        <f t="shared" si="1"/>
        <v>0.61004566210045663</v>
      </c>
      <c r="N28" s="122"/>
    </row>
    <row r="29" spans="2:14" x14ac:dyDescent="0.25">
      <c r="B29" s="121"/>
      <c r="C29" s="160">
        <v>15</v>
      </c>
      <c r="D29" s="160">
        <v>14</v>
      </c>
      <c r="E29" s="160" t="s">
        <v>67</v>
      </c>
      <c r="F29" s="159" t="s">
        <v>526</v>
      </c>
      <c r="G29" s="160" t="s">
        <v>44</v>
      </c>
      <c r="H29" s="161" t="s">
        <v>823</v>
      </c>
      <c r="I29" s="162">
        <v>431</v>
      </c>
      <c r="J29" s="159">
        <v>131.19999999999999</v>
      </c>
      <c r="K29" s="163">
        <v>131.4</v>
      </c>
      <c r="L29" s="164">
        <f t="shared" si="0"/>
        <v>262.60000000000002</v>
      </c>
      <c r="M29" s="165">
        <f t="shared" si="1"/>
        <v>0.60928074245939678</v>
      </c>
      <c r="N29" s="122"/>
    </row>
    <row r="30" spans="2:14" x14ac:dyDescent="0.25">
      <c r="B30" s="121"/>
      <c r="C30" s="160">
        <v>16</v>
      </c>
      <c r="D30" s="160">
        <v>5</v>
      </c>
      <c r="E30" s="160" t="s">
        <v>68</v>
      </c>
      <c r="F30" s="159" t="s">
        <v>526</v>
      </c>
      <c r="G30" s="160" t="s">
        <v>483</v>
      </c>
      <c r="H30" s="161" t="s">
        <v>824</v>
      </c>
      <c r="I30" s="162">
        <v>283</v>
      </c>
      <c r="J30" s="159">
        <v>86.7</v>
      </c>
      <c r="K30" s="163">
        <v>86.8</v>
      </c>
      <c r="L30" s="164">
        <f t="shared" si="0"/>
        <v>173.5</v>
      </c>
      <c r="M30" s="165">
        <f t="shared" si="1"/>
        <v>0.61307420494699649</v>
      </c>
      <c r="N30" s="122"/>
    </row>
    <row r="31" spans="2:14" x14ac:dyDescent="0.25">
      <c r="B31" s="121"/>
      <c r="C31" s="159">
        <v>17</v>
      </c>
      <c r="D31" s="159">
        <v>6</v>
      </c>
      <c r="E31" s="159" t="s">
        <v>68</v>
      </c>
      <c r="F31" s="159" t="s">
        <v>526</v>
      </c>
      <c r="G31" s="160" t="s">
        <v>483</v>
      </c>
      <c r="H31" s="161" t="s">
        <v>825</v>
      </c>
      <c r="I31" s="162">
        <v>284</v>
      </c>
      <c r="J31" s="159">
        <v>83.2</v>
      </c>
      <c r="K31" s="163">
        <v>83.1</v>
      </c>
      <c r="L31" s="164">
        <f t="shared" si="0"/>
        <v>166.3</v>
      </c>
      <c r="M31" s="165">
        <f t="shared" si="1"/>
        <v>0.58556338028169019</v>
      </c>
      <c r="N31" s="122"/>
    </row>
    <row r="32" spans="2:14" x14ac:dyDescent="0.25">
      <c r="B32" s="121"/>
      <c r="C32" s="159">
        <v>18</v>
      </c>
      <c r="D32" s="159">
        <v>18</v>
      </c>
      <c r="E32" s="159" t="s">
        <v>68</v>
      </c>
      <c r="F32" s="159" t="s">
        <v>526</v>
      </c>
      <c r="G32" s="160" t="s">
        <v>483</v>
      </c>
      <c r="H32" s="161" t="s">
        <v>826</v>
      </c>
      <c r="I32" s="162">
        <v>288</v>
      </c>
      <c r="J32" s="159">
        <v>83.7</v>
      </c>
      <c r="K32" s="163">
        <v>83.2</v>
      </c>
      <c r="L32" s="164">
        <f t="shared" si="0"/>
        <v>166.9</v>
      </c>
      <c r="M32" s="165">
        <f t="shared" si="1"/>
        <v>0.57951388888888888</v>
      </c>
      <c r="N32" s="122"/>
    </row>
    <row r="33" spans="2:14" x14ac:dyDescent="0.25">
      <c r="B33" s="121"/>
      <c r="C33" s="160">
        <v>19</v>
      </c>
      <c r="D33" s="160">
        <v>7</v>
      </c>
      <c r="E33" s="160" t="s">
        <v>68</v>
      </c>
      <c r="F33" s="159" t="s">
        <v>526</v>
      </c>
      <c r="G33" s="160" t="s">
        <v>483</v>
      </c>
      <c r="H33" s="161" t="s">
        <v>827</v>
      </c>
      <c r="I33" s="162">
        <v>290</v>
      </c>
      <c r="J33" s="159">
        <v>86.3</v>
      </c>
      <c r="K33" s="163">
        <v>85.4</v>
      </c>
      <c r="L33" s="164">
        <f t="shared" si="0"/>
        <v>171.7</v>
      </c>
      <c r="M33" s="165">
        <f t="shared" si="1"/>
        <v>0.59206896551724131</v>
      </c>
      <c r="N33" s="122"/>
    </row>
    <row r="34" spans="2:14" x14ac:dyDescent="0.25">
      <c r="B34" s="121"/>
      <c r="C34" s="159">
        <v>20</v>
      </c>
      <c r="D34" s="159">
        <v>4</v>
      </c>
      <c r="E34" s="159" t="s">
        <v>68</v>
      </c>
      <c r="F34" s="159" t="s">
        <v>526</v>
      </c>
      <c r="G34" s="160" t="s">
        <v>483</v>
      </c>
      <c r="H34" s="161" t="s">
        <v>41</v>
      </c>
      <c r="I34" s="162">
        <v>362</v>
      </c>
      <c r="J34" s="159">
        <v>109.1</v>
      </c>
      <c r="K34" s="166">
        <v>106.5</v>
      </c>
      <c r="L34" s="164">
        <f t="shared" si="0"/>
        <v>215.6</v>
      </c>
      <c r="M34" s="167">
        <f t="shared" si="1"/>
        <v>0.59558011049723758</v>
      </c>
      <c r="N34" s="122"/>
    </row>
    <row r="35" spans="2:14" x14ac:dyDescent="0.25">
      <c r="B35" s="121"/>
      <c r="C35" s="159">
        <v>21</v>
      </c>
      <c r="D35" s="159">
        <v>10</v>
      </c>
      <c r="E35" s="159" t="s">
        <v>75</v>
      </c>
      <c r="F35" s="159" t="s">
        <v>526</v>
      </c>
      <c r="G35" s="160" t="s">
        <v>44</v>
      </c>
      <c r="H35" s="161" t="s">
        <v>41</v>
      </c>
      <c r="I35" s="162">
        <v>412</v>
      </c>
      <c r="J35" s="159">
        <v>121.7</v>
      </c>
      <c r="K35" s="163">
        <v>120.9</v>
      </c>
      <c r="L35" s="164">
        <f t="shared" si="0"/>
        <v>242.60000000000002</v>
      </c>
      <c r="M35" s="165">
        <f t="shared" si="1"/>
        <v>0.58883495145631071</v>
      </c>
      <c r="N35" s="122"/>
    </row>
    <row r="36" spans="2:14" x14ac:dyDescent="0.25">
      <c r="B36" s="121"/>
      <c r="C36" s="159">
        <v>22</v>
      </c>
      <c r="D36" s="159">
        <v>13</v>
      </c>
      <c r="E36" s="159" t="s">
        <v>67</v>
      </c>
      <c r="F36" s="159" t="s">
        <v>526</v>
      </c>
      <c r="G36" s="160" t="s">
        <v>44</v>
      </c>
      <c r="H36" s="161" t="s">
        <v>828</v>
      </c>
      <c r="I36" s="162">
        <v>463</v>
      </c>
      <c r="J36" s="159">
        <v>137.30000000000001</v>
      </c>
      <c r="K36" s="163">
        <v>136.19999999999999</v>
      </c>
      <c r="L36" s="164">
        <f t="shared" si="0"/>
        <v>273.5</v>
      </c>
      <c r="M36" s="165">
        <f t="shared" si="1"/>
        <v>0.59071274298056153</v>
      </c>
      <c r="N36" s="122"/>
    </row>
    <row r="37" spans="2:14" x14ac:dyDescent="0.25">
      <c r="B37" s="121"/>
      <c r="C37" s="159">
        <v>23</v>
      </c>
      <c r="D37" s="159">
        <v>12</v>
      </c>
      <c r="E37" s="159" t="s">
        <v>68</v>
      </c>
      <c r="F37" s="159" t="s">
        <v>526</v>
      </c>
      <c r="G37" s="160" t="s">
        <v>44</v>
      </c>
      <c r="H37" s="161" t="s">
        <v>56</v>
      </c>
      <c r="I37" s="162">
        <v>395</v>
      </c>
      <c r="J37" s="159">
        <v>117.3</v>
      </c>
      <c r="K37" s="163">
        <v>117.6</v>
      </c>
      <c r="L37" s="164">
        <f t="shared" si="0"/>
        <v>234.89999999999998</v>
      </c>
      <c r="M37" s="165">
        <f t="shared" si="1"/>
        <v>0.59468354430379744</v>
      </c>
      <c r="N37" s="122"/>
    </row>
    <row r="38" spans="2:14" x14ac:dyDescent="0.25">
      <c r="B38" s="121"/>
      <c r="C38" s="159">
        <v>24</v>
      </c>
      <c r="D38" s="159">
        <v>3</v>
      </c>
      <c r="E38" s="159" t="s">
        <v>68</v>
      </c>
      <c r="F38" s="159" t="s">
        <v>526</v>
      </c>
      <c r="G38" s="159" t="s">
        <v>44</v>
      </c>
      <c r="H38" s="168" t="s">
        <v>258</v>
      </c>
      <c r="I38" s="169">
        <v>414</v>
      </c>
      <c r="J38" s="159">
        <v>121.2</v>
      </c>
      <c r="K38" s="163">
        <v>120.2</v>
      </c>
      <c r="L38" s="164">
        <f t="shared" si="0"/>
        <v>241.4</v>
      </c>
      <c r="M38" s="165">
        <f t="shared" si="1"/>
        <v>0.58309178743961354</v>
      </c>
      <c r="N38" s="122"/>
    </row>
    <row r="39" spans="2:14" x14ac:dyDescent="0.25">
      <c r="B39" s="121"/>
      <c r="C39" s="159">
        <v>25</v>
      </c>
      <c r="D39" s="159">
        <v>20</v>
      </c>
      <c r="E39" s="159" t="s">
        <v>67</v>
      </c>
      <c r="F39" s="159" t="s">
        <v>526</v>
      </c>
      <c r="G39" s="160" t="s">
        <v>483</v>
      </c>
      <c r="H39" s="161" t="s">
        <v>41</v>
      </c>
      <c r="I39" s="162">
        <v>254</v>
      </c>
      <c r="J39" s="159">
        <v>72.3</v>
      </c>
      <c r="K39" s="163">
        <v>71.900000000000006</v>
      </c>
      <c r="L39" s="164">
        <f t="shared" si="0"/>
        <v>144.19999999999999</v>
      </c>
      <c r="M39" s="165">
        <f t="shared" si="1"/>
        <v>0.56771653543307077</v>
      </c>
      <c r="N39" s="122"/>
    </row>
    <row r="40" spans="2:14" x14ac:dyDescent="0.25">
      <c r="B40" s="121"/>
      <c r="C40" s="159">
        <v>26</v>
      </c>
      <c r="D40" s="159">
        <v>8</v>
      </c>
      <c r="E40" s="159" t="s">
        <v>75</v>
      </c>
      <c r="F40" s="159" t="s">
        <v>526</v>
      </c>
      <c r="G40" s="160" t="s">
        <v>44</v>
      </c>
      <c r="H40" s="161" t="s">
        <v>829</v>
      </c>
      <c r="I40" s="162">
        <v>427</v>
      </c>
      <c r="J40" s="159">
        <v>132.1</v>
      </c>
      <c r="K40" s="163">
        <v>133</v>
      </c>
      <c r="L40" s="164">
        <f t="shared" si="0"/>
        <v>265.10000000000002</v>
      </c>
      <c r="M40" s="165">
        <f t="shared" si="1"/>
        <v>0.62084309133489468</v>
      </c>
      <c r="N40" s="122"/>
    </row>
    <row r="41" spans="2:14" x14ac:dyDescent="0.25">
      <c r="B41" s="121"/>
      <c r="C41" s="159">
        <v>27</v>
      </c>
      <c r="D41" s="159">
        <v>2</v>
      </c>
      <c r="E41" s="159" t="s">
        <v>67</v>
      </c>
      <c r="F41" s="159" t="s">
        <v>526</v>
      </c>
      <c r="G41" s="160" t="s">
        <v>483</v>
      </c>
      <c r="H41" s="161" t="s">
        <v>830</v>
      </c>
      <c r="I41" s="162">
        <v>298</v>
      </c>
      <c r="J41" s="159">
        <v>84.1</v>
      </c>
      <c r="K41" s="163">
        <v>82.9</v>
      </c>
      <c r="L41" s="164">
        <f t="shared" si="0"/>
        <v>167</v>
      </c>
      <c r="M41" s="165">
        <f t="shared" si="1"/>
        <v>0.56040268456375841</v>
      </c>
      <c r="N41" s="122"/>
    </row>
    <row r="42" spans="2:14" x14ac:dyDescent="0.25">
      <c r="B42" s="121"/>
      <c r="C42" s="160">
        <v>28</v>
      </c>
      <c r="D42" s="160">
        <v>1</v>
      </c>
      <c r="E42" s="160" t="s">
        <v>67</v>
      </c>
      <c r="F42" s="159" t="s">
        <v>526</v>
      </c>
      <c r="G42" s="160" t="s">
        <v>44</v>
      </c>
      <c r="H42" s="161" t="s">
        <v>735</v>
      </c>
      <c r="I42" s="162">
        <v>439</v>
      </c>
      <c r="J42" s="159">
        <v>123.4</v>
      </c>
      <c r="K42" s="163">
        <v>123.3</v>
      </c>
      <c r="L42" s="164">
        <f t="shared" si="0"/>
        <v>246.7</v>
      </c>
      <c r="M42" s="165">
        <f t="shared" si="1"/>
        <v>0.56195899772209568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39"/>
      <c r="D66" s="239">
        <f>+COUNT($D$22:$D$65)</f>
        <v>20</v>
      </c>
      <c r="E66" s="239"/>
      <c r="F66" s="373"/>
      <c r="G66" s="373"/>
      <c r="H66" s="149"/>
      <c r="I66" s="148">
        <f>SUM($I$22:$I$65)</f>
        <v>7197</v>
      </c>
      <c r="J66" s="150">
        <f>SUM($J$22:$J$65)</f>
        <v>2118.1999999999998</v>
      </c>
      <c r="K66" s="151">
        <f>SUM($K$22:$K$65)</f>
        <v>2107.5000000000005</v>
      </c>
      <c r="L66" s="148">
        <f>SUM($L$22:$L$65)</f>
        <v>4225.7</v>
      </c>
      <c r="M66" s="178">
        <f t="shared" si="1"/>
        <v>0.58714742253716823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38.54</v>
      </c>
      <c r="I71" s="119">
        <v>36.92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20</v>
      </c>
      <c r="I72" s="119">
        <f>16.12+14.48</f>
        <v>30.6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13</v>
      </c>
      <c r="I73" s="119">
        <v>53.919999999999995</v>
      </c>
      <c r="J73" s="181">
        <v>7</v>
      </c>
      <c r="K73" s="185">
        <v>35.340000000000003</v>
      </c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20</v>
      </c>
      <c r="I74" s="119">
        <v>19.38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14.88</v>
      </c>
      <c r="I75" s="119">
        <v>14.14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40</v>
      </c>
      <c r="I76" s="119">
        <v>14.94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80</v>
      </c>
      <c r="I77" s="119">
        <v>11.84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20</v>
      </c>
      <c r="I78" s="119">
        <v>14.72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20</v>
      </c>
      <c r="I79" s="119">
        <v>13.98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23.7</v>
      </c>
      <c r="I80" s="119">
        <v>22.48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20</v>
      </c>
      <c r="I81" s="119">
        <v>26.439999999999998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20</v>
      </c>
      <c r="I82" s="119">
        <v>6.22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4.74</v>
      </c>
      <c r="I83" s="119">
        <v>11.3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276.88</v>
      </c>
      <c r="J84" s="187">
        <f>SUM(J71:J83)</f>
        <v>7</v>
      </c>
      <c r="K84" s="186">
        <f>SUM(K71:K83)</f>
        <v>35.340000000000003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20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73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G70" zoomScale="90" zoomScaleNormal="90" workbookViewId="0">
      <selection activeCell="P85" sqref="P85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0.58605529795638001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227.50666666666672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846</v>
      </c>
      <c r="F8" s="344"/>
      <c r="G8" s="344"/>
      <c r="H8" s="345"/>
      <c r="I8" s="146" t="s">
        <v>487</v>
      </c>
      <c r="J8" s="346" t="s">
        <v>847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69057</v>
      </c>
      <c r="F9" s="344"/>
      <c r="G9" s="344"/>
      <c r="H9" s="345"/>
      <c r="I9" s="146" t="s">
        <v>88</v>
      </c>
      <c r="J9" s="209" t="s">
        <v>849</v>
      </c>
      <c r="K9" s="243" t="s">
        <v>490</v>
      </c>
      <c r="L9" s="369" t="s">
        <v>848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41" t="s">
        <v>569</v>
      </c>
      <c r="E12" s="384">
        <v>46045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34</v>
      </c>
      <c r="F13" s="349"/>
      <c r="H13" s="117"/>
      <c r="I13" s="123"/>
      <c r="J13" s="215" t="s">
        <v>483</v>
      </c>
      <c r="K13" s="242">
        <f>+COUNTIF($G$22:$G$66,"VQ")*2</f>
        <v>14</v>
      </c>
      <c r="L13" s="242">
        <f>+SUMIF($G$23:$G$65,"VQ",$L$23:$L$65)</f>
        <v>1587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15</v>
      </c>
      <c r="F14" s="350"/>
      <c r="H14" s="117"/>
      <c r="I14" s="123"/>
      <c r="J14" s="215" t="s">
        <v>42</v>
      </c>
      <c r="K14" s="242">
        <f>+COUNTIF($G$22:$G$66,"NT")*2</f>
        <v>0</v>
      </c>
      <c r="L14" s="242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5823</v>
      </c>
      <c r="F15" s="350"/>
      <c r="H15" s="117"/>
      <c r="I15" s="123"/>
      <c r="J15" s="215" t="s">
        <v>484</v>
      </c>
      <c r="K15" s="242">
        <f>+COUNTIF($G$22:$G$66,"NO")*2</f>
        <v>0</v>
      </c>
      <c r="L15" s="242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3412.6000000000008</v>
      </c>
      <c r="F16" s="350"/>
      <c r="H16" s="117"/>
      <c r="I16" s="123"/>
      <c r="J16" s="215" t="s">
        <v>485</v>
      </c>
      <c r="K16" s="242">
        <f>+COUNTIF($G$22:$G$66,"TO")*2</f>
        <v>0</v>
      </c>
      <c r="L16" s="242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0.58605529795638001</v>
      </c>
      <c r="F17" s="350"/>
      <c r="G17" s="124"/>
      <c r="H17" s="125"/>
      <c r="I17" s="123"/>
      <c r="J17" s="215" t="s">
        <v>486</v>
      </c>
      <c r="K17" s="242">
        <f>+COUNTIF($G$22:$G$66,"VA")*2</f>
        <v>0</v>
      </c>
      <c r="L17" s="242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227.50666666666672</v>
      </c>
      <c r="F18" s="353"/>
      <c r="G18" s="124"/>
      <c r="H18" s="125"/>
      <c r="I18" s="123"/>
      <c r="J18" s="215" t="s">
        <v>44</v>
      </c>
      <c r="K18" s="242">
        <f>+COUNTIF($G$22:$G$66,"MEJ")*2</f>
        <v>16</v>
      </c>
      <c r="L18" s="242">
        <f>+SUMIF($G$23:$G$65,"MEJ",$L$23:$L$65)</f>
        <v>1825.6000000000001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</v>
      </c>
      <c r="D23" s="152">
        <v>10</v>
      </c>
      <c r="E23" s="152" t="s">
        <v>75</v>
      </c>
      <c r="F23" s="152" t="s">
        <v>526</v>
      </c>
      <c r="G23" s="153" t="s">
        <v>44</v>
      </c>
      <c r="H23" s="154" t="s">
        <v>41</v>
      </c>
      <c r="I23" s="155">
        <v>396</v>
      </c>
      <c r="J23" s="152">
        <v>118.3</v>
      </c>
      <c r="K23" s="156">
        <v>119</v>
      </c>
      <c r="L23" s="157">
        <f t="shared" ref="L23:L65" si="0">+J23+K23</f>
        <v>237.3</v>
      </c>
      <c r="M23" s="158">
        <f t="shared" ref="M23:M66" si="1">+L23/I23</f>
        <v>0.59924242424242424</v>
      </c>
      <c r="N23" s="122"/>
    </row>
    <row r="24" spans="2:14" x14ac:dyDescent="0.25">
      <c r="B24" s="121"/>
      <c r="C24" s="159">
        <v>2</v>
      </c>
      <c r="D24" s="159">
        <v>11</v>
      </c>
      <c r="E24" s="159" t="s">
        <v>67</v>
      </c>
      <c r="F24" s="159" t="s">
        <v>526</v>
      </c>
      <c r="G24" s="160" t="s">
        <v>44</v>
      </c>
      <c r="H24" s="161" t="s">
        <v>833</v>
      </c>
      <c r="I24" s="162">
        <v>402</v>
      </c>
      <c r="J24" s="159">
        <v>119</v>
      </c>
      <c r="K24" s="163">
        <v>116.2</v>
      </c>
      <c r="L24" s="164">
        <f t="shared" si="0"/>
        <v>235.2</v>
      </c>
      <c r="M24" s="165">
        <f t="shared" si="1"/>
        <v>0.58507462686567158</v>
      </c>
      <c r="N24" s="122"/>
    </row>
    <row r="25" spans="2:14" x14ac:dyDescent="0.25">
      <c r="B25" s="121"/>
      <c r="C25" s="159">
        <v>3</v>
      </c>
      <c r="D25" s="159">
        <v>14</v>
      </c>
      <c r="E25" s="159" t="s">
        <v>68</v>
      </c>
      <c r="F25" s="159" t="s">
        <v>526</v>
      </c>
      <c r="G25" s="160" t="s">
        <v>483</v>
      </c>
      <c r="H25" s="161" t="s">
        <v>834</v>
      </c>
      <c r="I25" s="162">
        <v>398</v>
      </c>
      <c r="J25" s="159">
        <v>120.2</v>
      </c>
      <c r="K25" s="163">
        <v>119.5</v>
      </c>
      <c r="L25" s="164">
        <f t="shared" si="0"/>
        <v>239.7</v>
      </c>
      <c r="M25" s="165">
        <f t="shared" si="1"/>
        <v>0.6022613065326633</v>
      </c>
      <c r="N25" s="122"/>
    </row>
    <row r="26" spans="2:14" x14ac:dyDescent="0.25">
      <c r="B26" s="121"/>
      <c r="C26" s="159">
        <v>4</v>
      </c>
      <c r="D26" s="159">
        <v>5</v>
      </c>
      <c r="E26" s="159" t="s">
        <v>75</v>
      </c>
      <c r="F26" s="159" t="s">
        <v>526</v>
      </c>
      <c r="G26" s="160" t="s">
        <v>44</v>
      </c>
      <c r="H26" s="161" t="s">
        <v>835</v>
      </c>
      <c r="I26" s="162">
        <v>397</v>
      </c>
      <c r="J26" s="159">
        <v>113.7</v>
      </c>
      <c r="K26" s="163">
        <v>111.8</v>
      </c>
      <c r="L26" s="164">
        <f t="shared" si="0"/>
        <v>225.5</v>
      </c>
      <c r="M26" s="165">
        <f t="shared" si="1"/>
        <v>0.56801007556675065</v>
      </c>
      <c r="N26" s="122"/>
    </row>
    <row r="27" spans="2:14" x14ac:dyDescent="0.25">
      <c r="B27" s="121"/>
      <c r="C27" s="159">
        <v>5</v>
      </c>
      <c r="D27" s="159">
        <v>12</v>
      </c>
      <c r="E27" s="159" t="s">
        <v>75</v>
      </c>
      <c r="F27" s="159" t="s">
        <v>526</v>
      </c>
      <c r="G27" s="160" t="s">
        <v>44</v>
      </c>
      <c r="H27" s="161" t="s">
        <v>836</v>
      </c>
      <c r="I27" s="162">
        <v>427</v>
      </c>
      <c r="J27" s="159">
        <v>123.2</v>
      </c>
      <c r="K27" s="163">
        <v>122.3</v>
      </c>
      <c r="L27" s="164">
        <f t="shared" si="0"/>
        <v>245.5</v>
      </c>
      <c r="M27" s="165">
        <f t="shared" si="1"/>
        <v>0.57494145199063229</v>
      </c>
      <c r="N27" s="122"/>
    </row>
    <row r="28" spans="2:14" x14ac:dyDescent="0.25">
      <c r="B28" s="121"/>
      <c r="C28" s="159">
        <v>6</v>
      </c>
      <c r="D28" s="159">
        <v>13</v>
      </c>
      <c r="E28" s="159" t="s">
        <v>75</v>
      </c>
      <c r="F28" s="159" t="s">
        <v>526</v>
      </c>
      <c r="G28" s="160" t="s">
        <v>44</v>
      </c>
      <c r="H28" s="161" t="s">
        <v>837</v>
      </c>
      <c r="I28" s="162">
        <v>385</v>
      </c>
      <c r="J28" s="159">
        <v>113.7</v>
      </c>
      <c r="K28" s="163">
        <v>111.7</v>
      </c>
      <c r="L28" s="164">
        <f t="shared" si="0"/>
        <v>225.4</v>
      </c>
      <c r="M28" s="165">
        <f t="shared" si="1"/>
        <v>0.58545454545454545</v>
      </c>
      <c r="N28" s="122"/>
    </row>
    <row r="29" spans="2:14" x14ac:dyDescent="0.25">
      <c r="B29" s="121"/>
      <c r="C29" s="160">
        <v>7</v>
      </c>
      <c r="D29" s="160">
        <v>4</v>
      </c>
      <c r="E29" s="160" t="s">
        <v>75</v>
      </c>
      <c r="F29" s="159" t="s">
        <v>526</v>
      </c>
      <c r="G29" s="160" t="s">
        <v>483</v>
      </c>
      <c r="H29" s="161" t="s">
        <v>838</v>
      </c>
      <c r="I29" s="162">
        <v>385</v>
      </c>
      <c r="J29" s="159">
        <v>105.9</v>
      </c>
      <c r="K29" s="163">
        <v>105.2</v>
      </c>
      <c r="L29" s="164">
        <f t="shared" si="0"/>
        <v>211.10000000000002</v>
      </c>
      <c r="M29" s="165">
        <f t="shared" si="1"/>
        <v>0.54831168831168842</v>
      </c>
      <c r="N29" s="122"/>
    </row>
    <row r="30" spans="2:14" x14ac:dyDescent="0.25">
      <c r="B30" s="121"/>
      <c r="C30" s="160">
        <v>8</v>
      </c>
      <c r="D30" s="160">
        <v>7</v>
      </c>
      <c r="E30" s="160" t="s">
        <v>67</v>
      </c>
      <c r="F30" s="159" t="s">
        <v>526</v>
      </c>
      <c r="G30" s="160" t="s">
        <v>483</v>
      </c>
      <c r="H30" s="161" t="s">
        <v>839</v>
      </c>
      <c r="I30" s="162">
        <v>360</v>
      </c>
      <c r="J30" s="159">
        <v>114.1</v>
      </c>
      <c r="K30" s="163">
        <v>114.4</v>
      </c>
      <c r="L30" s="164">
        <f t="shared" si="0"/>
        <v>228.5</v>
      </c>
      <c r="M30" s="165">
        <f t="shared" si="1"/>
        <v>0.63472222222222219</v>
      </c>
      <c r="N30" s="122"/>
    </row>
    <row r="31" spans="2:14" x14ac:dyDescent="0.25">
      <c r="B31" s="121"/>
      <c r="C31" s="159">
        <v>9</v>
      </c>
      <c r="D31" s="159">
        <v>9</v>
      </c>
      <c r="E31" s="159" t="s">
        <v>68</v>
      </c>
      <c r="F31" s="159" t="s">
        <v>526</v>
      </c>
      <c r="G31" s="160" t="s">
        <v>483</v>
      </c>
      <c r="H31" s="161" t="s">
        <v>208</v>
      </c>
      <c r="I31" s="162">
        <v>383</v>
      </c>
      <c r="J31" s="159">
        <v>107.4</v>
      </c>
      <c r="K31" s="163">
        <v>108.6</v>
      </c>
      <c r="L31" s="164">
        <f t="shared" si="0"/>
        <v>216</v>
      </c>
      <c r="M31" s="165">
        <f t="shared" si="1"/>
        <v>0.56396866840731075</v>
      </c>
      <c r="N31" s="122"/>
    </row>
    <row r="32" spans="2:14" x14ac:dyDescent="0.25">
      <c r="B32" s="121"/>
      <c r="C32" s="159">
        <v>10</v>
      </c>
      <c r="D32" s="159">
        <v>8</v>
      </c>
      <c r="E32" s="159" t="s">
        <v>67</v>
      </c>
      <c r="F32" s="159" t="s">
        <v>526</v>
      </c>
      <c r="G32" s="160" t="s">
        <v>483</v>
      </c>
      <c r="H32" s="161" t="s">
        <v>840</v>
      </c>
      <c r="I32" s="162">
        <v>387</v>
      </c>
      <c r="J32" s="159">
        <v>115</v>
      </c>
      <c r="K32" s="163">
        <v>114.9</v>
      </c>
      <c r="L32" s="164">
        <f t="shared" si="0"/>
        <v>229.9</v>
      </c>
      <c r="M32" s="165">
        <f t="shared" si="1"/>
        <v>0.5940568475452197</v>
      </c>
      <c r="N32" s="122"/>
    </row>
    <row r="33" spans="2:14" x14ac:dyDescent="0.25">
      <c r="B33" s="121"/>
      <c r="C33" s="160">
        <v>11</v>
      </c>
      <c r="D33" s="160">
        <v>3</v>
      </c>
      <c r="E33" s="160" t="s">
        <v>75</v>
      </c>
      <c r="F33" s="159" t="s">
        <v>526</v>
      </c>
      <c r="G33" s="160" t="s">
        <v>44</v>
      </c>
      <c r="H33" s="161" t="s">
        <v>841</v>
      </c>
      <c r="I33" s="162">
        <v>396</v>
      </c>
      <c r="J33" s="159">
        <v>113.2</v>
      </c>
      <c r="K33" s="163">
        <v>113.2</v>
      </c>
      <c r="L33" s="164">
        <f t="shared" si="0"/>
        <v>226.4</v>
      </c>
      <c r="M33" s="165">
        <f t="shared" si="1"/>
        <v>0.57171717171717173</v>
      </c>
      <c r="N33" s="122"/>
    </row>
    <row r="34" spans="2:14" x14ac:dyDescent="0.25">
      <c r="B34" s="121"/>
      <c r="C34" s="159">
        <v>12</v>
      </c>
      <c r="D34" s="159">
        <v>2</v>
      </c>
      <c r="E34" s="159" t="s">
        <v>67</v>
      </c>
      <c r="F34" s="159" t="s">
        <v>526</v>
      </c>
      <c r="G34" s="160" t="s">
        <v>483</v>
      </c>
      <c r="H34" s="161" t="s">
        <v>842</v>
      </c>
      <c r="I34" s="162">
        <v>378</v>
      </c>
      <c r="J34" s="159">
        <v>119.7</v>
      </c>
      <c r="K34" s="166">
        <v>120.1</v>
      </c>
      <c r="L34" s="164">
        <f t="shared" si="0"/>
        <v>239.8</v>
      </c>
      <c r="M34" s="167">
        <f t="shared" si="1"/>
        <v>0.6343915343915344</v>
      </c>
      <c r="N34" s="122"/>
    </row>
    <row r="35" spans="2:14" x14ac:dyDescent="0.25">
      <c r="B35" s="121"/>
      <c r="C35" s="159">
        <v>13</v>
      </c>
      <c r="D35" s="159">
        <v>6</v>
      </c>
      <c r="E35" s="159" t="s">
        <v>67</v>
      </c>
      <c r="F35" s="159" t="s">
        <v>526</v>
      </c>
      <c r="G35" s="160" t="s">
        <v>44</v>
      </c>
      <c r="H35" s="161" t="s">
        <v>843</v>
      </c>
      <c r="I35" s="162">
        <v>386</v>
      </c>
      <c r="J35" s="159">
        <v>111.1</v>
      </c>
      <c r="K35" s="163">
        <v>110.4</v>
      </c>
      <c r="L35" s="164">
        <f t="shared" si="0"/>
        <v>221.5</v>
      </c>
      <c r="M35" s="165">
        <f t="shared" si="1"/>
        <v>0.57383419689119175</v>
      </c>
      <c r="N35" s="122"/>
    </row>
    <row r="36" spans="2:14" x14ac:dyDescent="0.25">
      <c r="B36" s="121"/>
      <c r="C36" s="159">
        <v>14</v>
      </c>
      <c r="D36" s="159">
        <v>1</v>
      </c>
      <c r="E36" s="159" t="s">
        <v>75</v>
      </c>
      <c r="F36" s="159" t="s">
        <v>526</v>
      </c>
      <c r="G36" s="160" t="s">
        <v>483</v>
      </c>
      <c r="H36" s="161" t="s">
        <v>844</v>
      </c>
      <c r="I36" s="162">
        <v>358</v>
      </c>
      <c r="J36" s="159">
        <v>111.1</v>
      </c>
      <c r="K36" s="163">
        <v>110.9</v>
      </c>
      <c r="L36" s="164">
        <f t="shared" si="0"/>
        <v>222</v>
      </c>
      <c r="M36" s="165">
        <f t="shared" si="1"/>
        <v>0.62011173184357538</v>
      </c>
      <c r="N36" s="122"/>
    </row>
    <row r="37" spans="2:14" x14ac:dyDescent="0.25">
      <c r="B37" s="121"/>
      <c r="C37" s="159">
        <v>15</v>
      </c>
      <c r="D37" s="159">
        <v>15</v>
      </c>
      <c r="E37" s="159" t="s">
        <v>75</v>
      </c>
      <c r="F37" s="159" t="s">
        <v>526</v>
      </c>
      <c r="G37" s="160" t="s">
        <v>44</v>
      </c>
      <c r="H37" s="161" t="s">
        <v>845</v>
      </c>
      <c r="I37" s="162">
        <v>385</v>
      </c>
      <c r="J37" s="159">
        <v>105.1</v>
      </c>
      <c r="K37" s="163">
        <v>103.7</v>
      </c>
      <c r="L37" s="164">
        <f t="shared" si="0"/>
        <v>208.8</v>
      </c>
      <c r="M37" s="165">
        <f t="shared" si="1"/>
        <v>0.54233766233766234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40"/>
      <c r="D66" s="240">
        <f>+COUNT($D$22:$D$65)</f>
        <v>15</v>
      </c>
      <c r="E66" s="240"/>
      <c r="F66" s="373"/>
      <c r="G66" s="373"/>
      <c r="H66" s="149"/>
      <c r="I66" s="148">
        <f>SUM($I$22:$I$65)</f>
        <v>5823</v>
      </c>
      <c r="J66" s="150">
        <f>SUM($J$22:$J$65)</f>
        <v>1710.6999999999998</v>
      </c>
      <c r="K66" s="151">
        <f>SUM($K$22:$K$65)</f>
        <v>1701.9000000000003</v>
      </c>
      <c r="L66" s="148">
        <f>SUM($L$22:$L$65)</f>
        <v>3412.6000000000008</v>
      </c>
      <c r="M66" s="178">
        <f t="shared" si="1"/>
        <v>0.58605529795638001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34.58</v>
      </c>
      <c r="I71" s="119">
        <v>33.44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15</v>
      </c>
      <c r="I72" s="119">
        <v>23.5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15</v>
      </c>
      <c r="I73" s="119">
        <v>73.539999999999992</v>
      </c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15</v>
      </c>
      <c r="I74" s="119">
        <v>16.86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8.14</v>
      </c>
      <c r="I75" s="119">
        <v>7.5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30</v>
      </c>
      <c r="I76" s="119">
        <v>13.4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56</v>
      </c>
      <c r="I77" s="119">
        <v>9.9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15</v>
      </c>
      <c r="I78" s="119">
        <v>12.24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15</v>
      </c>
      <c r="I79" s="119">
        <v>11.02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18.22</v>
      </c>
      <c r="I80" s="119">
        <v>17.28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15</v>
      </c>
      <c r="I81" s="119">
        <v>15.62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15</v>
      </c>
      <c r="I82" s="119">
        <v>4.82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8.26</v>
      </c>
      <c r="I83" s="119">
        <v>7.62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246.74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15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72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G70" zoomScale="90" zoomScaleNormal="90" workbookViewId="0">
      <selection activeCell="E12" sqref="E12:F12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0.54767441860465105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224.63076923076918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296</v>
      </c>
      <c r="F8" s="344"/>
      <c r="G8" s="344"/>
      <c r="H8" s="345"/>
      <c r="I8" s="146" t="s">
        <v>487</v>
      </c>
      <c r="J8" s="346" t="s">
        <v>877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45003</v>
      </c>
      <c r="F9" s="344"/>
      <c r="G9" s="344"/>
      <c r="H9" s="345"/>
      <c r="I9" s="146" t="s">
        <v>88</v>
      </c>
      <c r="J9" s="209" t="s">
        <v>878</v>
      </c>
      <c r="K9" s="243" t="s">
        <v>490</v>
      </c>
      <c r="L9" s="369">
        <v>19018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41" t="s">
        <v>569</v>
      </c>
      <c r="E12" s="384">
        <v>46045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35</v>
      </c>
      <c r="F13" s="349"/>
      <c r="H13" s="117"/>
      <c r="I13" s="123"/>
      <c r="J13" s="215" t="s">
        <v>483</v>
      </c>
      <c r="K13" s="242">
        <f>+COUNTIF($G$22:$G$66,"VQ")*2</f>
        <v>0</v>
      </c>
      <c r="L13" s="242">
        <f>+SUMIF($G$23:$G$65,"VQ",$L$23:$L$65)</f>
        <v>0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13</v>
      </c>
      <c r="F14" s="350"/>
      <c r="H14" s="117"/>
      <c r="I14" s="123"/>
      <c r="J14" s="215" t="s">
        <v>42</v>
      </c>
      <c r="K14" s="242">
        <f>+COUNTIF($G$22:$G$66,"NT")*2</f>
        <v>0</v>
      </c>
      <c r="L14" s="242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5332</v>
      </c>
      <c r="F15" s="350"/>
      <c r="H15" s="117"/>
      <c r="I15" s="123"/>
      <c r="J15" s="215" t="s">
        <v>484</v>
      </c>
      <c r="K15" s="242">
        <f>+COUNTIF($G$22:$G$66,"NO")*2</f>
        <v>26</v>
      </c>
      <c r="L15" s="242">
        <f>+SUMIF($G$23:$G$65,"NO",$L$23:$L$65)</f>
        <v>2920.1999999999994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2920.1999999999994</v>
      </c>
      <c r="F16" s="350"/>
      <c r="H16" s="117"/>
      <c r="I16" s="123"/>
      <c r="J16" s="215" t="s">
        <v>485</v>
      </c>
      <c r="K16" s="242">
        <f>+COUNTIF($G$22:$G$66,"TO")*2</f>
        <v>0</v>
      </c>
      <c r="L16" s="242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0.54767441860465105</v>
      </c>
      <c r="F17" s="350"/>
      <c r="G17" s="124"/>
      <c r="H17" s="125"/>
      <c r="I17" s="123"/>
      <c r="J17" s="215" t="s">
        <v>486</v>
      </c>
      <c r="K17" s="242">
        <f>+COUNTIF($G$22:$G$66,"VA")*2</f>
        <v>0</v>
      </c>
      <c r="L17" s="242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224.63076923076918</v>
      </c>
      <c r="F18" s="353"/>
      <c r="G18" s="124"/>
      <c r="H18" s="125"/>
      <c r="I18" s="123"/>
      <c r="J18" s="215" t="s">
        <v>44</v>
      </c>
      <c r="K18" s="242">
        <f>+COUNTIF($G$22:$G$66,"MEJ")*2</f>
        <v>0</v>
      </c>
      <c r="L18" s="242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16</v>
      </c>
      <c r="D23" s="152">
        <v>5</v>
      </c>
      <c r="E23" s="152" t="s">
        <v>67</v>
      </c>
      <c r="F23" s="152" t="s">
        <v>750</v>
      </c>
      <c r="G23" s="153" t="s">
        <v>484</v>
      </c>
      <c r="H23" s="154" t="s">
        <v>850</v>
      </c>
      <c r="I23" s="155">
        <v>469</v>
      </c>
      <c r="J23" s="152">
        <v>128.69999999999999</v>
      </c>
      <c r="K23" s="156">
        <v>127.6</v>
      </c>
      <c r="L23" s="157">
        <f t="shared" ref="L23:L65" si="0">+J23+K23</f>
        <v>256.29999999999995</v>
      </c>
      <c r="M23" s="158">
        <f t="shared" ref="M23:M66" si="1">+L23/I23</f>
        <v>0.54648187633262246</v>
      </c>
      <c r="N23" s="122"/>
    </row>
    <row r="24" spans="2:14" x14ac:dyDescent="0.25">
      <c r="B24" s="121"/>
      <c r="C24" s="159">
        <v>17</v>
      </c>
      <c r="D24" s="159">
        <v>6</v>
      </c>
      <c r="E24" s="159" t="s">
        <v>67</v>
      </c>
      <c r="F24" s="159" t="s">
        <v>750</v>
      </c>
      <c r="G24" s="160" t="s">
        <v>484</v>
      </c>
      <c r="H24" s="161" t="s">
        <v>851</v>
      </c>
      <c r="I24" s="162">
        <v>425</v>
      </c>
      <c r="J24" s="159">
        <v>112</v>
      </c>
      <c r="K24" s="163">
        <v>112.1</v>
      </c>
      <c r="L24" s="164">
        <f t="shared" si="0"/>
        <v>224.1</v>
      </c>
      <c r="M24" s="165">
        <f t="shared" si="1"/>
        <v>0.5272941176470588</v>
      </c>
      <c r="N24" s="122"/>
    </row>
    <row r="25" spans="2:14" x14ac:dyDescent="0.25">
      <c r="B25" s="121"/>
      <c r="C25" s="159">
        <v>18</v>
      </c>
      <c r="D25" s="159">
        <v>8</v>
      </c>
      <c r="E25" s="159" t="s">
        <v>67</v>
      </c>
      <c r="F25" s="159" t="s">
        <v>750</v>
      </c>
      <c r="G25" s="160" t="s">
        <v>484</v>
      </c>
      <c r="H25" s="161" t="s">
        <v>852</v>
      </c>
      <c r="I25" s="162">
        <v>364</v>
      </c>
      <c r="J25" s="159">
        <v>102.1</v>
      </c>
      <c r="K25" s="163">
        <v>101.9</v>
      </c>
      <c r="L25" s="164">
        <f t="shared" si="0"/>
        <v>204</v>
      </c>
      <c r="M25" s="165">
        <f t="shared" si="1"/>
        <v>0.56043956043956045</v>
      </c>
      <c r="N25" s="122"/>
    </row>
    <row r="26" spans="2:14" x14ac:dyDescent="0.25">
      <c r="B26" s="121"/>
      <c r="C26" s="159">
        <v>19</v>
      </c>
      <c r="D26" s="159">
        <v>2</v>
      </c>
      <c r="E26" s="159" t="s">
        <v>67</v>
      </c>
      <c r="F26" s="159" t="s">
        <v>750</v>
      </c>
      <c r="G26" s="160" t="s">
        <v>484</v>
      </c>
      <c r="H26" s="161" t="s">
        <v>853</v>
      </c>
      <c r="I26" s="162">
        <v>428</v>
      </c>
      <c r="J26" s="159">
        <v>114.8</v>
      </c>
      <c r="K26" s="163">
        <v>116.2</v>
      </c>
      <c r="L26" s="164">
        <f t="shared" si="0"/>
        <v>231</v>
      </c>
      <c r="M26" s="165">
        <f t="shared" si="1"/>
        <v>0.53971962616822433</v>
      </c>
      <c r="N26" s="122"/>
    </row>
    <row r="27" spans="2:14" x14ac:dyDescent="0.25">
      <c r="B27" s="121"/>
      <c r="C27" s="159">
        <v>20</v>
      </c>
      <c r="D27" s="159">
        <v>4</v>
      </c>
      <c r="E27" s="159" t="s">
        <v>67</v>
      </c>
      <c r="F27" s="159" t="s">
        <v>750</v>
      </c>
      <c r="G27" s="160" t="s">
        <v>484</v>
      </c>
      <c r="H27" s="161" t="s">
        <v>854</v>
      </c>
      <c r="I27" s="162">
        <v>427</v>
      </c>
      <c r="J27" s="159">
        <v>113.9</v>
      </c>
      <c r="K27" s="163">
        <v>113</v>
      </c>
      <c r="L27" s="164">
        <f t="shared" si="0"/>
        <v>226.9</v>
      </c>
      <c r="M27" s="165">
        <f t="shared" si="1"/>
        <v>0.53138173302107727</v>
      </c>
      <c r="N27" s="122"/>
    </row>
    <row r="28" spans="2:14" x14ac:dyDescent="0.25">
      <c r="B28" s="121"/>
      <c r="C28" s="159">
        <v>21</v>
      </c>
      <c r="D28" s="159">
        <v>9</v>
      </c>
      <c r="E28" s="159" t="s">
        <v>67</v>
      </c>
      <c r="F28" s="159" t="s">
        <v>750</v>
      </c>
      <c r="G28" s="160" t="s">
        <v>484</v>
      </c>
      <c r="H28" s="161" t="s">
        <v>855</v>
      </c>
      <c r="I28" s="162">
        <v>438</v>
      </c>
      <c r="J28" s="159">
        <v>123</v>
      </c>
      <c r="K28" s="163">
        <v>123.6</v>
      </c>
      <c r="L28" s="164">
        <f t="shared" si="0"/>
        <v>246.6</v>
      </c>
      <c r="M28" s="165">
        <f t="shared" si="1"/>
        <v>0.56301369863013695</v>
      </c>
      <c r="N28" s="122"/>
    </row>
    <row r="29" spans="2:14" x14ac:dyDescent="0.25">
      <c r="B29" s="121"/>
      <c r="C29" s="160">
        <v>22</v>
      </c>
      <c r="D29" s="160">
        <v>7</v>
      </c>
      <c r="E29" s="160" t="s">
        <v>67</v>
      </c>
      <c r="F29" s="159" t="s">
        <v>750</v>
      </c>
      <c r="G29" s="160" t="s">
        <v>484</v>
      </c>
      <c r="H29" s="161" t="s">
        <v>856</v>
      </c>
      <c r="I29" s="162">
        <v>346</v>
      </c>
      <c r="J29" s="159">
        <v>86.6</v>
      </c>
      <c r="K29" s="163">
        <v>86.7</v>
      </c>
      <c r="L29" s="164">
        <f t="shared" si="0"/>
        <v>173.3</v>
      </c>
      <c r="M29" s="165">
        <f t="shared" si="1"/>
        <v>0.50086705202312143</v>
      </c>
      <c r="N29" s="122"/>
    </row>
    <row r="30" spans="2:14" x14ac:dyDescent="0.25">
      <c r="B30" s="121"/>
      <c r="C30" s="160">
        <v>23</v>
      </c>
      <c r="D30" s="160">
        <v>12</v>
      </c>
      <c r="E30" s="160" t="s">
        <v>67</v>
      </c>
      <c r="F30" s="159" t="s">
        <v>750</v>
      </c>
      <c r="G30" s="160" t="s">
        <v>484</v>
      </c>
      <c r="H30" s="161" t="s">
        <v>857</v>
      </c>
      <c r="I30" s="162">
        <v>419</v>
      </c>
      <c r="J30" s="159">
        <v>119.2</v>
      </c>
      <c r="K30" s="163">
        <v>119.4</v>
      </c>
      <c r="L30" s="164">
        <f t="shared" si="0"/>
        <v>238.60000000000002</v>
      </c>
      <c r="M30" s="165">
        <f t="shared" si="1"/>
        <v>0.56945107398568029</v>
      </c>
      <c r="N30" s="122"/>
    </row>
    <row r="31" spans="2:14" x14ac:dyDescent="0.25">
      <c r="B31" s="121"/>
      <c r="C31" s="159">
        <v>24</v>
      </c>
      <c r="D31" s="159">
        <v>3</v>
      </c>
      <c r="E31" s="159" t="s">
        <v>67</v>
      </c>
      <c r="F31" s="159" t="s">
        <v>750</v>
      </c>
      <c r="G31" s="160" t="s">
        <v>484</v>
      </c>
      <c r="H31" s="161" t="s">
        <v>858</v>
      </c>
      <c r="I31" s="162">
        <v>442</v>
      </c>
      <c r="J31" s="159">
        <v>121.6</v>
      </c>
      <c r="K31" s="163">
        <v>120.5</v>
      </c>
      <c r="L31" s="164">
        <f t="shared" si="0"/>
        <v>242.1</v>
      </c>
      <c r="M31" s="165">
        <f t="shared" si="1"/>
        <v>0.54773755656108591</v>
      </c>
      <c r="N31" s="122"/>
    </row>
    <row r="32" spans="2:14" x14ac:dyDescent="0.25">
      <c r="B32" s="121"/>
      <c r="C32" s="159">
        <v>25</v>
      </c>
      <c r="D32" s="159">
        <v>13</v>
      </c>
      <c r="E32" s="159" t="s">
        <v>67</v>
      </c>
      <c r="F32" s="159" t="s">
        <v>750</v>
      </c>
      <c r="G32" s="160" t="s">
        <v>484</v>
      </c>
      <c r="H32" s="161" t="s">
        <v>859</v>
      </c>
      <c r="I32" s="162">
        <v>319</v>
      </c>
      <c r="J32" s="159">
        <v>90</v>
      </c>
      <c r="K32" s="163">
        <v>89.7</v>
      </c>
      <c r="L32" s="164">
        <f t="shared" si="0"/>
        <v>179.7</v>
      </c>
      <c r="M32" s="165">
        <f t="shared" si="1"/>
        <v>0.56332288401253916</v>
      </c>
      <c r="N32" s="122"/>
    </row>
    <row r="33" spans="2:14" x14ac:dyDescent="0.25">
      <c r="B33" s="121"/>
      <c r="C33" s="160">
        <v>26</v>
      </c>
      <c r="D33" s="160">
        <v>1</v>
      </c>
      <c r="E33" s="160" t="s">
        <v>67</v>
      </c>
      <c r="F33" s="159" t="s">
        <v>750</v>
      </c>
      <c r="G33" s="160" t="s">
        <v>484</v>
      </c>
      <c r="H33" s="161" t="s">
        <v>860</v>
      </c>
      <c r="I33" s="162">
        <v>459</v>
      </c>
      <c r="J33" s="159">
        <v>130.80000000000001</v>
      </c>
      <c r="K33" s="163">
        <v>130.4</v>
      </c>
      <c r="L33" s="164">
        <f t="shared" si="0"/>
        <v>261.20000000000005</v>
      </c>
      <c r="M33" s="165">
        <f t="shared" si="1"/>
        <v>0.56906318082788676</v>
      </c>
      <c r="N33" s="122"/>
    </row>
    <row r="34" spans="2:14" x14ac:dyDescent="0.25">
      <c r="B34" s="121"/>
      <c r="C34" s="159">
        <v>27</v>
      </c>
      <c r="D34" s="159">
        <v>11</v>
      </c>
      <c r="E34" s="159" t="s">
        <v>67</v>
      </c>
      <c r="F34" s="159" t="s">
        <v>750</v>
      </c>
      <c r="G34" s="160" t="s">
        <v>484</v>
      </c>
      <c r="H34" s="161" t="s">
        <v>861</v>
      </c>
      <c r="I34" s="162">
        <v>446</v>
      </c>
      <c r="J34" s="159">
        <v>123.2</v>
      </c>
      <c r="K34" s="166">
        <v>121.6</v>
      </c>
      <c r="L34" s="164">
        <f t="shared" si="0"/>
        <v>244.8</v>
      </c>
      <c r="M34" s="167">
        <f t="shared" si="1"/>
        <v>0.54887892376681613</v>
      </c>
      <c r="N34" s="122"/>
    </row>
    <row r="35" spans="2:14" x14ac:dyDescent="0.25">
      <c r="B35" s="121"/>
      <c r="C35" s="159">
        <v>28</v>
      </c>
      <c r="D35" s="159">
        <v>10</v>
      </c>
      <c r="E35" s="159" t="s">
        <v>67</v>
      </c>
      <c r="F35" s="159" t="s">
        <v>750</v>
      </c>
      <c r="G35" s="160" t="s">
        <v>484</v>
      </c>
      <c r="H35" s="161" t="s">
        <v>862</v>
      </c>
      <c r="I35" s="162">
        <v>350</v>
      </c>
      <c r="J35" s="159">
        <v>96</v>
      </c>
      <c r="K35" s="163">
        <v>95.6</v>
      </c>
      <c r="L35" s="164">
        <f t="shared" si="0"/>
        <v>191.6</v>
      </c>
      <c r="M35" s="165">
        <f t="shared" si="1"/>
        <v>0.54742857142857138</v>
      </c>
      <c r="N35" s="122"/>
    </row>
    <row r="36" spans="2:14" x14ac:dyDescent="0.25">
      <c r="B36" s="121"/>
      <c r="C36" s="159"/>
      <c r="D36" s="159"/>
      <c r="E36" s="159"/>
      <c r="F36" s="159"/>
      <c r="G36" s="160"/>
      <c r="H36" s="161"/>
      <c r="I36" s="162"/>
      <c r="J36" s="159"/>
      <c r="K36" s="163"/>
      <c r="L36" s="164">
        <f t="shared" si="0"/>
        <v>0</v>
      </c>
      <c r="M36" s="165" t="e">
        <f t="shared" si="1"/>
        <v>#DIV/0!</v>
      </c>
      <c r="N36" s="122"/>
    </row>
    <row r="37" spans="2:14" x14ac:dyDescent="0.25">
      <c r="B37" s="121"/>
      <c r="C37" s="159"/>
      <c r="D37" s="159"/>
      <c r="E37" s="159"/>
      <c r="F37" s="159"/>
      <c r="G37" s="160"/>
      <c r="H37" s="161"/>
      <c r="I37" s="162"/>
      <c r="J37" s="159"/>
      <c r="K37" s="163"/>
      <c r="L37" s="164">
        <f t="shared" si="0"/>
        <v>0</v>
      </c>
      <c r="M37" s="165" t="e">
        <f t="shared" si="1"/>
        <v>#DIV/0!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40"/>
      <c r="D66" s="240">
        <f>+COUNT($D$22:$D$65)</f>
        <v>13</v>
      </c>
      <c r="E66" s="240"/>
      <c r="F66" s="373"/>
      <c r="G66" s="373"/>
      <c r="H66" s="149"/>
      <c r="I66" s="148">
        <f>SUM($I$22:$I$65)</f>
        <v>5332</v>
      </c>
      <c r="J66" s="150">
        <f>SUM($J$22:$J$65)</f>
        <v>1461.9</v>
      </c>
      <c r="K66" s="151">
        <f>SUM($K$22:$K$65)</f>
        <v>1458.3</v>
      </c>
      <c r="L66" s="148">
        <f>SUM($L$22:$L$65)</f>
        <v>2920.1999999999994</v>
      </c>
      <c r="M66" s="178">
        <f t="shared" si="1"/>
        <v>0.54767441860465105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66.16</v>
      </c>
      <c r="I71" s="119">
        <v>63.04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28</v>
      </c>
      <c r="I72" s="119">
        <v>51.58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20</v>
      </c>
      <c r="I73" s="119">
        <v>104.10000000000001</v>
      </c>
      <c r="J73" s="181">
        <v>8</v>
      </c>
      <c r="K73" s="185">
        <v>43.28</v>
      </c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28</v>
      </c>
      <c r="I74" s="119">
        <v>36.58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14.32</v>
      </c>
      <c r="I75" s="119">
        <v>13.22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56</v>
      </c>
      <c r="I76" s="119">
        <v>26.28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112</v>
      </c>
      <c r="I77" s="119">
        <v>21.74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28</v>
      </c>
      <c r="I78" s="119">
        <v>21.62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28</v>
      </c>
      <c r="I79" s="119">
        <v>25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49.08</v>
      </c>
      <c r="I80" s="119">
        <v>46.760000000000005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28</v>
      </c>
      <c r="I81" s="119">
        <v>29.4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28</v>
      </c>
      <c r="I82" s="119">
        <v>9.86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18.98</v>
      </c>
      <c r="I83" s="119">
        <v>17.82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467.00000000000006</v>
      </c>
      <c r="J84" s="187">
        <f>SUM(J71:J83)</f>
        <v>8</v>
      </c>
      <c r="K84" s="186">
        <f>SUM(K71:K83)</f>
        <v>43.28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13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71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E12" sqref="E12:F12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0.57908039795643984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287.14666666666665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303</v>
      </c>
      <c r="F8" s="344"/>
      <c r="G8" s="344"/>
      <c r="H8" s="345"/>
      <c r="I8" s="146" t="s">
        <v>487</v>
      </c>
      <c r="J8" s="346" t="s">
        <v>588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45003</v>
      </c>
      <c r="F9" s="344"/>
      <c r="G9" s="344"/>
      <c r="H9" s="345"/>
      <c r="I9" s="146" t="s">
        <v>88</v>
      </c>
      <c r="J9" s="209" t="s">
        <v>879</v>
      </c>
      <c r="K9" s="243" t="s">
        <v>490</v>
      </c>
      <c r="L9" s="369">
        <v>2600004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41" t="s">
        <v>569</v>
      </c>
      <c r="E12" s="384">
        <v>46045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36</v>
      </c>
      <c r="F13" s="349"/>
      <c r="H13" s="117"/>
      <c r="I13" s="123"/>
      <c r="J13" s="215" t="s">
        <v>483</v>
      </c>
      <c r="K13" s="242">
        <f>+COUNTIF($G$22:$G$66,"VQ")*2</f>
        <v>0</v>
      </c>
      <c r="L13" s="242">
        <f>+SUMIF($G$23:$G$65,"VQ",$L$23:$L$65)</f>
        <v>0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15</v>
      </c>
      <c r="F14" s="350"/>
      <c r="H14" s="117"/>
      <c r="I14" s="123"/>
      <c r="J14" s="215" t="s">
        <v>42</v>
      </c>
      <c r="K14" s="242">
        <f>+COUNTIF($G$22:$G$66,"NT")*2</f>
        <v>0</v>
      </c>
      <c r="L14" s="242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7438</v>
      </c>
      <c r="F15" s="350"/>
      <c r="H15" s="117"/>
      <c r="I15" s="123"/>
      <c r="J15" s="215" t="s">
        <v>484</v>
      </c>
      <c r="K15" s="242">
        <f>+COUNTIF($G$22:$G$66,"NO")*2</f>
        <v>20</v>
      </c>
      <c r="L15" s="242">
        <f>+SUMIF($G$23:$G$65,"NO",$L$23:$L$65)</f>
        <v>2309.6999999999998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4307.2</v>
      </c>
      <c r="F16" s="350"/>
      <c r="H16" s="117"/>
      <c r="I16" s="123"/>
      <c r="J16" s="215" t="s">
        <v>485</v>
      </c>
      <c r="K16" s="242">
        <f>+COUNTIF($G$22:$G$66,"TO")*2</f>
        <v>10</v>
      </c>
      <c r="L16" s="242">
        <f>+SUMIF($G$23:$G$65,"TO",$L$23:$L$65)</f>
        <v>1997.5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0.57908039795643984</v>
      </c>
      <c r="F17" s="350"/>
      <c r="G17" s="124"/>
      <c r="H17" s="125"/>
      <c r="I17" s="123"/>
      <c r="J17" s="215" t="s">
        <v>486</v>
      </c>
      <c r="K17" s="242">
        <f>+COUNTIF($G$22:$G$66,"VA")*2</f>
        <v>0</v>
      </c>
      <c r="L17" s="242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287.14666666666665</v>
      </c>
      <c r="F18" s="353"/>
      <c r="G18" s="124"/>
      <c r="H18" s="125"/>
      <c r="I18" s="123"/>
      <c r="J18" s="215" t="s">
        <v>44</v>
      </c>
      <c r="K18" s="242">
        <f>+COUNTIF($G$22:$G$66,"MEJ")*2</f>
        <v>0</v>
      </c>
      <c r="L18" s="242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29</v>
      </c>
      <c r="D23" s="152">
        <v>1</v>
      </c>
      <c r="E23" s="152" t="s">
        <v>68</v>
      </c>
      <c r="F23" s="152" t="s">
        <v>750</v>
      </c>
      <c r="G23" s="153" t="s">
        <v>484</v>
      </c>
      <c r="H23" s="154" t="s">
        <v>863</v>
      </c>
      <c r="I23" s="155">
        <v>402</v>
      </c>
      <c r="J23" s="152">
        <v>110</v>
      </c>
      <c r="K23" s="156">
        <v>108.4</v>
      </c>
      <c r="L23" s="157">
        <f t="shared" ref="L23:L65" si="0">+J23+K23</f>
        <v>218.4</v>
      </c>
      <c r="M23" s="158">
        <f t="shared" ref="M23:M66" si="1">+L23/I23</f>
        <v>0.5432835820895523</v>
      </c>
      <c r="N23" s="122"/>
    </row>
    <row r="24" spans="2:14" x14ac:dyDescent="0.25">
      <c r="B24" s="121"/>
      <c r="C24" s="159">
        <v>30</v>
      </c>
      <c r="D24" s="159">
        <v>10</v>
      </c>
      <c r="E24" s="159" t="s">
        <v>75</v>
      </c>
      <c r="F24" s="159" t="s">
        <v>750</v>
      </c>
      <c r="G24" s="160" t="s">
        <v>485</v>
      </c>
      <c r="H24" s="161" t="s">
        <v>864</v>
      </c>
      <c r="I24" s="162">
        <v>640</v>
      </c>
      <c r="J24" s="159">
        <v>180.5</v>
      </c>
      <c r="K24" s="163">
        <v>178.1</v>
      </c>
      <c r="L24" s="164">
        <f t="shared" si="0"/>
        <v>358.6</v>
      </c>
      <c r="M24" s="165">
        <f t="shared" si="1"/>
        <v>0.56031249999999999</v>
      </c>
      <c r="N24" s="122"/>
    </row>
    <row r="25" spans="2:14" x14ac:dyDescent="0.25">
      <c r="B25" s="121"/>
      <c r="C25" s="159">
        <v>31</v>
      </c>
      <c r="D25" s="159">
        <v>5</v>
      </c>
      <c r="E25" s="159" t="s">
        <v>75</v>
      </c>
      <c r="F25" s="159" t="s">
        <v>750</v>
      </c>
      <c r="G25" s="160" t="s">
        <v>485</v>
      </c>
      <c r="H25" s="161" t="s">
        <v>41</v>
      </c>
      <c r="I25" s="162">
        <v>580</v>
      </c>
      <c r="J25" s="159">
        <v>173.5</v>
      </c>
      <c r="K25" s="163">
        <v>172.6</v>
      </c>
      <c r="L25" s="164">
        <f t="shared" si="0"/>
        <v>346.1</v>
      </c>
      <c r="M25" s="165">
        <f t="shared" si="1"/>
        <v>0.59672413793103452</v>
      </c>
      <c r="N25" s="122"/>
    </row>
    <row r="26" spans="2:14" x14ac:dyDescent="0.25">
      <c r="B26" s="121"/>
      <c r="C26" s="159">
        <v>32</v>
      </c>
      <c r="D26" s="159">
        <v>13</v>
      </c>
      <c r="E26" s="159" t="s">
        <v>67</v>
      </c>
      <c r="F26" s="159" t="s">
        <v>750</v>
      </c>
      <c r="G26" s="160" t="s">
        <v>484</v>
      </c>
      <c r="H26" s="161" t="s">
        <v>865</v>
      </c>
      <c r="I26" s="162">
        <v>403</v>
      </c>
      <c r="J26" s="159">
        <v>114.4</v>
      </c>
      <c r="K26" s="163">
        <v>113.5</v>
      </c>
      <c r="L26" s="164">
        <f t="shared" si="0"/>
        <v>227.9</v>
      </c>
      <c r="M26" s="165">
        <f t="shared" si="1"/>
        <v>0.56550868486352357</v>
      </c>
      <c r="N26" s="122"/>
    </row>
    <row r="27" spans="2:14" x14ac:dyDescent="0.25">
      <c r="B27" s="121"/>
      <c r="C27" s="159">
        <v>33</v>
      </c>
      <c r="D27" s="159">
        <v>7</v>
      </c>
      <c r="E27" s="159" t="s">
        <v>67</v>
      </c>
      <c r="F27" s="159" t="s">
        <v>750</v>
      </c>
      <c r="G27" s="160" t="s">
        <v>484</v>
      </c>
      <c r="H27" s="161" t="s">
        <v>866</v>
      </c>
      <c r="I27" s="162">
        <v>453</v>
      </c>
      <c r="J27" s="159">
        <v>131.19999999999999</v>
      </c>
      <c r="K27" s="163">
        <v>132.4</v>
      </c>
      <c r="L27" s="164">
        <f t="shared" si="0"/>
        <v>263.60000000000002</v>
      </c>
      <c r="M27" s="165">
        <f t="shared" si="1"/>
        <v>0.58189845474613688</v>
      </c>
      <c r="N27" s="122"/>
    </row>
    <row r="28" spans="2:14" x14ac:dyDescent="0.25">
      <c r="B28" s="121"/>
      <c r="C28" s="159">
        <v>34</v>
      </c>
      <c r="D28" s="159">
        <v>3</v>
      </c>
      <c r="E28" s="159" t="s">
        <v>68</v>
      </c>
      <c r="F28" s="159" t="s">
        <v>750</v>
      </c>
      <c r="G28" s="160" t="s">
        <v>484</v>
      </c>
      <c r="H28" s="161" t="s">
        <v>867</v>
      </c>
      <c r="I28" s="162">
        <v>412</v>
      </c>
      <c r="J28" s="159">
        <v>111.6</v>
      </c>
      <c r="K28" s="163">
        <v>110.5</v>
      </c>
      <c r="L28" s="164">
        <f t="shared" si="0"/>
        <v>222.1</v>
      </c>
      <c r="M28" s="165">
        <f t="shared" si="1"/>
        <v>0.53907766990291262</v>
      </c>
      <c r="N28" s="122"/>
    </row>
    <row r="29" spans="2:14" x14ac:dyDescent="0.25">
      <c r="B29" s="121"/>
      <c r="C29" s="160">
        <v>35</v>
      </c>
      <c r="D29" s="160">
        <v>4</v>
      </c>
      <c r="E29" s="160" t="s">
        <v>75</v>
      </c>
      <c r="F29" s="159" t="s">
        <v>750</v>
      </c>
      <c r="G29" s="160" t="s">
        <v>485</v>
      </c>
      <c r="H29" s="161" t="s">
        <v>868</v>
      </c>
      <c r="I29" s="162">
        <v>728</v>
      </c>
      <c r="J29" s="159">
        <v>237</v>
      </c>
      <c r="K29" s="163">
        <v>235.3</v>
      </c>
      <c r="L29" s="164">
        <f t="shared" si="0"/>
        <v>472.3</v>
      </c>
      <c r="M29" s="165">
        <f t="shared" si="1"/>
        <v>0.64876373626373629</v>
      </c>
      <c r="N29" s="122"/>
    </row>
    <row r="30" spans="2:14" x14ac:dyDescent="0.25">
      <c r="B30" s="121"/>
      <c r="C30" s="160">
        <v>36</v>
      </c>
      <c r="D30" s="160">
        <v>12</v>
      </c>
      <c r="E30" s="160" t="s">
        <v>68</v>
      </c>
      <c r="F30" s="159" t="s">
        <v>750</v>
      </c>
      <c r="G30" s="160" t="s">
        <v>484</v>
      </c>
      <c r="H30" s="161" t="s">
        <v>869</v>
      </c>
      <c r="I30" s="162">
        <v>410</v>
      </c>
      <c r="J30" s="159">
        <v>112.5</v>
      </c>
      <c r="K30" s="163">
        <v>113.3</v>
      </c>
      <c r="L30" s="164">
        <f t="shared" si="0"/>
        <v>225.8</v>
      </c>
      <c r="M30" s="165">
        <f t="shared" si="1"/>
        <v>0.55073170731707322</v>
      </c>
      <c r="N30" s="122"/>
    </row>
    <row r="31" spans="2:14" x14ac:dyDescent="0.25">
      <c r="B31" s="121"/>
      <c r="C31" s="159">
        <v>37</v>
      </c>
      <c r="D31" s="159">
        <v>11</v>
      </c>
      <c r="E31" s="159" t="s">
        <v>75</v>
      </c>
      <c r="F31" s="159" t="s">
        <v>750</v>
      </c>
      <c r="G31" s="160" t="s">
        <v>485</v>
      </c>
      <c r="H31" s="161" t="s">
        <v>870</v>
      </c>
      <c r="I31" s="162">
        <v>688</v>
      </c>
      <c r="J31" s="159">
        <v>207.5</v>
      </c>
      <c r="K31" s="163">
        <v>205.7</v>
      </c>
      <c r="L31" s="164">
        <f t="shared" si="0"/>
        <v>413.2</v>
      </c>
      <c r="M31" s="165">
        <f t="shared" si="1"/>
        <v>0.60058139534883714</v>
      </c>
      <c r="N31" s="122"/>
    </row>
    <row r="32" spans="2:14" x14ac:dyDescent="0.25">
      <c r="B32" s="121"/>
      <c r="C32" s="159">
        <v>38</v>
      </c>
      <c r="D32" s="159">
        <v>15</v>
      </c>
      <c r="E32" s="159" t="s">
        <v>75</v>
      </c>
      <c r="F32" s="159" t="s">
        <v>750</v>
      </c>
      <c r="G32" s="160" t="s">
        <v>484</v>
      </c>
      <c r="H32" s="161" t="s">
        <v>871</v>
      </c>
      <c r="I32" s="162">
        <v>447</v>
      </c>
      <c r="J32" s="159">
        <v>130.6</v>
      </c>
      <c r="K32" s="163">
        <v>130.5</v>
      </c>
      <c r="L32" s="164">
        <f t="shared" si="0"/>
        <v>261.10000000000002</v>
      </c>
      <c r="M32" s="165">
        <f t="shared" si="1"/>
        <v>0.58411633109619687</v>
      </c>
      <c r="N32" s="122"/>
    </row>
    <row r="33" spans="2:14" x14ac:dyDescent="0.25">
      <c r="B33" s="121"/>
      <c r="C33" s="160">
        <v>39</v>
      </c>
      <c r="D33" s="160">
        <v>9</v>
      </c>
      <c r="E33" s="160" t="s">
        <v>67</v>
      </c>
      <c r="F33" s="159" t="s">
        <v>750</v>
      </c>
      <c r="G33" s="160" t="s">
        <v>484</v>
      </c>
      <c r="H33" s="161" t="s">
        <v>872</v>
      </c>
      <c r="I33" s="162">
        <v>400</v>
      </c>
      <c r="J33" s="159">
        <v>114.6</v>
      </c>
      <c r="K33" s="163">
        <v>114.2</v>
      </c>
      <c r="L33" s="164">
        <f t="shared" si="0"/>
        <v>228.8</v>
      </c>
      <c r="M33" s="165">
        <f t="shared" si="1"/>
        <v>0.57200000000000006</v>
      </c>
      <c r="N33" s="122"/>
    </row>
    <row r="34" spans="2:14" x14ac:dyDescent="0.25">
      <c r="B34" s="121"/>
      <c r="C34" s="159">
        <v>40</v>
      </c>
      <c r="D34" s="159">
        <v>14</v>
      </c>
      <c r="E34" s="159" t="s">
        <v>67</v>
      </c>
      <c r="F34" s="159" t="s">
        <v>750</v>
      </c>
      <c r="G34" s="160" t="s">
        <v>484</v>
      </c>
      <c r="H34" s="161" t="s">
        <v>873</v>
      </c>
      <c r="I34" s="162">
        <v>412</v>
      </c>
      <c r="J34" s="159">
        <v>116.2</v>
      </c>
      <c r="K34" s="166">
        <v>115</v>
      </c>
      <c r="L34" s="164">
        <f t="shared" si="0"/>
        <v>231.2</v>
      </c>
      <c r="M34" s="167">
        <f t="shared" si="1"/>
        <v>0.56116504854368932</v>
      </c>
      <c r="N34" s="122"/>
    </row>
    <row r="35" spans="2:14" x14ac:dyDescent="0.25">
      <c r="B35" s="121"/>
      <c r="C35" s="159">
        <v>41</v>
      </c>
      <c r="D35" s="159">
        <v>2</v>
      </c>
      <c r="E35" s="159" t="s">
        <v>67</v>
      </c>
      <c r="F35" s="159" t="s">
        <v>750</v>
      </c>
      <c r="G35" s="160" t="s">
        <v>484</v>
      </c>
      <c r="H35" s="161" t="s">
        <v>874</v>
      </c>
      <c r="I35" s="162">
        <v>400</v>
      </c>
      <c r="J35" s="159">
        <v>111</v>
      </c>
      <c r="K35" s="163">
        <v>110.1</v>
      </c>
      <c r="L35" s="164">
        <f t="shared" si="0"/>
        <v>221.1</v>
      </c>
      <c r="M35" s="165">
        <f t="shared" si="1"/>
        <v>0.55274999999999996</v>
      </c>
      <c r="N35" s="122"/>
    </row>
    <row r="36" spans="2:14" x14ac:dyDescent="0.25">
      <c r="B36" s="121"/>
      <c r="C36" s="159">
        <v>42</v>
      </c>
      <c r="D36" s="159">
        <v>6</v>
      </c>
      <c r="E36" s="159" t="s">
        <v>67</v>
      </c>
      <c r="F36" s="159" t="s">
        <v>750</v>
      </c>
      <c r="G36" s="160" t="s">
        <v>485</v>
      </c>
      <c r="H36" s="161" t="s">
        <v>875</v>
      </c>
      <c r="I36" s="162">
        <v>688</v>
      </c>
      <c r="J36" s="159">
        <v>203</v>
      </c>
      <c r="K36" s="163">
        <v>204.3</v>
      </c>
      <c r="L36" s="164">
        <f t="shared" si="0"/>
        <v>407.3</v>
      </c>
      <c r="M36" s="165">
        <f t="shared" si="1"/>
        <v>0.59200581395348839</v>
      </c>
      <c r="N36" s="122"/>
    </row>
    <row r="37" spans="2:14" x14ac:dyDescent="0.25">
      <c r="B37" s="121"/>
      <c r="C37" s="159">
        <v>43</v>
      </c>
      <c r="D37" s="159">
        <v>8</v>
      </c>
      <c r="E37" s="159" t="s">
        <v>68</v>
      </c>
      <c r="F37" s="159" t="s">
        <v>750</v>
      </c>
      <c r="G37" s="160" t="s">
        <v>484</v>
      </c>
      <c r="H37" s="161" t="s">
        <v>876</v>
      </c>
      <c r="I37" s="162">
        <v>375</v>
      </c>
      <c r="J37" s="159">
        <v>104.7</v>
      </c>
      <c r="K37" s="163">
        <v>105</v>
      </c>
      <c r="L37" s="164">
        <f t="shared" si="0"/>
        <v>209.7</v>
      </c>
      <c r="M37" s="165">
        <f t="shared" si="1"/>
        <v>0.55919999999999992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40"/>
      <c r="D66" s="240">
        <f>+COUNT($D$22:$D$65)</f>
        <v>15</v>
      </c>
      <c r="E66" s="240"/>
      <c r="F66" s="373"/>
      <c r="G66" s="373"/>
      <c r="H66" s="149"/>
      <c r="I66" s="148">
        <f>SUM($I$22:$I$65)</f>
        <v>7438</v>
      </c>
      <c r="J66" s="150">
        <f>SUM($J$22:$J$65)</f>
        <v>2158.2999999999993</v>
      </c>
      <c r="K66" s="151">
        <f>SUM($K$22:$K$65)</f>
        <v>2148.8999999999996</v>
      </c>
      <c r="L66" s="148">
        <f>SUM($L$22:$L$65)</f>
        <v>4307.2</v>
      </c>
      <c r="M66" s="178">
        <f t="shared" si="1"/>
        <v>0.57908039795643984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/>
      <c r="I71" s="119"/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/>
      <c r="I72" s="119"/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/>
      <c r="I73" s="119"/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/>
      <c r="I74" s="119"/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/>
      <c r="I75" s="119"/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/>
      <c r="I76" s="119"/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/>
      <c r="I77" s="119"/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/>
      <c r="I78" s="119"/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/>
      <c r="I79" s="119"/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/>
      <c r="I80" s="119"/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/>
      <c r="I81" s="119"/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/>
      <c r="I82" s="119"/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/>
      <c r="I83" s="119"/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0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15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70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G70" zoomScale="90" zoomScaleNormal="90" workbookViewId="0">
      <selection activeCell="E13" sqref="E13:F13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0.58229282381692971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174.72666666666672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338</v>
      </c>
      <c r="F8" s="344"/>
      <c r="G8" s="344"/>
      <c r="H8" s="345"/>
      <c r="I8" s="146" t="s">
        <v>487</v>
      </c>
      <c r="J8" s="346" t="s">
        <v>748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28012</v>
      </c>
      <c r="F9" s="344"/>
      <c r="G9" s="344"/>
      <c r="H9" s="345"/>
      <c r="I9" s="146" t="s">
        <v>88</v>
      </c>
      <c r="J9" s="209" t="s">
        <v>917</v>
      </c>
      <c r="K9" s="244" t="s">
        <v>490</v>
      </c>
      <c r="L9" s="369">
        <v>417918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45" t="s">
        <v>569</v>
      </c>
      <c r="E12" s="384">
        <v>46048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37</v>
      </c>
      <c r="F13" s="349"/>
      <c r="H13" s="117"/>
      <c r="I13" s="123"/>
      <c r="J13" s="215" t="s">
        <v>483</v>
      </c>
      <c r="K13" s="246">
        <f>+COUNTIF($G$22:$G$66,"VQ")*2</f>
        <v>0</v>
      </c>
      <c r="L13" s="246">
        <f>+SUMIF($G$23:$G$65,"VQ",$L$23:$L$65)</f>
        <v>0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15</v>
      </c>
      <c r="F14" s="350"/>
      <c r="H14" s="117"/>
      <c r="I14" s="123"/>
      <c r="J14" s="215" t="s">
        <v>42</v>
      </c>
      <c r="K14" s="246">
        <f>+COUNTIF($G$22:$G$66,"NT")*2</f>
        <v>0</v>
      </c>
      <c r="L14" s="246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4501</v>
      </c>
      <c r="F15" s="350"/>
      <c r="H15" s="117"/>
      <c r="I15" s="123"/>
      <c r="J15" s="215" t="s">
        <v>484</v>
      </c>
      <c r="K15" s="246">
        <f>+COUNTIF($G$22:$G$66,"NO")*2</f>
        <v>20</v>
      </c>
      <c r="L15" s="246">
        <f>+SUMIF($G$23:$G$65,"NO",$L$23:$L$65)</f>
        <v>1745.3999999999999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2620.9000000000005</v>
      </c>
      <c r="F16" s="350"/>
      <c r="H16" s="117"/>
      <c r="I16" s="123"/>
      <c r="J16" s="215" t="s">
        <v>485</v>
      </c>
      <c r="K16" s="246">
        <f>+COUNTIF($G$22:$G$66,"TO")*2</f>
        <v>0</v>
      </c>
      <c r="L16" s="246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0.58229282381692971</v>
      </c>
      <c r="F17" s="350"/>
      <c r="G17" s="124"/>
      <c r="H17" s="125"/>
      <c r="I17" s="123"/>
      <c r="J17" s="215" t="s">
        <v>486</v>
      </c>
      <c r="K17" s="246">
        <f>+COUNTIF($G$22:$G$66,"VA")*2</f>
        <v>0</v>
      </c>
      <c r="L17" s="246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174.72666666666672</v>
      </c>
      <c r="F18" s="353"/>
      <c r="G18" s="124"/>
      <c r="H18" s="125"/>
      <c r="I18" s="123"/>
      <c r="J18" s="215" t="s">
        <v>44</v>
      </c>
      <c r="K18" s="246">
        <f>+COUNTIF($G$22:$G$66,"MEJ")*2</f>
        <v>10</v>
      </c>
      <c r="L18" s="246">
        <f>+SUMIF($G$23:$G$65,"MEJ",$L$23:$L$65)</f>
        <v>875.50000000000011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</v>
      </c>
      <c r="D23" s="152">
        <v>10</v>
      </c>
      <c r="E23" s="152" t="s">
        <v>67</v>
      </c>
      <c r="F23" s="152" t="s">
        <v>750</v>
      </c>
      <c r="G23" s="153" t="s">
        <v>484</v>
      </c>
      <c r="H23" s="154" t="s">
        <v>903</v>
      </c>
      <c r="I23" s="155">
        <v>348</v>
      </c>
      <c r="J23" s="152">
        <v>99</v>
      </c>
      <c r="K23" s="156">
        <v>99.8</v>
      </c>
      <c r="L23" s="157">
        <f t="shared" ref="L23:L65" si="0">+J23+K23</f>
        <v>198.8</v>
      </c>
      <c r="M23" s="158">
        <f t="shared" ref="M23:M66" si="1">+L23/I23</f>
        <v>0.57126436781609202</v>
      </c>
      <c r="N23" s="122"/>
    </row>
    <row r="24" spans="2:14" x14ac:dyDescent="0.25">
      <c r="B24" s="121"/>
      <c r="C24" s="159">
        <v>2</v>
      </c>
      <c r="D24" s="159">
        <v>1</v>
      </c>
      <c r="E24" s="159" t="s">
        <v>67</v>
      </c>
      <c r="F24" s="159" t="s">
        <v>750</v>
      </c>
      <c r="G24" s="160" t="s">
        <v>484</v>
      </c>
      <c r="H24" s="161" t="s">
        <v>904</v>
      </c>
      <c r="I24" s="162">
        <v>316</v>
      </c>
      <c r="J24" s="159">
        <v>88.4</v>
      </c>
      <c r="K24" s="163">
        <v>88.8</v>
      </c>
      <c r="L24" s="164">
        <f t="shared" si="0"/>
        <v>177.2</v>
      </c>
      <c r="M24" s="165">
        <f t="shared" si="1"/>
        <v>0.56075949367088607</v>
      </c>
      <c r="N24" s="122"/>
    </row>
    <row r="25" spans="2:14" x14ac:dyDescent="0.25">
      <c r="B25" s="121"/>
      <c r="C25" s="159">
        <v>3</v>
      </c>
      <c r="D25" s="159">
        <v>5</v>
      </c>
      <c r="E25" s="159" t="s">
        <v>68</v>
      </c>
      <c r="F25" s="159" t="s">
        <v>526</v>
      </c>
      <c r="G25" s="160" t="s">
        <v>44</v>
      </c>
      <c r="H25" s="161" t="s">
        <v>905</v>
      </c>
      <c r="I25" s="162">
        <v>338</v>
      </c>
      <c r="J25" s="159">
        <v>99</v>
      </c>
      <c r="K25" s="163">
        <v>99.6</v>
      </c>
      <c r="L25" s="164">
        <f t="shared" si="0"/>
        <v>198.6</v>
      </c>
      <c r="M25" s="165">
        <f t="shared" si="1"/>
        <v>0.58757396449704136</v>
      </c>
      <c r="N25" s="122"/>
    </row>
    <row r="26" spans="2:14" x14ac:dyDescent="0.25">
      <c r="B26" s="121"/>
      <c r="C26" s="159">
        <v>4</v>
      </c>
      <c r="D26" s="159">
        <v>15</v>
      </c>
      <c r="E26" s="159" t="s">
        <v>68</v>
      </c>
      <c r="F26" s="159" t="s">
        <v>526</v>
      </c>
      <c r="G26" s="160" t="s">
        <v>44</v>
      </c>
      <c r="H26" s="161" t="s">
        <v>906</v>
      </c>
      <c r="I26" s="162">
        <v>286</v>
      </c>
      <c r="J26" s="159">
        <v>83.6</v>
      </c>
      <c r="K26" s="163">
        <v>83.4</v>
      </c>
      <c r="L26" s="164">
        <f t="shared" si="0"/>
        <v>167</v>
      </c>
      <c r="M26" s="165">
        <f t="shared" si="1"/>
        <v>0.58391608391608396</v>
      </c>
      <c r="N26" s="122"/>
    </row>
    <row r="27" spans="2:14" x14ac:dyDescent="0.25">
      <c r="B27" s="121"/>
      <c r="C27" s="159">
        <v>5</v>
      </c>
      <c r="D27" s="159">
        <v>2</v>
      </c>
      <c r="E27" s="159" t="s">
        <v>75</v>
      </c>
      <c r="F27" s="159" t="s">
        <v>526</v>
      </c>
      <c r="G27" s="160" t="s">
        <v>44</v>
      </c>
      <c r="H27" s="161" t="s">
        <v>907</v>
      </c>
      <c r="I27" s="162">
        <v>319</v>
      </c>
      <c r="J27" s="159">
        <v>92.1</v>
      </c>
      <c r="K27" s="163">
        <v>93</v>
      </c>
      <c r="L27" s="164">
        <f t="shared" si="0"/>
        <v>185.1</v>
      </c>
      <c r="M27" s="165">
        <f t="shared" si="1"/>
        <v>0.58025078369905958</v>
      </c>
      <c r="N27" s="122"/>
    </row>
    <row r="28" spans="2:14" x14ac:dyDescent="0.25">
      <c r="B28" s="121"/>
      <c r="C28" s="159">
        <v>6</v>
      </c>
      <c r="D28" s="159">
        <v>11</v>
      </c>
      <c r="E28" s="159" t="s">
        <v>67</v>
      </c>
      <c r="F28" s="159" t="s">
        <v>750</v>
      </c>
      <c r="G28" s="160" t="s">
        <v>484</v>
      </c>
      <c r="H28" s="161" t="s">
        <v>908</v>
      </c>
      <c r="I28" s="162">
        <v>273</v>
      </c>
      <c r="J28" s="159">
        <v>77.7</v>
      </c>
      <c r="K28" s="163">
        <v>79.599999999999994</v>
      </c>
      <c r="L28" s="164">
        <f t="shared" si="0"/>
        <v>157.30000000000001</v>
      </c>
      <c r="M28" s="165">
        <f t="shared" si="1"/>
        <v>0.57619047619047625</v>
      </c>
      <c r="N28" s="122"/>
    </row>
    <row r="29" spans="2:14" x14ac:dyDescent="0.25">
      <c r="B29" s="121"/>
      <c r="C29" s="160">
        <v>7</v>
      </c>
      <c r="D29" s="160">
        <v>13</v>
      </c>
      <c r="E29" s="160" t="s">
        <v>67</v>
      </c>
      <c r="F29" s="159" t="s">
        <v>750</v>
      </c>
      <c r="G29" s="160" t="s">
        <v>484</v>
      </c>
      <c r="H29" s="161" t="s">
        <v>201</v>
      </c>
      <c r="I29" s="162">
        <v>295</v>
      </c>
      <c r="J29" s="159">
        <v>84.7</v>
      </c>
      <c r="K29" s="163">
        <v>84.3</v>
      </c>
      <c r="L29" s="164">
        <f t="shared" si="0"/>
        <v>169</v>
      </c>
      <c r="M29" s="165">
        <f t="shared" si="1"/>
        <v>0.57288135593220335</v>
      </c>
      <c r="N29" s="122"/>
    </row>
    <row r="30" spans="2:14" x14ac:dyDescent="0.25">
      <c r="B30" s="121"/>
      <c r="C30" s="160">
        <v>8</v>
      </c>
      <c r="D30" s="160">
        <v>9</v>
      </c>
      <c r="E30" s="160" t="s">
        <v>67</v>
      </c>
      <c r="F30" s="160" t="s">
        <v>526</v>
      </c>
      <c r="G30" s="160" t="s">
        <v>44</v>
      </c>
      <c r="H30" s="161" t="s">
        <v>909</v>
      </c>
      <c r="I30" s="162">
        <v>264</v>
      </c>
      <c r="J30" s="159">
        <v>78.400000000000006</v>
      </c>
      <c r="K30" s="163">
        <v>78.8</v>
      </c>
      <c r="L30" s="164">
        <f t="shared" si="0"/>
        <v>157.19999999999999</v>
      </c>
      <c r="M30" s="165">
        <f t="shared" si="1"/>
        <v>0.59545454545454546</v>
      </c>
      <c r="N30" s="122"/>
    </row>
    <row r="31" spans="2:14" x14ac:dyDescent="0.25">
      <c r="B31" s="121"/>
      <c r="C31" s="159">
        <v>9</v>
      </c>
      <c r="D31" s="159">
        <v>3</v>
      </c>
      <c r="E31" s="159" t="s">
        <v>68</v>
      </c>
      <c r="F31" s="159" t="s">
        <v>526</v>
      </c>
      <c r="G31" s="160" t="s">
        <v>44</v>
      </c>
      <c r="H31" s="161" t="s">
        <v>910</v>
      </c>
      <c r="I31" s="162">
        <v>287</v>
      </c>
      <c r="J31" s="159">
        <v>83.4</v>
      </c>
      <c r="K31" s="163">
        <v>84.2</v>
      </c>
      <c r="L31" s="164">
        <f t="shared" si="0"/>
        <v>167.60000000000002</v>
      </c>
      <c r="M31" s="165">
        <f t="shared" si="1"/>
        <v>0.58397212543554011</v>
      </c>
      <c r="N31" s="122"/>
    </row>
    <row r="32" spans="2:14" x14ac:dyDescent="0.25">
      <c r="B32" s="121"/>
      <c r="C32" s="159">
        <v>10</v>
      </c>
      <c r="D32" s="159">
        <v>6</v>
      </c>
      <c r="E32" s="159" t="s">
        <v>67</v>
      </c>
      <c r="F32" s="159" t="s">
        <v>750</v>
      </c>
      <c r="G32" s="160" t="s">
        <v>484</v>
      </c>
      <c r="H32" s="161" t="s">
        <v>911</v>
      </c>
      <c r="I32" s="162">
        <v>311</v>
      </c>
      <c r="J32" s="159">
        <v>91.4</v>
      </c>
      <c r="K32" s="163">
        <v>91</v>
      </c>
      <c r="L32" s="164">
        <f t="shared" si="0"/>
        <v>182.4</v>
      </c>
      <c r="M32" s="165">
        <f t="shared" si="1"/>
        <v>0.58649517684887464</v>
      </c>
      <c r="N32" s="122"/>
    </row>
    <row r="33" spans="2:14" x14ac:dyDescent="0.25">
      <c r="B33" s="121"/>
      <c r="C33" s="160">
        <v>11</v>
      </c>
      <c r="D33" s="160">
        <v>4</v>
      </c>
      <c r="E33" s="160" t="s">
        <v>67</v>
      </c>
      <c r="F33" s="159" t="s">
        <v>750</v>
      </c>
      <c r="G33" s="160" t="s">
        <v>484</v>
      </c>
      <c r="H33" s="161" t="s">
        <v>912</v>
      </c>
      <c r="I33" s="162">
        <v>286</v>
      </c>
      <c r="J33" s="159">
        <v>83.4</v>
      </c>
      <c r="K33" s="163">
        <v>84.9</v>
      </c>
      <c r="L33" s="164">
        <f t="shared" si="0"/>
        <v>168.3</v>
      </c>
      <c r="M33" s="165">
        <f t="shared" si="1"/>
        <v>0.58846153846153848</v>
      </c>
      <c r="N33" s="122"/>
    </row>
    <row r="34" spans="2:14" x14ac:dyDescent="0.25">
      <c r="B34" s="121"/>
      <c r="C34" s="159">
        <v>12</v>
      </c>
      <c r="D34" s="159">
        <v>8</v>
      </c>
      <c r="E34" s="159" t="s">
        <v>67</v>
      </c>
      <c r="F34" s="159" t="s">
        <v>750</v>
      </c>
      <c r="G34" s="160" t="s">
        <v>484</v>
      </c>
      <c r="H34" s="161" t="s">
        <v>913</v>
      </c>
      <c r="I34" s="162">
        <v>296</v>
      </c>
      <c r="J34" s="159">
        <v>83.1</v>
      </c>
      <c r="K34" s="166">
        <v>84</v>
      </c>
      <c r="L34" s="164">
        <f t="shared" si="0"/>
        <v>167.1</v>
      </c>
      <c r="M34" s="167">
        <f t="shared" si="1"/>
        <v>0.56452702702702706</v>
      </c>
      <c r="N34" s="122"/>
    </row>
    <row r="35" spans="2:14" x14ac:dyDescent="0.25">
      <c r="B35" s="121"/>
      <c r="C35" s="159">
        <v>13</v>
      </c>
      <c r="D35" s="159">
        <v>14</v>
      </c>
      <c r="E35" s="159" t="s">
        <v>75</v>
      </c>
      <c r="F35" s="159" t="s">
        <v>750</v>
      </c>
      <c r="G35" s="160" t="s">
        <v>484</v>
      </c>
      <c r="H35" s="161" t="s">
        <v>914</v>
      </c>
      <c r="I35" s="162">
        <v>340</v>
      </c>
      <c r="J35" s="159">
        <v>100.6</v>
      </c>
      <c r="K35" s="163">
        <v>102.5</v>
      </c>
      <c r="L35" s="164">
        <f t="shared" si="0"/>
        <v>203.1</v>
      </c>
      <c r="M35" s="165">
        <f t="shared" si="1"/>
        <v>0.59735294117647053</v>
      </c>
      <c r="N35" s="122"/>
    </row>
    <row r="36" spans="2:14" x14ac:dyDescent="0.25">
      <c r="B36" s="121"/>
      <c r="C36" s="159">
        <v>14</v>
      </c>
      <c r="D36" s="159">
        <v>12</v>
      </c>
      <c r="E36" s="159" t="s">
        <v>68</v>
      </c>
      <c r="F36" s="159" t="s">
        <v>750</v>
      </c>
      <c r="G36" s="160" t="s">
        <v>484</v>
      </c>
      <c r="H36" s="161" t="s">
        <v>915</v>
      </c>
      <c r="I36" s="162">
        <v>276</v>
      </c>
      <c r="J36" s="159">
        <v>83</v>
      </c>
      <c r="K36" s="163">
        <v>82.9</v>
      </c>
      <c r="L36" s="164">
        <f t="shared" si="0"/>
        <v>165.9</v>
      </c>
      <c r="M36" s="165">
        <f t="shared" si="1"/>
        <v>0.60108695652173916</v>
      </c>
      <c r="N36" s="122"/>
    </row>
    <row r="37" spans="2:14" x14ac:dyDescent="0.25">
      <c r="B37" s="121"/>
      <c r="C37" s="159">
        <v>15</v>
      </c>
      <c r="D37" s="159">
        <v>7</v>
      </c>
      <c r="E37" s="159" t="s">
        <v>67</v>
      </c>
      <c r="F37" s="159" t="s">
        <v>750</v>
      </c>
      <c r="G37" s="160" t="s">
        <v>484</v>
      </c>
      <c r="H37" s="161" t="s">
        <v>916</v>
      </c>
      <c r="I37" s="162">
        <v>266</v>
      </c>
      <c r="J37" s="159">
        <v>78</v>
      </c>
      <c r="K37" s="163">
        <v>78.3</v>
      </c>
      <c r="L37" s="164">
        <f t="shared" si="0"/>
        <v>156.30000000000001</v>
      </c>
      <c r="M37" s="165">
        <f t="shared" si="1"/>
        <v>0.58759398496240611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47"/>
      <c r="D66" s="247">
        <f>+COUNT($D$22:$D$65)</f>
        <v>15</v>
      </c>
      <c r="E66" s="247"/>
      <c r="F66" s="373"/>
      <c r="G66" s="373"/>
      <c r="H66" s="149"/>
      <c r="I66" s="148">
        <f>SUM($I$22:$I$65)</f>
        <v>4501</v>
      </c>
      <c r="J66" s="150">
        <f>SUM($J$22:$J$65)</f>
        <v>1305.8</v>
      </c>
      <c r="K66" s="151">
        <f>SUM($K$22:$K$65)</f>
        <v>1315.1000000000001</v>
      </c>
      <c r="L66" s="148">
        <f>SUM($L$22:$L$65)</f>
        <v>2620.9000000000005</v>
      </c>
      <c r="M66" s="178">
        <f t="shared" si="1"/>
        <v>0.58229282381692971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22.08</v>
      </c>
      <c r="I71" s="119">
        <v>21.16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15</v>
      </c>
      <c r="I72" s="119">
        <v>19.8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13</v>
      </c>
      <c r="I73" s="119">
        <v>46.800000000000004</v>
      </c>
      <c r="J73" s="181">
        <v>2</v>
      </c>
      <c r="K73" s="185">
        <v>4.0999999999999996</v>
      </c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15</v>
      </c>
      <c r="I74" s="119">
        <v>13.58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12.6</v>
      </c>
      <c r="I75" s="119">
        <v>12.12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28</v>
      </c>
      <c r="I76" s="119">
        <v>9.84</v>
      </c>
      <c r="J76" s="181">
        <v>2</v>
      </c>
      <c r="K76" s="185">
        <f>0.35*J76</f>
        <v>0.7</v>
      </c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60</v>
      </c>
      <c r="I77" s="119">
        <v>8.0399999999999991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15</v>
      </c>
      <c r="I78" s="119">
        <v>9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15</v>
      </c>
      <c r="I79" s="119">
        <v>8.82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16.940000000000001</v>
      </c>
      <c r="I80" s="119">
        <v>16.14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15</v>
      </c>
      <c r="I81" s="119">
        <v>11.68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15</v>
      </c>
      <c r="I82" s="119">
        <v>4.5199999999999996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7.44</v>
      </c>
      <c r="I83" s="119">
        <v>6.94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188.44000000000003</v>
      </c>
      <c r="J84" s="187">
        <f>SUM(J71:J83)</f>
        <v>4</v>
      </c>
      <c r="K84" s="186">
        <f>SUM(K71:K83)</f>
        <v>4.8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15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69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E13" sqref="E13:F13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0.56404204885087084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210.49615384615385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396</v>
      </c>
      <c r="F8" s="344"/>
      <c r="G8" s="344"/>
      <c r="H8" s="345"/>
      <c r="I8" s="146" t="s">
        <v>487</v>
      </c>
      <c r="J8" s="346" t="s">
        <v>563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69057</v>
      </c>
      <c r="F9" s="344"/>
      <c r="G9" s="344"/>
      <c r="H9" s="345"/>
      <c r="I9" s="146" t="s">
        <v>88</v>
      </c>
      <c r="J9" s="209" t="s">
        <v>880</v>
      </c>
      <c r="K9" s="244" t="s">
        <v>490</v>
      </c>
      <c r="L9" s="369">
        <v>2600416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45" t="s">
        <v>569</v>
      </c>
      <c r="E12" s="384">
        <v>46048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38</v>
      </c>
      <c r="F13" s="349"/>
      <c r="H13" s="117"/>
      <c r="I13" s="123"/>
      <c r="J13" s="215" t="s">
        <v>483</v>
      </c>
      <c r="K13" s="246">
        <f>+COUNTIF($G$22:$G$66,"VQ")*2</f>
        <v>14</v>
      </c>
      <c r="L13" s="246">
        <f>+SUMIF($G$23:$G$65,"VQ",$L$23:$L$65)</f>
        <v>1267.9000000000001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26</v>
      </c>
      <c r="F14" s="350"/>
      <c r="H14" s="117"/>
      <c r="I14" s="123"/>
      <c r="J14" s="215" t="s">
        <v>42</v>
      </c>
      <c r="K14" s="246">
        <f>+COUNTIF($G$22:$G$66,"NT")*2</f>
        <v>36</v>
      </c>
      <c r="L14" s="246">
        <f>+SUMIF($G$23:$G$65,"NT",$L$23:$L$65)</f>
        <v>3867.3999999999996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9703</v>
      </c>
      <c r="F15" s="350"/>
      <c r="H15" s="117"/>
      <c r="I15" s="123"/>
      <c r="J15" s="215" t="s">
        <v>484</v>
      </c>
      <c r="K15" s="246">
        <f>+COUNTIF($G$22:$G$66,"NO")*2</f>
        <v>0</v>
      </c>
      <c r="L15" s="246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5472.9</v>
      </c>
      <c r="F16" s="350"/>
      <c r="H16" s="117"/>
      <c r="I16" s="123"/>
      <c r="J16" s="215" t="s">
        <v>485</v>
      </c>
      <c r="K16" s="246">
        <f>+COUNTIF($G$22:$G$66,"TO")*2</f>
        <v>0</v>
      </c>
      <c r="L16" s="246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0.56404204885087084</v>
      </c>
      <c r="F17" s="350"/>
      <c r="G17" s="124"/>
      <c r="H17" s="125"/>
      <c r="I17" s="123"/>
      <c r="J17" s="215" t="s">
        <v>486</v>
      </c>
      <c r="K17" s="246">
        <f>+COUNTIF($G$22:$G$66,"VA")*2</f>
        <v>2</v>
      </c>
      <c r="L17" s="246">
        <f>+SUMIF($G$23:$G$65,"VA",$L$23:$L$65)</f>
        <v>337.6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210.49615384615385</v>
      </c>
      <c r="F18" s="353"/>
      <c r="G18" s="124"/>
      <c r="H18" s="125"/>
      <c r="I18" s="123"/>
      <c r="J18" s="215" t="s">
        <v>44</v>
      </c>
      <c r="K18" s="246">
        <f>+COUNTIF($G$22:$G$66,"MEJ")*2</f>
        <v>0</v>
      </c>
      <c r="L18" s="246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16</v>
      </c>
      <c r="D23" s="152">
        <v>21</v>
      </c>
      <c r="E23" s="152" t="s">
        <v>75</v>
      </c>
      <c r="F23" s="152" t="s">
        <v>527</v>
      </c>
      <c r="G23" s="153" t="s">
        <v>42</v>
      </c>
      <c r="H23" s="154" t="s">
        <v>881</v>
      </c>
      <c r="I23" s="155">
        <v>339</v>
      </c>
      <c r="J23" s="152">
        <v>96</v>
      </c>
      <c r="K23" s="156">
        <v>96.2</v>
      </c>
      <c r="L23" s="157">
        <f t="shared" ref="L23:L65" si="0">+J23+K23</f>
        <v>192.2</v>
      </c>
      <c r="M23" s="158">
        <f t="shared" ref="M23:M66" si="1">+L23/I23</f>
        <v>0.56696165191740411</v>
      </c>
      <c r="N23" s="122"/>
    </row>
    <row r="24" spans="2:14" x14ac:dyDescent="0.25">
      <c r="B24" s="121"/>
      <c r="C24" s="159">
        <v>17</v>
      </c>
      <c r="D24" s="159">
        <v>4</v>
      </c>
      <c r="E24" s="159" t="s">
        <v>68</v>
      </c>
      <c r="F24" s="159" t="s">
        <v>526</v>
      </c>
      <c r="G24" s="160" t="s">
        <v>42</v>
      </c>
      <c r="H24" s="161" t="s">
        <v>882</v>
      </c>
      <c r="I24" s="162">
        <v>325</v>
      </c>
      <c r="J24" s="159">
        <v>87</v>
      </c>
      <c r="K24" s="163">
        <v>87.1</v>
      </c>
      <c r="L24" s="164">
        <f t="shared" si="0"/>
        <v>174.1</v>
      </c>
      <c r="M24" s="165">
        <f t="shared" si="1"/>
        <v>0.53569230769230769</v>
      </c>
      <c r="N24" s="122"/>
    </row>
    <row r="25" spans="2:14" x14ac:dyDescent="0.25">
      <c r="B25" s="121"/>
      <c r="C25" s="159">
        <v>18</v>
      </c>
      <c r="D25" s="159">
        <v>26</v>
      </c>
      <c r="E25" s="159" t="s">
        <v>75</v>
      </c>
      <c r="F25" s="159" t="s">
        <v>526</v>
      </c>
      <c r="G25" s="160" t="s">
        <v>42</v>
      </c>
      <c r="H25" s="161" t="s">
        <v>41</v>
      </c>
      <c r="I25" s="162">
        <v>373</v>
      </c>
      <c r="J25" s="159">
        <v>106.6</v>
      </c>
      <c r="K25" s="163">
        <v>106.9</v>
      </c>
      <c r="L25" s="164">
        <f t="shared" si="0"/>
        <v>213.5</v>
      </c>
      <c r="M25" s="165">
        <f t="shared" si="1"/>
        <v>0.57238605898123329</v>
      </c>
      <c r="N25" s="122"/>
    </row>
    <row r="26" spans="2:14" x14ac:dyDescent="0.25">
      <c r="B26" s="121"/>
      <c r="C26" s="159">
        <v>19</v>
      </c>
      <c r="D26" s="159">
        <v>3</v>
      </c>
      <c r="E26" s="159" t="s">
        <v>68</v>
      </c>
      <c r="F26" s="159" t="s">
        <v>526</v>
      </c>
      <c r="G26" s="160" t="s">
        <v>483</v>
      </c>
      <c r="H26" s="161" t="s">
        <v>883</v>
      </c>
      <c r="I26" s="162">
        <v>364</v>
      </c>
      <c r="J26" s="159">
        <v>102.9</v>
      </c>
      <c r="K26" s="163">
        <v>103.6</v>
      </c>
      <c r="L26" s="164">
        <f t="shared" si="0"/>
        <v>206.5</v>
      </c>
      <c r="M26" s="165">
        <f t="shared" si="1"/>
        <v>0.56730769230769229</v>
      </c>
      <c r="N26" s="122"/>
    </row>
    <row r="27" spans="2:14" x14ac:dyDescent="0.25">
      <c r="B27" s="121"/>
      <c r="C27" s="159">
        <v>20</v>
      </c>
      <c r="D27" s="159">
        <v>25</v>
      </c>
      <c r="E27" s="159" t="s">
        <v>67</v>
      </c>
      <c r="F27" s="159" t="s">
        <v>526</v>
      </c>
      <c r="G27" s="160" t="s">
        <v>42</v>
      </c>
      <c r="H27" s="161" t="s">
        <v>131</v>
      </c>
      <c r="I27" s="162">
        <v>367</v>
      </c>
      <c r="J27" s="159">
        <v>100.6</v>
      </c>
      <c r="K27" s="163">
        <v>101.8</v>
      </c>
      <c r="L27" s="164">
        <f t="shared" si="0"/>
        <v>202.39999999999998</v>
      </c>
      <c r="M27" s="165">
        <f t="shared" si="1"/>
        <v>0.55149863760217976</v>
      </c>
      <c r="N27" s="122"/>
    </row>
    <row r="28" spans="2:14" x14ac:dyDescent="0.25">
      <c r="B28" s="121"/>
      <c r="C28" s="159">
        <v>21</v>
      </c>
      <c r="D28" s="159">
        <v>10</v>
      </c>
      <c r="E28" s="159" t="s">
        <v>75</v>
      </c>
      <c r="F28" s="159" t="s">
        <v>526</v>
      </c>
      <c r="G28" s="160" t="s">
        <v>42</v>
      </c>
      <c r="H28" s="161" t="s">
        <v>884</v>
      </c>
      <c r="I28" s="162">
        <v>406</v>
      </c>
      <c r="J28" s="159">
        <v>112.1</v>
      </c>
      <c r="K28" s="163">
        <v>113.2</v>
      </c>
      <c r="L28" s="164">
        <f t="shared" si="0"/>
        <v>225.3</v>
      </c>
      <c r="M28" s="165">
        <f t="shared" si="1"/>
        <v>0.55492610837438427</v>
      </c>
      <c r="N28" s="122"/>
    </row>
    <row r="29" spans="2:14" x14ac:dyDescent="0.25">
      <c r="B29" s="121"/>
      <c r="C29" s="160">
        <v>22</v>
      </c>
      <c r="D29" s="160">
        <v>20</v>
      </c>
      <c r="E29" s="160" t="s">
        <v>67</v>
      </c>
      <c r="F29" s="159" t="s">
        <v>526</v>
      </c>
      <c r="G29" s="160" t="s">
        <v>42</v>
      </c>
      <c r="H29" s="161" t="s">
        <v>885</v>
      </c>
      <c r="I29" s="162">
        <v>326</v>
      </c>
      <c r="J29" s="159">
        <v>91.3</v>
      </c>
      <c r="K29" s="163">
        <v>92.5</v>
      </c>
      <c r="L29" s="164">
        <f t="shared" si="0"/>
        <v>183.8</v>
      </c>
      <c r="M29" s="165">
        <f t="shared" si="1"/>
        <v>0.56380368098159517</v>
      </c>
      <c r="N29" s="122"/>
    </row>
    <row r="30" spans="2:14" x14ac:dyDescent="0.25">
      <c r="B30" s="121"/>
      <c r="C30" s="160">
        <v>23</v>
      </c>
      <c r="D30" s="160">
        <v>23</v>
      </c>
      <c r="E30" s="160" t="s">
        <v>68</v>
      </c>
      <c r="F30" s="159" t="s">
        <v>526</v>
      </c>
      <c r="G30" s="160" t="s">
        <v>483</v>
      </c>
      <c r="H30" s="161" t="s">
        <v>886</v>
      </c>
      <c r="I30" s="162">
        <v>294</v>
      </c>
      <c r="J30" s="159">
        <v>81.3</v>
      </c>
      <c r="K30" s="163">
        <v>82.6</v>
      </c>
      <c r="L30" s="164">
        <f t="shared" si="0"/>
        <v>163.89999999999998</v>
      </c>
      <c r="M30" s="165">
        <f t="shared" si="1"/>
        <v>0.55748299319727879</v>
      </c>
      <c r="N30" s="122"/>
    </row>
    <row r="31" spans="2:14" x14ac:dyDescent="0.25">
      <c r="B31" s="121"/>
      <c r="C31" s="159">
        <v>24</v>
      </c>
      <c r="D31" s="159">
        <v>18</v>
      </c>
      <c r="E31" s="159" t="s">
        <v>75</v>
      </c>
      <c r="F31" s="159" t="s">
        <v>526</v>
      </c>
      <c r="G31" s="160" t="s">
        <v>42</v>
      </c>
      <c r="H31" s="161" t="s">
        <v>887</v>
      </c>
      <c r="I31" s="162">
        <v>361</v>
      </c>
      <c r="J31" s="159">
        <v>107.4</v>
      </c>
      <c r="K31" s="163">
        <v>109.4</v>
      </c>
      <c r="L31" s="164">
        <f t="shared" si="0"/>
        <v>216.8</v>
      </c>
      <c r="M31" s="165">
        <f t="shared" si="1"/>
        <v>0.60055401662049868</v>
      </c>
      <c r="N31" s="122"/>
    </row>
    <row r="32" spans="2:14" x14ac:dyDescent="0.25">
      <c r="B32" s="121"/>
      <c r="C32" s="159">
        <v>25</v>
      </c>
      <c r="D32" s="159">
        <v>8</v>
      </c>
      <c r="E32" s="159" t="s">
        <v>75</v>
      </c>
      <c r="F32" s="159" t="s">
        <v>526</v>
      </c>
      <c r="G32" s="160" t="s">
        <v>42</v>
      </c>
      <c r="H32" s="161" t="s">
        <v>640</v>
      </c>
      <c r="I32" s="162">
        <v>444</v>
      </c>
      <c r="J32" s="159">
        <v>124.6</v>
      </c>
      <c r="K32" s="163">
        <v>124.1</v>
      </c>
      <c r="L32" s="164">
        <f t="shared" si="0"/>
        <v>248.7</v>
      </c>
      <c r="M32" s="165">
        <f t="shared" si="1"/>
        <v>0.56013513513513513</v>
      </c>
      <c r="N32" s="122"/>
    </row>
    <row r="33" spans="2:14" x14ac:dyDescent="0.25">
      <c r="B33" s="121"/>
      <c r="C33" s="160">
        <v>26</v>
      </c>
      <c r="D33" s="160">
        <v>11</v>
      </c>
      <c r="E33" s="160" t="s">
        <v>75</v>
      </c>
      <c r="F33" s="159" t="s">
        <v>526</v>
      </c>
      <c r="G33" s="160" t="s">
        <v>42</v>
      </c>
      <c r="H33" s="161" t="s">
        <v>888</v>
      </c>
      <c r="I33" s="162">
        <v>395</v>
      </c>
      <c r="J33" s="159">
        <v>111.1</v>
      </c>
      <c r="K33" s="163">
        <v>112.5</v>
      </c>
      <c r="L33" s="164">
        <f t="shared" si="0"/>
        <v>223.6</v>
      </c>
      <c r="M33" s="165">
        <f t="shared" si="1"/>
        <v>0.5660759493670886</v>
      </c>
      <c r="N33" s="122"/>
    </row>
    <row r="34" spans="2:14" x14ac:dyDescent="0.25">
      <c r="B34" s="121"/>
      <c r="C34" s="159">
        <v>27</v>
      </c>
      <c r="D34" s="159">
        <v>12</v>
      </c>
      <c r="E34" s="159" t="s">
        <v>67</v>
      </c>
      <c r="F34" s="159" t="s">
        <v>526</v>
      </c>
      <c r="G34" s="160" t="s">
        <v>483</v>
      </c>
      <c r="H34" s="161" t="s">
        <v>495</v>
      </c>
      <c r="I34" s="162">
        <v>308</v>
      </c>
      <c r="J34" s="159">
        <v>87</v>
      </c>
      <c r="K34" s="166">
        <v>90</v>
      </c>
      <c r="L34" s="164">
        <f t="shared" si="0"/>
        <v>177</v>
      </c>
      <c r="M34" s="167">
        <f t="shared" si="1"/>
        <v>0.57467532467532467</v>
      </c>
      <c r="N34" s="122"/>
    </row>
    <row r="35" spans="2:14" x14ac:dyDescent="0.25">
      <c r="B35" s="121"/>
      <c r="C35" s="159">
        <v>28</v>
      </c>
      <c r="D35" s="159">
        <v>2</v>
      </c>
      <c r="E35" s="159" t="s">
        <v>75</v>
      </c>
      <c r="F35" s="159" t="s">
        <v>526</v>
      </c>
      <c r="G35" s="160" t="s">
        <v>42</v>
      </c>
      <c r="H35" s="161" t="s">
        <v>889</v>
      </c>
      <c r="I35" s="162">
        <v>412</v>
      </c>
      <c r="J35" s="159">
        <v>121.1</v>
      </c>
      <c r="K35" s="163">
        <v>121.8</v>
      </c>
      <c r="L35" s="164">
        <f t="shared" si="0"/>
        <v>242.89999999999998</v>
      </c>
      <c r="M35" s="165">
        <f t="shared" si="1"/>
        <v>0.58956310679611645</v>
      </c>
      <c r="N35" s="122"/>
    </row>
    <row r="36" spans="2:14" x14ac:dyDescent="0.25">
      <c r="B36" s="121"/>
      <c r="C36" s="159">
        <v>29</v>
      </c>
      <c r="D36" s="159">
        <v>6</v>
      </c>
      <c r="E36" s="159" t="s">
        <v>68</v>
      </c>
      <c r="F36" s="159" t="s">
        <v>526</v>
      </c>
      <c r="G36" s="160" t="s">
        <v>483</v>
      </c>
      <c r="H36" s="161" t="s">
        <v>890</v>
      </c>
      <c r="I36" s="162">
        <v>366</v>
      </c>
      <c r="J36" s="159">
        <v>96.6</v>
      </c>
      <c r="K36" s="163">
        <v>95.7</v>
      </c>
      <c r="L36" s="164">
        <f t="shared" si="0"/>
        <v>192.3</v>
      </c>
      <c r="M36" s="165">
        <f t="shared" si="1"/>
        <v>0.52540983606557379</v>
      </c>
      <c r="N36" s="122"/>
    </row>
    <row r="37" spans="2:14" x14ac:dyDescent="0.25">
      <c r="B37" s="121"/>
      <c r="C37" s="159">
        <v>30</v>
      </c>
      <c r="D37" s="159">
        <v>24</v>
      </c>
      <c r="E37" s="159" t="s">
        <v>67</v>
      </c>
      <c r="F37" s="159" t="s">
        <v>526</v>
      </c>
      <c r="G37" s="160" t="s">
        <v>483</v>
      </c>
      <c r="H37" s="161" t="s">
        <v>891</v>
      </c>
      <c r="I37" s="162">
        <v>313</v>
      </c>
      <c r="J37" s="159">
        <v>83.7</v>
      </c>
      <c r="K37" s="163">
        <v>83.4</v>
      </c>
      <c r="L37" s="164">
        <f t="shared" si="0"/>
        <v>167.10000000000002</v>
      </c>
      <c r="M37" s="165">
        <f t="shared" si="1"/>
        <v>0.53386581469648564</v>
      </c>
      <c r="N37" s="122"/>
    </row>
    <row r="38" spans="2:14" x14ac:dyDescent="0.25">
      <c r="B38" s="121"/>
      <c r="C38" s="159">
        <v>31</v>
      </c>
      <c r="D38" s="159">
        <v>7</v>
      </c>
      <c r="E38" s="159" t="s">
        <v>67</v>
      </c>
      <c r="F38" s="159" t="s">
        <v>526</v>
      </c>
      <c r="G38" s="159" t="s">
        <v>483</v>
      </c>
      <c r="H38" s="168" t="s">
        <v>892</v>
      </c>
      <c r="I38" s="169">
        <v>334</v>
      </c>
      <c r="J38" s="159">
        <v>91.5</v>
      </c>
      <c r="K38" s="163">
        <v>92.7</v>
      </c>
      <c r="L38" s="164">
        <f t="shared" si="0"/>
        <v>184.2</v>
      </c>
      <c r="M38" s="165">
        <f t="shared" si="1"/>
        <v>0.55149700598802387</v>
      </c>
      <c r="N38" s="122"/>
    </row>
    <row r="39" spans="2:14" x14ac:dyDescent="0.25">
      <c r="B39" s="121"/>
      <c r="C39" s="159">
        <v>32</v>
      </c>
      <c r="D39" s="159">
        <v>16</v>
      </c>
      <c r="E39" s="159" t="s">
        <v>68</v>
      </c>
      <c r="F39" s="159" t="s">
        <v>526</v>
      </c>
      <c r="G39" s="160" t="s">
        <v>42</v>
      </c>
      <c r="H39" s="161" t="s">
        <v>893</v>
      </c>
      <c r="I39" s="162">
        <v>395</v>
      </c>
      <c r="J39" s="159">
        <v>110.2</v>
      </c>
      <c r="K39" s="163">
        <v>109.7</v>
      </c>
      <c r="L39" s="164">
        <f t="shared" si="0"/>
        <v>219.9</v>
      </c>
      <c r="M39" s="165">
        <f t="shared" si="1"/>
        <v>0.55670886075949366</v>
      </c>
      <c r="N39" s="122"/>
    </row>
    <row r="40" spans="2:14" x14ac:dyDescent="0.25">
      <c r="B40" s="121"/>
      <c r="C40" s="159">
        <v>33</v>
      </c>
      <c r="D40" s="159">
        <v>22</v>
      </c>
      <c r="E40" s="159" t="s">
        <v>67</v>
      </c>
      <c r="F40" s="159" t="s">
        <v>526</v>
      </c>
      <c r="G40" s="160" t="s">
        <v>42</v>
      </c>
      <c r="H40" s="161" t="s">
        <v>894</v>
      </c>
      <c r="I40" s="162">
        <v>372</v>
      </c>
      <c r="J40" s="159">
        <v>106.5</v>
      </c>
      <c r="K40" s="163">
        <v>108</v>
      </c>
      <c r="L40" s="164">
        <f t="shared" si="0"/>
        <v>214.5</v>
      </c>
      <c r="M40" s="165">
        <f t="shared" si="1"/>
        <v>0.57661290322580649</v>
      </c>
      <c r="N40" s="122"/>
    </row>
    <row r="41" spans="2:14" x14ac:dyDescent="0.25">
      <c r="B41" s="121"/>
      <c r="C41" s="159">
        <v>34</v>
      </c>
      <c r="D41" s="159">
        <v>15</v>
      </c>
      <c r="E41" s="159" t="s">
        <v>67</v>
      </c>
      <c r="F41" s="159" t="s">
        <v>526</v>
      </c>
      <c r="G41" s="160" t="s">
        <v>483</v>
      </c>
      <c r="H41" s="161" t="s">
        <v>895</v>
      </c>
      <c r="I41" s="162">
        <v>332</v>
      </c>
      <c r="J41" s="159">
        <v>88.4</v>
      </c>
      <c r="K41" s="163">
        <v>88.5</v>
      </c>
      <c r="L41" s="164">
        <f t="shared" si="0"/>
        <v>176.9</v>
      </c>
      <c r="M41" s="165">
        <f t="shared" si="1"/>
        <v>0.53283132530120481</v>
      </c>
      <c r="N41" s="122"/>
    </row>
    <row r="42" spans="2:14" x14ac:dyDescent="0.25">
      <c r="B42" s="121"/>
      <c r="C42" s="160">
        <v>35</v>
      </c>
      <c r="D42" s="160">
        <v>9</v>
      </c>
      <c r="E42" s="160" t="s">
        <v>75</v>
      </c>
      <c r="F42" s="159" t="s">
        <v>526</v>
      </c>
      <c r="G42" s="160" t="s">
        <v>42</v>
      </c>
      <c r="H42" s="161" t="s">
        <v>896</v>
      </c>
      <c r="I42" s="162">
        <v>383</v>
      </c>
      <c r="J42" s="159">
        <v>107.9</v>
      </c>
      <c r="K42" s="163">
        <v>108.5</v>
      </c>
      <c r="L42" s="164">
        <f t="shared" si="0"/>
        <v>216.4</v>
      </c>
      <c r="M42" s="165">
        <f t="shared" si="1"/>
        <v>0.56501305483028719</v>
      </c>
      <c r="N42" s="122"/>
    </row>
    <row r="43" spans="2:14" x14ac:dyDescent="0.25">
      <c r="B43" s="121"/>
      <c r="C43" s="159">
        <v>36</v>
      </c>
      <c r="D43" s="159">
        <v>13</v>
      </c>
      <c r="E43" s="159" t="s">
        <v>75</v>
      </c>
      <c r="F43" s="159" t="s">
        <v>526</v>
      </c>
      <c r="G43" s="160" t="s">
        <v>42</v>
      </c>
      <c r="H43" s="161" t="s">
        <v>897</v>
      </c>
      <c r="I43" s="162">
        <v>394</v>
      </c>
      <c r="J43" s="159">
        <v>109.1</v>
      </c>
      <c r="K43" s="163">
        <v>112.2</v>
      </c>
      <c r="L43" s="164">
        <f t="shared" si="0"/>
        <v>221.3</v>
      </c>
      <c r="M43" s="165">
        <f t="shared" si="1"/>
        <v>0.56167512690355337</v>
      </c>
      <c r="N43" s="122"/>
    </row>
    <row r="44" spans="2:14" x14ac:dyDescent="0.25">
      <c r="B44" s="121"/>
      <c r="C44" s="160">
        <v>37</v>
      </c>
      <c r="D44" s="160">
        <v>17</v>
      </c>
      <c r="E44" s="160" t="s">
        <v>75</v>
      </c>
      <c r="F44" s="160" t="s">
        <v>527</v>
      </c>
      <c r="G44" s="160" t="s">
        <v>486</v>
      </c>
      <c r="H44" s="161" t="s">
        <v>898</v>
      </c>
      <c r="I44" s="162">
        <v>572</v>
      </c>
      <c r="J44" s="159">
        <v>166</v>
      </c>
      <c r="K44" s="163">
        <v>171.6</v>
      </c>
      <c r="L44" s="164">
        <f t="shared" si="0"/>
        <v>337.6</v>
      </c>
      <c r="M44" s="165">
        <f t="shared" si="1"/>
        <v>0.59020979020979025</v>
      </c>
      <c r="N44" s="122"/>
    </row>
    <row r="45" spans="2:14" x14ac:dyDescent="0.25">
      <c r="B45" s="121"/>
      <c r="C45" s="160">
        <v>38</v>
      </c>
      <c r="D45" s="160">
        <v>5</v>
      </c>
      <c r="E45" s="160" t="s">
        <v>75</v>
      </c>
      <c r="F45" s="160" t="s">
        <v>526</v>
      </c>
      <c r="G45" s="160" t="s">
        <v>42</v>
      </c>
      <c r="H45" s="161" t="s">
        <v>899</v>
      </c>
      <c r="I45" s="162">
        <v>392</v>
      </c>
      <c r="J45" s="159">
        <v>109.6</v>
      </c>
      <c r="K45" s="163">
        <v>111.6</v>
      </c>
      <c r="L45" s="164">
        <f t="shared" si="0"/>
        <v>221.2</v>
      </c>
      <c r="M45" s="165">
        <f t="shared" si="1"/>
        <v>0.56428571428571428</v>
      </c>
      <c r="N45" s="122"/>
    </row>
    <row r="46" spans="2:14" x14ac:dyDescent="0.25">
      <c r="B46" s="121"/>
      <c r="C46" s="160">
        <v>39</v>
      </c>
      <c r="D46" s="160">
        <v>19</v>
      </c>
      <c r="E46" s="160" t="s">
        <v>67</v>
      </c>
      <c r="F46" s="160" t="s">
        <v>526</v>
      </c>
      <c r="G46" s="160" t="s">
        <v>42</v>
      </c>
      <c r="H46" s="161" t="s">
        <v>900</v>
      </c>
      <c r="I46" s="162">
        <v>350</v>
      </c>
      <c r="J46" s="159">
        <v>94.3</v>
      </c>
      <c r="K46" s="163">
        <v>96.1</v>
      </c>
      <c r="L46" s="164">
        <f t="shared" si="0"/>
        <v>190.39999999999998</v>
      </c>
      <c r="M46" s="165">
        <f t="shared" si="1"/>
        <v>0.54399999999999993</v>
      </c>
      <c r="N46" s="122"/>
    </row>
    <row r="47" spans="2:14" x14ac:dyDescent="0.25">
      <c r="B47" s="121"/>
      <c r="C47" s="160">
        <v>40</v>
      </c>
      <c r="D47" s="160">
        <v>1</v>
      </c>
      <c r="E47" s="160" t="s">
        <v>75</v>
      </c>
      <c r="F47" s="160" t="s">
        <v>526</v>
      </c>
      <c r="G47" s="160" t="s">
        <v>42</v>
      </c>
      <c r="H47" s="161" t="s">
        <v>901</v>
      </c>
      <c r="I47" s="162">
        <v>414</v>
      </c>
      <c r="J47" s="159">
        <v>121</v>
      </c>
      <c r="K47" s="163">
        <v>123.2</v>
      </c>
      <c r="L47" s="164">
        <f t="shared" si="0"/>
        <v>244.2</v>
      </c>
      <c r="M47" s="165">
        <f t="shared" si="1"/>
        <v>0.58985507246376812</v>
      </c>
      <c r="N47" s="122"/>
    </row>
    <row r="48" spans="2:14" x14ac:dyDescent="0.25">
      <c r="B48" s="121"/>
      <c r="C48" s="160">
        <v>41</v>
      </c>
      <c r="D48" s="160">
        <v>14</v>
      </c>
      <c r="E48" s="160" t="s">
        <v>75</v>
      </c>
      <c r="F48" s="160" t="s">
        <v>526</v>
      </c>
      <c r="G48" s="160" t="s">
        <v>42</v>
      </c>
      <c r="H48" s="161" t="s">
        <v>902</v>
      </c>
      <c r="I48" s="162">
        <v>372</v>
      </c>
      <c r="J48" s="159">
        <v>107.4</v>
      </c>
      <c r="K48" s="163">
        <v>108.8</v>
      </c>
      <c r="L48" s="164">
        <f t="shared" si="0"/>
        <v>216.2</v>
      </c>
      <c r="M48" s="165">
        <f t="shared" si="1"/>
        <v>0.58118279569892473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47"/>
      <c r="D66" s="247">
        <f>+COUNT($D$22:$D$65)</f>
        <v>26</v>
      </c>
      <c r="E66" s="247"/>
      <c r="F66" s="373"/>
      <c r="G66" s="373"/>
      <c r="H66" s="149"/>
      <c r="I66" s="148">
        <f>SUM($I$22:$I$65)</f>
        <v>9703</v>
      </c>
      <c r="J66" s="150">
        <f>SUM($J$22:$J$65)</f>
        <v>2721.2000000000003</v>
      </c>
      <c r="K66" s="151">
        <f>SUM($K$22:$K$65)</f>
        <v>2751.7</v>
      </c>
      <c r="L66" s="148">
        <f>SUM($L$22:$L$65)</f>
        <v>5472.9</v>
      </c>
      <c r="M66" s="178">
        <f t="shared" si="1"/>
        <v>0.56404204885087084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67.02</v>
      </c>
      <c r="I71" s="119">
        <v>64.78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26</v>
      </c>
      <c r="I72" s="119">
        <v>41.54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24</v>
      </c>
      <c r="I73" s="119">
        <v>120.50000000000001</v>
      </c>
      <c r="J73" s="181">
        <v>2</v>
      </c>
      <c r="K73" s="185">
        <v>10.1</v>
      </c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26</v>
      </c>
      <c r="I74" s="119">
        <v>28.42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22.68</v>
      </c>
      <c r="I75" s="119">
        <v>21.92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52</v>
      </c>
      <c r="I76" s="119">
        <v>22.62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104</v>
      </c>
      <c r="I77" s="119">
        <v>16.3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26</v>
      </c>
      <c r="I78" s="119">
        <v>20.8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26</v>
      </c>
      <c r="I79" s="119">
        <v>20.100000000000001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35.86</v>
      </c>
      <c r="I80" s="119">
        <v>34.36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26</v>
      </c>
      <c r="I81" s="119">
        <v>22.52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26</v>
      </c>
      <c r="I82" s="119">
        <v>8.5399999999999991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13.48</v>
      </c>
      <c r="I83" s="119">
        <v>12.76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435.16000000000008</v>
      </c>
      <c r="J84" s="187">
        <f>SUM(J71:J83)</f>
        <v>2</v>
      </c>
      <c r="K84" s="186">
        <f>SUM(K71:K83)</f>
        <v>10.1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26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68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A25" zoomScale="90" zoomScaleNormal="90" workbookViewId="0">
      <selection activeCell="C31" sqref="C31:K40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0.57463884430176571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218.77777777777777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814</v>
      </c>
      <c r="F8" s="344"/>
      <c r="G8" s="344"/>
      <c r="H8" s="345"/>
      <c r="I8" s="146" t="s">
        <v>487</v>
      </c>
      <c r="J8" s="346" t="s">
        <v>814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65705</v>
      </c>
      <c r="F9" s="344"/>
      <c r="G9" s="344"/>
      <c r="H9" s="345"/>
      <c r="I9" s="146" t="s">
        <v>88</v>
      </c>
      <c r="J9" s="209" t="s">
        <v>931</v>
      </c>
      <c r="K9" s="251" t="s">
        <v>490</v>
      </c>
      <c r="L9" s="369">
        <v>2600425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49" t="s">
        <v>569</v>
      </c>
      <c r="E12" s="384">
        <v>46049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39</v>
      </c>
      <c r="F13" s="349"/>
      <c r="H13" s="117"/>
      <c r="I13" s="123"/>
      <c r="J13" s="215" t="s">
        <v>483</v>
      </c>
      <c r="K13" s="250">
        <f>+COUNTIF($G$22:$G$66,"VQ")*2</f>
        <v>0</v>
      </c>
      <c r="L13" s="250">
        <f>+SUMIF($G$23:$G$65,"VQ",$L$23:$L$65)</f>
        <v>0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18</v>
      </c>
      <c r="F14" s="350"/>
      <c r="H14" s="117"/>
      <c r="I14" s="123"/>
      <c r="J14" s="215" t="s">
        <v>42</v>
      </c>
      <c r="K14" s="250">
        <f>+COUNTIF($G$22:$G$66,"NT")*2</f>
        <v>0</v>
      </c>
      <c r="L14" s="250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6853</v>
      </c>
      <c r="F15" s="350"/>
      <c r="H15" s="117"/>
      <c r="I15" s="123"/>
      <c r="J15" s="215" t="s">
        <v>484</v>
      </c>
      <c r="K15" s="250">
        <f>+COUNTIF($G$22:$G$66,"NO")*2</f>
        <v>0</v>
      </c>
      <c r="L15" s="250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3938</v>
      </c>
      <c r="F16" s="350"/>
      <c r="H16" s="117"/>
      <c r="I16" s="123"/>
      <c r="J16" s="215" t="s">
        <v>485</v>
      </c>
      <c r="K16" s="250">
        <f>+COUNTIF($G$22:$G$66,"TO")*2</f>
        <v>0</v>
      </c>
      <c r="L16" s="250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0.57463884430176571</v>
      </c>
      <c r="F17" s="350"/>
      <c r="G17" s="124"/>
      <c r="H17" s="125"/>
      <c r="I17" s="123"/>
      <c r="J17" s="215" t="s">
        <v>486</v>
      </c>
      <c r="K17" s="250">
        <f>+COUNTIF($G$22:$G$66,"VA")*2</f>
        <v>0</v>
      </c>
      <c r="L17" s="250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218.77777777777777</v>
      </c>
      <c r="F18" s="353"/>
      <c r="G18" s="124"/>
      <c r="H18" s="125"/>
      <c r="I18" s="123"/>
      <c r="J18" s="215" t="s">
        <v>44</v>
      </c>
      <c r="K18" s="250">
        <f>+COUNTIF($G$22:$G$66,"MEJ")*2</f>
        <v>36</v>
      </c>
      <c r="L18" s="250">
        <f>+SUMIF($G$23:$G$65,"MEJ",$L$23:$L$65)</f>
        <v>3938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</v>
      </c>
      <c r="D23" s="152">
        <v>17</v>
      </c>
      <c r="E23" s="152" t="s">
        <v>67</v>
      </c>
      <c r="F23" s="152" t="s">
        <v>526</v>
      </c>
      <c r="G23" s="153" t="s">
        <v>44</v>
      </c>
      <c r="H23" s="154" t="s">
        <v>918</v>
      </c>
      <c r="I23" s="155">
        <v>373</v>
      </c>
      <c r="J23" s="152">
        <v>107</v>
      </c>
      <c r="K23" s="156">
        <v>107.4</v>
      </c>
      <c r="L23" s="157">
        <f t="shared" ref="L23:L65" si="0">+J23+K23</f>
        <v>214.4</v>
      </c>
      <c r="M23" s="158">
        <f t="shared" ref="M23:M66" si="1">+L23/I23</f>
        <v>0.57479892761394102</v>
      </c>
      <c r="N23" s="122"/>
    </row>
    <row r="24" spans="2:14" x14ac:dyDescent="0.25">
      <c r="B24" s="121"/>
      <c r="C24" s="159">
        <v>2</v>
      </c>
      <c r="D24" s="159">
        <v>15</v>
      </c>
      <c r="E24" s="159" t="s">
        <v>68</v>
      </c>
      <c r="F24" s="159" t="s">
        <v>526</v>
      </c>
      <c r="G24" s="160" t="s">
        <v>44</v>
      </c>
      <c r="H24" s="161" t="s">
        <v>794</v>
      </c>
      <c r="I24" s="162">
        <v>298</v>
      </c>
      <c r="J24" s="159">
        <v>85.1</v>
      </c>
      <c r="K24" s="163">
        <v>86.1</v>
      </c>
      <c r="L24" s="164">
        <f t="shared" si="0"/>
        <v>171.2</v>
      </c>
      <c r="M24" s="165">
        <f t="shared" si="1"/>
        <v>0.57449664429530201</v>
      </c>
      <c r="N24" s="122"/>
    </row>
    <row r="25" spans="2:14" x14ac:dyDescent="0.25">
      <c r="B25" s="121"/>
      <c r="C25" s="159">
        <v>3</v>
      </c>
      <c r="D25" s="159">
        <v>5</v>
      </c>
      <c r="E25" s="159" t="s">
        <v>67</v>
      </c>
      <c r="F25" s="159" t="s">
        <v>527</v>
      </c>
      <c r="G25" s="160" t="s">
        <v>44</v>
      </c>
      <c r="H25" s="161" t="s">
        <v>95</v>
      </c>
      <c r="I25" s="162">
        <v>371</v>
      </c>
      <c r="J25" s="159">
        <v>106.4</v>
      </c>
      <c r="K25" s="163">
        <v>106.5</v>
      </c>
      <c r="L25" s="164">
        <f t="shared" si="0"/>
        <v>212.9</v>
      </c>
      <c r="M25" s="165">
        <f t="shared" si="1"/>
        <v>0.5738544474393531</v>
      </c>
      <c r="N25" s="122"/>
    </row>
    <row r="26" spans="2:14" x14ac:dyDescent="0.25">
      <c r="B26" s="121"/>
      <c r="C26" s="159">
        <v>4</v>
      </c>
      <c r="D26" s="159">
        <v>1</v>
      </c>
      <c r="E26" s="159" t="s">
        <v>67</v>
      </c>
      <c r="F26" s="159" t="s">
        <v>526</v>
      </c>
      <c r="G26" s="160" t="s">
        <v>44</v>
      </c>
      <c r="H26" s="161" t="s">
        <v>604</v>
      </c>
      <c r="I26" s="162">
        <v>383</v>
      </c>
      <c r="J26" s="159">
        <v>107.3</v>
      </c>
      <c r="K26" s="163">
        <v>107.7</v>
      </c>
      <c r="L26" s="164">
        <f t="shared" si="0"/>
        <v>215</v>
      </c>
      <c r="M26" s="165">
        <f t="shared" si="1"/>
        <v>0.56135770234986948</v>
      </c>
      <c r="N26" s="122"/>
    </row>
    <row r="27" spans="2:14" x14ac:dyDescent="0.25">
      <c r="B27" s="121"/>
      <c r="C27" s="159">
        <v>5</v>
      </c>
      <c r="D27" s="159">
        <v>2</v>
      </c>
      <c r="E27" s="159" t="s">
        <v>67</v>
      </c>
      <c r="F27" s="159" t="s">
        <v>526</v>
      </c>
      <c r="G27" s="160" t="s">
        <v>44</v>
      </c>
      <c r="H27" s="161" t="s">
        <v>919</v>
      </c>
      <c r="I27" s="162">
        <v>397</v>
      </c>
      <c r="J27" s="159">
        <v>109.2</v>
      </c>
      <c r="K27" s="163">
        <v>110</v>
      </c>
      <c r="L27" s="164">
        <f t="shared" si="0"/>
        <v>219.2</v>
      </c>
      <c r="M27" s="165">
        <f t="shared" si="1"/>
        <v>0.55214105793450874</v>
      </c>
      <c r="N27" s="122"/>
    </row>
    <row r="28" spans="2:14" x14ac:dyDescent="0.25">
      <c r="B28" s="121"/>
      <c r="C28" s="159">
        <v>6</v>
      </c>
      <c r="D28" s="159">
        <v>12</v>
      </c>
      <c r="E28" s="159" t="s">
        <v>67</v>
      </c>
      <c r="F28" s="159" t="s">
        <v>527</v>
      </c>
      <c r="G28" s="160" t="s">
        <v>44</v>
      </c>
      <c r="H28" s="161" t="s">
        <v>920</v>
      </c>
      <c r="I28" s="162">
        <v>365</v>
      </c>
      <c r="J28" s="159">
        <v>109.2</v>
      </c>
      <c r="K28" s="163">
        <v>110.1</v>
      </c>
      <c r="L28" s="164">
        <f t="shared" si="0"/>
        <v>219.3</v>
      </c>
      <c r="M28" s="165">
        <f t="shared" si="1"/>
        <v>0.60082191780821925</v>
      </c>
      <c r="N28" s="122"/>
    </row>
    <row r="29" spans="2:14" x14ac:dyDescent="0.25">
      <c r="B29" s="121"/>
      <c r="C29" s="160">
        <v>7</v>
      </c>
      <c r="D29" s="160">
        <v>3</v>
      </c>
      <c r="E29" s="160" t="s">
        <v>67</v>
      </c>
      <c r="F29" s="160" t="s">
        <v>526</v>
      </c>
      <c r="G29" s="160" t="s">
        <v>44</v>
      </c>
      <c r="H29" s="161" t="s">
        <v>921</v>
      </c>
      <c r="I29" s="162">
        <v>373</v>
      </c>
      <c r="J29" s="159">
        <v>108.5</v>
      </c>
      <c r="K29" s="163">
        <v>109.2</v>
      </c>
      <c r="L29" s="164">
        <f t="shared" si="0"/>
        <v>217.7</v>
      </c>
      <c r="M29" s="165">
        <f t="shared" si="1"/>
        <v>0.58364611260053612</v>
      </c>
      <c r="N29" s="122"/>
    </row>
    <row r="30" spans="2:14" x14ac:dyDescent="0.25">
      <c r="B30" s="121"/>
      <c r="C30" s="160">
        <v>8</v>
      </c>
      <c r="D30" s="160">
        <v>4</v>
      </c>
      <c r="E30" s="160" t="s">
        <v>67</v>
      </c>
      <c r="F30" s="160" t="s">
        <v>527</v>
      </c>
      <c r="G30" s="160" t="s">
        <v>44</v>
      </c>
      <c r="H30" s="161" t="s">
        <v>922</v>
      </c>
      <c r="I30" s="162">
        <v>355</v>
      </c>
      <c r="J30" s="159">
        <v>103</v>
      </c>
      <c r="K30" s="163">
        <v>102.5</v>
      </c>
      <c r="L30" s="164">
        <f t="shared" si="0"/>
        <v>205.5</v>
      </c>
      <c r="M30" s="165">
        <f t="shared" si="1"/>
        <v>0.57887323943661972</v>
      </c>
      <c r="N30" s="122"/>
    </row>
    <row r="31" spans="2:14" x14ac:dyDescent="0.25">
      <c r="B31" s="121"/>
      <c r="C31" s="260">
        <v>9</v>
      </c>
      <c r="D31" s="159">
        <v>6</v>
      </c>
      <c r="E31" s="159" t="s">
        <v>67</v>
      </c>
      <c r="F31" s="159" t="s">
        <v>526</v>
      </c>
      <c r="G31" s="160" t="s">
        <v>44</v>
      </c>
      <c r="H31" s="161" t="s">
        <v>923</v>
      </c>
      <c r="I31" s="162">
        <v>460</v>
      </c>
      <c r="J31" s="260">
        <v>129.9</v>
      </c>
      <c r="K31" s="261">
        <v>130.80000000000001</v>
      </c>
      <c r="L31" s="164">
        <f t="shared" si="0"/>
        <v>260.70000000000005</v>
      </c>
      <c r="M31" s="165">
        <f t="shared" si="1"/>
        <v>0.56673913043478275</v>
      </c>
      <c r="N31" s="122"/>
    </row>
    <row r="32" spans="2:14" x14ac:dyDescent="0.25">
      <c r="B32" s="121"/>
      <c r="C32" s="260">
        <v>10</v>
      </c>
      <c r="D32" s="159">
        <v>7</v>
      </c>
      <c r="E32" s="159" t="s">
        <v>68</v>
      </c>
      <c r="F32" s="159" t="s">
        <v>526</v>
      </c>
      <c r="G32" s="160" t="s">
        <v>44</v>
      </c>
      <c r="H32" s="161" t="s">
        <v>924</v>
      </c>
      <c r="I32" s="162">
        <v>411</v>
      </c>
      <c r="J32" s="260">
        <v>116.8</v>
      </c>
      <c r="K32" s="261">
        <v>117.5</v>
      </c>
      <c r="L32" s="164">
        <f t="shared" si="0"/>
        <v>234.3</v>
      </c>
      <c r="M32" s="165">
        <f t="shared" si="1"/>
        <v>0.57007299270072997</v>
      </c>
      <c r="N32" s="122"/>
    </row>
    <row r="33" spans="2:14" x14ac:dyDescent="0.25">
      <c r="B33" s="121"/>
      <c r="C33" s="160">
        <v>11</v>
      </c>
      <c r="D33" s="160">
        <v>9</v>
      </c>
      <c r="E33" s="160" t="s">
        <v>67</v>
      </c>
      <c r="F33" s="160" t="s">
        <v>526</v>
      </c>
      <c r="G33" s="160" t="s">
        <v>44</v>
      </c>
      <c r="H33" s="161" t="s">
        <v>925</v>
      </c>
      <c r="I33" s="162">
        <v>393</v>
      </c>
      <c r="J33" s="159">
        <v>109.9</v>
      </c>
      <c r="K33" s="163">
        <v>109.6</v>
      </c>
      <c r="L33" s="164">
        <f t="shared" si="0"/>
        <v>219.5</v>
      </c>
      <c r="M33" s="165">
        <f t="shared" si="1"/>
        <v>0.55852417302798985</v>
      </c>
      <c r="N33" s="122"/>
    </row>
    <row r="34" spans="2:14" x14ac:dyDescent="0.25">
      <c r="B34" s="121"/>
      <c r="C34" s="159">
        <v>12</v>
      </c>
      <c r="D34" s="159">
        <v>8</v>
      </c>
      <c r="E34" s="159" t="s">
        <v>67</v>
      </c>
      <c r="F34" s="159" t="s">
        <v>527</v>
      </c>
      <c r="G34" s="160" t="s">
        <v>44</v>
      </c>
      <c r="H34" s="161" t="s">
        <v>926</v>
      </c>
      <c r="I34" s="162">
        <v>336</v>
      </c>
      <c r="J34" s="159">
        <v>94.9</v>
      </c>
      <c r="K34" s="166">
        <v>94.2</v>
      </c>
      <c r="L34" s="164">
        <f t="shared" si="0"/>
        <v>189.10000000000002</v>
      </c>
      <c r="M34" s="167">
        <f t="shared" si="1"/>
        <v>0.56279761904761916</v>
      </c>
      <c r="N34" s="122"/>
    </row>
    <row r="35" spans="2:14" x14ac:dyDescent="0.25">
      <c r="B35" s="121"/>
      <c r="C35" s="260">
        <v>13</v>
      </c>
      <c r="D35" s="159">
        <v>18</v>
      </c>
      <c r="E35" s="159" t="s">
        <v>67</v>
      </c>
      <c r="F35" s="159" t="s">
        <v>526</v>
      </c>
      <c r="G35" s="160" t="s">
        <v>44</v>
      </c>
      <c r="H35" s="161" t="s">
        <v>595</v>
      </c>
      <c r="I35" s="162">
        <v>415</v>
      </c>
      <c r="J35" s="260">
        <v>121.3</v>
      </c>
      <c r="K35" s="261">
        <v>123.6</v>
      </c>
      <c r="L35" s="164">
        <f t="shared" si="0"/>
        <v>244.89999999999998</v>
      </c>
      <c r="M35" s="165">
        <f t="shared" si="1"/>
        <v>0.59012048192771083</v>
      </c>
      <c r="N35" s="122"/>
    </row>
    <row r="36" spans="2:14" x14ac:dyDescent="0.25">
      <c r="B36" s="121"/>
      <c r="C36" s="260">
        <v>14</v>
      </c>
      <c r="D36" s="159">
        <v>14</v>
      </c>
      <c r="E36" s="159" t="s">
        <v>75</v>
      </c>
      <c r="F36" s="159" t="s">
        <v>526</v>
      </c>
      <c r="G36" s="160" t="s">
        <v>44</v>
      </c>
      <c r="H36" s="161" t="s">
        <v>927</v>
      </c>
      <c r="I36" s="162">
        <v>424</v>
      </c>
      <c r="J36" s="260">
        <v>122.8</v>
      </c>
      <c r="K36" s="261">
        <v>122.7</v>
      </c>
      <c r="L36" s="164">
        <f t="shared" si="0"/>
        <v>245.5</v>
      </c>
      <c r="M36" s="165">
        <f t="shared" si="1"/>
        <v>0.57900943396226412</v>
      </c>
      <c r="N36" s="122"/>
    </row>
    <row r="37" spans="2:14" x14ac:dyDescent="0.25">
      <c r="B37" s="121"/>
      <c r="C37" s="159">
        <v>15</v>
      </c>
      <c r="D37" s="159">
        <v>13</v>
      </c>
      <c r="E37" s="159" t="s">
        <v>68</v>
      </c>
      <c r="F37" s="159" t="s">
        <v>526</v>
      </c>
      <c r="G37" s="160" t="s">
        <v>44</v>
      </c>
      <c r="H37" s="161" t="s">
        <v>928</v>
      </c>
      <c r="I37" s="162">
        <v>382</v>
      </c>
      <c r="J37" s="159">
        <v>110.6</v>
      </c>
      <c r="K37" s="163">
        <v>109.5</v>
      </c>
      <c r="L37" s="164">
        <f t="shared" si="0"/>
        <v>220.1</v>
      </c>
      <c r="M37" s="165">
        <f t="shared" si="1"/>
        <v>0.5761780104712042</v>
      </c>
      <c r="N37" s="122"/>
    </row>
    <row r="38" spans="2:14" x14ac:dyDescent="0.25">
      <c r="B38" s="121"/>
      <c r="C38" s="159">
        <v>16</v>
      </c>
      <c r="D38" s="159">
        <v>11</v>
      </c>
      <c r="E38" s="159" t="s">
        <v>67</v>
      </c>
      <c r="F38" s="159" t="s">
        <v>526</v>
      </c>
      <c r="G38" s="159" t="s">
        <v>44</v>
      </c>
      <c r="H38" s="168" t="s">
        <v>920</v>
      </c>
      <c r="I38" s="169">
        <v>360</v>
      </c>
      <c r="J38" s="159">
        <v>107</v>
      </c>
      <c r="K38" s="163">
        <v>108.2</v>
      </c>
      <c r="L38" s="164">
        <f t="shared" si="0"/>
        <v>215.2</v>
      </c>
      <c r="M38" s="165">
        <f t="shared" si="1"/>
        <v>0.59777777777777774</v>
      </c>
      <c r="N38" s="122"/>
    </row>
    <row r="39" spans="2:14" x14ac:dyDescent="0.25">
      <c r="B39" s="121"/>
      <c r="C39" s="159">
        <v>17</v>
      </c>
      <c r="D39" s="159">
        <v>16</v>
      </c>
      <c r="E39" s="159" t="s">
        <v>75</v>
      </c>
      <c r="F39" s="159" t="s">
        <v>526</v>
      </c>
      <c r="G39" s="160" t="s">
        <v>44</v>
      </c>
      <c r="H39" s="161" t="s">
        <v>929</v>
      </c>
      <c r="I39" s="162">
        <v>364</v>
      </c>
      <c r="J39" s="159">
        <v>105.7</v>
      </c>
      <c r="K39" s="163">
        <v>105.8</v>
      </c>
      <c r="L39" s="164">
        <f t="shared" si="0"/>
        <v>211.5</v>
      </c>
      <c r="M39" s="165">
        <f t="shared" si="1"/>
        <v>0.58104395604395609</v>
      </c>
      <c r="N39" s="122"/>
    </row>
    <row r="40" spans="2:14" x14ac:dyDescent="0.25">
      <c r="B40" s="121"/>
      <c r="C40" s="260">
        <v>18</v>
      </c>
      <c r="D40" s="159">
        <v>10</v>
      </c>
      <c r="E40" s="159" t="s">
        <v>67</v>
      </c>
      <c r="F40" s="159" t="s">
        <v>526</v>
      </c>
      <c r="G40" s="160" t="s">
        <v>44</v>
      </c>
      <c r="H40" s="161" t="s">
        <v>930</v>
      </c>
      <c r="I40" s="162">
        <v>393</v>
      </c>
      <c r="J40" s="260">
        <v>110.6</v>
      </c>
      <c r="K40" s="261">
        <v>111.4</v>
      </c>
      <c r="L40" s="164">
        <f t="shared" si="0"/>
        <v>222</v>
      </c>
      <c r="M40" s="165">
        <f t="shared" si="1"/>
        <v>0.56488549618320616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48"/>
      <c r="D66" s="248">
        <f>+COUNT($D$22:$D$65)</f>
        <v>18</v>
      </c>
      <c r="E66" s="248"/>
      <c r="F66" s="373"/>
      <c r="G66" s="373"/>
      <c r="H66" s="149"/>
      <c r="I66" s="148">
        <f>SUM($I$22:$I$65)</f>
        <v>6853</v>
      </c>
      <c r="J66" s="150">
        <f>SUM($J$22:$J$65)</f>
        <v>1965.2</v>
      </c>
      <c r="K66" s="151">
        <f>SUM($K$22:$K$65)</f>
        <v>1972.8000000000002</v>
      </c>
      <c r="L66" s="148">
        <f>SUM($L$22:$L$65)</f>
        <v>3938</v>
      </c>
      <c r="M66" s="178">
        <f t="shared" si="1"/>
        <v>0.57463884430176571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53.42</v>
      </c>
      <c r="I71" s="119">
        <v>52.2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18</v>
      </c>
      <c r="I72" s="119">
        <v>27.5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17</v>
      </c>
      <c r="I73" s="119">
        <v>83.64</v>
      </c>
      <c r="J73" s="181">
        <v>1</v>
      </c>
      <c r="K73" s="185">
        <v>4.96</v>
      </c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18</v>
      </c>
      <c r="I74" s="119">
        <v>19.2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15.28</v>
      </c>
      <c r="I75" s="119">
        <v>14.84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34</v>
      </c>
      <c r="I76" s="119">
        <v>14.86</v>
      </c>
      <c r="J76" s="181">
        <v>2</v>
      </c>
      <c r="K76" s="185">
        <v>1.52</v>
      </c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72</v>
      </c>
      <c r="I77" s="119">
        <v>12.66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18</v>
      </c>
      <c r="I78" s="119">
        <v>14.9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18</v>
      </c>
      <c r="I79" s="119">
        <v>14.04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25.84</v>
      </c>
      <c r="I80" s="119">
        <v>24.68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18</v>
      </c>
      <c r="I81" s="119">
        <v>17.48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18</v>
      </c>
      <c r="I82" s="119">
        <v>5.78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11.98</v>
      </c>
      <c r="I83" s="119">
        <v>11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312.77999999999997</v>
      </c>
      <c r="J84" s="187">
        <f>SUM(J71:J83)</f>
        <v>3</v>
      </c>
      <c r="K84" s="186">
        <f>SUM(K71:K83)</f>
        <v>6.48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18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67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R75" sqref="R75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0.57861990950226239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214.49999999999997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303</v>
      </c>
      <c r="F8" s="344"/>
      <c r="G8" s="344"/>
      <c r="H8" s="345"/>
      <c r="I8" s="146" t="s">
        <v>487</v>
      </c>
      <c r="J8" s="346" t="s">
        <v>973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45003</v>
      </c>
      <c r="F9" s="344"/>
      <c r="G9" s="344"/>
      <c r="H9" s="345"/>
      <c r="I9" s="146" t="s">
        <v>88</v>
      </c>
      <c r="J9" s="209" t="s">
        <v>974</v>
      </c>
      <c r="K9" s="251" t="s">
        <v>490</v>
      </c>
      <c r="L9" s="369">
        <v>19096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49" t="s">
        <v>569</v>
      </c>
      <c r="E12" s="384">
        <v>46049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40</v>
      </c>
      <c r="F13" s="349"/>
      <c r="H13" s="117"/>
      <c r="I13" s="123"/>
      <c r="J13" s="215" t="s">
        <v>483</v>
      </c>
      <c r="K13" s="250">
        <f>+COUNTIF($G$22:$G$66,"VQ")*2</f>
        <v>0</v>
      </c>
      <c r="L13" s="250">
        <f>+SUMIF($G$23:$G$65,"VQ",$L$23:$L$65)</f>
        <v>0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31</v>
      </c>
      <c r="F14" s="350"/>
      <c r="H14" s="117"/>
      <c r="I14" s="123"/>
      <c r="J14" s="215" t="s">
        <v>42</v>
      </c>
      <c r="K14" s="250">
        <f>+COUNTIF($G$22:$G$66,"NT")*2</f>
        <v>52</v>
      </c>
      <c r="L14" s="250">
        <f>+SUMIF($G$23:$G$65,"NT",$L$23:$L$65)</f>
        <v>5589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11492</v>
      </c>
      <c r="F15" s="350"/>
      <c r="H15" s="117"/>
      <c r="I15" s="123"/>
      <c r="J15" s="215" t="s">
        <v>484</v>
      </c>
      <c r="K15" s="250">
        <f>+COUNTIF($G$22:$G$66,"NO")*2</f>
        <v>0</v>
      </c>
      <c r="L15" s="250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6649.4999999999991</v>
      </c>
      <c r="F16" s="350"/>
      <c r="H16" s="117"/>
      <c r="I16" s="123"/>
      <c r="J16" s="215" t="s">
        <v>485</v>
      </c>
      <c r="K16" s="250">
        <f>+COUNTIF($G$22:$G$66,"TO")*2</f>
        <v>0</v>
      </c>
      <c r="L16" s="250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0.57861990950226239</v>
      </c>
      <c r="F17" s="350"/>
      <c r="G17" s="124"/>
      <c r="H17" s="125"/>
      <c r="I17" s="123"/>
      <c r="J17" s="215" t="s">
        <v>486</v>
      </c>
      <c r="K17" s="250">
        <f>+COUNTIF($G$22:$G$66,"VA")*2</f>
        <v>0</v>
      </c>
      <c r="L17" s="250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214.49999999999997</v>
      </c>
      <c r="F18" s="353"/>
      <c r="G18" s="124"/>
      <c r="H18" s="125"/>
      <c r="I18" s="123"/>
      <c r="J18" s="215" t="s">
        <v>44</v>
      </c>
      <c r="K18" s="250">
        <f>+COUNTIF($G$22:$G$66,"MEJ")*2</f>
        <v>10</v>
      </c>
      <c r="L18" s="250">
        <f>+SUMIF($G$23:$G$65,"MEJ",$L$23:$L$65)</f>
        <v>1060.5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19</v>
      </c>
      <c r="D23" s="152">
        <v>3</v>
      </c>
      <c r="E23" s="152" t="s">
        <v>75</v>
      </c>
      <c r="F23" s="152" t="s">
        <v>526</v>
      </c>
      <c r="G23" s="153" t="s">
        <v>44</v>
      </c>
      <c r="H23" s="154" t="s">
        <v>932</v>
      </c>
      <c r="I23" s="155">
        <v>370</v>
      </c>
      <c r="J23" s="152">
        <v>105.8</v>
      </c>
      <c r="K23" s="156">
        <v>104.7</v>
      </c>
      <c r="L23" s="157">
        <f t="shared" ref="L23:L65" si="0">+J23+K23</f>
        <v>210.5</v>
      </c>
      <c r="M23" s="158">
        <f t="shared" ref="M23:M66" si="1">+L23/I23</f>
        <v>0.56891891891891888</v>
      </c>
      <c r="N23" s="122"/>
    </row>
    <row r="24" spans="2:14" x14ac:dyDescent="0.25">
      <c r="B24" s="121"/>
      <c r="C24" s="159">
        <v>20</v>
      </c>
      <c r="D24" s="159">
        <v>6</v>
      </c>
      <c r="E24" s="159" t="s">
        <v>67</v>
      </c>
      <c r="F24" s="159" t="s">
        <v>526</v>
      </c>
      <c r="G24" s="160" t="s">
        <v>42</v>
      </c>
      <c r="H24" s="161" t="s">
        <v>933</v>
      </c>
      <c r="I24" s="162">
        <v>383</v>
      </c>
      <c r="J24" s="159">
        <v>109.6</v>
      </c>
      <c r="K24" s="163">
        <v>110.6</v>
      </c>
      <c r="L24" s="164">
        <f t="shared" si="0"/>
        <v>220.2</v>
      </c>
      <c r="M24" s="165">
        <f t="shared" si="1"/>
        <v>0.57493472584856398</v>
      </c>
      <c r="N24" s="122"/>
    </row>
    <row r="25" spans="2:14" x14ac:dyDescent="0.25">
      <c r="B25" s="121"/>
      <c r="C25" s="159">
        <v>21</v>
      </c>
      <c r="D25" s="159">
        <v>2</v>
      </c>
      <c r="E25" s="159" t="s">
        <v>67</v>
      </c>
      <c r="F25" s="159" t="s">
        <v>526</v>
      </c>
      <c r="G25" s="160" t="s">
        <v>44</v>
      </c>
      <c r="H25" s="161" t="s">
        <v>934</v>
      </c>
      <c r="I25" s="162">
        <v>352</v>
      </c>
      <c r="J25" s="159">
        <v>96.9</v>
      </c>
      <c r="K25" s="163">
        <v>97.9</v>
      </c>
      <c r="L25" s="164">
        <f t="shared" si="0"/>
        <v>194.8</v>
      </c>
      <c r="M25" s="165">
        <f t="shared" si="1"/>
        <v>0.55340909090909096</v>
      </c>
      <c r="N25" s="122"/>
    </row>
    <row r="26" spans="2:14" x14ac:dyDescent="0.25">
      <c r="B26" s="121"/>
      <c r="C26" s="159">
        <v>22</v>
      </c>
      <c r="D26" s="159">
        <v>12</v>
      </c>
      <c r="E26" s="159" t="s">
        <v>67</v>
      </c>
      <c r="F26" s="159" t="s">
        <v>526</v>
      </c>
      <c r="G26" s="160" t="s">
        <v>42</v>
      </c>
      <c r="H26" s="161" t="s">
        <v>935</v>
      </c>
      <c r="I26" s="162">
        <v>373</v>
      </c>
      <c r="J26" s="159">
        <v>106.2</v>
      </c>
      <c r="K26" s="163">
        <v>106.7</v>
      </c>
      <c r="L26" s="164">
        <f t="shared" si="0"/>
        <v>212.9</v>
      </c>
      <c r="M26" s="165">
        <f t="shared" si="1"/>
        <v>0.5707774798927614</v>
      </c>
      <c r="N26" s="122"/>
    </row>
    <row r="27" spans="2:14" x14ac:dyDescent="0.25">
      <c r="B27" s="121"/>
      <c r="C27" s="159">
        <v>23</v>
      </c>
      <c r="D27" s="159">
        <v>13</v>
      </c>
      <c r="E27" s="159" t="s">
        <v>68</v>
      </c>
      <c r="F27" s="159" t="s">
        <v>526</v>
      </c>
      <c r="G27" s="160" t="s">
        <v>42</v>
      </c>
      <c r="H27" s="161" t="s">
        <v>936</v>
      </c>
      <c r="I27" s="162">
        <v>350</v>
      </c>
      <c r="J27" s="159">
        <v>96.3</v>
      </c>
      <c r="K27" s="163">
        <v>97</v>
      </c>
      <c r="L27" s="164">
        <f t="shared" si="0"/>
        <v>193.3</v>
      </c>
      <c r="M27" s="165">
        <f t="shared" si="1"/>
        <v>0.55228571428571427</v>
      </c>
      <c r="N27" s="122"/>
    </row>
    <row r="28" spans="2:14" x14ac:dyDescent="0.25">
      <c r="B28" s="121"/>
      <c r="C28" s="159">
        <v>24</v>
      </c>
      <c r="D28" s="159">
        <v>7</v>
      </c>
      <c r="E28" s="159" t="s">
        <v>75</v>
      </c>
      <c r="F28" s="159" t="s">
        <v>526</v>
      </c>
      <c r="G28" s="160" t="s">
        <v>42</v>
      </c>
      <c r="H28" s="161" t="s">
        <v>937</v>
      </c>
      <c r="I28" s="162">
        <v>382</v>
      </c>
      <c r="J28" s="159">
        <v>109.9</v>
      </c>
      <c r="K28" s="163">
        <v>110</v>
      </c>
      <c r="L28" s="164">
        <f t="shared" si="0"/>
        <v>219.9</v>
      </c>
      <c r="M28" s="165">
        <f t="shared" si="1"/>
        <v>0.57565445026178008</v>
      </c>
      <c r="N28" s="122"/>
    </row>
    <row r="29" spans="2:14" x14ac:dyDescent="0.25">
      <c r="B29" s="121"/>
      <c r="C29" s="160">
        <v>25</v>
      </c>
      <c r="D29" s="160">
        <v>16</v>
      </c>
      <c r="E29" s="160" t="s">
        <v>68</v>
      </c>
      <c r="F29" s="160" t="s">
        <v>526</v>
      </c>
      <c r="G29" s="160" t="s">
        <v>42</v>
      </c>
      <c r="H29" s="161" t="s">
        <v>41</v>
      </c>
      <c r="I29" s="162">
        <v>396</v>
      </c>
      <c r="J29" s="159">
        <v>115</v>
      </c>
      <c r="K29" s="163">
        <v>114.1</v>
      </c>
      <c r="L29" s="164">
        <f t="shared" si="0"/>
        <v>229.1</v>
      </c>
      <c r="M29" s="165">
        <f t="shared" si="1"/>
        <v>0.57853535353535357</v>
      </c>
      <c r="N29" s="122"/>
    </row>
    <row r="30" spans="2:14" x14ac:dyDescent="0.25">
      <c r="B30" s="121"/>
      <c r="C30" s="160">
        <v>26</v>
      </c>
      <c r="D30" s="160">
        <v>5</v>
      </c>
      <c r="E30" s="160" t="s">
        <v>67</v>
      </c>
      <c r="F30" s="160" t="s">
        <v>526</v>
      </c>
      <c r="G30" s="160" t="s">
        <v>42</v>
      </c>
      <c r="H30" s="161" t="s">
        <v>938</v>
      </c>
      <c r="I30" s="162">
        <v>373</v>
      </c>
      <c r="J30" s="159">
        <v>108.2</v>
      </c>
      <c r="K30" s="163">
        <v>107.8</v>
      </c>
      <c r="L30" s="164">
        <f t="shared" si="0"/>
        <v>216</v>
      </c>
      <c r="M30" s="165">
        <f t="shared" si="1"/>
        <v>0.579088471849866</v>
      </c>
      <c r="N30" s="122"/>
    </row>
    <row r="31" spans="2:14" x14ac:dyDescent="0.25">
      <c r="B31" s="121"/>
      <c r="C31" s="159">
        <v>27</v>
      </c>
      <c r="D31" s="159">
        <v>22</v>
      </c>
      <c r="E31" s="159" t="s">
        <v>68</v>
      </c>
      <c r="F31" s="159" t="s">
        <v>526</v>
      </c>
      <c r="G31" s="160" t="s">
        <v>42</v>
      </c>
      <c r="H31" s="161" t="s">
        <v>939</v>
      </c>
      <c r="I31" s="162">
        <v>363</v>
      </c>
      <c r="J31" s="159">
        <v>108.2</v>
      </c>
      <c r="K31" s="163">
        <v>108.5</v>
      </c>
      <c r="L31" s="164">
        <f t="shared" si="0"/>
        <v>216.7</v>
      </c>
      <c r="M31" s="165">
        <f t="shared" si="1"/>
        <v>0.59696969696969693</v>
      </c>
      <c r="N31" s="122"/>
    </row>
    <row r="32" spans="2:14" x14ac:dyDescent="0.25">
      <c r="B32" s="121"/>
      <c r="C32" s="159">
        <v>28</v>
      </c>
      <c r="D32" s="159">
        <v>10</v>
      </c>
      <c r="E32" s="159" t="s">
        <v>68</v>
      </c>
      <c r="F32" s="159" t="s">
        <v>526</v>
      </c>
      <c r="G32" s="160" t="s">
        <v>42</v>
      </c>
      <c r="H32" s="161" t="s">
        <v>940</v>
      </c>
      <c r="I32" s="162">
        <v>369</v>
      </c>
      <c r="J32" s="159">
        <v>109.2</v>
      </c>
      <c r="K32" s="163">
        <v>110.1</v>
      </c>
      <c r="L32" s="164">
        <f t="shared" si="0"/>
        <v>219.3</v>
      </c>
      <c r="M32" s="165">
        <f t="shared" si="1"/>
        <v>0.59430894308943094</v>
      </c>
      <c r="N32" s="122"/>
    </row>
    <row r="33" spans="2:14" x14ac:dyDescent="0.25">
      <c r="B33" s="121"/>
      <c r="C33" s="160">
        <v>29</v>
      </c>
      <c r="D33" s="160">
        <v>19</v>
      </c>
      <c r="E33" s="160" t="s">
        <v>68</v>
      </c>
      <c r="F33" s="160" t="s">
        <v>526</v>
      </c>
      <c r="G33" s="160" t="s">
        <v>42</v>
      </c>
      <c r="H33" s="161" t="s">
        <v>941</v>
      </c>
      <c r="I33" s="162">
        <v>398</v>
      </c>
      <c r="J33" s="159">
        <v>117.1</v>
      </c>
      <c r="K33" s="163">
        <v>117.6</v>
      </c>
      <c r="L33" s="164">
        <f t="shared" si="0"/>
        <v>234.7</v>
      </c>
      <c r="M33" s="165">
        <f t="shared" si="1"/>
        <v>0.58969849246231154</v>
      </c>
      <c r="N33" s="122"/>
    </row>
    <row r="34" spans="2:14" x14ac:dyDescent="0.25">
      <c r="B34" s="121"/>
      <c r="C34" s="159">
        <v>30</v>
      </c>
      <c r="D34" s="159">
        <v>8</v>
      </c>
      <c r="E34" s="159" t="s">
        <v>68</v>
      </c>
      <c r="F34" s="159" t="s">
        <v>526</v>
      </c>
      <c r="G34" s="160" t="s">
        <v>44</v>
      </c>
      <c r="H34" s="161" t="s">
        <v>942</v>
      </c>
      <c r="I34" s="162">
        <v>419</v>
      </c>
      <c r="J34" s="159">
        <v>121.5</v>
      </c>
      <c r="K34" s="166">
        <v>123.1</v>
      </c>
      <c r="L34" s="164">
        <f t="shared" si="0"/>
        <v>244.6</v>
      </c>
      <c r="M34" s="167">
        <f t="shared" si="1"/>
        <v>0.58377088305489255</v>
      </c>
      <c r="N34" s="122"/>
    </row>
    <row r="35" spans="2:14" x14ac:dyDescent="0.25">
      <c r="B35" s="121"/>
      <c r="C35" s="159">
        <v>31</v>
      </c>
      <c r="D35" s="159">
        <v>17</v>
      </c>
      <c r="E35" s="159" t="s">
        <v>68</v>
      </c>
      <c r="F35" s="159" t="s">
        <v>526</v>
      </c>
      <c r="G35" s="160" t="s">
        <v>42</v>
      </c>
      <c r="H35" s="161">
        <v>846</v>
      </c>
      <c r="I35" s="162">
        <v>328</v>
      </c>
      <c r="J35" s="159">
        <v>94.8</v>
      </c>
      <c r="K35" s="163">
        <v>94.8</v>
      </c>
      <c r="L35" s="164">
        <f t="shared" si="0"/>
        <v>189.6</v>
      </c>
      <c r="M35" s="165">
        <f t="shared" si="1"/>
        <v>0.57804878048780484</v>
      </c>
      <c r="N35" s="122"/>
    </row>
    <row r="36" spans="2:14" x14ac:dyDescent="0.25">
      <c r="B36" s="121"/>
      <c r="C36" s="159">
        <v>32</v>
      </c>
      <c r="D36" s="159">
        <v>4</v>
      </c>
      <c r="E36" s="159" t="s">
        <v>68</v>
      </c>
      <c r="F36" s="159" t="s">
        <v>526</v>
      </c>
      <c r="G36" s="160" t="s">
        <v>42</v>
      </c>
      <c r="H36" s="161" t="s">
        <v>943</v>
      </c>
      <c r="I36" s="162">
        <v>358</v>
      </c>
      <c r="J36" s="159">
        <v>110.1</v>
      </c>
      <c r="K36" s="163">
        <v>110</v>
      </c>
      <c r="L36" s="164">
        <f t="shared" si="0"/>
        <v>220.1</v>
      </c>
      <c r="M36" s="165">
        <f t="shared" si="1"/>
        <v>0.61480446927374299</v>
      </c>
      <c r="N36" s="122"/>
    </row>
    <row r="37" spans="2:14" x14ac:dyDescent="0.25">
      <c r="B37" s="121"/>
      <c r="C37" s="159">
        <v>33</v>
      </c>
      <c r="D37" s="159">
        <v>27</v>
      </c>
      <c r="E37" s="159" t="s">
        <v>68</v>
      </c>
      <c r="F37" s="159" t="s">
        <v>526</v>
      </c>
      <c r="G37" s="160" t="s">
        <v>42</v>
      </c>
      <c r="H37" s="161" t="s">
        <v>944</v>
      </c>
      <c r="I37" s="162">
        <v>370</v>
      </c>
      <c r="J37" s="159">
        <v>109.2</v>
      </c>
      <c r="K37" s="163">
        <v>109.4</v>
      </c>
      <c r="L37" s="164">
        <f t="shared" si="0"/>
        <v>218.60000000000002</v>
      </c>
      <c r="M37" s="165">
        <f t="shared" si="1"/>
        <v>0.59081081081081088</v>
      </c>
      <c r="N37" s="122"/>
    </row>
    <row r="38" spans="2:14" x14ac:dyDescent="0.25">
      <c r="B38" s="121"/>
      <c r="C38" s="159">
        <v>34</v>
      </c>
      <c r="D38" s="159">
        <v>18</v>
      </c>
      <c r="E38" s="159" t="s">
        <v>75</v>
      </c>
      <c r="F38" s="159" t="s">
        <v>526</v>
      </c>
      <c r="G38" s="159" t="s">
        <v>42</v>
      </c>
      <c r="H38" s="168" t="s">
        <v>945</v>
      </c>
      <c r="I38" s="169">
        <v>374</v>
      </c>
      <c r="J38" s="159">
        <v>114</v>
      </c>
      <c r="K38" s="163">
        <v>116</v>
      </c>
      <c r="L38" s="164">
        <f t="shared" si="0"/>
        <v>230</v>
      </c>
      <c r="M38" s="165">
        <f t="shared" si="1"/>
        <v>0.61497326203208558</v>
      </c>
      <c r="N38" s="122"/>
    </row>
    <row r="39" spans="2:14" x14ac:dyDescent="0.25">
      <c r="B39" s="121"/>
      <c r="C39" s="159">
        <v>35</v>
      </c>
      <c r="D39" s="159">
        <v>11</v>
      </c>
      <c r="E39" s="159" t="s">
        <v>68</v>
      </c>
      <c r="F39" s="159" t="s">
        <v>526</v>
      </c>
      <c r="G39" s="160" t="s">
        <v>42</v>
      </c>
      <c r="H39" s="161" t="s">
        <v>946</v>
      </c>
      <c r="I39" s="162">
        <v>358</v>
      </c>
      <c r="J39" s="159">
        <v>99.6</v>
      </c>
      <c r="K39" s="163">
        <v>100.7</v>
      </c>
      <c r="L39" s="164">
        <f t="shared" si="0"/>
        <v>200.3</v>
      </c>
      <c r="M39" s="165">
        <f t="shared" si="1"/>
        <v>0.55949720670391068</v>
      </c>
      <c r="N39" s="122"/>
    </row>
    <row r="40" spans="2:14" x14ac:dyDescent="0.25">
      <c r="B40" s="121"/>
      <c r="C40" s="159">
        <v>36</v>
      </c>
      <c r="D40" s="159">
        <v>1</v>
      </c>
      <c r="E40" s="159" t="s">
        <v>75</v>
      </c>
      <c r="F40" s="159" t="s">
        <v>526</v>
      </c>
      <c r="G40" s="160" t="s">
        <v>44</v>
      </c>
      <c r="H40" s="161" t="s">
        <v>947</v>
      </c>
      <c r="I40" s="162">
        <v>379</v>
      </c>
      <c r="J40" s="159">
        <v>111.7</v>
      </c>
      <c r="K40" s="163">
        <v>112.6</v>
      </c>
      <c r="L40" s="164">
        <f t="shared" si="0"/>
        <v>224.3</v>
      </c>
      <c r="M40" s="165">
        <f t="shared" si="1"/>
        <v>0.59182058047493402</v>
      </c>
      <c r="N40" s="122"/>
    </row>
    <row r="41" spans="2:14" x14ac:dyDescent="0.25">
      <c r="B41" s="121"/>
      <c r="C41" s="159">
        <v>37</v>
      </c>
      <c r="D41" s="159">
        <v>23</v>
      </c>
      <c r="E41" s="159" t="s">
        <v>75</v>
      </c>
      <c r="F41" s="159" t="s">
        <v>526</v>
      </c>
      <c r="G41" s="160" t="s">
        <v>42</v>
      </c>
      <c r="H41" s="161" t="s">
        <v>948</v>
      </c>
      <c r="I41" s="162">
        <v>359</v>
      </c>
      <c r="J41" s="159">
        <v>102.1</v>
      </c>
      <c r="K41" s="163">
        <v>102.6</v>
      </c>
      <c r="L41" s="164">
        <f t="shared" si="0"/>
        <v>204.7</v>
      </c>
      <c r="M41" s="165">
        <f t="shared" si="1"/>
        <v>0.57019498607242336</v>
      </c>
      <c r="N41" s="122"/>
    </row>
    <row r="42" spans="2:14" x14ac:dyDescent="0.25">
      <c r="B42" s="121"/>
      <c r="C42" s="160">
        <v>38</v>
      </c>
      <c r="D42" s="160">
        <v>29</v>
      </c>
      <c r="E42" s="160" t="s">
        <v>68</v>
      </c>
      <c r="F42" s="160" t="s">
        <v>526</v>
      </c>
      <c r="G42" s="160" t="s">
        <v>42</v>
      </c>
      <c r="H42" s="161" t="s">
        <v>949</v>
      </c>
      <c r="I42" s="162">
        <v>338</v>
      </c>
      <c r="J42" s="159">
        <v>99.9</v>
      </c>
      <c r="K42" s="163">
        <v>101.5</v>
      </c>
      <c r="L42" s="164">
        <f t="shared" si="0"/>
        <v>201.4</v>
      </c>
      <c r="M42" s="165">
        <f t="shared" si="1"/>
        <v>0.59585798816568047</v>
      </c>
      <c r="N42" s="122"/>
    </row>
    <row r="43" spans="2:14" x14ac:dyDescent="0.25">
      <c r="B43" s="121"/>
      <c r="C43" s="159">
        <v>39</v>
      </c>
      <c r="D43" s="159">
        <v>25</v>
      </c>
      <c r="E43" s="159" t="s">
        <v>68</v>
      </c>
      <c r="F43" s="159" t="s">
        <v>526</v>
      </c>
      <c r="G43" s="160" t="s">
        <v>42</v>
      </c>
      <c r="H43" s="161" t="s">
        <v>948</v>
      </c>
      <c r="I43" s="162">
        <v>398</v>
      </c>
      <c r="J43" s="159">
        <v>114</v>
      </c>
      <c r="K43" s="163">
        <v>115.9</v>
      </c>
      <c r="L43" s="164">
        <f t="shared" si="0"/>
        <v>229.9</v>
      </c>
      <c r="M43" s="165">
        <f t="shared" si="1"/>
        <v>0.57763819095477387</v>
      </c>
      <c r="N43" s="122"/>
    </row>
    <row r="44" spans="2:14" x14ac:dyDescent="0.25">
      <c r="B44" s="121"/>
      <c r="C44" s="160">
        <v>40</v>
      </c>
      <c r="D44" s="160">
        <v>26</v>
      </c>
      <c r="E44" s="160" t="s">
        <v>67</v>
      </c>
      <c r="F44" s="160" t="s">
        <v>526</v>
      </c>
      <c r="G44" s="160" t="s">
        <v>42</v>
      </c>
      <c r="H44" s="161" t="s">
        <v>950</v>
      </c>
      <c r="I44" s="162">
        <v>357</v>
      </c>
      <c r="J44" s="159">
        <v>99.9</v>
      </c>
      <c r="K44" s="163">
        <v>102.5</v>
      </c>
      <c r="L44" s="164">
        <f t="shared" si="0"/>
        <v>202.4</v>
      </c>
      <c r="M44" s="165">
        <f t="shared" si="1"/>
        <v>0.56694677871148458</v>
      </c>
      <c r="N44" s="122"/>
    </row>
    <row r="45" spans="2:14" x14ac:dyDescent="0.25">
      <c r="B45" s="121"/>
      <c r="C45" s="160">
        <v>41</v>
      </c>
      <c r="D45" s="160">
        <v>14</v>
      </c>
      <c r="E45" s="160" t="s">
        <v>75</v>
      </c>
      <c r="F45" s="160" t="s">
        <v>526</v>
      </c>
      <c r="G45" s="160" t="s">
        <v>42</v>
      </c>
      <c r="H45" s="161" t="s">
        <v>951</v>
      </c>
      <c r="I45" s="162">
        <v>379</v>
      </c>
      <c r="J45" s="159">
        <v>110.5</v>
      </c>
      <c r="K45" s="163">
        <v>111.4</v>
      </c>
      <c r="L45" s="164">
        <f t="shared" si="0"/>
        <v>221.9</v>
      </c>
      <c r="M45" s="165">
        <f t="shared" si="1"/>
        <v>0.58548812664907657</v>
      </c>
      <c r="N45" s="122"/>
    </row>
    <row r="46" spans="2:14" x14ac:dyDescent="0.25">
      <c r="B46" s="121"/>
      <c r="C46" s="160">
        <v>42</v>
      </c>
      <c r="D46" s="160">
        <v>9</v>
      </c>
      <c r="E46" s="160" t="s">
        <v>67</v>
      </c>
      <c r="F46" s="160" t="s">
        <v>526</v>
      </c>
      <c r="G46" s="160" t="s">
        <v>44</v>
      </c>
      <c r="H46" s="161" t="s">
        <v>952</v>
      </c>
      <c r="I46" s="162">
        <v>336</v>
      </c>
      <c r="J46" s="159">
        <v>93.6</v>
      </c>
      <c r="K46" s="163">
        <v>92.7</v>
      </c>
      <c r="L46" s="164">
        <f t="shared" si="0"/>
        <v>186.3</v>
      </c>
      <c r="M46" s="165">
        <f t="shared" si="1"/>
        <v>0.55446428571428574</v>
      </c>
      <c r="N46" s="122"/>
    </row>
    <row r="47" spans="2:14" x14ac:dyDescent="0.25">
      <c r="B47" s="121"/>
      <c r="C47" s="160">
        <v>43</v>
      </c>
      <c r="D47" s="160">
        <v>24</v>
      </c>
      <c r="E47" s="160" t="s">
        <v>68</v>
      </c>
      <c r="F47" s="160" t="s">
        <v>526</v>
      </c>
      <c r="G47" s="160" t="s">
        <v>42</v>
      </c>
      <c r="H47" s="161" t="s">
        <v>953</v>
      </c>
      <c r="I47" s="162">
        <v>420</v>
      </c>
      <c r="J47" s="159">
        <v>118.7</v>
      </c>
      <c r="K47" s="163">
        <v>119.9</v>
      </c>
      <c r="L47" s="164">
        <f t="shared" si="0"/>
        <v>238.60000000000002</v>
      </c>
      <c r="M47" s="165">
        <f t="shared" si="1"/>
        <v>0.5680952380952381</v>
      </c>
      <c r="N47" s="122"/>
    </row>
    <row r="48" spans="2:14" x14ac:dyDescent="0.25">
      <c r="B48" s="121"/>
      <c r="C48" s="160">
        <v>44</v>
      </c>
      <c r="D48" s="160">
        <v>20</v>
      </c>
      <c r="E48" s="160" t="s">
        <v>75</v>
      </c>
      <c r="F48" s="160" t="s">
        <v>526</v>
      </c>
      <c r="G48" s="160" t="s">
        <v>42</v>
      </c>
      <c r="H48" s="161" t="s">
        <v>954</v>
      </c>
      <c r="I48" s="162">
        <v>347</v>
      </c>
      <c r="J48" s="159">
        <v>99.2</v>
      </c>
      <c r="K48" s="163">
        <v>98.5</v>
      </c>
      <c r="L48" s="164">
        <f t="shared" si="0"/>
        <v>197.7</v>
      </c>
      <c r="M48" s="165">
        <f t="shared" si="1"/>
        <v>0.56974063400576369</v>
      </c>
      <c r="N48" s="122"/>
    </row>
    <row r="49" spans="2:14" x14ac:dyDescent="0.25">
      <c r="B49" s="121"/>
      <c r="C49" s="160">
        <v>45</v>
      </c>
      <c r="D49" s="160">
        <v>31</v>
      </c>
      <c r="E49" s="160" t="s">
        <v>67</v>
      </c>
      <c r="F49" s="160" t="s">
        <v>526</v>
      </c>
      <c r="G49" s="160" t="s">
        <v>42</v>
      </c>
      <c r="H49" s="161" t="s">
        <v>955</v>
      </c>
      <c r="I49" s="162">
        <v>364</v>
      </c>
      <c r="J49" s="159">
        <v>100.7</v>
      </c>
      <c r="K49" s="163">
        <v>100.6</v>
      </c>
      <c r="L49" s="164">
        <f t="shared" si="0"/>
        <v>201.3</v>
      </c>
      <c r="M49" s="165">
        <f t="shared" si="1"/>
        <v>0.55302197802197806</v>
      </c>
      <c r="N49" s="122"/>
    </row>
    <row r="50" spans="2:14" x14ac:dyDescent="0.25">
      <c r="B50" s="121"/>
      <c r="C50" s="159">
        <v>46</v>
      </c>
      <c r="D50" s="159">
        <v>21</v>
      </c>
      <c r="E50" s="159" t="s">
        <v>67</v>
      </c>
      <c r="F50" s="159" t="s">
        <v>526</v>
      </c>
      <c r="G50" s="160" t="s">
        <v>42</v>
      </c>
      <c r="H50" s="161" t="s">
        <v>956</v>
      </c>
      <c r="I50" s="162">
        <v>406</v>
      </c>
      <c r="J50" s="159">
        <v>113.5</v>
      </c>
      <c r="K50" s="163">
        <v>114.3</v>
      </c>
      <c r="L50" s="164">
        <f t="shared" si="0"/>
        <v>227.8</v>
      </c>
      <c r="M50" s="165">
        <f t="shared" si="1"/>
        <v>0.56108374384236459</v>
      </c>
      <c r="N50" s="122"/>
    </row>
    <row r="51" spans="2:14" x14ac:dyDescent="0.25">
      <c r="B51" s="121"/>
      <c r="C51" s="159">
        <v>47</v>
      </c>
      <c r="D51" s="159">
        <v>30</v>
      </c>
      <c r="E51" s="159" t="s">
        <v>67</v>
      </c>
      <c r="F51" s="159" t="s">
        <v>526</v>
      </c>
      <c r="G51" s="160" t="s">
        <v>42</v>
      </c>
      <c r="H51" s="168" t="s">
        <v>957</v>
      </c>
      <c r="I51" s="169">
        <v>402</v>
      </c>
      <c r="J51" s="159">
        <v>121.7</v>
      </c>
      <c r="K51" s="163">
        <v>123.1</v>
      </c>
      <c r="L51" s="164">
        <f t="shared" si="0"/>
        <v>244.8</v>
      </c>
      <c r="M51" s="165">
        <f t="shared" si="1"/>
        <v>0.60895522388059709</v>
      </c>
      <c r="N51" s="122"/>
    </row>
    <row r="52" spans="2:14" x14ac:dyDescent="0.25">
      <c r="B52" s="121"/>
      <c r="C52" s="159">
        <v>48</v>
      </c>
      <c r="D52" s="160">
        <v>15</v>
      </c>
      <c r="E52" s="160" t="s">
        <v>68</v>
      </c>
      <c r="F52" s="160" t="s">
        <v>526</v>
      </c>
      <c r="G52" s="160" t="s">
        <v>42</v>
      </c>
      <c r="H52" s="168" t="s">
        <v>958</v>
      </c>
      <c r="I52" s="169">
        <v>360</v>
      </c>
      <c r="J52" s="159">
        <v>101.8</v>
      </c>
      <c r="K52" s="163">
        <v>102.1</v>
      </c>
      <c r="L52" s="164">
        <f t="shared" si="0"/>
        <v>203.89999999999998</v>
      </c>
      <c r="M52" s="165">
        <f t="shared" si="1"/>
        <v>0.56638888888888883</v>
      </c>
      <c r="N52" s="122"/>
    </row>
    <row r="53" spans="2:14" x14ac:dyDescent="0.25">
      <c r="B53" s="121"/>
      <c r="C53" s="159">
        <v>49</v>
      </c>
      <c r="D53" s="160">
        <v>28</v>
      </c>
      <c r="E53" s="160" t="s">
        <v>68</v>
      </c>
      <c r="F53" s="160" t="s">
        <v>526</v>
      </c>
      <c r="G53" s="160" t="s">
        <v>42</v>
      </c>
      <c r="H53" s="168" t="s">
        <v>959</v>
      </c>
      <c r="I53" s="169">
        <v>331</v>
      </c>
      <c r="J53" s="159">
        <v>96.6</v>
      </c>
      <c r="K53" s="163">
        <v>97.3</v>
      </c>
      <c r="L53" s="164">
        <f t="shared" si="0"/>
        <v>193.89999999999998</v>
      </c>
      <c r="M53" s="165">
        <f t="shared" si="1"/>
        <v>0.58580060422960722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48"/>
      <c r="D66" s="248">
        <f>+COUNT($D$22:$D$65)</f>
        <v>31</v>
      </c>
      <c r="E66" s="248"/>
      <c r="F66" s="373"/>
      <c r="G66" s="373"/>
      <c r="H66" s="149"/>
      <c r="I66" s="148">
        <f>SUM($I$22:$I$65)</f>
        <v>11492</v>
      </c>
      <c r="J66" s="150">
        <f>SUM($J$22:$J$65)</f>
        <v>3315.4999999999991</v>
      </c>
      <c r="K66" s="151">
        <f>SUM($K$22:$K$65)</f>
        <v>3334</v>
      </c>
      <c r="L66" s="148">
        <f>SUM($L$22:$L$65)</f>
        <v>6649.4999999999991</v>
      </c>
      <c r="M66" s="178">
        <f t="shared" si="1"/>
        <v>0.57861990950226239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95.22</v>
      </c>
      <c r="I71" s="119">
        <v>92.100000000000009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45</v>
      </c>
      <c r="I72" s="119">
        <v>71.900000000000006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30</v>
      </c>
      <c r="I73" s="119">
        <v>135.62</v>
      </c>
      <c r="J73" s="181">
        <v>15</v>
      </c>
      <c r="K73" s="185">
        <f>30.28+27.06+26.52</f>
        <v>83.86</v>
      </c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45</v>
      </c>
      <c r="I74" s="119">
        <v>45.18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32.22</v>
      </c>
      <c r="I75" s="119">
        <v>31.54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90</v>
      </c>
      <c r="I76" s="119">
        <v>40.299999999999997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180</v>
      </c>
      <c r="I77" s="119">
        <v>29.56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45</v>
      </c>
      <c r="I78" s="119">
        <v>32.299999999999997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45</v>
      </c>
      <c r="I79" s="119">
        <v>32.020000000000003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61.120000000000005</v>
      </c>
      <c r="I80" s="119">
        <v>58.46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45</v>
      </c>
      <c r="I81" s="119">
        <v>42.7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45</v>
      </c>
      <c r="I82" s="119">
        <v>15.219999999999999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27.5</v>
      </c>
      <c r="I83" s="119">
        <v>26.5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653.40000000000009</v>
      </c>
      <c r="J84" s="187">
        <f>SUM(J71:J83)</f>
        <v>15</v>
      </c>
      <c r="K84" s="186">
        <f>SUM(K71:K83)</f>
        <v>83.86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31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66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L9" sqref="L9:M9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0.5740116068190062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226.07857142857142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303</v>
      </c>
      <c r="F8" s="344"/>
      <c r="G8" s="344"/>
      <c r="H8" s="345"/>
      <c r="I8" s="146" t="s">
        <v>487</v>
      </c>
      <c r="J8" s="346" t="s">
        <v>973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45003</v>
      </c>
      <c r="F9" s="344"/>
      <c r="G9" s="344"/>
      <c r="H9" s="345"/>
      <c r="I9" s="146" t="s">
        <v>88</v>
      </c>
      <c r="J9" s="209" t="s">
        <v>975</v>
      </c>
      <c r="K9" s="251" t="s">
        <v>490</v>
      </c>
      <c r="L9" s="369">
        <v>19095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49" t="s">
        <v>569</v>
      </c>
      <c r="E12" s="384">
        <v>46049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41</v>
      </c>
      <c r="F13" s="349"/>
      <c r="H13" s="117"/>
      <c r="I13" s="123"/>
      <c r="J13" s="215" t="s">
        <v>483</v>
      </c>
      <c r="K13" s="250">
        <f>+COUNTIF($G$22:$G$66,"VQ")*2</f>
        <v>0</v>
      </c>
      <c r="L13" s="250">
        <f>+SUMIF($G$23:$G$65,"VQ",$L$23:$L$65)</f>
        <v>0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14</v>
      </c>
      <c r="F14" s="350"/>
      <c r="H14" s="117"/>
      <c r="I14" s="123"/>
      <c r="J14" s="215" t="s">
        <v>42</v>
      </c>
      <c r="K14" s="250">
        <f>+COUNTIF($G$22:$G$66,"NT")*2</f>
        <v>0</v>
      </c>
      <c r="L14" s="250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5514</v>
      </c>
      <c r="F15" s="350"/>
      <c r="H15" s="117"/>
      <c r="I15" s="123"/>
      <c r="J15" s="215" t="s">
        <v>484</v>
      </c>
      <c r="K15" s="250">
        <f>+COUNTIF($G$22:$G$66,"NO")*2</f>
        <v>28</v>
      </c>
      <c r="L15" s="250">
        <f>+SUMIF($G$23:$G$65,"NO",$L$23:$L$65)</f>
        <v>3165.1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3165.1</v>
      </c>
      <c r="F16" s="350"/>
      <c r="H16" s="117"/>
      <c r="I16" s="123"/>
      <c r="J16" s="215" t="s">
        <v>485</v>
      </c>
      <c r="K16" s="250">
        <f>+COUNTIF($G$22:$G$66,"TO")*2</f>
        <v>0</v>
      </c>
      <c r="L16" s="250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0.5740116068190062</v>
      </c>
      <c r="F17" s="350"/>
      <c r="G17" s="124"/>
      <c r="H17" s="125"/>
      <c r="I17" s="123"/>
      <c r="J17" s="215" t="s">
        <v>486</v>
      </c>
      <c r="K17" s="250">
        <f>+COUNTIF($G$22:$G$66,"VA")*2</f>
        <v>0</v>
      </c>
      <c r="L17" s="250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226.07857142857142</v>
      </c>
      <c r="F18" s="353"/>
      <c r="G18" s="124"/>
      <c r="H18" s="125"/>
      <c r="I18" s="123"/>
      <c r="J18" s="215" t="s">
        <v>44</v>
      </c>
      <c r="K18" s="250">
        <f>+COUNTIF($G$22:$G$66,"MEJ")*2</f>
        <v>0</v>
      </c>
      <c r="L18" s="250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50</v>
      </c>
      <c r="D23" s="152">
        <v>1</v>
      </c>
      <c r="E23" s="152" t="s">
        <v>960</v>
      </c>
      <c r="F23" s="152" t="s">
        <v>526</v>
      </c>
      <c r="G23" s="153" t="s">
        <v>484</v>
      </c>
      <c r="H23" s="154" t="s">
        <v>961</v>
      </c>
      <c r="I23" s="155">
        <v>376</v>
      </c>
      <c r="J23" s="152">
        <v>111.8</v>
      </c>
      <c r="K23" s="156">
        <v>111.7</v>
      </c>
      <c r="L23" s="157">
        <f t="shared" ref="L23:L65" si="0">+J23+K23</f>
        <v>223.5</v>
      </c>
      <c r="M23" s="158">
        <f t="shared" ref="M23:M66" si="1">+L23/I23</f>
        <v>0.59441489361702127</v>
      </c>
      <c r="N23" s="122"/>
    </row>
    <row r="24" spans="2:14" x14ac:dyDescent="0.25">
      <c r="B24" s="121"/>
      <c r="C24" s="159">
        <v>51</v>
      </c>
      <c r="D24" s="159">
        <v>11</v>
      </c>
      <c r="E24" s="159" t="s">
        <v>67</v>
      </c>
      <c r="F24" s="159" t="s">
        <v>526</v>
      </c>
      <c r="G24" s="160" t="s">
        <v>484</v>
      </c>
      <c r="H24" s="161" t="s">
        <v>962</v>
      </c>
      <c r="I24" s="162">
        <v>413</v>
      </c>
      <c r="J24" s="159">
        <v>125.4</v>
      </c>
      <c r="K24" s="163">
        <v>126.4</v>
      </c>
      <c r="L24" s="164">
        <f t="shared" si="0"/>
        <v>251.8</v>
      </c>
      <c r="M24" s="165">
        <f t="shared" si="1"/>
        <v>0.60968523002421315</v>
      </c>
      <c r="N24" s="122"/>
    </row>
    <row r="25" spans="2:14" x14ac:dyDescent="0.25">
      <c r="B25" s="121"/>
      <c r="C25" s="159">
        <v>52</v>
      </c>
      <c r="D25" s="159">
        <v>4</v>
      </c>
      <c r="E25" s="159" t="s">
        <v>67</v>
      </c>
      <c r="F25" s="159" t="s">
        <v>526</v>
      </c>
      <c r="G25" s="160" t="s">
        <v>484</v>
      </c>
      <c r="H25" s="161" t="s">
        <v>963</v>
      </c>
      <c r="I25" s="162">
        <v>421</v>
      </c>
      <c r="J25" s="159">
        <v>123.7</v>
      </c>
      <c r="K25" s="163">
        <v>125.4</v>
      </c>
      <c r="L25" s="164">
        <f t="shared" si="0"/>
        <v>249.10000000000002</v>
      </c>
      <c r="M25" s="165">
        <f t="shared" si="1"/>
        <v>0.59168646080760101</v>
      </c>
      <c r="N25" s="122"/>
    </row>
    <row r="26" spans="2:14" x14ac:dyDescent="0.25">
      <c r="B26" s="121"/>
      <c r="C26" s="159">
        <v>53</v>
      </c>
      <c r="D26" s="159">
        <v>6</v>
      </c>
      <c r="E26" s="159" t="s">
        <v>67</v>
      </c>
      <c r="F26" s="159" t="s">
        <v>526</v>
      </c>
      <c r="G26" s="160" t="s">
        <v>484</v>
      </c>
      <c r="H26" s="161" t="s">
        <v>964</v>
      </c>
      <c r="I26" s="162">
        <v>337</v>
      </c>
      <c r="J26" s="159">
        <v>96.8</v>
      </c>
      <c r="K26" s="163">
        <v>98.4</v>
      </c>
      <c r="L26" s="164">
        <f t="shared" si="0"/>
        <v>195.2</v>
      </c>
      <c r="M26" s="165">
        <f t="shared" si="1"/>
        <v>0.5792284866468842</v>
      </c>
      <c r="N26" s="122"/>
    </row>
    <row r="27" spans="2:14" x14ac:dyDescent="0.25">
      <c r="B27" s="121"/>
      <c r="C27" s="159">
        <v>54</v>
      </c>
      <c r="D27" s="159">
        <v>5</v>
      </c>
      <c r="E27" s="159" t="s">
        <v>67</v>
      </c>
      <c r="F27" s="159" t="s">
        <v>750</v>
      </c>
      <c r="G27" s="160" t="s">
        <v>484</v>
      </c>
      <c r="H27" s="161" t="s">
        <v>965</v>
      </c>
      <c r="I27" s="162">
        <v>342</v>
      </c>
      <c r="J27" s="159">
        <v>99.1</v>
      </c>
      <c r="K27" s="163">
        <v>99.2</v>
      </c>
      <c r="L27" s="164">
        <f t="shared" si="0"/>
        <v>198.3</v>
      </c>
      <c r="M27" s="165">
        <f t="shared" si="1"/>
        <v>0.5798245614035088</v>
      </c>
      <c r="N27" s="122"/>
    </row>
    <row r="28" spans="2:14" x14ac:dyDescent="0.25">
      <c r="B28" s="121"/>
      <c r="C28" s="159">
        <v>55</v>
      </c>
      <c r="D28" s="159">
        <v>3</v>
      </c>
      <c r="E28" s="159" t="s">
        <v>67</v>
      </c>
      <c r="F28" s="159" t="s">
        <v>526</v>
      </c>
      <c r="G28" s="160" t="s">
        <v>484</v>
      </c>
      <c r="H28" s="161" t="s">
        <v>966</v>
      </c>
      <c r="I28" s="162">
        <v>382</v>
      </c>
      <c r="J28" s="159">
        <v>106.3</v>
      </c>
      <c r="K28" s="163">
        <v>109</v>
      </c>
      <c r="L28" s="164">
        <f t="shared" si="0"/>
        <v>215.3</v>
      </c>
      <c r="M28" s="165">
        <f t="shared" si="1"/>
        <v>0.56361256544502625</v>
      </c>
      <c r="N28" s="122"/>
    </row>
    <row r="29" spans="2:14" x14ac:dyDescent="0.25">
      <c r="B29" s="121"/>
      <c r="C29" s="160">
        <v>56</v>
      </c>
      <c r="D29" s="160">
        <v>12</v>
      </c>
      <c r="E29" s="160" t="s">
        <v>75</v>
      </c>
      <c r="F29" s="160" t="s">
        <v>526</v>
      </c>
      <c r="G29" s="160" t="s">
        <v>484</v>
      </c>
      <c r="H29" s="161" t="s">
        <v>967</v>
      </c>
      <c r="I29" s="162">
        <v>390</v>
      </c>
      <c r="J29" s="159">
        <v>107.2</v>
      </c>
      <c r="K29" s="163">
        <v>107.7</v>
      </c>
      <c r="L29" s="164">
        <f t="shared" si="0"/>
        <v>214.9</v>
      </c>
      <c r="M29" s="165">
        <f t="shared" si="1"/>
        <v>0.551025641025641</v>
      </c>
      <c r="N29" s="122"/>
    </row>
    <row r="30" spans="2:14" x14ac:dyDescent="0.25">
      <c r="B30" s="121"/>
      <c r="C30" s="160">
        <v>57</v>
      </c>
      <c r="D30" s="160">
        <v>2</v>
      </c>
      <c r="E30" s="160" t="s">
        <v>68</v>
      </c>
      <c r="F30" s="160" t="s">
        <v>526</v>
      </c>
      <c r="G30" s="160" t="s">
        <v>484</v>
      </c>
      <c r="H30" s="161" t="s">
        <v>968</v>
      </c>
      <c r="I30" s="162">
        <v>361</v>
      </c>
      <c r="J30" s="159">
        <v>104</v>
      </c>
      <c r="K30" s="163">
        <v>104.9</v>
      </c>
      <c r="L30" s="164">
        <f t="shared" si="0"/>
        <v>208.9</v>
      </c>
      <c r="M30" s="165">
        <f t="shared" si="1"/>
        <v>0.57867036011080331</v>
      </c>
      <c r="N30" s="122"/>
    </row>
    <row r="31" spans="2:14" x14ac:dyDescent="0.25">
      <c r="B31" s="121"/>
      <c r="C31" s="159">
        <v>58</v>
      </c>
      <c r="D31" s="159">
        <v>9</v>
      </c>
      <c r="E31" s="159" t="s">
        <v>67</v>
      </c>
      <c r="F31" s="159" t="s">
        <v>526</v>
      </c>
      <c r="G31" s="160" t="s">
        <v>484</v>
      </c>
      <c r="H31" s="161" t="s">
        <v>969</v>
      </c>
      <c r="I31" s="162">
        <v>373</v>
      </c>
      <c r="J31" s="159">
        <v>100.8</v>
      </c>
      <c r="K31" s="163">
        <v>103.1</v>
      </c>
      <c r="L31" s="164">
        <f t="shared" si="0"/>
        <v>203.89999999999998</v>
      </c>
      <c r="M31" s="165">
        <f t="shared" si="1"/>
        <v>0.54664879356568363</v>
      </c>
      <c r="N31" s="122"/>
    </row>
    <row r="32" spans="2:14" x14ac:dyDescent="0.25">
      <c r="B32" s="121"/>
      <c r="C32" s="159">
        <v>59</v>
      </c>
      <c r="D32" s="159">
        <v>8</v>
      </c>
      <c r="E32" s="159" t="s">
        <v>67</v>
      </c>
      <c r="F32" s="159" t="s">
        <v>526</v>
      </c>
      <c r="G32" s="160" t="s">
        <v>484</v>
      </c>
      <c r="H32" s="161" t="s">
        <v>417</v>
      </c>
      <c r="I32" s="162">
        <v>381</v>
      </c>
      <c r="J32" s="159">
        <v>108.5</v>
      </c>
      <c r="K32" s="163">
        <v>108.5</v>
      </c>
      <c r="L32" s="164">
        <f t="shared" si="0"/>
        <v>217</v>
      </c>
      <c r="M32" s="165">
        <f t="shared" si="1"/>
        <v>0.56955380577427817</v>
      </c>
      <c r="N32" s="122"/>
    </row>
    <row r="33" spans="2:14" x14ac:dyDescent="0.25">
      <c r="B33" s="121"/>
      <c r="C33" s="160">
        <v>60</v>
      </c>
      <c r="D33" s="160">
        <v>7</v>
      </c>
      <c r="E33" s="160" t="s">
        <v>68</v>
      </c>
      <c r="F33" s="160" t="s">
        <v>526</v>
      </c>
      <c r="G33" s="160" t="s">
        <v>484</v>
      </c>
      <c r="H33" s="161" t="s">
        <v>970</v>
      </c>
      <c r="I33" s="162">
        <v>324</v>
      </c>
      <c r="J33" s="159">
        <v>85.7</v>
      </c>
      <c r="K33" s="163">
        <v>87.2</v>
      </c>
      <c r="L33" s="164">
        <f t="shared" si="0"/>
        <v>172.9</v>
      </c>
      <c r="M33" s="165">
        <f t="shared" si="1"/>
        <v>0.53364197530864199</v>
      </c>
      <c r="N33" s="122"/>
    </row>
    <row r="34" spans="2:14" x14ac:dyDescent="0.25">
      <c r="B34" s="121"/>
      <c r="C34" s="159">
        <v>61</v>
      </c>
      <c r="D34" s="159">
        <v>14</v>
      </c>
      <c r="E34" s="159" t="s">
        <v>67</v>
      </c>
      <c r="F34" s="159" t="s">
        <v>526</v>
      </c>
      <c r="G34" s="160" t="s">
        <v>484</v>
      </c>
      <c r="H34" s="161" t="s">
        <v>971</v>
      </c>
      <c r="I34" s="162">
        <v>418</v>
      </c>
      <c r="J34" s="159">
        <v>115</v>
      </c>
      <c r="K34" s="166">
        <v>116.6</v>
      </c>
      <c r="L34" s="164">
        <f t="shared" si="0"/>
        <v>231.6</v>
      </c>
      <c r="M34" s="167">
        <f t="shared" si="1"/>
        <v>0.55406698564593304</v>
      </c>
      <c r="N34" s="122"/>
    </row>
    <row r="35" spans="2:14" x14ac:dyDescent="0.25">
      <c r="B35" s="121"/>
      <c r="C35" s="159">
        <v>62</v>
      </c>
      <c r="D35" s="159">
        <v>13</v>
      </c>
      <c r="E35" s="159" t="s">
        <v>75</v>
      </c>
      <c r="F35" s="159" t="s">
        <v>526</v>
      </c>
      <c r="G35" s="160" t="s">
        <v>484</v>
      </c>
      <c r="H35" s="161" t="s">
        <v>972</v>
      </c>
      <c r="I35" s="162">
        <v>402</v>
      </c>
      <c r="J35" s="159">
        <v>113</v>
      </c>
      <c r="K35" s="163">
        <v>112.7</v>
      </c>
      <c r="L35" s="164">
        <f t="shared" si="0"/>
        <v>225.7</v>
      </c>
      <c r="M35" s="165">
        <f t="shared" si="1"/>
        <v>0.5614427860696517</v>
      </c>
      <c r="N35" s="122"/>
    </row>
    <row r="36" spans="2:14" x14ac:dyDescent="0.25">
      <c r="B36" s="121"/>
      <c r="C36" s="159">
        <v>63</v>
      </c>
      <c r="D36" s="159">
        <v>10</v>
      </c>
      <c r="E36" s="159" t="s">
        <v>75</v>
      </c>
      <c r="F36" s="159" t="s">
        <v>527</v>
      </c>
      <c r="G36" s="160" t="s">
        <v>484</v>
      </c>
      <c r="H36" s="161" t="s">
        <v>41</v>
      </c>
      <c r="I36" s="162">
        <v>594</v>
      </c>
      <c r="J36" s="159">
        <v>176.6</v>
      </c>
      <c r="K36" s="163">
        <v>180.4</v>
      </c>
      <c r="L36" s="164">
        <f t="shared" si="0"/>
        <v>357</v>
      </c>
      <c r="M36" s="165">
        <f t="shared" si="1"/>
        <v>0.60101010101010099</v>
      </c>
      <c r="N36" s="122"/>
    </row>
    <row r="37" spans="2:14" x14ac:dyDescent="0.25">
      <c r="B37" s="121"/>
      <c r="C37" s="159"/>
      <c r="D37" s="159"/>
      <c r="E37" s="159"/>
      <c r="F37" s="159"/>
      <c r="G37" s="160"/>
      <c r="H37" s="161"/>
      <c r="I37" s="162"/>
      <c r="J37" s="159"/>
      <c r="K37" s="163"/>
      <c r="L37" s="164">
        <f t="shared" ref="L37" si="2">+J37+K37</f>
        <v>0</v>
      </c>
      <c r="M37" s="165" t="e">
        <f t="shared" ref="M37" si="3">+L37/I37</f>
        <v>#DIV/0!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252"/>
      <c r="I38" s="159"/>
      <c r="J38" s="253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254"/>
      <c r="I39" s="255"/>
      <c r="J39" s="253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254"/>
      <c r="I40" s="160"/>
      <c r="J40" s="253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254"/>
      <c r="I41" s="160"/>
      <c r="J41" s="253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254"/>
      <c r="I42" s="160"/>
      <c r="J42" s="253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254"/>
      <c r="I43" s="160"/>
      <c r="J43" s="253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254"/>
      <c r="I44" s="160"/>
      <c r="J44" s="253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254"/>
      <c r="I45" s="160"/>
      <c r="J45" s="253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254"/>
      <c r="I46" s="160"/>
      <c r="J46" s="253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254"/>
      <c r="I47" s="160"/>
      <c r="J47" s="253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254"/>
      <c r="I48" s="160"/>
      <c r="J48" s="253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254"/>
      <c r="I49" s="160"/>
      <c r="J49" s="253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254"/>
      <c r="I50" s="160"/>
      <c r="J50" s="253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252"/>
      <c r="I51" s="159"/>
      <c r="J51" s="253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252"/>
      <c r="I52" s="159"/>
      <c r="J52" s="253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252"/>
      <c r="I53" s="159"/>
      <c r="J53" s="253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48"/>
      <c r="D66" s="248">
        <f>+COUNT($D$22:$D$65)</f>
        <v>14</v>
      </c>
      <c r="E66" s="248"/>
      <c r="F66" s="373"/>
      <c r="G66" s="373"/>
      <c r="H66" s="149"/>
      <c r="I66" s="148">
        <f>SUM($I$22:$I$65)</f>
        <v>5514</v>
      </c>
      <c r="J66" s="150">
        <f>SUM($J$22:$J$65)</f>
        <v>1573.8999999999999</v>
      </c>
      <c r="K66" s="151">
        <f>SUM($K$22:$K$65)</f>
        <v>1591.2000000000003</v>
      </c>
      <c r="L66" s="148">
        <f>SUM($L$22:$L$65)</f>
        <v>3165.1</v>
      </c>
      <c r="M66" s="178">
        <f t="shared" si="1"/>
        <v>0.5740116068190062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/>
      <c r="I71" s="119"/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/>
      <c r="I72" s="119"/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/>
      <c r="I73" s="119"/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/>
      <c r="I74" s="119"/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/>
      <c r="I75" s="119"/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/>
      <c r="I76" s="119"/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/>
      <c r="I77" s="119"/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/>
      <c r="I78" s="119"/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/>
      <c r="I79" s="119"/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/>
      <c r="I80" s="119"/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/>
      <c r="I81" s="119"/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/>
      <c r="I82" s="119"/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/>
      <c r="I83" s="119"/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0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14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65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B65" zoomScale="90" zoomScaleNormal="90" workbookViewId="0">
      <selection activeCell="I71" sqref="I71:I83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0.5482758620689655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176.03571428571428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986</v>
      </c>
      <c r="F8" s="344"/>
      <c r="G8" s="344"/>
      <c r="H8" s="345"/>
      <c r="I8" s="146" t="s">
        <v>487</v>
      </c>
      <c r="J8" s="346" t="s">
        <v>987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28012</v>
      </c>
      <c r="F9" s="344"/>
      <c r="G9" s="344"/>
      <c r="H9" s="345"/>
      <c r="I9" s="146" t="s">
        <v>88</v>
      </c>
      <c r="J9" s="209" t="s">
        <v>988</v>
      </c>
      <c r="K9" s="259" t="s">
        <v>490</v>
      </c>
      <c r="L9" s="369">
        <v>471482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57" t="s">
        <v>569</v>
      </c>
      <c r="E12" s="384">
        <v>46050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42</v>
      </c>
      <c r="F13" s="349"/>
      <c r="H13" s="117"/>
      <c r="I13" s="123"/>
      <c r="J13" s="215" t="s">
        <v>483</v>
      </c>
      <c r="K13" s="258">
        <f>+COUNTIF($G$22:$G$66,"VQ")*2</f>
        <v>0</v>
      </c>
      <c r="L13" s="258">
        <f>+SUMIF($G$23:$G$65,"VQ",$L$23:$L$65)</f>
        <v>0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14</v>
      </c>
      <c r="F14" s="350"/>
      <c r="H14" s="117"/>
      <c r="I14" s="123"/>
      <c r="J14" s="215" t="s">
        <v>42</v>
      </c>
      <c r="K14" s="258">
        <f>+COUNTIF($G$22:$G$66,"NT")*2</f>
        <v>0</v>
      </c>
      <c r="L14" s="258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4495</v>
      </c>
      <c r="F15" s="350"/>
      <c r="H15" s="117"/>
      <c r="I15" s="123"/>
      <c r="J15" s="215" t="s">
        <v>484</v>
      </c>
      <c r="K15" s="258">
        <f>+COUNTIF($G$22:$G$66,"NO")*2</f>
        <v>0</v>
      </c>
      <c r="L15" s="258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2464.5</v>
      </c>
      <c r="F16" s="350"/>
      <c r="H16" s="117"/>
      <c r="I16" s="123"/>
      <c r="J16" s="215" t="s">
        <v>485</v>
      </c>
      <c r="K16" s="258">
        <f>+COUNTIF($G$22:$G$66,"TO")*2</f>
        <v>0</v>
      </c>
      <c r="L16" s="258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0.5482758620689655</v>
      </c>
      <c r="F17" s="350"/>
      <c r="G17" s="124"/>
      <c r="H17" s="125"/>
      <c r="I17" s="123"/>
      <c r="J17" s="215" t="s">
        <v>486</v>
      </c>
      <c r="K17" s="258">
        <f>+COUNTIF($G$22:$G$66,"VA")*2</f>
        <v>0</v>
      </c>
      <c r="L17" s="258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176.03571428571428</v>
      </c>
      <c r="F18" s="353"/>
      <c r="G18" s="124"/>
      <c r="H18" s="125"/>
      <c r="I18" s="123"/>
      <c r="J18" s="215" t="s">
        <v>44</v>
      </c>
      <c r="K18" s="258">
        <f>+COUNTIF($G$22:$G$66,"MEJ")*2</f>
        <v>28</v>
      </c>
      <c r="L18" s="258">
        <f>+SUMIF($G$23:$G$65,"MEJ",$L$23:$L$65)</f>
        <v>2464.5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</v>
      </c>
      <c r="D23" s="152">
        <v>5</v>
      </c>
      <c r="E23" s="152" t="s">
        <v>75</v>
      </c>
      <c r="F23" s="152" t="s">
        <v>526</v>
      </c>
      <c r="G23" s="153" t="s">
        <v>44</v>
      </c>
      <c r="H23" s="154" t="s">
        <v>720</v>
      </c>
      <c r="I23" s="155">
        <v>362</v>
      </c>
      <c r="J23" s="152">
        <v>91.2</v>
      </c>
      <c r="K23" s="156">
        <v>91</v>
      </c>
      <c r="L23" s="157">
        <f t="shared" ref="L23:L65" si="0">+J23+K23</f>
        <v>182.2</v>
      </c>
      <c r="M23" s="158">
        <f t="shared" ref="M23:M66" si="1">+L23/I23</f>
        <v>0.50331491712707177</v>
      </c>
      <c r="N23" s="122"/>
    </row>
    <row r="24" spans="2:14" x14ac:dyDescent="0.25">
      <c r="B24" s="121"/>
      <c r="C24" s="159">
        <v>2</v>
      </c>
      <c r="D24" s="159">
        <v>11</v>
      </c>
      <c r="E24" s="159" t="s">
        <v>75</v>
      </c>
      <c r="F24" s="159" t="s">
        <v>526</v>
      </c>
      <c r="G24" s="160" t="s">
        <v>44</v>
      </c>
      <c r="H24" s="161" t="s">
        <v>525</v>
      </c>
      <c r="I24" s="162">
        <v>290</v>
      </c>
      <c r="J24" s="159">
        <v>78.8</v>
      </c>
      <c r="K24" s="163">
        <v>78.900000000000006</v>
      </c>
      <c r="L24" s="164">
        <f t="shared" si="0"/>
        <v>157.69999999999999</v>
      </c>
      <c r="M24" s="165">
        <f t="shared" si="1"/>
        <v>0.54379310344827581</v>
      </c>
      <c r="N24" s="122"/>
    </row>
    <row r="25" spans="2:14" x14ac:dyDescent="0.25">
      <c r="B25" s="121"/>
      <c r="C25" s="159">
        <v>3</v>
      </c>
      <c r="D25" s="159">
        <v>13</v>
      </c>
      <c r="E25" s="159" t="s">
        <v>75</v>
      </c>
      <c r="F25" s="159" t="s">
        <v>526</v>
      </c>
      <c r="G25" s="160" t="s">
        <v>44</v>
      </c>
      <c r="H25" s="161" t="s">
        <v>270</v>
      </c>
      <c r="I25" s="162">
        <v>306</v>
      </c>
      <c r="J25" s="159">
        <v>84.3</v>
      </c>
      <c r="K25" s="163">
        <v>84.8</v>
      </c>
      <c r="L25" s="164">
        <f t="shared" si="0"/>
        <v>169.1</v>
      </c>
      <c r="M25" s="165">
        <f t="shared" si="1"/>
        <v>0.55261437908496736</v>
      </c>
      <c r="N25" s="122"/>
    </row>
    <row r="26" spans="2:14" x14ac:dyDescent="0.25">
      <c r="B26" s="121"/>
      <c r="C26" s="159">
        <v>4</v>
      </c>
      <c r="D26" s="159">
        <v>6</v>
      </c>
      <c r="E26" s="159" t="s">
        <v>67</v>
      </c>
      <c r="F26" s="159" t="s">
        <v>526</v>
      </c>
      <c r="G26" s="160" t="s">
        <v>44</v>
      </c>
      <c r="H26" s="161" t="s">
        <v>976</v>
      </c>
      <c r="I26" s="162">
        <v>365</v>
      </c>
      <c r="J26" s="159">
        <v>96.3</v>
      </c>
      <c r="K26" s="163">
        <v>96</v>
      </c>
      <c r="L26" s="164">
        <f t="shared" si="0"/>
        <v>192.3</v>
      </c>
      <c r="M26" s="165">
        <f t="shared" si="1"/>
        <v>0.5268493150684932</v>
      </c>
      <c r="N26" s="122"/>
    </row>
    <row r="27" spans="2:14" x14ac:dyDescent="0.25">
      <c r="B27" s="121"/>
      <c r="C27" s="159">
        <v>5</v>
      </c>
      <c r="D27" s="159">
        <v>1</v>
      </c>
      <c r="E27" s="159" t="s">
        <v>75</v>
      </c>
      <c r="F27" s="159" t="s">
        <v>526</v>
      </c>
      <c r="G27" s="160" t="s">
        <v>44</v>
      </c>
      <c r="H27" s="161" t="s">
        <v>977</v>
      </c>
      <c r="I27" s="162">
        <v>296</v>
      </c>
      <c r="J27" s="159">
        <v>83.6</v>
      </c>
      <c r="K27" s="163">
        <v>82.8</v>
      </c>
      <c r="L27" s="164">
        <f t="shared" si="0"/>
        <v>166.39999999999998</v>
      </c>
      <c r="M27" s="165">
        <f t="shared" si="1"/>
        <v>0.56216216216216208</v>
      </c>
      <c r="N27" s="122"/>
    </row>
    <row r="28" spans="2:14" x14ac:dyDescent="0.25">
      <c r="B28" s="121"/>
      <c r="C28" s="159">
        <v>6</v>
      </c>
      <c r="D28" s="159">
        <v>10</v>
      </c>
      <c r="E28" s="159" t="s">
        <v>68</v>
      </c>
      <c r="F28" s="159" t="s">
        <v>526</v>
      </c>
      <c r="G28" s="160" t="s">
        <v>44</v>
      </c>
      <c r="H28" s="161" t="s">
        <v>502</v>
      </c>
      <c r="I28" s="162">
        <v>324</v>
      </c>
      <c r="J28" s="159">
        <v>87.9</v>
      </c>
      <c r="K28" s="163">
        <v>88.2</v>
      </c>
      <c r="L28" s="164">
        <f t="shared" si="0"/>
        <v>176.10000000000002</v>
      </c>
      <c r="M28" s="165">
        <f t="shared" si="1"/>
        <v>0.54351851851851862</v>
      </c>
      <c r="N28" s="122"/>
    </row>
    <row r="29" spans="2:14" x14ac:dyDescent="0.25">
      <c r="B29" s="121"/>
      <c r="C29" s="160">
        <v>7</v>
      </c>
      <c r="D29" s="160">
        <v>14</v>
      </c>
      <c r="E29" s="160" t="s">
        <v>68</v>
      </c>
      <c r="F29" s="159" t="s">
        <v>526</v>
      </c>
      <c r="G29" s="160" t="s">
        <v>44</v>
      </c>
      <c r="H29" s="161" t="s">
        <v>978</v>
      </c>
      <c r="I29" s="162">
        <v>277</v>
      </c>
      <c r="J29" s="159">
        <v>77.599999999999994</v>
      </c>
      <c r="K29" s="163">
        <v>77.5</v>
      </c>
      <c r="L29" s="164">
        <f t="shared" si="0"/>
        <v>155.1</v>
      </c>
      <c r="M29" s="165">
        <f t="shared" si="1"/>
        <v>0.55992779783393498</v>
      </c>
      <c r="N29" s="122"/>
    </row>
    <row r="30" spans="2:14" x14ac:dyDescent="0.25">
      <c r="B30" s="121"/>
      <c r="C30" s="160">
        <v>8</v>
      </c>
      <c r="D30" s="160">
        <v>12</v>
      </c>
      <c r="E30" s="160" t="s">
        <v>75</v>
      </c>
      <c r="F30" s="159" t="s">
        <v>526</v>
      </c>
      <c r="G30" s="160" t="s">
        <v>44</v>
      </c>
      <c r="H30" s="161" t="s">
        <v>979</v>
      </c>
      <c r="I30" s="162">
        <v>299</v>
      </c>
      <c r="J30" s="159">
        <v>83.8</v>
      </c>
      <c r="K30" s="163">
        <v>84.6</v>
      </c>
      <c r="L30" s="164">
        <f t="shared" si="0"/>
        <v>168.39999999999998</v>
      </c>
      <c r="M30" s="165">
        <f t="shared" si="1"/>
        <v>0.56321070234113702</v>
      </c>
      <c r="N30" s="122"/>
    </row>
    <row r="31" spans="2:14" x14ac:dyDescent="0.25">
      <c r="B31" s="121"/>
      <c r="C31" s="159">
        <v>9</v>
      </c>
      <c r="D31" s="159">
        <v>8</v>
      </c>
      <c r="E31" s="159" t="s">
        <v>68</v>
      </c>
      <c r="F31" s="159" t="s">
        <v>526</v>
      </c>
      <c r="G31" s="160" t="s">
        <v>44</v>
      </c>
      <c r="H31" s="161" t="s">
        <v>980</v>
      </c>
      <c r="I31" s="162">
        <v>348</v>
      </c>
      <c r="J31" s="159">
        <v>103.5</v>
      </c>
      <c r="K31" s="163">
        <v>104.2</v>
      </c>
      <c r="L31" s="164">
        <f t="shared" si="0"/>
        <v>207.7</v>
      </c>
      <c r="M31" s="165">
        <f t="shared" si="1"/>
        <v>0.59683908045977008</v>
      </c>
      <c r="N31" s="122"/>
    </row>
    <row r="32" spans="2:14" x14ac:dyDescent="0.25">
      <c r="B32" s="121"/>
      <c r="C32" s="159">
        <v>10</v>
      </c>
      <c r="D32" s="159">
        <v>4</v>
      </c>
      <c r="E32" s="159" t="s">
        <v>67</v>
      </c>
      <c r="F32" s="159" t="s">
        <v>526</v>
      </c>
      <c r="G32" s="160" t="s">
        <v>44</v>
      </c>
      <c r="H32" s="161" t="s">
        <v>981</v>
      </c>
      <c r="I32" s="162">
        <v>343</v>
      </c>
      <c r="J32" s="159">
        <v>84.6</v>
      </c>
      <c r="K32" s="163">
        <v>85.6</v>
      </c>
      <c r="L32" s="164">
        <f t="shared" si="0"/>
        <v>170.2</v>
      </c>
      <c r="M32" s="165">
        <f t="shared" si="1"/>
        <v>0.49620991253644314</v>
      </c>
      <c r="N32" s="122"/>
    </row>
    <row r="33" spans="2:14" x14ac:dyDescent="0.25">
      <c r="B33" s="121"/>
      <c r="C33" s="160">
        <v>11</v>
      </c>
      <c r="D33" s="160">
        <v>3</v>
      </c>
      <c r="E33" s="160" t="s">
        <v>68</v>
      </c>
      <c r="F33" s="159" t="s">
        <v>526</v>
      </c>
      <c r="G33" s="160" t="s">
        <v>44</v>
      </c>
      <c r="H33" s="161" t="s">
        <v>982</v>
      </c>
      <c r="I33" s="162">
        <v>322</v>
      </c>
      <c r="J33" s="159">
        <v>93.4</v>
      </c>
      <c r="K33" s="163">
        <v>94.8</v>
      </c>
      <c r="L33" s="164">
        <f t="shared" si="0"/>
        <v>188.2</v>
      </c>
      <c r="M33" s="165">
        <f t="shared" si="1"/>
        <v>0.584472049689441</v>
      </c>
      <c r="N33" s="122"/>
    </row>
    <row r="34" spans="2:14" x14ac:dyDescent="0.25">
      <c r="B34" s="121"/>
      <c r="C34" s="159">
        <v>12</v>
      </c>
      <c r="D34" s="159">
        <v>7</v>
      </c>
      <c r="E34" s="159" t="s">
        <v>75</v>
      </c>
      <c r="F34" s="159" t="s">
        <v>526</v>
      </c>
      <c r="G34" s="160" t="s">
        <v>44</v>
      </c>
      <c r="H34" s="161" t="s">
        <v>983</v>
      </c>
      <c r="I34" s="162">
        <v>304</v>
      </c>
      <c r="J34" s="159">
        <v>85.9</v>
      </c>
      <c r="K34" s="166">
        <v>88.7</v>
      </c>
      <c r="L34" s="164">
        <f t="shared" si="0"/>
        <v>174.60000000000002</v>
      </c>
      <c r="M34" s="167">
        <f t="shared" si="1"/>
        <v>0.57434210526315799</v>
      </c>
      <c r="N34" s="122"/>
    </row>
    <row r="35" spans="2:14" x14ac:dyDescent="0.25">
      <c r="B35" s="121"/>
      <c r="C35" s="159">
        <v>13</v>
      </c>
      <c r="D35" s="159">
        <v>2</v>
      </c>
      <c r="E35" s="159" t="s">
        <v>75</v>
      </c>
      <c r="F35" s="159" t="s">
        <v>526</v>
      </c>
      <c r="G35" s="160" t="s">
        <v>44</v>
      </c>
      <c r="H35" s="161" t="s">
        <v>984</v>
      </c>
      <c r="I35" s="162">
        <v>287</v>
      </c>
      <c r="J35" s="159">
        <v>73.099999999999994</v>
      </c>
      <c r="K35" s="163">
        <v>74.599999999999994</v>
      </c>
      <c r="L35" s="164">
        <f t="shared" si="0"/>
        <v>147.69999999999999</v>
      </c>
      <c r="M35" s="165">
        <f t="shared" si="1"/>
        <v>0.51463414634146343</v>
      </c>
      <c r="N35" s="122"/>
    </row>
    <row r="36" spans="2:14" x14ac:dyDescent="0.25">
      <c r="B36" s="121"/>
      <c r="C36" s="159">
        <v>14</v>
      </c>
      <c r="D36" s="159">
        <v>9</v>
      </c>
      <c r="E36" s="159" t="s">
        <v>68</v>
      </c>
      <c r="F36" s="159" t="s">
        <v>526</v>
      </c>
      <c r="G36" s="160" t="s">
        <v>44</v>
      </c>
      <c r="H36" s="161" t="s">
        <v>985</v>
      </c>
      <c r="I36" s="162">
        <v>372</v>
      </c>
      <c r="J36" s="159">
        <v>103.9</v>
      </c>
      <c r="K36" s="163">
        <v>104.9</v>
      </c>
      <c r="L36" s="164">
        <f t="shared" si="0"/>
        <v>208.8</v>
      </c>
      <c r="M36" s="165">
        <f t="shared" si="1"/>
        <v>0.56129032258064515</v>
      </c>
      <c r="N36" s="122"/>
    </row>
    <row r="37" spans="2:14" x14ac:dyDescent="0.25">
      <c r="B37" s="121"/>
      <c r="C37" s="159"/>
      <c r="D37" s="159"/>
      <c r="E37" s="159"/>
      <c r="F37" s="159"/>
      <c r="G37" s="160"/>
      <c r="H37" s="161"/>
      <c r="I37" s="162"/>
      <c r="J37" s="159"/>
      <c r="K37" s="163"/>
      <c r="L37" s="164">
        <f t="shared" si="0"/>
        <v>0</v>
      </c>
      <c r="M37" s="165" t="e">
        <f t="shared" si="1"/>
        <v>#DIV/0!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56"/>
      <c r="D66" s="256">
        <f>+COUNT($D$22:$D$65)</f>
        <v>14</v>
      </c>
      <c r="E66" s="256"/>
      <c r="F66" s="373"/>
      <c r="G66" s="373"/>
      <c r="H66" s="149"/>
      <c r="I66" s="148">
        <f>SUM($I$22:$I$65)</f>
        <v>4495</v>
      </c>
      <c r="J66" s="150">
        <f>SUM($J$22:$J$65)</f>
        <v>1227.9000000000001</v>
      </c>
      <c r="K66" s="151">
        <f>SUM($K$22:$K$65)</f>
        <v>1236.6000000000001</v>
      </c>
      <c r="L66" s="148">
        <f>SUM($L$22:$L$65)</f>
        <v>2464.5</v>
      </c>
      <c r="M66" s="178">
        <f t="shared" si="1"/>
        <v>0.5482758620689655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41.04</v>
      </c>
      <c r="I71" s="119"/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23</v>
      </c>
      <c r="I72" s="119"/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22</v>
      </c>
      <c r="I73" s="119"/>
      <c r="J73" s="181">
        <v>1</v>
      </c>
      <c r="K73" s="185">
        <v>5.84</v>
      </c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23</v>
      </c>
      <c r="I74" s="119"/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16.32</v>
      </c>
      <c r="I75" s="119"/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46</v>
      </c>
      <c r="I76" s="119"/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92</v>
      </c>
      <c r="I77" s="119"/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23</v>
      </c>
      <c r="I78" s="119"/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23</v>
      </c>
      <c r="I79" s="119"/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27.02</v>
      </c>
      <c r="I80" s="119"/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23</v>
      </c>
      <c r="I81" s="119"/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23</v>
      </c>
      <c r="I82" s="119"/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13.22</v>
      </c>
      <c r="I83" s="119"/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0</v>
      </c>
      <c r="J84" s="187">
        <f>SUM(J71:J83)</f>
        <v>1</v>
      </c>
      <c r="K84" s="186">
        <f>SUM(K71:K83)</f>
        <v>5.84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14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64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B1" zoomScale="90" zoomScaleNormal="90" workbookViewId="0">
      <selection activeCell="F29" sqref="F29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0.56164720344191765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203.06666666666666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986</v>
      </c>
      <c r="F8" s="344"/>
      <c r="G8" s="344"/>
      <c r="H8" s="345"/>
      <c r="I8" s="146" t="s">
        <v>487</v>
      </c>
      <c r="J8" s="346" t="s">
        <v>997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28012</v>
      </c>
      <c r="F9" s="344"/>
      <c r="G9" s="344"/>
      <c r="H9" s="345"/>
      <c r="I9" s="146" t="s">
        <v>88</v>
      </c>
      <c r="J9" s="209" t="s">
        <v>998</v>
      </c>
      <c r="K9" s="259" t="s">
        <v>490</v>
      </c>
      <c r="L9" s="369" t="s">
        <v>999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57" t="s">
        <v>569</v>
      </c>
      <c r="E12" s="384">
        <v>46050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43</v>
      </c>
      <c r="F13" s="349"/>
      <c r="H13" s="117"/>
      <c r="I13" s="123"/>
      <c r="J13" s="215" t="s">
        <v>483</v>
      </c>
      <c r="K13" s="258">
        <f>+COUNTIF($G$22:$G$66,"VQ")*2</f>
        <v>8</v>
      </c>
      <c r="L13" s="258">
        <f>+SUMIF($G$23:$G$65,"VQ",$L$23:$L$65)</f>
        <v>771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9</v>
      </c>
      <c r="F14" s="350"/>
      <c r="H14" s="117"/>
      <c r="I14" s="123"/>
      <c r="J14" s="215" t="s">
        <v>42</v>
      </c>
      <c r="K14" s="258">
        <f>+COUNTIF($G$22:$G$66,"NT")*2</f>
        <v>0</v>
      </c>
      <c r="L14" s="258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3254</v>
      </c>
      <c r="F15" s="350"/>
      <c r="H15" s="117"/>
      <c r="I15" s="123"/>
      <c r="J15" s="215" t="s">
        <v>484</v>
      </c>
      <c r="K15" s="258">
        <f>+COUNTIF($G$22:$G$66,"NO")*2</f>
        <v>0</v>
      </c>
      <c r="L15" s="258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1827.6</v>
      </c>
      <c r="F16" s="350"/>
      <c r="H16" s="117"/>
      <c r="I16" s="123"/>
      <c r="J16" s="215" t="s">
        <v>485</v>
      </c>
      <c r="K16" s="258">
        <f>+COUNTIF($G$22:$G$66,"TO")*2</f>
        <v>0</v>
      </c>
      <c r="L16" s="258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0.56164720344191765</v>
      </c>
      <c r="F17" s="350"/>
      <c r="G17" s="124"/>
      <c r="H17" s="125"/>
      <c r="I17" s="123"/>
      <c r="J17" s="215" t="s">
        <v>486</v>
      </c>
      <c r="K17" s="258">
        <f>+COUNTIF($G$22:$G$66,"VA")*2</f>
        <v>0</v>
      </c>
      <c r="L17" s="258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203.06666666666666</v>
      </c>
      <c r="F18" s="353"/>
      <c r="G18" s="124"/>
      <c r="H18" s="125"/>
      <c r="I18" s="123"/>
      <c r="J18" s="215" t="s">
        <v>44</v>
      </c>
      <c r="K18" s="258">
        <f>+COUNTIF($G$22:$G$66,"MEJ")*2</f>
        <v>10</v>
      </c>
      <c r="L18" s="258">
        <f>+SUMIF($G$23:$G$65,"MEJ",$L$23:$L$65)</f>
        <v>1056.5999999999999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15</v>
      </c>
      <c r="D23" s="152">
        <v>2</v>
      </c>
      <c r="E23" s="152" t="s">
        <v>68</v>
      </c>
      <c r="F23" s="152" t="s">
        <v>526</v>
      </c>
      <c r="G23" s="153" t="s">
        <v>44</v>
      </c>
      <c r="H23" s="154" t="s">
        <v>989</v>
      </c>
      <c r="I23" s="155">
        <v>373</v>
      </c>
      <c r="J23" s="152">
        <v>104.9</v>
      </c>
      <c r="K23" s="156">
        <v>105.2</v>
      </c>
      <c r="L23" s="157">
        <f t="shared" ref="L23:L65" si="0">+J23+K23</f>
        <v>210.10000000000002</v>
      </c>
      <c r="M23" s="158">
        <f t="shared" ref="M23:M66" si="1">+L23/I23</f>
        <v>0.56327077747989285</v>
      </c>
      <c r="N23" s="122"/>
    </row>
    <row r="24" spans="2:14" x14ac:dyDescent="0.25">
      <c r="B24" s="121"/>
      <c r="C24" s="159">
        <v>16</v>
      </c>
      <c r="D24" s="159">
        <v>4</v>
      </c>
      <c r="E24" s="159" t="s">
        <v>75</v>
      </c>
      <c r="F24" s="159" t="s">
        <v>526</v>
      </c>
      <c r="G24" s="160" t="s">
        <v>483</v>
      </c>
      <c r="H24" s="161" t="s">
        <v>990</v>
      </c>
      <c r="I24" s="162">
        <v>347</v>
      </c>
      <c r="J24" s="159">
        <v>96.9</v>
      </c>
      <c r="K24" s="163">
        <v>97</v>
      </c>
      <c r="L24" s="164">
        <f t="shared" si="0"/>
        <v>193.9</v>
      </c>
      <c r="M24" s="165">
        <f t="shared" si="1"/>
        <v>0.55878962536023058</v>
      </c>
      <c r="N24" s="122"/>
    </row>
    <row r="25" spans="2:14" x14ac:dyDescent="0.25">
      <c r="B25" s="121"/>
      <c r="C25" s="159">
        <v>17</v>
      </c>
      <c r="D25" s="159">
        <v>9</v>
      </c>
      <c r="E25" s="159" t="s">
        <v>75</v>
      </c>
      <c r="F25" s="159" t="s">
        <v>526</v>
      </c>
      <c r="G25" s="160" t="s">
        <v>44</v>
      </c>
      <c r="H25" s="161" t="s">
        <v>991</v>
      </c>
      <c r="I25" s="162">
        <v>387</v>
      </c>
      <c r="J25" s="159">
        <v>111.4</v>
      </c>
      <c r="K25" s="163">
        <v>111.2</v>
      </c>
      <c r="L25" s="164">
        <f t="shared" si="0"/>
        <v>222.60000000000002</v>
      </c>
      <c r="M25" s="165">
        <f t="shared" si="1"/>
        <v>0.57519379844961249</v>
      </c>
      <c r="N25" s="122"/>
    </row>
    <row r="26" spans="2:14" x14ac:dyDescent="0.25">
      <c r="B26" s="121"/>
      <c r="C26" s="159">
        <v>18</v>
      </c>
      <c r="D26" s="159">
        <v>3</v>
      </c>
      <c r="E26" s="159" t="s">
        <v>75</v>
      </c>
      <c r="F26" s="159" t="s">
        <v>526</v>
      </c>
      <c r="G26" s="160" t="s">
        <v>44</v>
      </c>
      <c r="H26" s="161" t="s">
        <v>992</v>
      </c>
      <c r="I26" s="162">
        <v>396</v>
      </c>
      <c r="J26" s="159">
        <v>110.1</v>
      </c>
      <c r="K26" s="163">
        <v>109.8</v>
      </c>
      <c r="L26" s="164">
        <f t="shared" si="0"/>
        <v>219.89999999999998</v>
      </c>
      <c r="M26" s="165">
        <f t="shared" si="1"/>
        <v>0.5553030303030303</v>
      </c>
      <c r="N26" s="122"/>
    </row>
    <row r="27" spans="2:14" x14ac:dyDescent="0.25">
      <c r="B27" s="121"/>
      <c r="C27" s="159">
        <v>19</v>
      </c>
      <c r="D27" s="159">
        <v>1</v>
      </c>
      <c r="E27" s="159" t="s">
        <v>75</v>
      </c>
      <c r="F27" s="159" t="s">
        <v>526</v>
      </c>
      <c r="G27" s="160" t="s">
        <v>44</v>
      </c>
      <c r="H27" s="161" t="s">
        <v>993</v>
      </c>
      <c r="I27" s="162">
        <v>341</v>
      </c>
      <c r="J27" s="159">
        <v>100.3</v>
      </c>
      <c r="K27" s="163">
        <v>100.7</v>
      </c>
      <c r="L27" s="164">
        <f t="shared" si="0"/>
        <v>201</v>
      </c>
      <c r="M27" s="165">
        <f t="shared" si="1"/>
        <v>0.58944281524926689</v>
      </c>
      <c r="N27" s="122"/>
    </row>
    <row r="28" spans="2:14" x14ac:dyDescent="0.25">
      <c r="B28" s="121"/>
      <c r="C28" s="159">
        <v>20</v>
      </c>
      <c r="D28" s="159">
        <v>5</v>
      </c>
      <c r="E28" s="159" t="s">
        <v>75</v>
      </c>
      <c r="F28" s="159" t="s">
        <v>527</v>
      </c>
      <c r="G28" s="160" t="s">
        <v>483</v>
      </c>
      <c r="H28" s="161" t="s">
        <v>994</v>
      </c>
      <c r="I28" s="162">
        <v>348</v>
      </c>
      <c r="J28" s="159">
        <v>94</v>
      </c>
      <c r="K28" s="163">
        <v>95.1</v>
      </c>
      <c r="L28" s="164">
        <f t="shared" si="0"/>
        <v>189.1</v>
      </c>
      <c r="M28" s="165">
        <f t="shared" si="1"/>
        <v>0.54339080459770117</v>
      </c>
      <c r="N28" s="122"/>
    </row>
    <row r="29" spans="2:14" x14ac:dyDescent="0.25">
      <c r="B29" s="121"/>
      <c r="C29" s="160">
        <v>21</v>
      </c>
      <c r="D29" s="160">
        <v>6</v>
      </c>
      <c r="E29" s="160" t="s">
        <v>75</v>
      </c>
      <c r="F29" s="160" t="s">
        <v>526</v>
      </c>
      <c r="G29" s="160" t="s">
        <v>44</v>
      </c>
      <c r="H29" s="161" t="s">
        <v>995</v>
      </c>
      <c r="I29" s="162">
        <v>360</v>
      </c>
      <c r="J29" s="159">
        <v>101.5</v>
      </c>
      <c r="K29" s="163">
        <v>101.5</v>
      </c>
      <c r="L29" s="164">
        <f t="shared" si="0"/>
        <v>203</v>
      </c>
      <c r="M29" s="165">
        <f t="shared" si="1"/>
        <v>0.56388888888888888</v>
      </c>
      <c r="N29" s="122"/>
    </row>
    <row r="30" spans="2:14" x14ac:dyDescent="0.25">
      <c r="B30" s="121"/>
      <c r="C30" s="160">
        <v>22</v>
      </c>
      <c r="D30" s="160">
        <v>7</v>
      </c>
      <c r="E30" s="160" t="s">
        <v>75</v>
      </c>
      <c r="F30" s="160" t="s">
        <v>526</v>
      </c>
      <c r="G30" s="160" t="s">
        <v>483</v>
      </c>
      <c r="H30" s="161" t="s">
        <v>996</v>
      </c>
      <c r="I30" s="162">
        <v>342</v>
      </c>
      <c r="J30" s="159">
        <v>98.1</v>
      </c>
      <c r="K30" s="163">
        <v>98.3</v>
      </c>
      <c r="L30" s="164">
        <f t="shared" si="0"/>
        <v>196.39999999999998</v>
      </c>
      <c r="M30" s="165">
        <f t="shared" si="1"/>
        <v>0.57426900584795315</v>
      </c>
      <c r="N30" s="122"/>
    </row>
    <row r="31" spans="2:14" x14ac:dyDescent="0.25">
      <c r="B31" s="121"/>
      <c r="C31" s="159">
        <v>23</v>
      </c>
      <c r="D31" s="159">
        <v>8</v>
      </c>
      <c r="E31" s="159" t="s">
        <v>75</v>
      </c>
      <c r="F31" s="159" t="s">
        <v>526</v>
      </c>
      <c r="G31" s="160" t="s">
        <v>483</v>
      </c>
      <c r="H31" s="161" t="s">
        <v>984</v>
      </c>
      <c r="I31" s="162">
        <v>360</v>
      </c>
      <c r="J31" s="159">
        <v>95.4</v>
      </c>
      <c r="K31" s="163">
        <v>96.2</v>
      </c>
      <c r="L31" s="164">
        <f t="shared" si="0"/>
        <v>191.60000000000002</v>
      </c>
      <c r="M31" s="165">
        <f t="shared" si="1"/>
        <v>0.53222222222222226</v>
      </c>
      <c r="N31" s="122"/>
    </row>
    <row r="32" spans="2:14" x14ac:dyDescent="0.25">
      <c r="B32" s="121"/>
      <c r="C32" s="159"/>
      <c r="D32" s="159"/>
      <c r="E32" s="159"/>
      <c r="F32" s="159"/>
      <c r="G32" s="160"/>
      <c r="H32" s="161"/>
      <c r="I32" s="162"/>
      <c r="J32" s="159"/>
      <c r="K32" s="163"/>
      <c r="L32" s="164">
        <f t="shared" si="0"/>
        <v>0</v>
      </c>
      <c r="M32" s="165" t="e">
        <f t="shared" si="1"/>
        <v>#DIV/0!</v>
      </c>
      <c r="N32" s="122"/>
    </row>
    <row r="33" spans="2:14" x14ac:dyDescent="0.25">
      <c r="B33" s="121"/>
      <c r="C33" s="160"/>
      <c r="D33" s="160"/>
      <c r="E33" s="160"/>
      <c r="F33" s="160"/>
      <c r="G33" s="160"/>
      <c r="H33" s="161"/>
      <c r="I33" s="162"/>
      <c r="J33" s="159"/>
      <c r="K33" s="163"/>
      <c r="L33" s="164">
        <f t="shared" si="0"/>
        <v>0</v>
      </c>
      <c r="M33" s="165" t="e">
        <f t="shared" si="1"/>
        <v>#DIV/0!</v>
      </c>
      <c r="N33" s="122"/>
    </row>
    <row r="34" spans="2:14" x14ac:dyDescent="0.25">
      <c r="B34" s="121"/>
      <c r="C34" s="159"/>
      <c r="D34" s="159"/>
      <c r="E34" s="159"/>
      <c r="F34" s="159"/>
      <c r="G34" s="160"/>
      <c r="H34" s="161"/>
      <c r="I34" s="162"/>
      <c r="J34" s="159"/>
      <c r="K34" s="166"/>
      <c r="L34" s="164">
        <f t="shared" si="0"/>
        <v>0</v>
      </c>
      <c r="M34" s="167" t="e">
        <f t="shared" si="1"/>
        <v>#DIV/0!</v>
      </c>
      <c r="N34" s="122"/>
    </row>
    <row r="35" spans="2:14" x14ac:dyDescent="0.25">
      <c r="B35" s="121"/>
      <c r="C35" s="159"/>
      <c r="D35" s="159"/>
      <c r="E35" s="159"/>
      <c r="F35" s="159"/>
      <c r="G35" s="160"/>
      <c r="H35" s="161"/>
      <c r="I35" s="162"/>
      <c r="J35" s="159"/>
      <c r="K35" s="163"/>
      <c r="L35" s="164">
        <f t="shared" si="0"/>
        <v>0</v>
      </c>
      <c r="M35" s="165" t="e">
        <f t="shared" si="1"/>
        <v>#DIV/0!</v>
      </c>
      <c r="N35" s="122"/>
    </row>
    <row r="36" spans="2:14" x14ac:dyDescent="0.25">
      <c r="B36" s="121"/>
      <c r="C36" s="159"/>
      <c r="D36" s="159"/>
      <c r="E36" s="159"/>
      <c r="F36" s="159"/>
      <c r="G36" s="160"/>
      <c r="H36" s="161"/>
      <c r="I36" s="162"/>
      <c r="J36" s="159"/>
      <c r="K36" s="163"/>
      <c r="L36" s="164">
        <f t="shared" si="0"/>
        <v>0</v>
      </c>
      <c r="M36" s="165" t="e">
        <f t="shared" si="1"/>
        <v>#DIV/0!</v>
      </c>
      <c r="N36" s="122"/>
    </row>
    <row r="37" spans="2:14" x14ac:dyDescent="0.25">
      <c r="B37" s="121"/>
      <c r="C37" s="159"/>
      <c r="D37" s="159"/>
      <c r="E37" s="159"/>
      <c r="F37" s="159"/>
      <c r="G37" s="160"/>
      <c r="H37" s="161"/>
      <c r="I37" s="162"/>
      <c r="J37" s="159"/>
      <c r="K37" s="163"/>
      <c r="L37" s="164">
        <f t="shared" si="0"/>
        <v>0</v>
      </c>
      <c r="M37" s="165" t="e">
        <f t="shared" si="1"/>
        <v>#DIV/0!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56"/>
      <c r="D66" s="256">
        <f>+COUNT($D$22:$D$65)</f>
        <v>9</v>
      </c>
      <c r="E66" s="256"/>
      <c r="F66" s="373"/>
      <c r="G66" s="373"/>
      <c r="H66" s="149"/>
      <c r="I66" s="148">
        <f>SUM($I$22:$I$65)</f>
        <v>3254</v>
      </c>
      <c r="J66" s="150">
        <f>SUM($J$22:$J$65)</f>
        <v>912.6</v>
      </c>
      <c r="K66" s="151">
        <f>SUM($K$22:$K$65)</f>
        <v>915</v>
      </c>
      <c r="L66" s="148">
        <f>SUM($L$22:$L$65)</f>
        <v>1827.6</v>
      </c>
      <c r="M66" s="178">
        <f t="shared" si="1"/>
        <v>0.56164720344191765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/>
      <c r="I71" s="119"/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/>
      <c r="I72" s="119"/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/>
      <c r="I73" s="119"/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/>
      <c r="I74" s="119"/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/>
      <c r="I75" s="119"/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/>
      <c r="I76" s="119"/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/>
      <c r="I77" s="119"/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/>
      <c r="I78" s="119"/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/>
      <c r="I79" s="119"/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/>
      <c r="I80" s="119"/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/>
      <c r="I81" s="119"/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/>
      <c r="I82" s="119"/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/>
      <c r="I83" s="119"/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0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9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63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H15" sqref="H15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0.54020758122743673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199.51666666666665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625</v>
      </c>
      <c r="F8" s="344"/>
      <c r="G8" s="344"/>
      <c r="H8" s="345"/>
      <c r="I8" s="146" t="s">
        <v>487</v>
      </c>
      <c r="J8" s="346" t="s">
        <v>1006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41927</v>
      </c>
      <c r="F9" s="344"/>
      <c r="G9" s="344"/>
      <c r="H9" s="345"/>
      <c r="I9" s="146" t="s">
        <v>88</v>
      </c>
      <c r="J9" s="209" t="s">
        <v>1007</v>
      </c>
      <c r="K9" s="259" t="s">
        <v>490</v>
      </c>
      <c r="L9" s="369">
        <v>2600466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57" t="s">
        <v>569</v>
      </c>
      <c r="E12" s="384">
        <v>46050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44</v>
      </c>
      <c r="F13" s="349"/>
      <c r="H13" s="117"/>
      <c r="I13" s="123"/>
      <c r="J13" s="215" t="s">
        <v>483</v>
      </c>
      <c r="K13" s="258">
        <f>+COUNTIF($G$22:$G$66,"VQ")*2</f>
        <v>2</v>
      </c>
      <c r="L13" s="258">
        <f>+SUMIF($G$23:$G$65,"VQ",$L$23:$L$65)</f>
        <v>198.1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6</v>
      </c>
      <c r="F14" s="350"/>
      <c r="H14" s="117"/>
      <c r="I14" s="123"/>
      <c r="J14" s="215" t="s">
        <v>42</v>
      </c>
      <c r="K14" s="258">
        <f>+COUNTIF($G$22:$G$66,"NT")*2</f>
        <v>0</v>
      </c>
      <c r="L14" s="258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2216</v>
      </c>
      <c r="F15" s="350"/>
      <c r="H15" s="117"/>
      <c r="I15" s="123"/>
      <c r="J15" s="215" t="s">
        <v>484</v>
      </c>
      <c r="K15" s="258">
        <f>+COUNTIF($G$22:$G$66,"NO")*2</f>
        <v>10</v>
      </c>
      <c r="L15" s="258">
        <f>+SUMIF($G$23:$G$65,"NO",$L$23:$L$65)</f>
        <v>999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1197.0999999999999</v>
      </c>
      <c r="F16" s="350"/>
      <c r="H16" s="117"/>
      <c r="I16" s="123"/>
      <c r="J16" s="215" t="s">
        <v>485</v>
      </c>
      <c r="K16" s="258">
        <f>+COUNTIF($G$22:$G$66,"TO")*2</f>
        <v>0</v>
      </c>
      <c r="L16" s="258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0.54020758122743673</v>
      </c>
      <c r="F17" s="350"/>
      <c r="G17" s="124"/>
      <c r="H17" s="125"/>
      <c r="I17" s="123"/>
      <c r="J17" s="215" t="s">
        <v>486</v>
      </c>
      <c r="K17" s="258">
        <f>+COUNTIF($G$22:$G$66,"VA")*2</f>
        <v>0</v>
      </c>
      <c r="L17" s="258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199.51666666666665</v>
      </c>
      <c r="F18" s="353"/>
      <c r="G18" s="124"/>
      <c r="H18" s="125"/>
      <c r="I18" s="123"/>
      <c r="J18" s="215" t="s">
        <v>44</v>
      </c>
      <c r="K18" s="258">
        <f>+COUNTIF($G$22:$G$66,"MEJ")*2</f>
        <v>0</v>
      </c>
      <c r="L18" s="258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24</v>
      </c>
      <c r="D23" s="152">
        <v>1</v>
      </c>
      <c r="E23" s="152" t="s">
        <v>67</v>
      </c>
      <c r="F23" s="152" t="s">
        <v>526</v>
      </c>
      <c r="G23" s="153" t="s">
        <v>484</v>
      </c>
      <c r="H23" s="154" t="s">
        <v>1000</v>
      </c>
      <c r="I23" s="155">
        <v>389</v>
      </c>
      <c r="J23" s="152">
        <v>102.7</v>
      </c>
      <c r="K23" s="156">
        <v>102.9</v>
      </c>
      <c r="L23" s="157">
        <f t="shared" ref="L23:L65" si="0">+J23+K23</f>
        <v>205.60000000000002</v>
      </c>
      <c r="M23" s="158">
        <f t="shared" ref="M23:M66" si="1">+L23/I23</f>
        <v>0.52853470437018002</v>
      </c>
      <c r="N23" s="122"/>
    </row>
    <row r="24" spans="2:14" x14ac:dyDescent="0.25">
      <c r="B24" s="121"/>
      <c r="C24" s="159">
        <v>25</v>
      </c>
      <c r="D24" s="159">
        <v>4</v>
      </c>
      <c r="E24" s="159" t="s">
        <v>67</v>
      </c>
      <c r="F24" s="159" t="s">
        <v>526</v>
      </c>
      <c r="G24" s="160" t="s">
        <v>484</v>
      </c>
      <c r="H24" s="161" t="s">
        <v>1001</v>
      </c>
      <c r="I24" s="162">
        <v>354</v>
      </c>
      <c r="J24" s="159">
        <v>96.4</v>
      </c>
      <c r="K24" s="163">
        <v>97.6</v>
      </c>
      <c r="L24" s="164">
        <f t="shared" si="0"/>
        <v>194</v>
      </c>
      <c r="M24" s="165">
        <f t="shared" si="1"/>
        <v>0.54802259887005644</v>
      </c>
      <c r="N24" s="122"/>
    </row>
    <row r="25" spans="2:14" x14ac:dyDescent="0.25">
      <c r="B25" s="121"/>
      <c r="C25" s="159">
        <v>26</v>
      </c>
      <c r="D25" s="159">
        <v>2</v>
      </c>
      <c r="E25" s="159" t="s">
        <v>68</v>
      </c>
      <c r="F25" s="159" t="s">
        <v>526</v>
      </c>
      <c r="G25" s="160" t="s">
        <v>484</v>
      </c>
      <c r="H25" s="161" t="s">
        <v>1002</v>
      </c>
      <c r="I25" s="162">
        <v>416</v>
      </c>
      <c r="J25" s="159">
        <v>112.5</v>
      </c>
      <c r="K25" s="163">
        <v>112.4</v>
      </c>
      <c r="L25" s="164">
        <f t="shared" si="0"/>
        <v>224.9</v>
      </c>
      <c r="M25" s="165">
        <f t="shared" si="1"/>
        <v>0.54062500000000002</v>
      </c>
      <c r="N25" s="122"/>
    </row>
    <row r="26" spans="2:14" x14ac:dyDescent="0.25">
      <c r="B26" s="121"/>
      <c r="C26" s="159">
        <v>27</v>
      </c>
      <c r="D26" s="159">
        <v>5</v>
      </c>
      <c r="E26" s="159" t="s">
        <v>67</v>
      </c>
      <c r="F26" s="159" t="s">
        <v>526</v>
      </c>
      <c r="G26" s="160" t="s">
        <v>484</v>
      </c>
      <c r="H26" s="161" t="s">
        <v>1003</v>
      </c>
      <c r="I26" s="162">
        <v>318</v>
      </c>
      <c r="J26" s="159">
        <v>92.1</v>
      </c>
      <c r="K26" s="163">
        <v>83.9</v>
      </c>
      <c r="L26" s="164">
        <f t="shared" si="0"/>
        <v>176</v>
      </c>
      <c r="M26" s="165">
        <f t="shared" si="1"/>
        <v>0.55345911949685533</v>
      </c>
      <c r="N26" s="122"/>
    </row>
    <row r="27" spans="2:14" x14ac:dyDescent="0.25">
      <c r="B27" s="121"/>
      <c r="C27" s="159">
        <v>28</v>
      </c>
      <c r="D27" s="159">
        <v>3</v>
      </c>
      <c r="E27" s="159" t="s">
        <v>67</v>
      </c>
      <c r="F27" s="159" t="s">
        <v>526</v>
      </c>
      <c r="G27" s="160" t="s">
        <v>484</v>
      </c>
      <c r="H27" s="161" t="s">
        <v>1004</v>
      </c>
      <c r="I27" s="162">
        <v>368</v>
      </c>
      <c r="J27" s="159">
        <v>98.5</v>
      </c>
      <c r="K27" s="163">
        <v>100</v>
      </c>
      <c r="L27" s="164">
        <f t="shared" si="0"/>
        <v>198.5</v>
      </c>
      <c r="M27" s="165">
        <f t="shared" si="1"/>
        <v>0.53940217391304346</v>
      </c>
      <c r="N27" s="122"/>
    </row>
    <row r="28" spans="2:14" x14ac:dyDescent="0.25">
      <c r="B28" s="121"/>
      <c r="C28" s="159">
        <v>29</v>
      </c>
      <c r="D28" s="159">
        <v>6</v>
      </c>
      <c r="E28" s="159" t="s">
        <v>67</v>
      </c>
      <c r="F28" s="159" t="s">
        <v>526</v>
      </c>
      <c r="G28" s="160" t="s">
        <v>483</v>
      </c>
      <c r="H28" s="161" t="s">
        <v>1005</v>
      </c>
      <c r="I28" s="162">
        <v>371</v>
      </c>
      <c r="J28" s="159">
        <v>99.3</v>
      </c>
      <c r="K28" s="163">
        <v>98.8</v>
      </c>
      <c r="L28" s="164">
        <f t="shared" si="0"/>
        <v>198.1</v>
      </c>
      <c r="M28" s="165">
        <f t="shared" si="1"/>
        <v>0.53396226415094339</v>
      </c>
      <c r="N28" s="122"/>
    </row>
    <row r="29" spans="2:14" x14ac:dyDescent="0.25">
      <c r="B29" s="121"/>
      <c r="C29" s="160"/>
      <c r="D29" s="160"/>
      <c r="E29" s="160"/>
      <c r="F29" s="160"/>
      <c r="G29" s="160"/>
      <c r="H29" s="161"/>
      <c r="I29" s="162"/>
      <c r="J29" s="159"/>
      <c r="K29" s="163"/>
      <c r="L29" s="164">
        <f t="shared" si="0"/>
        <v>0</v>
      </c>
      <c r="M29" s="165" t="e">
        <f t="shared" si="1"/>
        <v>#DIV/0!</v>
      </c>
      <c r="N29" s="122"/>
    </row>
    <row r="30" spans="2:14" x14ac:dyDescent="0.25">
      <c r="B30" s="121"/>
      <c r="C30" s="160"/>
      <c r="D30" s="160"/>
      <c r="E30" s="160"/>
      <c r="F30" s="160"/>
      <c r="G30" s="160"/>
      <c r="H30" s="161"/>
      <c r="I30" s="162"/>
      <c r="J30" s="159"/>
      <c r="K30" s="163"/>
      <c r="L30" s="164">
        <f t="shared" si="0"/>
        <v>0</v>
      </c>
      <c r="M30" s="165" t="e">
        <f t="shared" si="1"/>
        <v>#DIV/0!</v>
      </c>
      <c r="N30" s="122"/>
    </row>
    <row r="31" spans="2:14" x14ac:dyDescent="0.25">
      <c r="B31" s="121"/>
      <c r="C31" s="159"/>
      <c r="D31" s="159"/>
      <c r="E31" s="159"/>
      <c r="F31" s="159"/>
      <c r="G31" s="160"/>
      <c r="H31" s="161"/>
      <c r="I31" s="162"/>
      <c r="J31" s="159"/>
      <c r="K31" s="163"/>
      <c r="L31" s="164">
        <f t="shared" si="0"/>
        <v>0</v>
      </c>
      <c r="M31" s="165" t="e">
        <f t="shared" si="1"/>
        <v>#DIV/0!</v>
      </c>
      <c r="N31" s="122"/>
    </row>
    <row r="32" spans="2:14" x14ac:dyDescent="0.25">
      <c r="B32" s="121"/>
      <c r="C32" s="159"/>
      <c r="D32" s="159"/>
      <c r="E32" s="159"/>
      <c r="F32" s="159"/>
      <c r="G32" s="160"/>
      <c r="H32" s="161"/>
      <c r="I32" s="162"/>
      <c r="J32" s="159"/>
      <c r="K32" s="163"/>
      <c r="L32" s="164">
        <f t="shared" si="0"/>
        <v>0</v>
      </c>
      <c r="M32" s="165" t="e">
        <f t="shared" si="1"/>
        <v>#DIV/0!</v>
      </c>
      <c r="N32" s="122"/>
    </row>
    <row r="33" spans="2:14" x14ac:dyDescent="0.25">
      <c r="B33" s="121"/>
      <c r="C33" s="160"/>
      <c r="D33" s="160"/>
      <c r="E33" s="160"/>
      <c r="F33" s="160"/>
      <c r="G33" s="160"/>
      <c r="H33" s="161"/>
      <c r="I33" s="162"/>
      <c r="J33" s="159"/>
      <c r="K33" s="163"/>
      <c r="L33" s="164">
        <f t="shared" si="0"/>
        <v>0</v>
      </c>
      <c r="M33" s="165" t="e">
        <f t="shared" si="1"/>
        <v>#DIV/0!</v>
      </c>
      <c r="N33" s="122"/>
    </row>
    <row r="34" spans="2:14" x14ac:dyDescent="0.25">
      <c r="B34" s="121"/>
      <c r="C34" s="159"/>
      <c r="D34" s="159"/>
      <c r="E34" s="159"/>
      <c r="F34" s="159"/>
      <c r="G34" s="160"/>
      <c r="H34" s="161"/>
      <c r="I34" s="162"/>
      <c r="J34" s="159"/>
      <c r="K34" s="166"/>
      <c r="L34" s="164">
        <f t="shared" si="0"/>
        <v>0</v>
      </c>
      <c r="M34" s="167" t="e">
        <f t="shared" si="1"/>
        <v>#DIV/0!</v>
      </c>
      <c r="N34" s="122"/>
    </row>
    <row r="35" spans="2:14" x14ac:dyDescent="0.25">
      <c r="B35" s="121"/>
      <c r="C35" s="159"/>
      <c r="D35" s="159"/>
      <c r="E35" s="159"/>
      <c r="F35" s="159"/>
      <c r="G35" s="160"/>
      <c r="H35" s="161"/>
      <c r="I35" s="162"/>
      <c r="J35" s="159"/>
      <c r="K35" s="163"/>
      <c r="L35" s="164">
        <f t="shared" si="0"/>
        <v>0</v>
      </c>
      <c r="M35" s="165" t="e">
        <f t="shared" si="1"/>
        <v>#DIV/0!</v>
      </c>
      <c r="N35" s="122"/>
    </row>
    <row r="36" spans="2:14" x14ac:dyDescent="0.25">
      <c r="B36" s="121"/>
      <c r="C36" s="159"/>
      <c r="D36" s="159"/>
      <c r="E36" s="159"/>
      <c r="F36" s="159"/>
      <c r="G36" s="160"/>
      <c r="H36" s="161"/>
      <c r="I36" s="162"/>
      <c r="J36" s="159"/>
      <c r="K36" s="163"/>
      <c r="L36" s="164">
        <f t="shared" si="0"/>
        <v>0</v>
      </c>
      <c r="M36" s="165" t="e">
        <f t="shared" si="1"/>
        <v>#DIV/0!</v>
      </c>
      <c r="N36" s="122"/>
    </row>
    <row r="37" spans="2:14" x14ac:dyDescent="0.25">
      <c r="B37" s="121"/>
      <c r="C37" s="159"/>
      <c r="D37" s="159"/>
      <c r="E37" s="159"/>
      <c r="F37" s="159"/>
      <c r="G37" s="160"/>
      <c r="H37" s="161"/>
      <c r="I37" s="162"/>
      <c r="J37" s="159"/>
      <c r="K37" s="163"/>
      <c r="L37" s="164">
        <f t="shared" si="0"/>
        <v>0</v>
      </c>
      <c r="M37" s="165" t="e">
        <f t="shared" si="1"/>
        <v>#DIV/0!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56"/>
      <c r="D66" s="256">
        <f>+COUNT($D$22:$D$65)</f>
        <v>6</v>
      </c>
      <c r="E66" s="256"/>
      <c r="F66" s="373"/>
      <c r="G66" s="373"/>
      <c r="H66" s="149"/>
      <c r="I66" s="148">
        <f>SUM($I$22:$I$65)</f>
        <v>2216</v>
      </c>
      <c r="J66" s="150">
        <f>SUM($J$22:$J$65)</f>
        <v>601.5</v>
      </c>
      <c r="K66" s="151">
        <f>SUM($K$22:$K$65)</f>
        <v>595.59999999999991</v>
      </c>
      <c r="L66" s="148">
        <f>SUM($L$22:$L$65)</f>
        <v>1197.0999999999999</v>
      </c>
      <c r="M66" s="178">
        <f t="shared" si="1"/>
        <v>0.54020758122743673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17.7</v>
      </c>
      <c r="I71" s="119"/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6</v>
      </c>
      <c r="I72" s="119"/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6</v>
      </c>
      <c r="I73" s="119"/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6</v>
      </c>
      <c r="I74" s="119"/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5.8</v>
      </c>
      <c r="I75" s="119"/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12</v>
      </c>
      <c r="I76" s="119"/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24</v>
      </c>
      <c r="I77" s="119"/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6</v>
      </c>
      <c r="I78" s="119"/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6</v>
      </c>
      <c r="I79" s="119"/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8.94</v>
      </c>
      <c r="I80" s="119"/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6</v>
      </c>
      <c r="I81" s="119"/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6</v>
      </c>
      <c r="I82" s="119"/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3.6</v>
      </c>
      <c r="I83" s="119"/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0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6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62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E65" zoomScale="90" zoomScaleNormal="90" workbookViewId="0">
      <selection activeCell="F45" sqref="F45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0.56169643942155789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210.1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1008</v>
      </c>
      <c r="F8" s="344"/>
      <c r="G8" s="344"/>
      <c r="H8" s="345"/>
      <c r="I8" s="146" t="s">
        <v>487</v>
      </c>
      <c r="J8" s="346" t="s">
        <v>1009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69057</v>
      </c>
      <c r="F9" s="344"/>
      <c r="G9" s="344"/>
      <c r="H9" s="345"/>
      <c r="I9" s="146" t="s">
        <v>88</v>
      </c>
      <c r="J9" s="209" t="s">
        <v>1010</v>
      </c>
      <c r="K9" s="262" t="s">
        <v>490</v>
      </c>
      <c r="L9" s="369" t="s">
        <v>1011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63" t="s">
        <v>569</v>
      </c>
      <c r="E12" s="384">
        <v>46052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45</v>
      </c>
      <c r="F13" s="349"/>
      <c r="H13" s="117"/>
      <c r="I13" s="123"/>
      <c r="J13" s="215" t="s">
        <v>483</v>
      </c>
      <c r="K13" s="264">
        <f>+COUNTIF($G$22:$G$66,"VQ")*2</f>
        <v>22</v>
      </c>
      <c r="L13" s="264">
        <f>+SUMIF($G$23:$G$65,"VQ",$L$23:$L$65)</f>
        <v>2117.6999999999998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22</v>
      </c>
      <c r="F14" s="350"/>
      <c r="H14" s="117"/>
      <c r="I14" s="123"/>
      <c r="J14" s="215" t="s">
        <v>42</v>
      </c>
      <c r="K14" s="264">
        <f>+COUNTIF($G$22:$G$66,"NT")*2</f>
        <v>22</v>
      </c>
      <c r="L14" s="264">
        <f>+SUMIF($G$23:$G$65,"NT",$L$23:$L$65)</f>
        <v>2504.4999999999995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8229</v>
      </c>
      <c r="F15" s="350"/>
      <c r="H15" s="117"/>
      <c r="I15" s="123"/>
      <c r="J15" s="215" t="s">
        <v>484</v>
      </c>
      <c r="K15" s="264">
        <f>+COUNTIF($G$22:$G$66,"NO")*2</f>
        <v>0</v>
      </c>
      <c r="L15" s="264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4622.2</v>
      </c>
      <c r="F16" s="350"/>
      <c r="H16" s="117"/>
      <c r="I16" s="123"/>
      <c r="J16" s="215" t="s">
        <v>485</v>
      </c>
      <c r="K16" s="264">
        <f>+COUNTIF($G$22:$G$66,"TO")*2</f>
        <v>0</v>
      </c>
      <c r="L16" s="264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0.56169643942155789</v>
      </c>
      <c r="F17" s="350"/>
      <c r="G17" s="124"/>
      <c r="H17" s="125"/>
      <c r="I17" s="123"/>
      <c r="J17" s="215" t="s">
        <v>486</v>
      </c>
      <c r="K17" s="264">
        <f>+COUNTIF($G$22:$G$66,"VA")*2</f>
        <v>0</v>
      </c>
      <c r="L17" s="264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210.1</v>
      </c>
      <c r="F18" s="353"/>
      <c r="G18" s="124"/>
      <c r="H18" s="125"/>
      <c r="I18" s="123"/>
      <c r="J18" s="215" t="s">
        <v>44</v>
      </c>
      <c r="K18" s="264">
        <f>+COUNTIF($G$22:$G$66,"MEJ")*2</f>
        <v>0</v>
      </c>
      <c r="L18" s="264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</v>
      </c>
      <c r="D23" s="152">
        <v>3</v>
      </c>
      <c r="E23" s="152" t="s">
        <v>75</v>
      </c>
      <c r="F23" s="152" t="s">
        <v>526</v>
      </c>
      <c r="G23" s="153" t="s">
        <v>42</v>
      </c>
      <c r="H23" s="154" t="s">
        <v>1012</v>
      </c>
      <c r="I23" s="155">
        <v>402</v>
      </c>
      <c r="J23" s="152">
        <v>116.1</v>
      </c>
      <c r="K23" s="156">
        <v>115.3</v>
      </c>
      <c r="L23" s="157">
        <f t="shared" ref="L23:L65" si="0">+J23+K23</f>
        <v>231.39999999999998</v>
      </c>
      <c r="M23" s="158">
        <f t="shared" ref="M23:M66" si="1">+L23/I23</f>
        <v>0.57562189054726365</v>
      </c>
      <c r="N23" s="122"/>
    </row>
    <row r="24" spans="2:14" x14ac:dyDescent="0.25">
      <c r="B24" s="121"/>
      <c r="C24" s="159">
        <v>2</v>
      </c>
      <c r="D24" s="159">
        <v>12</v>
      </c>
      <c r="E24" s="159" t="s">
        <v>75</v>
      </c>
      <c r="F24" s="159" t="s">
        <v>526</v>
      </c>
      <c r="G24" s="160" t="s">
        <v>42</v>
      </c>
      <c r="H24" s="161" t="s">
        <v>1013</v>
      </c>
      <c r="I24" s="162">
        <v>396</v>
      </c>
      <c r="J24" s="159">
        <v>111.5</v>
      </c>
      <c r="K24" s="163">
        <v>110.2</v>
      </c>
      <c r="L24" s="164">
        <f t="shared" si="0"/>
        <v>221.7</v>
      </c>
      <c r="M24" s="165">
        <f t="shared" si="1"/>
        <v>0.55984848484848482</v>
      </c>
      <c r="N24" s="122"/>
    </row>
    <row r="25" spans="2:14" x14ac:dyDescent="0.25">
      <c r="B25" s="121"/>
      <c r="C25" s="159">
        <v>3</v>
      </c>
      <c r="D25" s="159">
        <v>2</v>
      </c>
      <c r="E25" s="159" t="s">
        <v>75</v>
      </c>
      <c r="F25" s="159" t="s">
        <v>526</v>
      </c>
      <c r="G25" s="160" t="s">
        <v>42</v>
      </c>
      <c r="H25" s="161" t="s">
        <v>1014</v>
      </c>
      <c r="I25" s="162">
        <v>387</v>
      </c>
      <c r="J25" s="159">
        <v>114.5</v>
      </c>
      <c r="K25" s="163">
        <v>112.6</v>
      </c>
      <c r="L25" s="164">
        <f t="shared" si="0"/>
        <v>227.1</v>
      </c>
      <c r="M25" s="165">
        <f t="shared" si="1"/>
        <v>0.58682170542635659</v>
      </c>
      <c r="N25" s="122"/>
    </row>
    <row r="26" spans="2:14" x14ac:dyDescent="0.25">
      <c r="B26" s="121"/>
      <c r="C26" s="159">
        <v>4</v>
      </c>
      <c r="D26" s="159">
        <v>13</v>
      </c>
      <c r="E26" s="159" t="s">
        <v>75</v>
      </c>
      <c r="F26" s="159" t="s">
        <v>526</v>
      </c>
      <c r="G26" s="160" t="s">
        <v>483</v>
      </c>
      <c r="H26" s="161" t="s">
        <v>1015</v>
      </c>
      <c r="I26" s="162">
        <v>403</v>
      </c>
      <c r="J26" s="159">
        <v>111.4</v>
      </c>
      <c r="K26" s="163">
        <v>113</v>
      </c>
      <c r="L26" s="164">
        <f t="shared" si="0"/>
        <v>224.4</v>
      </c>
      <c r="M26" s="165">
        <f t="shared" si="1"/>
        <v>0.55682382133995034</v>
      </c>
      <c r="N26" s="122"/>
    </row>
    <row r="27" spans="2:14" x14ac:dyDescent="0.25">
      <c r="B27" s="121"/>
      <c r="C27" s="159">
        <v>5</v>
      </c>
      <c r="D27" s="159">
        <v>18</v>
      </c>
      <c r="E27" s="159" t="s">
        <v>75</v>
      </c>
      <c r="F27" s="159" t="s">
        <v>526</v>
      </c>
      <c r="G27" s="160" t="s">
        <v>483</v>
      </c>
      <c r="H27" s="161" t="s">
        <v>1016</v>
      </c>
      <c r="I27" s="162">
        <v>310</v>
      </c>
      <c r="J27" s="159">
        <v>83.2</v>
      </c>
      <c r="K27" s="163">
        <v>83.1</v>
      </c>
      <c r="L27" s="164">
        <f t="shared" si="0"/>
        <v>166.3</v>
      </c>
      <c r="M27" s="165">
        <f t="shared" si="1"/>
        <v>0.53645161290322585</v>
      </c>
      <c r="N27" s="122"/>
    </row>
    <row r="28" spans="2:14" x14ac:dyDescent="0.25">
      <c r="B28" s="121"/>
      <c r="C28" s="159">
        <v>6</v>
      </c>
      <c r="D28" s="159">
        <v>16</v>
      </c>
      <c r="E28" s="159" t="s">
        <v>75</v>
      </c>
      <c r="F28" s="159" t="s">
        <v>526</v>
      </c>
      <c r="G28" s="160" t="s">
        <v>483</v>
      </c>
      <c r="H28" s="161" t="s">
        <v>1017</v>
      </c>
      <c r="I28" s="162">
        <v>365</v>
      </c>
      <c r="J28" s="159">
        <v>100.3</v>
      </c>
      <c r="K28" s="163">
        <v>101.6</v>
      </c>
      <c r="L28" s="164">
        <f t="shared" si="0"/>
        <v>201.89999999999998</v>
      </c>
      <c r="M28" s="165">
        <f t="shared" si="1"/>
        <v>0.55315068493150676</v>
      </c>
      <c r="N28" s="122"/>
    </row>
    <row r="29" spans="2:14" x14ac:dyDescent="0.25">
      <c r="B29" s="121"/>
      <c r="C29" s="160">
        <v>7</v>
      </c>
      <c r="D29" s="160">
        <v>15</v>
      </c>
      <c r="E29" s="160" t="s">
        <v>75</v>
      </c>
      <c r="F29" s="160" t="s">
        <v>526</v>
      </c>
      <c r="G29" s="160" t="s">
        <v>42</v>
      </c>
      <c r="H29" s="161" t="s">
        <v>1018</v>
      </c>
      <c r="I29" s="162">
        <v>364</v>
      </c>
      <c r="J29" s="159">
        <v>100.3</v>
      </c>
      <c r="K29" s="163">
        <v>100.6</v>
      </c>
      <c r="L29" s="164">
        <f t="shared" si="0"/>
        <v>200.89999999999998</v>
      </c>
      <c r="M29" s="165">
        <f t="shared" si="1"/>
        <v>0.55192307692307685</v>
      </c>
      <c r="N29" s="122"/>
    </row>
    <row r="30" spans="2:14" x14ac:dyDescent="0.25">
      <c r="B30" s="121"/>
      <c r="C30" s="160">
        <v>8</v>
      </c>
      <c r="D30" s="160">
        <v>4</v>
      </c>
      <c r="E30" s="160" t="s">
        <v>75</v>
      </c>
      <c r="F30" s="160" t="s">
        <v>526</v>
      </c>
      <c r="G30" s="160" t="s">
        <v>42</v>
      </c>
      <c r="H30" s="161" t="s">
        <v>1019</v>
      </c>
      <c r="I30" s="162">
        <v>366</v>
      </c>
      <c r="J30" s="159">
        <v>107.1</v>
      </c>
      <c r="K30" s="163">
        <v>105.6</v>
      </c>
      <c r="L30" s="164">
        <f t="shared" si="0"/>
        <v>212.7</v>
      </c>
      <c r="M30" s="165">
        <f t="shared" si="1"/>
        <v>0.58114754098360655</v>
      </c>
      <c r="N30" s="122"/>
    </row>
    <row r="31" spans="2:14" x14ac:dyDescent="0.25">
      <c r="B31" s="121"/>
      <c r="C31" s="159">
        <v>9</v>
      </c>
      <c r="D31" s="159">
        <v>1</v>
      </c>
      <c r="E31" s="159" t="s">
        <v>68</v>
      </c>
      <c r="F31" s="159" t="s">
        <v>526</v>
      </c>
      <c r="G31" s="160" t="s">
        <v>483</v>
      </c>
      <c r="H31" s="161" t="s">
        <v>1020</v>
      </c>
      <c r="I31" s="162">
        <v>337</v>
      </c>
      <c r="J31" s="159">
        <v>93.1</v>
      </c>
      <c r="K31" s="163">
        <v>92.7</v>
      </c>
      <c r="L31" s="164">
        <f t="shared" si="0"/>
        <v>185.8</v>
      </c>
      <c r="M31" s="165">
        <f t="shared" si="1"/>
        <v>0.55133531157270033</v>
      </c>
      <c r="N31" s="122"/>
    </row>
    <row r="32" spans="2:14" x14ac:dyDescent="0.25">
      <c r="B32" s="121"/>
      <c r="C32" s="159">
        <v>10</v>
      </c>
      <c r="D32" s="159">
        <v>6</v>
      </c>
      <c r="E32" s="159" t="s">
        <v>75</v>
      </c>
      <c r="F32" s="159" t="s">
        <v>526</v>
      </c>
      <c r="G32" s="160" t="s">
        <v>42</v>
      </c>
      <c r="H32" s="161" t="s">
        <v>1021</v>
      </c>
      <c r="I32" s="162">
        <v>368</v>
      </c>
      <c r="J32" s="159">
        <v>109.8</v>
      </c>
      <c r="K32" s="163">
        <v>109.5</v>
      </c>
      <c r="L32" s="164">
        <f t="shared" si="0"/>
        <v>219.3</v>
      </c>
      <c r="M32" s="165">
        <f t="shared" si="1"/>
        <v>0.59592391304347825</v>
      </c>
      <c r="N32" s="122"/>
    </row>
    <row r="33" spans="2:14" x14ac:dyDescent="0.25">
      <c r="B33" s="121"/>
      <c r="C33" s="160">
        <v>11</v>
      </c>
      <c r="D33" s="160">
        <v>5</v>
      </c>
      <c r="E33" s="160" t="s">
        <v>75</v>
      </c>
      <c r="F33" s="160" t="s">
        <v>526</v>
      </c>
      <c r="G33" s="160" t="s">
        <v>483</v>
      </c>
      <c r="H33" s="161" t="s">
        <v>1022</v>
      </c>
      <c r="I33" s="162">
        <v>341</v>
      </c>
      <c r="J33" s="159">
        <v>94.7</v>
      </c>
      <c r="K33" s="163">
        <v>94.4</v>
      </c>
      <c r="L33" s="164">
        <f t="shared" si="0"/>
        <v>189.10000000000002</v>
      </c>
      <c r="M33" s="165">
        <f t="shared" si="1"/>
        <v>0.55454545454545456</v>
      </c>
      <c r="N33" s="122"/>
    </row>
    <row r="34" spans="2:14" x14ac:dyDescent="0.25">
      <c r="B34" s="121"/>
      <c r="C34" s="159">
        <v>12</v>
      </c>
      <c r="D34" s="159">
        <v>8</v>
      </c>
      <c r="E34" s="159" t="s">
        <v>75</v>
      </c>
      <c r="F34" s="159" t="s">
        <v>526</v>
      </c>
      <c r="G34" s="160" t="s">
        <v>42</v>
      </c>
      <c r="H34" s="161" t="s">
        <v>1023</v>
      </c>
      <c r="I34" s="162">
        <v>403</v>
      </c>
      <c r="J34" s="159">
        <v>115.3</v>
      </c>
      <c r="K34" s="166">
        <v>115.2</v>
      </c>
      <c r="L34" s="164">
        <f t="shared" si="0"/>
        <v>230.5</v>
      </c>
      <c r="M34" s="167">
        <f t="shared" si="1"/>
        <v>0.57196029776674939</v>
      </c>
      <c r="N34" s="122"/>
    </row>
    <row r="35" spans="2:14" x14ac:dyDescent="0.25">
      <c r="B35" s="121"/>
      <c r="C35" s="159">
        <v>13</v>
      </c>
      <c r="D35" s="159">
        <v>20</v>
      </c>
      <c r="E35" s="159" t="s">
        <v>75</v>
      </c>
      <c r="F35" s="159" t="s">
        <v>526</v>
      </c>
      <c r="G35" s="160" t="s">
        <v>483</v>
      </c>
      <c r="H35" s="161" t="s">
        <v>1024</v>
      </c>
      <c r="I35" s="162">
        <v>387</v>
      </c>
      <c r="J35" s="159">
        <v>109.5</v>
      </c>
      <c r="K35" s="163">
        <v>107.8</v>
      </c>
      <c r="L35" s="164">
        <f t="shared" si="0"/>
        <v>217.3</v>
      </c>
      <c r="M35" s="165">
        <f t="shared" si="1"/>
        <v>0.56149870801033597</v>
      </c>
      <c r="N35" s="122"/>
    </row>
    <row r="36" spans="2:14" x14ac:dyDescent="0.25">
      <c r="B36" s="121"/>
      <c r="C36" s="159">
        <v>14</v>
      </c>
      <c r="D36" s="159">
        <v>10</v>
      </c>
      <c r="E36" s="159" t="s">
        <v>75</v>
      </c>
      <c r="F36" s="159" t="s">
        <v>526</v>
      </c>
      <c r="G36" s="160" t="s">
        <v>42</v>
      </c>
      <c r="H36" s="161" t="s">
        <v>1025</v>
      </c>
      <c r="I36" s="162">
        <v>409</v>
      </c>
      <c r="J36" s="159">
        <v>116.7</v>
      </c>
      <c r="K36" s="163">
        <v>117</v>
      </c>
      <c r="L36" s="164">
        <f t="shared" si="0"/>
        <v>233.7</v>
      </c>
      <c r="M36" s="165">
        <f t="shared" si="1"/>
        <v>0.57139364303178486</v>
      </c>
      <c r="N36" s="122"/>
    </row>
    <row r="37" spans="2:14" x14ac:dyDescent="0.25">
      <c r="B37" s="121"/>
      <c r="C37" s="159">
        <v>15</v>
      </c>
      <c r="D37" s="159">
        <v>11</v>
      </c>
      <c r="E37" s="159" t="s">
        <v>75</v>
      </c>
      <c r="F37" s="159" t="s">
        <v>526</v>
      </c>
      <c r="G37" s="160" t="s">
        <v>483</v>
      </c>
      <c r="H37" s="161" t="s">
        <v>1026</v>
      </c>
      <c r="I37" s="162">
        <v>329</v>
      </c>
      <c r="J37" s="159">
        <v>89.2</v>
      </c>
      <c r="K37" s="163">
        <v>90.6</v>
      </c>
      <c r="L37" s="164">
        <f t="shared" si="0"/>
        <v>179.8</v>
      </c>
      <c r="M37" s="165">
        <f t="shared" si="1"/>
        <v>0.54650455927051678</v>
      </c>
      <c r="N37" s="122"/>
    </row>
    <row r="38" spans="2:14" x14ac:dyDescent="0.25">
      <c r="B38" s="121"/>
      <c r="C38" s="159">
        <v>16</v>
      </c>
      <c r="D38" s="159">
        <v>9</v>
      </c>
      <c r="E38" s="159" t="s">
        <v>75</v>
      </c>
      <c r="F38" s="159" t="s">
        <v>526</v>
      </c>
      <c r="G38" s="159" t="s">
        <v>42</v>
      </c>
      <c r="H38" s="168" t="s">
        <v>1027</v>
      </c>
      <c r="I38" s="169">
        <v>401</v>
      </c>
      <c r="J38" s="159">
        <v>123.3</v>
      </c>
      <c r="K38" s="163">
        <v>122.8</v>
      </c>
      <c r="L38" s="164">
        <f t="shared" si="0"/>
        <v>246.1</v>
      </c>
      <c r="M38" s="165">
        <f t="shared" si="1"/>
        <v>0.61371571072319198</v>
      </c>
      <c r="N38" s="122"/>
    </row>
    <row r="39" spans="2:14" x14ac:dyDescent="0.25">
      <c r="B39" s="121"/>
      <c r="C39" s="159">
        <v>17</v>
      </c>
      <c r="D39" s="159">
        <v>22</v>
      </c>
      <c r="E39" s="159" t="s">
        <v>75</v>
      </c>
      <c r="F39" s="159" t="s">
        <v>526</v>
      </c>
      <c r="G39" s="160" t="s">
        <v>42</v>
      </c>
      <c r="H39" s="161" t="s">
        <v>1028</v>
      </c>
      <c r="I39" s="162">
        <v>454</v>
      </c>
      <c r="J39" s="159">
        <v>131.5</v>
      </c>
      <c r="K39" s="163">
        <v>131.5</v>
      </c>
      <c r="L39" s="164">
        <f t="shared" si="0"/>
        <v>263</v>
      </c>
      <c r="M39" s="165">
        <f t="shared" si="1"/>
        <v>0.57929515418502198</v>
      </c>
      <c r="N39" s="122"/>
    </row>
    <row r="40" spans="2:14" x14ac:dyDescent="0.25">
      <c r="B40" s="121"/>
      <c r="C40" s="159">
        <v>18</v>
      </c>
      <c r="D40" s="159">
        <v>14</v>
      </c>
      <c r="E40" s="159" t="s">
        <v>75</v>
      </c>
      <c r="F40" s="159" t="s">
        <v>526</v>
      </c>
      <c r="G40" s="160" t="s">
        <v>483</v>
      </c>
      <c r="H40" s="161" t="s">
        <v>1029</v>
      </c>
      <c r="I40" s="162">
        <v>373</v>
      </c>
      <c r="J40" s="159">
        <v>94.8</v>
      </c>
      <c r="K40" s="163">
        <v>94.6</v>
      </c>
      <c r="L40" s="164">
        <f t="shared" si="0"/>
        <v>189.39999999999998</v>
      </c>
      <c r="M40" s="165">
        <f t="shared" si="1"/>
        <v>0.5077747989276139</v>
      </c>
      <c r="N40" s="122"/>
    </row>
    <row r="41" spans="2:14" x14ac:dyDescent="0.25">
      <c r="B41" s="121"/>
      <c r="C41" s="159">
        <v>19</v>
      </c>
      <c r="D41" s="159">
        <v>7</v>
      </c>
      <c r="E41" s="159" t="s">
        <v>75</v>
      </c>
      <c r="F41" s="159" t="s">
        <v>526</v>
      </c>
      <c r="G41" s="160" t="s">
        <v>42</v>
      </c>
      <c r="H41" s="161" t="s">
        <v>346</v>
      </c>
      <c r="I41" s="162">
        <v>386</v>
      </c>
      <c r="J41" s="159">
        <v>110.4</v>
      </c>
      <c r="K41" s="163">
        <v>107.7</v>
      </c>
      <c r="L41" s="164">
        <f t="shared" si="0"/>
        <v>218.10000000000002</v>
      </c>
      <c r="M41" s="165">
        <f t="shared" si="1"/>
        <v>0.56502590673575137</v>
      </c>
      <c r="N41" s="122"/>
    </row>
    <row r="42" spans="2:14" x14ac:dyDescent="0.25">
      <c r="B42" s="121"/>
      <c r="C42" s="160">
        <v>20</v>
      </c>
      <c r="D42" s="160">
        <v>21</v>
      </c>
      <c r="E42" s="160" t="s">
        <v>75</v>
      </c>
      <c r="F42" s="160" t="s">
        <v>526</v>
      </c>
      <c r="G42" s="160" t="s">
        <v>483</v>
      </c>
      <c r="H42" s="161" t="s">
        <v>1030</v>
      </c>
      <c r="I42" s="162">
        <v>316</v>
      </c>
      <c r="J42" s="159">
        <v>90</v>
      </c>
      <c r="K42" s="163">
        <v>88.7</v>
      </c>
      <c r="L42" s="164">
        <f t="shared" si="0"/>
        <v>178.7</v>
      </c>
      <c r="M42" s="165">
        <f t="shared" si="1"/>
        <v>0.56550632911392407</v>
      </c>
      <c r="N42" s="122"/>
    </row>
    <row r="43" spans="2:14" x14ac:dyDescent="0.25">
      <c r="B43" s="121"/>
      <c r="C43" s="159">
        <v>21</v>
      </c>
      <c r="D43" s="159">
        <v>17</v>
      </c>
      <c r="E43" s="159" t="s">
        <v>75</v>
      </c>
      <c r="F43" s="159" t="s">
        <v>526</v>
      </c>
      <c r="G43" s="160" t="s">
        <v>483</v>
      </c>
      <c r="H43" s="161" t="s">
        <v>1031</v>
      </c>
      <c r="I43" s="162">
        <v>389</v>
      </c>
      <c r="J43" s="159">
        <v>100.9</v>
      </c>
      <c r="K43" s="163">
        <v>101.4</v>
      </c>
      <c r="L43" s="164">
        <f t="shared" si="0"/>
        <v>202.3</v>
      </c>
      <c r="M43" s="165">
        <f t="shared" si="1"/>
        <v>0.52005141388174814</v>
      </c>
      <c r="N43" s="122"/>
    </row>
    <row r="44" spans="2:14" x14ac:dyDescent="0.25">
      <c r="B44" s="121"/>
      <c r="C44" s="160">
        <v>22</v>
      </c>
      <c r="D44" s="160">
        <v>19</v>
      </c>
      <c r="E44" s="160" t="s">
        <v>75</v>
      </c>
      <c r="F44" s="160" t="s">
        <v>526</v>
      </c>
      <c r="G44" s="160" t="s">
        <v>483</v>
      </c>
      <c r="H44" s="161" t="s">
        <v>1032</v>
      </c>
      <c r="I44" s="162">
        <v>343</v>
      </c>
      <c r="J44" s="159">
        <v>91.6</v>
      </c>
      <c r="K44" s="163">
        <v>91.1</v>
      </c>
      <c r="L44" s="164">
        <f t="shared" si="0"/>
        <v>182.7</v>
      </c>
      <c r="M44" s="165">
        <f t="shared" si="1"/>
        <v>0.53265306122448974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65"/>
      <c r="D66" s="265">
        <f>+COUNT($D$22:$D$65)</f>
        <v>22</v>
      </c>
      <c r="E66" s="265"/>
      <c r="F66" s="373"/>
      <c r="G66" s="373"/>
      <c r="H66" s="149"/>
      <c r="I66" s="148">
        <f>SUM($I$22:$I$65)</f>
        <v>8229</v>
      </c>
      <c r="J66" s="150">
        <f>SUM($J$22:$J$65)</f>
        <v>2315.1999999999998</v>
      </c>
      <c r="K66" s="151">
        <f>SUM($K$22:$K$65)</f>
        <v>2307</v>
      </c>
      <c r="L66" s="148">
        <f>SUM($L$22:$L$65)</f>
        <v>4622.2</v>
      </c>
      <c r="M66" s="178">
        <f t="shared" si="1"/>
        <v>0.56169643942155789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114.12</v>
      </c>
      <c r="I71" s="119">
        <v>110.88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42</v>
      </c>
      <c r="I72" s="119">
        <v>65.819999999999993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38</v>
      </c>
      <c r="I73" s="119">
        <v>176.88</v>
      </c>
      <c r="J73" s="181">
        <v>4</v>
      </c>
      <c r="K73" s="185">
        <v>18.88</v>
      </c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42</v>
      </c>
      <c r="I74" s="119">
        <v>44.64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27.42</v>
      </c>
      <c r="I75" s="119">
        <v>26.78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84</v>
      </c>
      <c r="I76" s="119">
        <v>37.32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168</v>
      </c>
      <c r="I77" s="119">
        <v>25.02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42</v>
      </c>
      <c r="I78" s="119">
        <v>30.16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42</v>
      </c>
      <c r="I79" s="119">
        <v>30.96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47.64</v>
      </c>
      <c r="I80" s="119">
        <v>52.5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42</v>
      </c>
      <c r="I81" s="119">
        <v>35.56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42</v>
      </c>
      <c r="I82" s="119">
        <v>14.18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21.76</v>
      </c>
      <c r="I83" s="119">
        <v>20.52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671.21999999999991</v>
      </c>
      <c r="J84" s="187">
        <f>SUM(J71:J83)</f>
        <v>4</v>
      </c>
      <c r="K84" s="186">
        <f>SUM(K71:K83)</f>
        <v>18.88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22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61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A61" zoomScale="90" zoomScaleNormal="90" workbookViewId="0">
      <selection activeCell="F43" sqref="F43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0.55668659961946187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204.80500000000001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1008</v>
      </c>
      <c r="F8" s="344"/>
      <c r="G8" s="344"/>
      <c r="H8" s="345"/>
      <c r="I8" s="146" t="s">
        <v>487</v>
      </c>
      <c r="J8" s="346" t="s">
        <v>563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69057</v>
      </c>
      <c r="F9" s="344"/>
      <c r="G9" s="344"/>
      <c r="H9" s="345"/>
      <c r="I9" s="146" t="s">
        <v>88</v>
      </c>
      <c r="J9" s="209" t="s">
        <v>1050</v>
      </c>
      <c r="K9" s="262" t="s">
        <v>490</v>
      </c>
      <c r="L9" s="369" t="s">
        <v>1011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63" t="s">
        <v>569</v>
      </c>
      <c r="E12" s="384">
        <v>46052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46</v>
      </c>
      <c r="F13" s="349"/>
      <c r="H13" s="117"/>
      <c r="I13" s="123"/>
      <c r="J13" s="215" t="s">
        <v>483</v>
      </c>
      <c r="K13" s="264">
        <f>+COUNTIF($G$22:$G$66,"VQ")*2</f>
        <v>4</v>
      </c>
      <c r="L13" s="264">
        <f>+SUMIF($G$23:$G$65,"VQ",$L$23:$L$65)</f>
        <v>377.9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20</v>
      </c>
      <c r="F14" s="350"/>
      <c r="H14" s="117"/>
      <c r="I14" s="123"/>
      <c r="J14" s="215" t="s">
        <v>42</v>
      </c>
      <c r="K14" s="264">
        <f>+COUNTIF($G$22:$G$66,"NT")*2</f>
        <v>36</v>
      </c>
      <c r="L14" s="264">
        <f>+SUMIF($G$23:$G$65,"NT",$L$23:$L$65)</f>
        <v>3718.2000000000003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7358</v>
      </c>
      <c r="F15" s="350"/>
      <c r="H15" s="117"/>
      <c r="I15" s="123"/>
      <c r="J15" s="215" t="s">
        <v>484</v>
      </c>
      <c r="K15" s="264">
        <f>+COUNTIF($G$22:$G$66,"NO")*2</f>
        <v>0</v>
      </c>
      <c r="L15" s="264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4096.1000000000004</v>
      </c>
      <c r="F16" s="350"/>
      <c r="H16" s="117"/>
      <c r="I16" s="123"/>
      <c r="J16" s="215" t="s">
        <v>485</v>
      </c>
      <c r="K16" s="264">
        <f>+COUNTIF($G$22:$G$66,"TO")*2</f>
        <v>0</v>
      </c>
      <c r="L16" s="264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0.55668659961946187</v>
      </c>
      <c r="F17" s="350"/>
      <c r="G17" s="124"/>
      <c r="H17" s="125"/>
      <c r="I17" s="123"/>
      <c r="J17" s="215" t="s">
        <v>486</v>
      </c>
      <c r="K17" s="264">
        <f>+COUNTIF($G$22:$G$66,"VA")*2</f>
        <v>0</v>
      </c>
      <c r="L17" s="264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204.80500000000001</v>
      </c>
      <c r="F18" s="353"/>
      <c r="G18" s="124"/>
      <c r="H18" s="125"/>
      <c r="I18" s="123"/>
      <c r="J18" s="215" t="s">
        <v>44</v>
      </c>
      <c r="K18" s="264">
        <f>+COUNTIF($G$22:$G$66,"MEJ")*2</f>
        <v>0</v>
      </c>
      <c r="L18" s="264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23</v>
      </c>
      <c r="D23" s="152">
        <v>14</v>
      </c>
      <c r="E23" s="152" t="s">
        <v>75</v>
      </c>
      <c r="F23" s="152" t="s">
        <v>526</v>
      </c>
      <c r="G23" s="153" t="s">
        <v>42</v>
      </c>
      <c r="H23" s="154" t="s">
        <v>1033</v>
      </c>
      <c r="I23" s="155">
        <v>395</v>
      </c>
      <c r="J23" s="152">
        <v>108.6</v>
      </c>
      <c r="K23" s="156">
        <v>109</v>
      </c>
      <c r="L23" s="157">
        <f t="shared" ref="L23:L65" si="0">+J23+K23</f>
        <v>217.6</v>
      </c>
      <c r="M23" s="158">
        <f t="shared" ref="M23:M66" si="1">+L23/I23</f>
        <v>0.55088607594936712</v>
      </c>
      <c r="N23" s="122"/>
    </row>
    <row r="24" spans="2:14" x14ac:dyDescent="0.25">
      <c r="B24" s="121"/>
      <c r="C24" s="159">
        <v>24</v>
      </c>
      <c r="D24" s="159">
        <v>15</v>
      </c>
      <c r="E24" s="159" t="s">
        <v>67</v>
      </c>
      <c r="F24" s="159" t="s">
        <v>526</v>
      </c>
      <c r="G24" s="160" t="s">
        <v>42</v>
      </c>
      <c r="H24" s="161" t="s">
        <v>1034</v>
      </c>
      <c r="I24" s="162">
        <v>339</v>
      </c>
      <c r="J24" s="159">
        <v>91.8</v>
      </c>
      <c r="K24" s="163">
        <v>91.3</v>
      </c>
      <c r="L24" s="164">
        <f t="shared" si="0"/>
        <v>183.1</v>
      </c>
      <c r="M24" s="165">
        <f t="shared" si="1"/>
        <v>0.54011799410029493</v>
      </c>
      <c r="N24" s="122"/>
    </row>
    <row r="25" spans="2:14" x14ac:dyDescent="0.25">
      <c r="B25" s="121"/>
      <c r="C25" s="159">
        <v>25</v>
      </c>
      <c r="D25" s="159">
        <v>9</v>
      </c>
      <c r="E25" s="159" t="s">
        <v>67</v>
      </c>
      <c r="F25" s="159" t="s">
        <v>526</v>
      </c>
      <c r="G25" s="160" t="s">
        <v>42</v>
      </c>
      <c r="H25" s="161" t="s">
        <v>1035</v>
      </c>
      <c r="I25" s="162">
        <v>344</v>
      </c>
      <c r="J25" s="159">
        <v>98.5</v>
      </c>
      <c r="K25" s="163">
        <v>99</v>
      </c>
      <c r="L25" s="164">
        <f t="shared" si="0"/>
        <v>197.5</v>
      </c>
      <c r="M25" s="165">
        <f t="shared" si="1"/>
        <v>0.57412790697674421</v>
      </c>
      <c r="N25" s="122"/>
    </row>
    <row r="26" spans="2:14" x14ac:dyDescent="0.25">
      <c r="B26" s="121"/>
      <c r="C26" s="159">
        <v>26</v>
      </c>
      <c r="D26" s="159">
        <v>2</v>
      </c>
      <c r="E26" s="159" t="s">
        <v>67</v>
      </c>
      <c r="F26" s="159" t="s">
        <v>526</v>
      </c>
      <c r="G26" s="160" t="s">
        <v>42</v>
      </c>
      <c r="H26" s="161" t="s">
        <v>1036</v>
      </c>
      <c r="I26" s="162">
        <v>364</v>
      </c>
      <c r="J26" s="159">
        <v>106</v>
      </c>
      <c r="K26" s="163">
        <v>103.4</v>
      </c>
      <c r="L26" s="164">
        <f t="shared" si="0"/>
        <v>209.4</v>
      </c>
      <c r="M26" s="165">
        <f t="shared" si="1"/>
        <v>0.57527472527472534</v>
      </c>
      <c r="N26" s="122"/>
    </row>
    <row r="27" spans="2:14" x14ac:dyDescent="0.25">
      <c r="B27" s="121"/>
      <c r="C27" s="159">
        <v>27</v>
      </c>
      <c r="D27" s="159">
        <v>12</v>
      </c>
      <c r="E27" s="159" t="s">
        <v>75</v>
      </c>
      <c r="F27" s="159" t="s">
        <v>526</v>
      </c>
      <c r="G27" s="160" t="s">
        <v>42</v>
      </c>
      <c r="H27" s="161" t="s">
        <v>1037</v>
      </c>
      <c r="I27" s="162">
        <v>405</v>
      </c>
      <c r="J27" s="159">
        <v>118.7</v>
      </c>
      <c r="K27" s="163">
        <v>118.9</v>
      </c>
      <c r="L27" s="164">
        <f t="shared" si="0"/>
        <v>237.60000000000002</v>
      </c>
      <c r="M27" s="165">
        <f t="shared" si="1"/>
        <v>0.58666666666666667</v>
      </c>
      <c r="N27" s="122"/>
    </row>
    <row r="28" spans="2:14" x14ac:dyDescent="0.25">
      <c r="B28" s="121"/>
      <c r="C28" s="159">
        <v>28</v>
      </c>
      <c r="D28" s="159">
        <v>18</v>
      </c>
      <c r="E28" s="159" t="s">
        <v>75</v>
      </c>
      <c r="F28" s="159" t="s">
        <v>526</v>
      </c>
      <c r="G28" s="160" t="s">
        <v>42</v>
      </c>
      <c r="H28" s="161" t="s">
        <v>701</v>
      </c>
      <c r="I28" s="162">
        <v>332</v>
      </c>
      <c r="J28" s="159">
        <v>98.4</v>
      </c>
      <c r="K28" s="163">
        <v>98.2</v>
      </c>
      <c r="L28" s="164">
        <f t="shared" si="0"/>
        <v>196.60000000000002</v>
      </c>
      <c r="M28" s="165">
        <f t="shared" si="1"/>
        <v>0.59216867469879519</v>
      </c>
      <c r="N28" s="122"/>
    </row>
    <row r="29" spans="2:14" x14ac:dyDescent="0.25">
      <c r="B29" s="121"/>
      <c r="C29" s="160">
        <v>29</v>
      </c>
      <c r="D29" s="160">
        <v>13</v>
      </c>
      <c r="E29" s="160" t="s">
        <v>67</v>
      </c>
      <c r="F29" s="160" t="s">
        <v>526</v>
      </c>
      <c r="G29" s="160" t="s">
        <v>483</v>
      </c>
      <c r="H29" s="161" t="s">
        <v>1038</v>
      </c>
      <c r="I29" s="162">
        <v>330</v>
      </c>
      <c r="J29" s="159">
        <v>88.6</v>
      </c>
      <c r="K29" s="163">
        <v>88.4</v>
      </c>
      <c r="L29" s="164">
        <f t="shared" si="0"/>
        <v>177</v>
      </c>
      <c r="M29" s="165">
        <f t="shared" si="1"/>
        <v>0.53636363636363638</v>
      </c>
      <c r="N29" s="122"/>
    </row>
    <row r="30" spans="2:14" x14ac:dyDescent="0.25">
      <c r="B30" s="121"/>
      <c r="C30" s="160">
        <v>30</v>
      </c>
      <c r="D30" s="160">
        <v>4</v>
      </c>
      <c r="E30" s="160" t="s">
        <v>68</v>
      </c>
      <c r="F30" s="160" t="s">
        <v>526</v>
      </c>
      <c r="G30" s="160" t="s">
        <v>42</v>
      </c>
      <c r="H30" s="161" t="s">
        <v>1039</v>
      </c>
      <c r="I30" s="162">
        <v>364</v>
      </c>
      <c r="J30" s="159">
        <v>99</v>
      </c>
      <c r="K30" s="163">
        <v>98.2</v>
      </c>
      <c r="L30" s="164">
        <f t="shared" si="0"/>
        <v>197.2</v>
      </c>
      <c r="M30" s="165">
        <f t="shared" si="1"/>
        <v>0.54175824175824172</v>
      </c>
      <c r="N30" s="122"/>
    </row>
    <row r="31" spans="2:14" x14ac:dyDescent="0.25">
      <c r="B31" s="121"/>
      <c r="C31" s="159">
        <v>31</v>
      </c>
      <c r="D31" s="159">
        <v>5</v>
      </c>
      <c r="E31" s="159" t="s">
        <v>67</v>
      </c>
      <c r="F31" s="159" t="s">
        <v>526</v>
      </c>
      <c r="G31" s="160" t="s">
        <v>42</v>
      </c>
      <c r="H31" s="161" t="s">
        <v>1040</v>
      </c>
      <c r="I31" s="162">
        <v>369</v>
      </c>
      <c r="J31" s="159">
        <v>104.7</v>
      </c>
      <c r="K31" s="163">
        <v>103.9</v>
      </c>
      <c r="L31" s="164">
        <f t="shared" si="0"/>
        <v>208.60000000000002</v>
      </c>
      <c r="M31" s="165">
        <f t="shared" si="1"/>
        <v>0.5653116531165312</v>
      </c>
      <c r="N31" s="122"/>
    </row>
    <row r="32" spans="2:14" x14ac:dyDescent="0.25">
      <c r="B32" s="121"/>
      <c r="C32" s="159">
        <v>32</v>
      </c>
      <c r="D32" s="159">
        <v>17</v>
      </c>
      <c r="E32" s="159" t="s">
        <v>67</v>
      </c>
      <c r="F32" s="159" t="s">
        <v>526</v>
      </c>
      <c r="G32" s="160" t="s">
        <v>42</v>
      </c>
      <c r="H32" s="161" t="s">
        <v>1041</v>
      </c>
      <c r="I32" s="162">
        <v>322</v>
      </c>
      <c r="J32" s="159">
        <v>91.6</v>
      </c>
      <c r="K32" s="163">
        <v>91.2</v>
      </c>
      <c r="L32" s="164">
        <f t="shared" si="0"/>
        <v>182.8</v>
      </c>
      <c r="M32" s="165">
        <f t="shared" si="1"/>
        <v>0.56770186335403727</v>
      </c>
      <c r="N32" s="122"/>
    </row>
    <row r="33" spans="2:14" x14ac:dyDescent="0.25">
      <c r="B33" s="121"/>
      <c r="C33" s="160">
        <v>33</v>
      </c>
      <c r="D33" s="160">
        <v>7</v>
      </c>
      <c r="E33" s="160" t="s">
        <v>75</v>
      </c>
      <c r="F33" s="160" t="s">
        <v>526</v>
      </c>
      <c r="G33" s="160" t="s">
        <v>483</v>
      </c>
      <c r="H33" s="161" t="s">
        <v>1042</v>
      </c>
      <c r="I33" s="162">
        <v>383</v>
      </c>
      <c r="J33" s="159">
        <v>100.7</v>
      </c>
      <c r="K33" s="163">
        <v>100.2</v>
      </c>
      <c r="L33" s="164">
        <f t="shared" si="0"/>
        <v>200.9</v>
      </c>
      <c r="M33" s="165">
        <f t="shared" si="1"/>
        <v>0.52454308093994784</v>
      </c>
      <c r="N33" s="122"/>
    </row>
    <row r="34" spans="2:14" x14ac:dyDescent="0.25">
      <c r="B34" s="121"/>
      <c r="C34" s="159">
        <v>34</v>
      </c>
      <c r="D34" s="159">
        <v>19</v>
      </c>
      <c r="E34" s="159" t="s">
        <v>68</v>
      </c>
      <c r="F34" s="159" t="s">
        <v>526</v>
      </c>
      <c r="G34" s="160" t="s">
        <v>42</v>
      </c>
      <c r="H34" s="161" t="s">
        <v>1043</v>
      </c>
      <c r="I34" s="162">
        <v>350</v>
      </c>
      <c r="J34" s="159">
        <v>96.1</v>
      </c>
      <c r="K34" s="166">
        <v>94.9</v>
      </c>
      <c r="L34" s="164">
        <f t="shared" si="0"/>
        <v>191</v>
      </c>
      <c r="M34" s="167">
        <f t="shared" si="1"/>
        <v>0.54571428571428571</v>
      </c>
      <c r="N34" s="122"/>
    </row>
    <row r="35" spans="2:14" x14ac:dyDescent="0.25">
      <c r="B35" s="121"/>
      <c r="C35" s="159">
        <v>35</v>
      </c>
      <c r="D35" s="159">
        <v>16</v>
      </c>
      <c r="E35" s="159" t="s">
        <v>75</v>
      </c>
      <c r="F35" s="159" t="s">
        <v>526</v>
      </c>
      <c r="G35" s="160" t="s">
        <v>42</v>
      </c>
      <c r="H35" s="161" t="s">
        <v>1037</v>
      </c>
      <c r="I35" s="162">
        <v>454</v>
      </c>
      <c r="J35" s="159">
        <v>129.80000000000001</v>
      </c>
      <c r="K35" s="163">
        <v>128.19999999999999</v>
      </c>
      <c r="L35" s="164">
        <f t="shared" si="0"/>
        <v>258</v>
      </c>
      <c r="M35" s="165">
        <f t="shared" si="1"/>
        <v>0.56828193832599116</v>
      </c>
      <c r="N35" s="122"/>
    </row>
    <row r="36" spans="2:14" x14ac:dyDescent="0.25">
      <c r="B36" s="121"/>
      <c r="C36" s="159">
        <v>36</v>
      </c>
      <c r="D36" s="159">
        <v>3</v>
      </c>
      <c r="E36" s="159" t="s">
        <v>67</v>
      </c>
      <c r="F36" s="159" t="s">
        <v>526</v>
      </c>
      <c r="G36" s="160" t="s">
        <v>42</v>
      </c>
      <c r="H36" s="161" t="s">
        <v>1044</v>
      </c>
      <c r="I36" s="162">
        <v>347</v>
      </c>
      <c r="J36" s="159">
        <v>92.7</v>
      </c>
      <c r="K36" s="163">
        <v>93.1</v>
      </c>
      <c r="L36" s="164">
        <f t="shared" si="0"/>
        <v>185.8</v>
      </c>
      <c r="M36" s="165">
        <f t="shared" si="1"/>
        <v>0.5354466858789626</v>
      </c>
      <c r="N36" s="122"/>
    </row>
    <row r="37" spans="2:14" x14ac:dyDescent="0.25">
      <c r="B37" s="121"/>
      <c r="C37" s="159">
        <v>37</v>
      </c>
      <c r="D37" s="159">
        <v>8</v>
      </c>
      <c r="E37" s="159" t="s">
        <v>68</v>
      </c>
      <c r="F37" s="159" t="s">
        <v>526</v>
      </c>
      <c r="G37" s="160" t="s">
        <v>42</v>
      </c>
      <c r="H37" s="161" t="s">
        <v>41</v>
      </c>
      <c r="I37" s="162">
        <v>342</v>
      </c>
      <c r="J37" s="159">
        <v>94.9</v>
      </c>
      <c r="K37" s="163">
        <v>93.3</v>
      </c>
      <c r="L37" s="164">
        <f t="shared" si="0"/>
        <v>188.2</v>
      </c>
      <c r="M37" s="165">
        <f t="shared" si="1"/>
        <v>0.55029239766081872</v>
      </c>
      <c r="N37" s="122"/>
    </row>
    <row r="38" spans="2:14" x14ac:dyDescent="0.25">
      <c r="B38" s="121"/>
      <c r="C38" s="159">
        <v>38</v>
      </c>
      <c r="D38" s="159">
        <v>20</v>
      </c>
      <c r="E38" s="159" t="s">
        <v>75</v>
      </c>
      <c r="F38" s="159" t="s">
        <v>526</v>
      </c>
      <c r="G38" s="159" t="s">
        <v>42</v>
      </c>
      <c r="H38" s="168" t="s">
        <v>1045</v>
      </c>
      <c r="I38" s="169">
        <v>391</v>
      </c>
      <c r="J38" s="159">
        <v>103.7</v>
      </c>
      <c r="K38" s="163">
        <v>103.2</v>
      </c>
      <c r="L38" s="164">
        <f t="shared" si="0"/>
        <v>206.9</v>
      </c>
      <c r="M38" s="165">
        <f t="shared" si="1"/>
        <v>0.529156010230179</v>
      </c>
      <c r="N38" s="122"/>
    </row>
    <row r="39" spans="2:14" x14ac:dyDescent="0.25">
      <c r="B39" s="121"/>
      <c r="C39" s="159">
        <v>39</v>
      </c>
      <c r="D39" s="159">
        <v>6</v>
      </c>
      <c r="E39" s="159" t="s">
        <v>75</v>
      </c>
      <c r="F39" s="159" t="s">
        <v>526</v>
      </c>
      <c r="G39" s="160" t="s">
        <v>42</v>
      </c>
      <c r="H39" s="161" t="s">
        <v>1046</v>
      </c>
      <c r="I39" s="162">
        <v>352</v>
      </c>
      <c r="J39" s="159">
        <v>100.6</v>
      </c>
      <c r="K39" s="163">
        <v>100.1</v>
      </c>
      <c r="L39" s="164">
        <f t="shared" si="0"/>
        <v>200.7</v>
      </c>
      <c r="M39" s="165">
        <f t="shared" si="1"/>
        <v>0.57017045454545456</v>
      </c>
      <c r="N39" s="122"/>
    </row>
    <row r="40" spans="2:14" x14ac:dyDescent="0.25">
      <c r="B40" s="121"/>
      <c r="C40" s="159">
        <v>40</v>
      </c>
      <c r="D40" s="159">
        <v>11</v>
      </c>
      <c r="E40" s="159" t="s">
        <v>67</v>
      </c>
      <c r="F40" s="159" t="s">
        <v>526</v>
      </c>
      <c r="G40" s="160" t="s">
        <v>42</v>
      </c>
      <c r="H40" s="161" t="s">
        <v>1047</v>
      </c>
      <c r="I40" s="162">
        <v>368</v>
      </c>
      <c r="J40" s="159">
        <v>98.5</v>
      </c>
      <c r="K40" s="163">
        <v>97.7</v>
      </c>
      <c r="L40" s="164">
        <f t="shared" si="0"/>
        <v>196.2</v>
      </c>
      <c r="M40" s="165">
        <f t="shared" si="1"/>
        <v>0.53315217391304348</v>
      </c>
      <c r="N40" s="122"/>
    </row>
    <row r="41" spans="2:14" x14ac:dyDescent="0.25">
      <c r="B41" s="121"/>
      <c r="C41" s="159">
        <v>41</v>
      </c>
      <c r="D41" s="159">
        <v>10</v>
      </c>
      <c r="E41" s="159" t="s">
        <v>67</v>
      </c>
      <c r="F41" s="159" t="s">
        <v>526</v>
      </c>
      <c r="G41" s="160" t="s">
        <v>42</v>
      </c>
      <c r="H41" s="161" t="s">
        <v>1048</v>
      </c>
      <c r="I41" s="162">
        <v>353</v>
      </c>
      <c r="J41" s="159">
        <v>99.4</v>
      </c>
      <c r="K41" s="163">
        <v>98.6</v>
      </c>
      <c r="L41" s="164">
        <f t="shared" si="0"/>
        <v>198</v>
      </c>
      <c r="M41" s="165">
        <f t="shared" si="1"/>
        <v>0.56090651558073656</v>
      </c>
      <c r="N41" s="122"/>
    </row>
    <row r="42" spans="2:14" x14ac:dyDescent="0.25">
      <c r="B42" s="121"/>
      <c r="C42" s="160">
        <v>42</v>
      </c>
      <c r="D42" s="160">
        <v>1</v>
      </c>
      <c r="E42" s="160" t="s">
        <v>75</v>
      </c>
      <c r="F42" s="160" t="s">
        <v>526</v>
      </c>
      <c r="G42" s="160" t="s">
        <v>42</v>
      </c>
      <c r="H42" s="161" t="s">
        <v>1049</v>
      </c>
      <c r="I42" s="162">
        <v>454</v>
      </c>
      <c r="J42" s="159">
        <v>131</v>
      </c>
      <c r="K42" s="163">
        <v>132</v>
      </c>
      <c r="L42" s="164">
        <f t="shared" si="0"/>
        <v>263</v>
      </c>
      <c r="M42" s="165">
        <f t="shared" si="1"/>
        <v>0.57929515418502198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65"/>
      <c r="D66" s="265">
        <f>+COUNT($D$22:$D$65)</f>
        <v>20</v>
      </c>
      <c r="E66" s="265"/>
      <c r="F66" s="373"/>
      <c r="G66" s="373"/>
      <c r="H66" s="149"/>
      <c r="I66" s="148">
        <f>SUM($I$22:$I$65)</f>
        <v>7358</v>
      </c>
      <c r="J66" s="150">
        <f>SUM($J$22:$J$65)</f>
        <v>2053.3000000000002</v>
      </c>
      <c r="K66" s="151">
        <f>SUM($K$22:$K$65)</f>
        <v>2042.8</v>
      </c>
      <c r="L66" s="148">
        <f>SUM($L$22:$L$65)</f>
        <v>4096.1000000000004</v>
      </c>
      <c r="M66" s="178">
        <f t="shared" si="1"/>
        <v>0.55668659961946187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/>
      <c r="I71" s="119"/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/>
      <c r="I72" s="119"/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/>
      <c r="I73" s="119"/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/>
      <c r="I74" s="119"/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/>
      <c r="I75" s="119"/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/>
      <c r="I76" s="119"/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/>
      <c r="I77" s="119"/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/>
      <c r="I78" s="119"/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/>
      <c r="I79" s="119"/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/>
      <c r="I80" s="119"/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/>
      <c r="I81" s="119"/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/>
      <c r="I82" s="119"/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/>
      <c r="I83" s="119"/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0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20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60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E67" zoomScale="90" zoomScaleNormal="90" workbookViewId="0">
      <selection sqref="A1:XFD1048576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0.53855665923373208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204.36153846153849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296</v>
      </c>
      <c r="F8" s="344"/>
      <c r="G8" s="344"/>
      <c r="H8" s="345"/>
      <c r="I8" s="146" t="s">
        <v>487</v>
      </c>
      <c r="J8" s="346" t="s">
        <v>1061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45003</v>
      </c>
      <c r="F9" s="344"/>
      <c r="G9" s="344"/>
      <c r="H9" s="345"/>
      <c r="I9" s="146" t="s">
        <v>88</v>
      </c>
      <c r="J9" s="209" t="s">
        <v>1062</v>
      </c>
      <c r="K9" s="262" t="s">
        <v>490</v>
      </c>
      <c r="L9" s="369">
        <v>19138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63" t="s">
        <v>569</v>
      </c>
      <c r="E12" s="384">
        <v>46052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47</v>
      </c>
      <c r="F13" s="349"/>
      <c r="H13" s="117"/>
      <c r="I13" s="123"/>
      <c r="J13" s="215" t="s">
        <v>483</v>
      </c>
      <c r="K13" s="264">
        <f>+COUNTIF($G$22:$G$66,"VQ")*2</f>
        <v>0</v>
      </c>
      <c r="L13" s="264">
        <f>+SUMIF($G$23:$G$65,"VQ",$L$23:$L$65)</f>
        <v>0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13</v>
      </c>
      <c r="F14" s="350"/>
      <c r="H14" s="117"/>
      <c r="I14" s="123"/>
      <c r="J14" s="215" t="s">
        <v>42</v>
      </c>
      <c r="K14" s="264">
        <f>+COUNTIF($G$22:$G$66,"NT")*2</f>
        <v>0</v>
      </c>
      <c r="L14" s="264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4933</v>
      </c>
      <c r="F15" s="350"/>
      <c r="H15" s="117"/>
      <c r="I15" s="123"/>
      <c r="J15" s="215" t="s">
        <v>484</v>
      </c>
      <c r="K15" s="264">
        <f>+COUNTIF($G$22:$G$66,"NO")*2</f>
        <v>10</v>
      </c>
      <c r="L15" s="264">
        <f>+SUMIF($G$23:$G$65,"NO",$L$23:$L$65)</f>
        <v>871.9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2656.7000000000003</v>
      </c>
      <c r="F16" s="350"/>
      <c r="H16" s="117"/>
      <c r="I16" s="123"/>
      <c r="J16" s="215" t="s">
        <v>485</v>
      </c>
      <c r="K16" s="264">
        <f>+COUNTIF($G$22:$G$66,"TO")*2</f>
        <v>8</v>
      </c>
      <c r="L16" s="264">
        <f>+SUMIF($G$23:$G$65,"TO",$L$23:$L$65)</f>
        <v>857.2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0.53855665923373208</v>
      </c>
      <c r="F17" s="350"/>
      <c r="G17" s="124"/>
      <c r="H17" s="125"/>
      <c r="I17" s="123"/>
      <c r="J17" s="215" t="s">
        <v>486</v>
      </c>
      <c r="K17" s="264">
        <f>+COUNTIF($G$22:$G$66,"VA")*2</f>
        <v>8</v>
      </c>
      <c r="L17" s="264">
        <f>+SUMIF($G$23:$G$65,"VA",$L$23:$L$65)</f>
        <v>927.6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204.36153846153849</v>
      </c>
      <c r="F18" s="353"/>
      <c r="G18" s="124"/>
      <c r="H18" s="125"/>
      <c r="I18" s="123"/>
      <c r="J18" s="215" t="s">
        <v>44</v>
      </c>
      <c r="K18" s="264">
        <f>+COUNTIF($G$22:$G$66,"MEJ")*2</f>
        <v>0</v>
      </c>
      <c r="L18" s="264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43</v>
      </c>
      <c r="D23" s="152">
        <v>5</v>
      </c>
      <c r="E23" s="152" t="s">
        <v>67</v>
      </c>
      <c r="F23" s="152" t="s">
        <v>750</v>
      </c>
      <c r="G23" s="153" t="s">
        <v>484</v>
      </c>
      <c r="H23" s="154" t="s">
        <v>41</v>
      </c>
      <c r="I23" s="155">
        <v>357</v>
      </c>
      <c r="J23" s="152">
        <v>97.8</v>
      </c>
      <c r="K23" s="156">
        <v>96</v>
      </c>
      <c r="L23" s="157">
        <f t="shared" ref="L23:L65" si="0">+J23+K23</f>
        <v>193.8</v>
      </c>
      <c r="M23" s="158">
        <f t="shared" ref="M23:M66" si="1">+L23/I23</f>
        <v>0.54285714285714293</v>
      </c>
      <c r="N23" s="122"/>
    </row>
    <row r="24" spans="2:14" x14ac:dyDescent="0.25">
      <c r="B24" s="121"/>
      <c r="C24" s="159">
        <v>44</v>
      </c>
      <c r="D24" s="159">
        <v>6</v>
      </c>
      <c r="E24" s="159" t="s">
        <v>67</v>
      </c>
      <c r="F24" s="159" t="s">
        <v>750</v>
      </c>
      <c r="G24" s="160" t="s">
        <v>486</v>
      </c>
      <c r="H24" s="161" t="s">
        <v>41</v>
      </c>
      <c r="I24" s="162">
        <v>356</v>
      </c>
      <c r="J24" s="159">
        <v>92.9</v>
      </c>
      <c r="K24" s="163">
        <v>92</v>
      </c>
      <c r="L24" s="164">
        <f t="shared" si="0"/>
        <v>184.9</v>
      </c>
      <c r="M24" s="165">
        <f t="shared" si="1"/>
        <v>0.51938202247191012</v>
      </c>
      <c r="N24" s="122"/>
    </row>
    <row r="25" spans="2:14" x14ac:dyDescent="0.25">
      <c r="B25" s="121"/>
      <c r="C25" s="159">
        <v>45</v>
      </c>
      <c r="D25" s="159">
        <v>11</v>
      </c>
      <c r="E25" s="159" t="s">
        <v>67</v>
      </c>
      <c r="F25" s="159" t="s">
        <v>750</v>
      </c>
      <c r="G25" s="160" t="s">
        <v>486</v>
      </c>
      <c r="H25" s="161" t="s">
        <v>1051</v>
      </c>
      <c r="I25" s="162">
        <v>456</v>
      </c>
      <c r="J25" s="159">
        <v>121.4</v>
      </c>
      <c r="K25" s="163">
        <v>121.5</v>
      </c>
      <c r="L25" s="164">
        <f t="shared" si="0"/>
        <v>242.9</v>
      </c>
      <c r="M25" s="165">
        <f t="shared" si="1"/>
        <v>0.53267543859649125</v>
      </c>
      <c r="N25" s="122"/>
    </row>
    <row r="26" spans="2:14" x14ac:dyDescent="0.25">
      <c r="B26" s="121"/>
      <c r="C26" s="159">
        <v>46</v>
      </c>
      <c r="D26" s="159">
        <v>12</v>
      </c>
      <c r="E26" s="159" t="s">
        <v>67</v>
      </c>
      <c r="F26" s="159" t="s">
        <v>750</v>
      </c>
      <c r="G26" s="160" t="s">
        <v>486</v>
      </c>
      <c r="H26" s="161" t="s">
        <v>1052</v>
      </c>
      <c r="I26" s="162">
        <v>463</v>
      </c>
      <c r="J26" s="159">
        <v>117.4</v>
      </c>
      <c r="K26" s="163">
        <v>117.8</v>
      </c>
      <c r="L26" s="164">
        <f t="shared" si="0"/>
        <v>235.2</v>
      </c>
      <c r="M26" s="165">
        <f t="shared" si="1"/>
        <v>0.5079913606911447</v>
      </c>
      <c r="N26" s="122"/>
    </row>
    <row r="27" spans="2:14" x14ac:dyDescent="0.25">
      <c r="B27" s="121"/>
      <c r="C27" s="159">
        <v>47</v>
      </c>
      <c r="D27" s="159">
        <v>7</v>
      </c>
      <c r="E27" s="159" t="s">
        <v>67</v>
      </c>
      <c r="F27" s="159" t="s">
        <v>750</v>
      </c>
      <c r="G27" s="160" t="s">
        <v>486</v>
      </c>
      <c r="H27" s="161" t="s">
        <v>1053</v>
      </c>
      <c r="I27" s="162">
        <v>498</v>
      </c>
      <c r="J27" s="159">
        <v>131.19999999999999</v>
      </c>
      <c r="K27" s="163">
        <v>133.4</v>
      </c>
      <c r="L27" s="164">
        <f t="shared" si="0"/>
        <v>264.60000000000002</v>
      </c>
      <c r="M27" s="165">
        <f t="shared" si="1"/>
        <v>0.53132530120481936</v>
      </c>
      <c r="N27" s="122"/>
    </row>
    <row r="28" spans="2:14" x14ac:dyDescent="0.25">
      <c r="B28" s="121"/>
      <c r="C28" s="159">
        <v>48</v>
      </c>
      <c r="D28" s="159">
        <v>2</v>
      </c>
      <c r="E28" s="159" t="s">
        <v>67</v>
      </c>
      <c r="F28" s="159" t="s">
        <v>526</v>
      </c>
      <c r="G28" s="160" t="s">
        <v>484</v>
      </c>
      <c r="H28" s="161" t="s">
        <v>1054</v>
      </c>
      <c r="I28" s="162">
        <v>391</v>
      </c>
      <c r="J28" s="159">
        <v>109.6</v>
      </c>
      <c r="K28" s="163">
        <v>109.6</v>
      </c>
      <c r="L28" s="164">
        <f t="shared" si="0"/>
        <v>219.2</v>
      </c>
      <c r="M28" s="165">
        <f t="shared" si="1"/>
        <v>0.56061381074168792</v>
      </c>
      <c r="N28" s="122"/>
    </row>
    <row r="29" spans="2:14" x14ac:dyDescent="0.25">
      <c r="B29" s="121"/>
      <c r="C29" s="160">
        <v>49</v>
      </c>
      <c r="D29" s="160">
        <v>10</v>
      </c>
      <c r="E29" s="160" t="s">
        <v>67</v>
      </c>
      <c r="F29" s="160" t="s">
        <v>526</v>
      </c>
      <c r="G29" s="160" t="s">
        <v>485</v>
      </c>
      <c r="H29" s="161" t="s">
        <v>1055</v>
      </c>
      <c r="I29" s="162">
        <v>394</v>
      </c>
      <c r="J29" s="159">
        <v>107.4</v>
      </c>
      <c r="K29" s="163">
        <v>109.2</v>
      </c>
      <c r="L29" s="164">
        <f t="shared" si="0"/>
        <v>216.60000000000002</v>
      </c>
      <c r="M29" s="165">
        <f t="shared" si="1"/>
        <v>0.5497461928934011</v>
      </c>
      <c r="N29" s="122"/>
    </row>
    <row r="30" spans="2:14" x14ac:dyDescent="0.25">
      <c r="B30" s="121"/>
      <c r="C30" s="160">
        <v>50</v>
      </c>
      <c r="D30" s="160">
        <v>13</v>
      </c>
      <c r="E30" s="160" t="s">
        <v>67</v>
      </c>
      <c r="F30" s="160" t="s">
        <v>750</v>
      </c>
      <c r="G30" s="160" t="s">
        <v>485</v>
      </c>
      <c r="H30" s="161" t="s">
        <v>1056</v>
      </c>
      <c r="I30" s="162">
        <v>285</v>
      </c>
      <c r="J30" s="159">
        <v>71.7</v>
      </c>
      <c r="K30" s="163">
        <v>71.8</v>
      </c>
      <c r="L30" s="164">
        <f t="shared" si="0"/>
        <v>143.5</v>
      </c>
      <c r="M30" s="165">
        <f t="shared" si="1"/>
        <v>0.50350877192982457</v>
      </c>
      <c r="N30" s="122"/>
    </row>
    <row r="31" spans="2:14" x14ac:dyDescent="0.25">
      <c r="B31" s="121"/>
      <c r="C31" s="159">
        <v>51</v>
      </c>
      <c r="D31" s="159">
        <v>3</v>
      </c>
      <c r="E31" s="159" t="s">
        <v>75</v>
      </c>
      <c r="F31" s="159" t="s">
        <v>526</v>
      </c>
      <c r="G31" s="160" t="s">
        <v>485</v>
      </c>
      <c r="H31" s="161" t="s">
        <v>41</v>
      </c>
      <c r="I31" s="162">
        <v>520</v>
      </c>
      <c r="J31" s="159">
        <v>162.6</v>
      </c>
      <c r="K31" s="163">
        <v>160.19999999999999</v>
      </c>
      <c r="L31" s="164">
        <f t="shared" si="0"/>
        <v>322.79999999999995</v>
      </c>
      <c r="M31" s="165">
        <f t="shared" si="1"/>
        <v>0.62076923076923063</v>
      </c>
      <c r="N31" s="122"/>
    </row>
    <row r="32" spans="2:14" x14ac:dyDescent="0.25">
      <c r="B32" s="121"/>
      <c r="C32" s="159">
        <v>52</v>
      </c>
      <c r="D32" s="159">
        <v>8</v>
      </c>
      <c r="E32" s="159" t="s">
        <v>67</v>
      </c>
      <c r="F32" s="159" t="s">
        <v>750</v>
      </c>
      <c r="G32" s="160" t="s">
        <v>485</v>
      </c>
      <c r="H32" s="161" t="s">
        <v>1057</v>
      </c>
      <c r="I32" s="162">
        <v>343</v>
      </c>
      <c r="J32" s="159">
        <v>87.1</v>
      </c>
      <c r="K32" s="163">
        <v>87.2</v>
      </c>
      <c r="L32" s="164">
        <f t="shared" si="0"/>
        <v>174.3</v>
      </c>
      <c r="M32" s="165">
        <f t="shared" si="1"/>
        <v>0.50816326530612244</v>
      </c>
      <c r="N32" s="122"/>
    </row>
    <row r="33" spans="2:14" x14ac:dyDescent="0.25">
      <c r="B33" s="121"/>
      <c r="C33" s="160">
        <v>53</v>
      </c>
      <c r="D33" s="160">
        <v>9</v>
      </c>
      <c r="E33" s="160" t="s">
        <v>67</v>
      </c>
      <c r="F33" s="160" t="s">
        <v>750</v>
      </c>
      <c r="G33" s="160" t="s">
        <v>484</v>
      </c>
      <c r="H33" s="161" t="s">
        <v>1058</v>
      </c>
      <c r="I33" s="162">
        <v>251</v>
      </c>
      <c r="J33" s="159">
        <v>64.900000000000006</v>
      </c>
      <c r="K33" s="163">
        <v>64.400000000000006</v>
      </c>
      <c r="L33" s="164">
        <f t="shared" si="0"/>
        <v>129.30000000000001</v>
      </c>
      <c r="M33" s="165">
        <f t="shared" si="1"/>
        <v>0.51513944223107577</v>
      </c>
      <c r="N33" s="122"/>
    </row>
    <row r="34" spans="2:14" x14ac:dyDescent="0.25">
      <c r="B34" s="121"/>
      <c r="C34" s="159">
        <v>54</v>
      </c>
      <c r="D34" s="159">
        <v>1</v>
      </c>
      <c r="E34" s="159" t="s">
        <v>67</v>
      </c>
      <c r="F34" s="159" t="s">
        <v>750</v>
      </c>
      <c r="G34" s="160" t="s">
        <v>484</v>
      </c>
      <c r="H34" s="161" t="s">
        <v>1059</v>
      </c>
      <c r="I34" s="162">
        <v>308</v>
      </c>
      <c r="J34" s="159">
        <v>82</v>
      </c>
      <c r="K34" s="166">
        <v>82.2</v>
      </c>
      <c r="L34" s="164">
        <f t="shared" si="0"/>
        <v>164.2</v>
      </c>
      <c r="M34" s="167">
        <f t="shared" si="1"/>
        <v>0.5331168831168831</v>
      </c>
      <c r="N34" s="122"/>
    </row>
    <row r="35" spans="2:14" x14ac:dyDescent="0.25">
      <c r="B35" s="121"/>
      <c r="C35" s="159">
        <v>55</v>
      </c>
      <c r="D35" s="159">
        <v>4</v>
      </c>
      <c r="E35" s="159" t="s">
        <v>67</v>
      </c>
      <c r="F35" s="159" t="s">
        <v>526</v>
      </c>
      <c r="G35" s="160" t="s">
        <v>484</v>
      </c>
      <c r="H35" s="161" t="s">
        <v>1060</v>
      </c>
      <c r="I35" s="162">
        <v>311</v>
      </c>
      <c r="J35" s="159">
        <v>82.6</v>
      </c>
      <c r="K35" s="163">
        <v>82.8</v>
      </c>
      <c r="L35" s="164">
        <f t="shared" si="0"/>
        <v>165.39999999999998</v>
      </c>
      <c r="M35" s="165">
        <f t="shared" si="1"/>
        <v>0.53183279742765266</v>
      </c>
      <c r="N35" s="122"/>
    </row>
    <row r="36" spans="2:14" x14ac:dyDescent="0.25">
      <c r="B36" s="121"/>
      <c r="C36" s="159"/>
      <c r="D36" s="159"/>
      <c r="E36" s="159"/>
      <c r="F36" s="159"/>
      <c r="G36" s="160"/>
      <c r="H36" s="161"/>
      <c r="I36" s="162"/>
      <c r="J36" s="159"/>
      <c r="K36" s="163"/>
      <c r="L36" s="164">
        <f t="shared" si="0"/>
        <v>0</v>
      </c>
      <c r="M36" s="165" t="e">
        <f t="shared" si="1"/>
        <v>#DIV/0!</v>
      </c>
      <c r="N36" s="122"/>
    </row>
    <row r="37" spans="2:14" x14ac:dyDescent="0.25">
      <c r="B37" s="121"/>
      <c r="C37" s="159"/>
      <c r="D37" s="159"/>
      <c r="E37" s="159"/>
      <c r="F37" s="159"/>
      <c r="G37" s="160"/>
      <c r="H37" s="161"/>
      <c r="I37" s="162"/>
      <c r="J37" s="159"/>
      <c r="K37" s="163"/>
      <c r="L37" s="164">
        <f t="shared" si="0"/>
        <v>0</v>
      </c>
      <c r="M37" s="165" t="e">
        <f t="shared" si="1"/>
        <v>#DIV/0!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65"/>
      <c r="D66" s="265">
        <f>+COUNT($D$22:$D$65)</f>
        <v>13</v>
      </c>
      <c r="E66" s="265"/>
      <c r="F66" s="373"/>
      <c r="G66" s="373"/>
      <c r="H66" s="149"/>
      <c r="I66" s="148">
        <f>SUM($I$22:$I$65)</f>
        <v>4933</v>
      </c>
      <c r="J66" s="150">
        <f>SUM($J$22:$J$65)</f>
        <v>1328.6000000000001</v>
      </c>
      <c r="K66" s="151">
        <f>SUM($K$22:$K$65)</f>
        <v>1328.1000000000001</v>
      </c>
      <c r="L66" s="148">
        <f>SUM($L$22:$L$65)</f>
        <v>2656.7000000000003</v>
      </c>
      <c r="M66" s="178">
        <f t="shared" si="1"/>
        <v>0.53855665923373208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60.46</v>
      </c>
      <c r="I71" s="119">
        <v>57.900000000000006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28</v>
      </c>
      <c r="I72" s="119">
        <v>86.039999999999992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22</v>
      </c>
      <c r="I73" s="119">
        <v>63.6</v>
      </c>
      <c r="J73" s="181">
        <v>6</v>
      </c>
      <c r="K73" s="185">
        <v>34.22</v>
      </c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28</v>
      </c>
      <c r="I74" s="119">
        <v>37.08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10.199999999999999</v>
      </c>
      <c r="I75" s="119">
        <v>9.84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53</v>
      </c>
      <c r="I76" s="119">
        <v>23.04</v>
      </c>
      <c r="J76" s="181">
        <v>3</v>
      </c>
      <c r="K76" s="185">
        <v>2.8</v>
      </c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112</v>
      </c>
      <c r="I77" s="119">
        <v>18.34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28</v>
      </c>
      <c r="I78" s="119">
        <v>18.5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28</v>
      </c>
      <c r="I79" s="119">
        <v>23.4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42.86</v>
      </c>
      <c r="I80" s="119">
        <v>44.58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28</v>
      </c>
      <c r="I81" s="119">
        <v>27.259999999999998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28</v>
      </c>
      <c r="I82" s="119">
        <v>9.56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14.98</v>
      </c>
      <c r="I83" s="119">
        <v>13.96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433.09999999999991</v>
      </c>
      <c r="J84" s="187">
        <f>SUM(J71:J83)</f>
        <v>9</v>
      </c>
      <c r="K84" s="186">
        <f>SUM(K71:K83)</f>
        <v>37.019999999999996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13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59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sqref="A1:XFD1048576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0.5992671394799054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316.86249999999995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296</v>
      </c>
      <c r="F8" s="344"/>
      <c r="G8" s="344"/>
      <c r="H8" s="345"/>
      <c r="I8" s="146" t="s">
        <v>487</v>
      </c>
      <c r="J8" s="346" t="s">
        <v>1068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45003</v>
      </c>
      <c r="F9" s="344"/>
      <c r="G9" s="344"/>
      <c r="H9" s="345"/>
      <c r="I9" s="146" t="s">
        <v>88</v>
      </c>
      <c r="J9" s="209" t="s">
        <v>1069</v>
      </c>
      <c r="K9" s="262" t="s">
        <v>490</v>
      </c>
      <c r="L9" s="369" t="s">
        <v>1070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63" t="s">
        <v>569</v>
      </c>
      <c r="E12" s="384">
        <v>46052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48</v>
      </c>
      <c r="F13" s="349"/>
      <c r="H13" s="117"/>
      <c r="I13" s="123"/>
      <c r="J13" s="215" t="s">
        <v>483</v>
      </c>
      <c r="K13" s="264">
        <f>+COUNTIF($G$22:$G$66,"VQ")*2</f>
        <v>4</v>
      </c>
      <c r="L13" s="264">
        <f>+SUMIF($G$23:$G$65,"VQ",$L$23:$L$65)</f>
        <v>407.9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8</v>
      </c>
      <c r="F14" s="350"/>
      <c r="H14" s="117"/>
      <c r="I14" s="123"/>
      <c r="J14" s="215" t="s">
        <v>42</v>
      </c>
      <c r="K14" s="264">
        <f>+COUNTIF($G$22:$G$66,"NT")*2</f>
        <v>0</v>
      </c>
      <c r="L14" s="264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4230</v>
      </c>
      <c r="F15" s="350"/>
      <c r="H15" s="117"/>
      <c r="I15" s="123"/>
      <c r="J15" s="215" t="s">
        <v>484</v>
      </c>
      <c r="K15" s="264">
        <f>+COUNTIF($G$22:$G$66,"NO")*2</f>
        <v>0</v>
      </c>
      <c r="L15" s="264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2534.8999999999996</v>
      </c>
      <c r="F16" s="350"/>
      <c r="H16" s="117"/>
      <c r="I16" s="123"/>
      <c r="J16" s="215" t="s">
        <v>485</v>
      </c>
      <c r="K16" s="264">
        <f>+COUNTIF($G$22:$G$66,"TO")*2</f>
        <v>12</v>
      </c>
      <c r="L16" s="264">
        <f>+SUMIF($G$23:$G$65,"TO",$L$23:$L$65)</f>
        <v>2127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0.5992671394799054</v>
      </c>
      <c r="F17" s="350"/>
      <c r="G17" s="124"/>
      <c r="H17" s="125"/>
      <c r="I17" s="123"/>
      <c r="J17" s="215" t="s">
        <v>486</v>
      </c>
      <c r="K17" s="264">
        <f>+COUNTIF($G$22:$G$66,"VA")*2</f>
        <v>0</v>
      </c>
      <c r="L17" s="264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316.86249999999995</v>
      </c>
      <c r="F18" s="353"/>
      <c r="G18" s="124"/>
      <c r="H18" s="125"/>
      <c r="I18" s="123"/>
      <c r="J18" s="215" t="s">
        <v>44</v>
      </c>
      <c r="K18" s="264">
        <f>+COUNTIF($G$22:$G$66,"MEJ")*2</f>
        <v>0</v>
      </c>
      <c r="L18" s="264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56</v>
      </c>
      <c r="D23" s="152">
        <v>7</v>
      </c>
      <c r="E23" s="152" t="s">
        <v>75</v>
      </c>
      <c r="F23" s="152" t="s">
        <v>526</v>
      </c>
      <c r="G23" s="153" t="s">
        <v>485</v>
      </c>
      <c r="H23" s="154" t="s">
        <v>41</v>
      </c>
      <c r="I23" s="155">
        <v>624</v>
      </c>
      <c r="J23" s="152">
        <v>200.3</v>
      </c>
      <c r="K23" s="156">
        <v>194.8</v>
      </c>
      <c r="L23" s="157">
        <f t="shared" ref="L23:L65" si="0">+J23+K23</f>
        <v>395.1</v>
      </c>
      <c r="M23" s="158">
        <f t="shared" ref="M23:M66" si="1">+L23/I23</f>
        <v>0.63317307692307701</v>
      </c>
      <c r="N23" s="122"/>
    </row>
    <row r="24" spans="2:14" x14ac:dyDescent="0.25">
      <c r="B24" s="121"/>
      <c r="C24" s="159">
        <v>57</v>
      </c>
      <c r="D24" s="159">
        <v>5</v>
      </c>
      <c r="E24" s="159" t="s">
        <v>75</v>
      </c>
      <c r="F24" s="159" t="s">
        <v>526</v>
      </c>
      <c r="G24" s="160" t="s">
        <v>485</v>
      </c>
      <c r="H24" s="161" t="s">
        <v>1063</v>
      </c>
      <c r="I24" s="162">
        <v>694</v>
      </c>
      <c r="J24" s="159">
        <v>214.4</v>
      </c>
      <c r="K24" s="163">
        <v>212.5</v>
      </c>
      <c r="L24" s="164">
        <f t="shared" si="0"/>
        <v>426.9</v>
      </c>
      <c r="M24" s="165">
        <f t="shared" si="1"/>
        <v>0.61512968299711812</v>
      </c>
      <c r="N24" s="122"/>
    </row>
    <row r="25" spans="2:14" x14ac:dyDescent="0.25">
      <c r="B25" s="121"/>
      <c r="C25" s="159">
        <v>58</v>
      </c>
      <c r="D25" s="159">
        <v>1</v>
      </c>
      <c r="E25" s="159" t="s">
        <v>75</v>
      </c>
      <c r="F25" s="159" t="s">
        <v>526</v>
      </c>
      <c r="G25" s="160" t="s">
        <v>485</v>
      </c>
      <c r="H25" s="161" t="s">
        <v>41</v>
      </c>
      <c r="I25" s="162">
        <v>566</v>
      </c>
      <c r="J25" s="159">
        <v>171.4</v>
      </c>
      <c r="K25" s="163">
        <v>170.5</v>
      </c>
      <c r="L25" s="164">
        <f t="shared" si="0"/>
        <v>341.9</v>
      </c>
      <c r="M25" s="165">
        <f t="shared" si="1"/>
        <v>0.6040636042402826</v>
      </c>
      <c r="N25" s="122"/>
    </row>
    <row r="26" spans="2:14" x14ac:dyDescent="0.25">
      <c r="B26" s="121"/>
      <c r="C26" s="159">
        <v>59</v>
      </c>
      <c r="D26" s="159">
        <v>2</v>
      </c>
      <c r="E26" s="159" t="s">
        <v>67</v>
      </c>
      <c r="F26" s="159" t="s">
        <v>526</v>
      </c>
      <c r="G26" s="160" t="s">
        <v>483</v>
      </c>
      <c r="H26" s="161" t="s">
        <v>548</v>
      </c>
      <c r="I26" s="162">
        <v>395</v>
      </c>
      <c r="J26" s="159">
        <v>112.3</v>
      </c>
      <c r="K26" s="163">
        <v>108.3</v>
      </c>
      <c r="L26" s="164">
        <f t="shared" si="0"/>
        <v>220.6</v>
      </c>
      <c r="M26" s="165">
        <f t="shared" si="1"/>
        <v>0.5584810126582278</v>
      </c>
      <c r="N26" s="122"/>
    </row>
    <row r="27" spans="2:14" x14ac:dyDescent="0.25">
      <c r="B27" s="121"/>
      <c r="C27" s="159">
        <v>60</v>
      </c>
      <c r="D27" s="159">
        <v>3</v>
      </c>
      <c r="E27" s="159" t="s">
        <v>67</v>
      </c>
      <c r="F27" s="159" t="s">
        <v>526</v>
      </c>
      <c r="G27" s="160" t="s">
        <v>483</v>
      </c>
      <c r="H27" s="161" t="s">
        <v>1064</v>
      </c>
      <c r="I27" s="162">
        <v>342</v>
      </c>
      <c r="J27" s="159">
        <v>94.1</v>
      </c>
      <c r="K27" s="163">
        <v>93.2</v>
      </c>
      <c r="L27" s="164">
        <f t="shared" si="0"/>
        <v>187.3</v>
      </c>
      <c r="M27" s="165">
        <f t="shared" si="1"/>
        <v>0.54766081871345029</v>
      </c>
      <c r="N27" s="122"/>
    </row>
    <row r="28" spans="2:14" x14ac:dyDescent="0.25">
      <c r="B28" s="121"/>
      <c r="C28" s="159">
        <v>61</v>
      </c>
      <c r="D28" s="159">
        <v>4</v>
      </c>
      <c r="E28" s="159" t="s">
        <v>75</v>
      </c>
      <c r="F28" s="159" t="s">
        <v>526</v>
      </c>
      <c r="G28" s="160" t="s">
        <v>485</v>
      </c>
      <c r="H28" s="161" t="s">
        <v>1065</v>
      </c>
      <c r="I28" s="162">
        <v>419</v>
      </c>
      <c r="J28" s="159">
        <v>121.2</v>
      </c>
      <c r="K28" s="163">
        <v>120.7</v>
      </c>
      <c r="L28" s="164">
        <f t="shared" si="0"/>
        <v>241.9</v>
      </c>
      <c r="M28" s="165">
        <f t="shared" si="1"/>
        <v>0.57732696897374702</v>
      </c>
      <c r="N28" s="122"/>
    </row>
    <row r="29" spans="2:14" x14ac:dyDescent="0.25">
      <c r="B29" s="121"/>
      <c r="C29" s="160">
        <v>62</v>
      </c>
      <c r="D29" s="160">
        <v>8</v>
      </c>
      <c r="E29" s="160" t="s">
        <v>75</v>
      </c>
      <c r="F29" s="160" t="s">
        <v>526</v>
      </c>
      <c r="G29" s="160" t="s">
        <v>485</v>
      </c>
      <c r="H29" s="161" t="s">
        <v>1066</v>
      </c>
      <c r="I29" s="162">
        <v>588</v>
      </c>
      <c r="J29" s="159">
        <v>171.8</v>
      </c>
      <c r="K29" s="163">
        <v>172.6</v>
      </c>
      <c r="L29" s="164">
        <f t="shared" si="0"/>
        <v>344.4</v>
      </c>
      <c r="M29" s="165">
        <f t="shared" si="1"/>
        <v>0.58571428571428563</v>
      </c>
      <c r="N29" s="122"/>
    </row>
    <row r="30" spans="2:14" x14ac:dyDescent="0.25">
      <c r="B30" s="121"/>
      <c r="C30" s="160">
        <v>63</v>
      </c>
      <c r="D30" s="160">
        <v>6</v>
      </c>
      <c r="E30" s="160" t="s">
        <v>75</v>
      </c>
      <c r="F30" s="160" t="s">
        <v>526</v>
      </c>
      <c r="G30" s="160" t="s">
        <v>485</v>
      </c>
      <c r="H30" s="161" t="s">
        <v>1067</v>
      </c>
      <c r="I30" s="162">
        <v>602</v>
      </c>
      <c r="J30" s="159">
        <v>188.6</v>
      </c>
      <c r="K30" s="163">
        <v>188.2</v>
      </c>
      <c r="L30" s="164">
        <f t="shared" si="0"/>
        <v>376.79999999999995</v>
      </c>
      <c r="M30" s="165">
        <f t="shared" si="1"/>
        <v>0.62591362126245842</v>
      </c>
      <c r="N30" s="122"/>
    </row>
    <row r="31" spans="2:14" x14ac:dyDescent="0.25">
      <c r="B31" s="121"/>
      <c r="C31" s="159"/>
      <c r="D31" s="159"/>
      <c r="E31" s="159"/>
      <c r="F31" s="159"/>
      <c r="G31" s="160"/>
      <c r="H31" s="161"/>
      <c r="I31" s="162"/>
      <c r="J31" s="159"/>
      <c r="K31" s="163"/>
      <c r="L31" s="164">
        <f t="shared" si="0"/>
        <v>0</v>
      </c>
      <c r="M31" s="165" t="e">
        <f t="shared" si="1"/>
        <v>#DIV/0!</v>
      </c>
      <c r="N31" s="122"/>
    </row>
    <row r="32" spans="2:14" x14ac:dyDescent="0.25">
      <c r="B32" s="121"/>
      <c r="C32" s="159"/>
      <c r="D32" s="159"/>
      <c r="E32" s="159"/>
      <c r="F32" s="159"/>
      <c r="G32" s="160"/>
      <c r="H32" s="161"/>
      <c r="I32" s="162"/>
      <c r="J32" s="159"/>
      <c r="K32" s="163"/>
      <c r="L32" s="164">
        <f t="shared" si="0"/>
        <v>0</v>
      </c>
      <c r="M32" s="165" t="e">
        <f t="shared" si="1"/>
        <v>#DIV/0!</v>
      </c>
      <c r="N32" s="122"/>
    </row>
    <row r="33" spans="2:14" x14ac:dyDescent="0.25">
      <c r="B33" s="121"/>
      <c r="C33" s="160"/>
      <c r="D33" s="160"/>
      <c r="E33" s="160"/>
      <c r="F33" s="160"/>
      <c r="G33" s="160"/>
      <c r="H33" s="161"/>
      <c r="I33" s="162"/>
      <c r="J33" s="159"/>
      <c r="K33" s="163"/>
      <c r="L33" s="164">
        <f t="shared" si="0"/>
        <v>0</v>
      </c>
      <c r="M33" s="165" t="e">
        <f t="shared" si="1"/>
        <v>#DIV/0!</v>
      </c>
      <c r="N33" s="122"/>
    </row>
    <row r="34" spans="2:14" x14ac:dyDescent="0.25">
      <c r="B34" s="121"/>
      <c r="C34" s="159"/>
      <c r="D34" s="159"/>
      <c r="E34" s="159"/>
      <c r="F34" s="159"/>
      <c r="G34" s="160"/>
      <c r="H34" s="161"/>
      <c r="I34" s="162"/>
      <c r="J34" s="159"/>
      <c r="K34" s="166"/>
      <c r="L34" s="164">
        <f t="shared" si="0"/>
        <v>0</v>
      </c>
      <c r="M34" s="167" t="e">
        <f t="shared" si="1"/>
        <v>#DIV/0!</v>
      </c>
      <c r="N34" s="122"/>
    </row>
    <row r="35" spans="2:14" x14ac:dyDescent="0.25">
      <c r="B35" s="121"/>
      <c r="C35" s="159"/>
      <c r="D35" s="159"/>
      <c r="E35" s="159"/>
      <c r="F35" s="159"/>
      <c r="G35" s="160"/>
      <c r="H35" s="161"/>
      <c r="I35" s="162"/>
      <c r="J35" s="159"/>
      <c r="K35" s="163"/>
      <c r="L35" s="164">
        <f t="shared" si="0"/>
        <v>0</v>
      </c>
      <c r="M35" s="165" t="e">
        <f t="shared" si="1"/>
        <v>#DIV/0!</v>
      </c>
      <c r="N35" s="122"/>
    </row>
    <row r="36" spans="2:14" x14ac:dyDescent="0.25">
      <c r="B36" s="121"/>
      <c r="C36" s="159"/>
      <c r="D36" s="159"/>
      <c r="E36" s="159"/>
      <c r="F36" s="159"/>
      <c r="G36" s="160"/>
      <c r="H36" s="161"/>
      <c r="I36" s="162"/>
      <c r="J36" s="159"/>
      <c r="K36" s="163"/>
      <c r="L36" s="164">
        <f t="shared" si="0"/>
        <v>0</v>
      </c>
      <c r="M36" s="165" t="e">
        <f t="shared" si="1"/>
        <v>#DIV/0!</v>
      </c>
      <c r="N36" s="122"/>
    </row>
    <row r="37" spans="2:14" x14ac:dyDescent="0.25">
      <c r="B37" s="121"/>
      <c r="C37" s="159"/>
      <c r="D37" s="159"/>
      <c r="E37" s="159"/>
      <c r="F37" s="159"/>
      <c r="G37" s="160"/>
      <c r="H37" s="161"/>
      <c r="I37" s="162"/>
      <c r="J37" s="159"/>
      <c r="K37" s="163"/>
      <c r="L37" s="164">
        <f t="shared" si="0"/>
        <v>0</v>
      </c>
      <c r="M37" s="165" t="e">
        <f t="shared" si="1"/>
        <v>#DIV/0!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65"/>
      <c r="D66" s="265">
        <f>+COUNT($D$22:$D$65)</f>
        <v>8</v>
      </c>
      <c r="E66" s="265"/>
      <c r="F66" s="373"/>
      <c r="G66" s="373"/>
      <c r="H66" s="149"/>
      <c r="I66" s="148">
        <f>SUM($I$22:$I$65)</f>
        <v>4230</v>
      </c>
      <c r="J66" s="150">
        <f>SUM($J$22:$J$65)</f>
        <v>1274.0999999999999</v>
      </c>
      <c r="K66" s="151">
        <f>SUM($K$22:$K$65)</f>
        <v>1260.8</v>
      </c>
      <c r="L66" s="148">
        <f>SUM($L$22:$L$65)</f>
        <v>2534.8999999999996</v>
      </c>
      <c r="M66" s="178">
        <f t="shared" si="1"/>
        <v>0.5992671394799054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/>
      <c r="I71" s="119"/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/>
      <c r="I72" s="119"/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/>
      <c r="I73" s="119"/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/>
      <c r="I74" s="119"/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/>
      <c r="I75" s="119"/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/>
      <c r="I76" s="119"/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/>
      <c r="I77" s="119"/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/>
      <c r="I78" s="119"/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/>
      <c r="I79" s="119"/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/>
      <c r="I80" s="119"/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/>
      <c r="I81" s="119"/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/>
      <c r="I82" s="119"/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/>
      <c r="I83" s="119"/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0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8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58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A2" zoomScale="90" zoomScaleNormal="90" workbookViewId="0">
      <selection activeCell="A2" sqref="A1:XFD1048576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0.59687830687830679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225.61999999999998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296</v>
      </c>
      <c r="F8" s="344"/>
      <c r="G8" s="344"/>
      <c r="H8" s="345"/>
      <c r="I8" s="146" t="s">
        <v>487</v>
      </c>
      <c r="J8" s="346" t="s">
        <v>1068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45003</v>
      </c>
      <c r="F9" s="344"/>
      <c r="G9" s="344"/>
      <c r="H9" s="345"/>
      <c r="I9" s="146" t="s">
        <v>88</v>
      </c>
      <c r="J9" s="209" t="s">
        <v>1075</v>
      </c>
      <c r="K9" s="262" t="s">
        <v>490</v>
      </c>
      <c r="L9" s="369" t="s">
        <v>1076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63" t="s">
        <v>569</v>
      </c>
      <c r="E12" s="384">
        <v>46052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49</v>
      </c>
      <c r="F13" s="349"/>
      <c r="H13" s="117"/>
      <c r="I13" s="123"/>
      <c r="J13" s="215" t="s">
        <v>483</v>
      </c>
      <c r="K13" s="264">
        <f>+COUNTIF($G$22:$G$66,"VQ")*2</f>
        <v>0</v>
      </c>
      <c r="L13" s="264">
        <f>+SUMIF($G$23:$G$65,"VQ",$L$23:$L$65)</f>
        <v>0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5</v>
      </c>
      <c r="F14" s="350"/>
      <c r="H14" s="117"/>
      <c r="I14" s="123"/>
      <c r="J14" s="215" t="s">
        <v>42</v>
      </c>
      <c r="K14" s="264">
        <f>+COUNTIF($G$22:$G$66,"NT")*2</f>
        <v>0</v>
      </c>
      <c r="L14" s="264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1890</v>
      </c>
      <c r="F15" s="350"/>
      <c r="H15" s="117"/>
      <c r="I15" s="123"/>
      <c r="J15" s="215" t="s">
        <v>484</v>
      </c>
      <c r="K15" s="264">
        <f>+COUNTIF($G$22:$G$66,"NO")*2</f>
        <v>10</v>
      </c>
      <c r="L15" s="264">
        <f>+SUMIF($G$23:$G$65,"NO",$L$23:$L$65)</f>
        <v>1128.0999999999999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1128.0999999999999</v>
      </c>
      <c r="F16" s="350"/>
      <c r="H16" s="117"/>
      <c r="I16" s="123"/>
      <c r="J16" s="215" t="s">
        <v>485</v>
      </c>
      <c r="K16" s="264">
        <f>+COUNTIF($G$22:$G$66,"TO")*2</f>
        <v>0</v>
      </c>
      <c r="L16" s="264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0.59687830687830679</v>
      </c>
      <c r="F17" s="350"/>
      <c r="G17" s="124"/>
      <c r="H17" s="125"/>
      <c r="I17" s="123"/>
      <c r="J17" s="215" t="s">
        <v>486</v>
      </c>
      <c r="K17" s="264">
        <f>+COUNTIF($G$22:$G$66,"VA")*2</f>
        <v>0</v>
      </c>
      <c r="L17" s="264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225.61999999999998</v>
      </c>
      <c r="F18" s="353"/>
      <c r="G18" s="124"/>
      <c r="H18" s="125"/>
      <c r="I18" s="123"/>
      <c r="J18" s="215" t="s">
        <v>44</v>
      </c>
      <c r="K18" s="264">
        <f>+COUNTIF($G$22:$G$66,"MEJ")*2</f>
        <v>0</v>
      </c>
      <c r="L18" s="264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64</v>
      </c>
      <c r="D23" s="152">
        <v>5</v>
      </c>
      <c r="E23" s="152" t="s">
        <v>75</v>
      </c>
      <c r="F23" s="152" t="s">
        <v>750</v>
      </c>
      <c r="G23" s="153" t="s">
        <v>484</v>
      </c>
      <c r="H23" s="154" t="s">
        <v>1071</v>
      </c>
      <c r="I23" s="155">
        <v>404</v>
      </c>
      <c r="J23" s="152">
        <v>120.6</v>
      </c>
      <c r="K23" s="156">
        <v>119.8</v>
      </c>
      <c r="L23" s="157">
        <f t="shared" ref="L23:L65" si="0">+J23+K23</f>
        <v>240.39999999999998</v>
      </c>
      <c r="M23" s="158">
        <f t="shared" ref="M23:M66" si="1">+L23/I23</f>
        <v>0.59504950495049502</v>
      </c>
      <c r="N23" s="122"/>
    </row>
    <row r="24" spans="2:14" x14ac:dyDescent="0.25">
      <c r="B24" s="121"/>
      <c r="C24" s="159">
        <v>65</v>
      </c>
      <c r="D24" s="159">
        <v>2</v>
      </c>
      <c r="E24" s="159" t="s">
        <v>68</v>
      </c>
      <c r="F24" s="159" t="s">
        <v>750</v>
      </c>
      <c r="G24" s="160" t="s">
        <v>484</v>
      </c>
      <c r="H24" s="161" t="s">
        <v>1072</v>
      </c>
      <c r="I24" s="162">
        <v>353</v>
      </c>
      <c r="J24" s="159">
        <v>107.2</v>
      </c>
      <c r="K24" s="163">
        <v>105.7</v>
      </c>
      <c r="L24" s="164">
        <f t="shared" si="0"/>
        <v>212.9</v>
      </c>
      <c r="M24" s="165">
        <f t="shared" si="1"/>
        <v>0.60311614730878194</v>
      </c>
      <c r="N24" s="122"/>
    </row>
    <row r="25" spans="2:14" x14ac:dyDescent="0.25">
      <c r="B25" s="121"/>
      <c r="C25" s="159">
        <v>66</v>
      </c>
      <c r="D25" s="159">
        <v>1</v>
      </c>
      <c r="E25" s="159" t="s">
        <v>75</v>
      </c>
      <c r="F25" s="159" t="s">
        <v>750</v>
      </c>
      <c r="G25" s="160" t="s">
        <v>484</v>
      </c>
      <c r="H25" s="161" t="s">
        <v>1073</v>
      </c>
      <c r="I25" s="162">
        <v>411</v>
      </c>
      <c r="J25" s="159">
        <v>123.2</v>
      </c>
      <c r="K25" s="163">
        <v>122.9</v>
      </c>
      <c r="L25" s="164">
        <f t="shared" si="0"/>
        <v>246.10000000000002</v>
      </c>
      <c r="M25" s="165">
        <f t="shared" si="1"/>
        <v>0.59878345498783458</v>
      </c>
      <c r="N25" s="122"/>
    </row>
    <row r="26" spans="2:14" x14ac:dyDescent="0.25">
      <c r="B26" s="121"/>
      <c r="C26" s="159">
        <v>67</v>
      </c>
      <c r="D26" s="159">
        <v>3</v>
      </c>
      <c r="E26" s="159" t="s">
        <v>75</v>
      </c>
      <c r="F26" s="159" t="s">
        <v>750</v>
      </c>
      <c r="G26" s="160" t="s">
        <v>484</v>
      </c>
      <c r="H26" s="161" t="s">
        <v>41</v>
      </c>
      <c r="I26" s="162">
        <v>376</v>
      </c>
      <c r="J26" s="159">
        <v>108.1</v>
      </c>
      <c r="K26" s="163">
        <v>106.3</v>
      </c>
      <c r="L26" s="164">
        <f t="shared" si="0"/>
        <v>214.39999999999998</v>
      </c>
      <c r="M26" s="165">
        <f t="shared" si="1"/>
        <v>0.57021276595744674</v>
      </c>
      <c r="N26" s="122"/>
    </row>
    <row r="27" spans="2:14" x14ac:dyDescent="0.25">
      <c r="B27" s="121"/>
      <c r="C27" s="159">
        <v>68</v>
      </c>
      <c r="D27" s="159">
        <v>4</v>
      </c>
      <c r="E27" s="159" t="s">
        <v>68</v>
      </c>
      <c r="F27" s="159" t="s">
        <v>750</v>
      </c>
      <c r="G27" s="160" t="s">
        <v>484</v>
      </c>
      <c r="H27" s="161" t="s">
        <v>1074</v>
      </c>
      <c r="I27" s="162">
        <v>346</v>
      </c>
      <c r="J27" s="159">
        <v>107.1</v>
      </c>
      <c r="K27" s="163">
        <v>107.2</v>
      </c>
      <c r="L27" s="164">
        <f t="shared" si="0"/>
        <v>214.3</v>
      </c>
      <c r="M27" s="165">
        <f t="shared" si="1"/>
        <v>0.61936416184971099</v>
      </c>
      <c r="N27" s="122"/>
    </row>
    <row r="28" spans="2:14" x14ac:dyDescent="0.25">
      <c r="B28" s="121"/>
      <c r="C28" s="159"/>
      <c r="D28" s="159"/>
      <c r="E28" s="159"/>
      <c r="F28" s="159"/>
      <c r="G28" s="160"/>
      <c r="H28" s="161"/>
      <c r="I28" s="162"/>
      <c r="J28" s="159"/>
      <c r="K28" s="163"/>
      <c r="L28" s="164">
        <f t="shared" si="0"/>
        <v>0</v>
      </c>
      <c r="M28" s="165" t="e">
        <f t="shared" si="1"/>
        <v>#DIV/0!</v>
      </c>
      <c r="N28" s="122"/>
    </row>
    <row r="29" spans="2:14" x14ac:dyDescent="0.25">
      <c r="B29" s="121"/>
      <c r="C29" s="160"/>
      <c r="D29" s="160"/>
      <c r="E29" s="160"/>
      <c r="F29" s="160"/>
      <c r="G29" s="160"/>
      <c r="H29" s="161"/>
      <c r="I29" s="162"/>
      <c r="J29" s="159"/>
      <c r="K29" s="163"/>
      <c r="L29" s="164">
        <f t="shared" si="0"/>
        <v>0</v>
      </c>
      <c r="M29" s="165" t="e">
        <f t="shared" si="1"/>
        <v>#DIV/0!</v>
      </c>
      <c r="N29" s="122"/>
    </row>
    <row r="30" spans="2:14" x14ac:dyDescent="0.25">
      <c r="B30" s="121"/>
      <c r="C30" s="160"/>
      <c r="D30" s="160"/>
      <c r="E30" s="160"/>
      <c r="F30" s="160"/>
      <c r="G30" s="160"/>
      <c r="H30" s="161"/>
      <c r="I30" s="162"/>
      <c r="J30" s="159"/>
      <c r="K30" s="163"/>
      <c r="L30" s="164">
        <f t="shared" si="0"/>
        <v>0</v>
      </c>
      <c r="M30" s="165" t="e">
        <f t="shared" si="1"/>
        <v>#DIV/0!</v>
      </c>
      <c r="N30" s="122"/>
    </row>
    <row r="31" spans="2:14" x14ac:dyDescent="0.25">
      <c r="B31" s="121"/>
      <c r="C31" s="159"/>
      <c r="D31" s="159"/>
      <c r="E31" s="159"/>
      <c r="F31" s="159"/>
      <c r="G31" s="160"/>
      <c r="H31" s="161"/>
      <c r="I31" s="162"/>
      <c r="J31" s="159"/>
      <c r="K31" s="163"/>
      <c r="L31" s="164">
        <f t="shared" si="0"/>
        <v>0</v>
      </c>
      <c r="M31" s="165" t="e">
        <f t="shared" si="1"/>
        <v>#DIV/0!</v>
      </c>
      <c r="N31" s="122"/>
    </row>
    <row r="32" spans="2:14" x14ac:dyDescent="0.25">
      <c r="B32" s="121"/>
      <c r="C32" s="159"/>
      <c r="D32" s="159"/>
      <c r="E32" s="159"/>
      <c r="F32" s="159"/>
      <c r="G32" s="160"/>
      <c r="H32" s="161"/>
      <c r="I32" s="162"/>
      <c r="J32" s="159"/>
      <c r="K32" s="163"/>
      <c r="L32" s="164">
        <f t="shared" si="0"/>
        <v>0</v>
      </c>
      <c r="M32" s="165" t="e">
        <f t="shared" si="1"/>
        <v>#DIV/0!</v>
      </c>
      <c r="N32" s="122"/>
    </row>
    <row r="33" spans="2:14" x14ac:dyDescent="0.25">
      <c r="B33" s="121"/>
      <c r="C33" s="160"/>
      <c r="D33" s="160"/>
      <c r="E33" s="160"/>
      <c r="F33" s="160"/>
      <c r="G33" s="160"/>
      <c r="H33" s="161"/>
      <c r="I33" s="162"/>
      <c r="J33" s="159"/>
      <c r="K33" s="163"/>
      <c r="L33" s="164">
        <f t="shared" si="0"/>
        <v>0</v>
      </c>
      <c r="M33" s="165" t="e">
        <f t="shared" si="1"/>
        <v>#DIV/0!</v>
      </c>
      <c r="N33" s="122"/>
    </row>
    <row r="34" spans="2:14" x14ac:dyDescent="0.25">
      <c r="B34" s="121"/>
      <c r="C34" s="159"/>
      <c r="D34" s="159"/>
      <c r="E34" s="159"/>
      <c r="F34" s="159"/>
      <c r="G34" s="160"/>
      <c r="H34" s="161"/>
      <c r="I34" s="162"/>
      <c r="J34" s="159"/>
      <c r="K34" s="166"/>
      <c r="L34" s="164">
        <f t="shared" si="0"/>
        <v>0</v>
      </c>
      <c r="M34" s="167" t="e">
        <f t="shared" si="1"/>
        <v>#DIV/0!</v>
      </c>
      <c r="N34" s="122"/>
    </row>
    <row r="35" spans="2:14" x14ac:dyDescent="0.25">
      <c r="B35" s="121"/>
      <c r="C35" s="159"/>
      <c r="D35" s="159"/>
      <c r="E35" s="159"/>
      <c r="F35" s="159"/>
      <c r="G35" s="160"/>
      <c r="H35" s="161"/>
      <c r="I35" s="162"/>
      <c r="J35" s="159"/>
      <c r="K35" s="163"/>
      <c r="L35" s="164">
        <f t="shared" si="0"/>
        <v>0</v>
      </c>
      <c r="M35" s="165" t="e">
        <f t="shared" si="1"/>
        <v>#DIV/0!</v>
      </c>
      <c r="N35" s="122"/>
    </row>
    <row r="36" spans="2:14" x14ac:dyDescent="0.25">
      <c r="B36" s="121"/>
      <c r="C36" s="159"/>
      <c r="D36" s="159"/>
      <c r="E36" s="159"/>
      <c r="F36" s="159"/>
      <c r="G36" s="160"/>
      <c r="H36" s="161"/>
      <c r="I36" s="162"/>
      <c r="J36" s="159"/>
      <c r="K36" s="163"/>
      <c r="L36" s="164">
        <f t="shared" si="0"/>
        <v>0</v>
      </c>
      <c r="M36" s="165" t="e">
        <f t="shared" si="1"/>
        <v>#DIV/0!</v>
      </c>
      <c r="N36" s="122"/>
    </row>
    <row r="37" spans="2:14" x14ac:dyDescent="0.25">
      <c r="B37" s="121"/>
      <c r="C37" s="159"/>
      <c r="D37" s="159"/>
      <c r="E37" s="159"/>
      <c r="F37" s="159"/>
      <c r="G37" s="160"/>
      <c r="H37" s="161"/>
      <c r="I37" s="162"/>
      <c r="J37" s="159"/>
      <c r="K37" s="163"/>
      <c r="L37" s="164">
        <f t="shared" si="0"/>
        <v>0</v>
      </c>
      <c r="M37" s="165" t="e">
        <f t="shared" si="1"/>
        <v>#DIV/0!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65"/>
      <c r="D66" s="265">
        <f>+COUNT($D$22:$D$65)</f>
        <v>5</v>
      </c>
      <c r="E66" s="265"/>
      <c r="F66" s="373"/>
      <c r="G66" s="373"/>
      <c r="H66" s="149"/>
      <c r="I66" s="148">
        <f>SUM($I$22:$I$65)</f>
        <v>1890</v>
      </c>
      <c r="J66" s="150">
        <f>SUM($J$22:$J$65)</f>
        <v>566.20000000000005</v>
      </c>
      <c r="K66" s="151">
        <f>SUM($K$22:$K$65)</f>
        <v>561.9</v>
      </c>
      <c r="L66" s="148">
        <f>SUM($L$22:$L$65)</f>
        <v>1128.0999999999999</v>
      </c>
      <c r="M66" s="178">
        <f t="shared" si="1"/>
        <v>0.59687830687830679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/>
      <c r="I71" s="119"/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/>
      <c r="I72" s="119"/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/>
      <c r="I73" s="119"/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/>
      <c r="I74" s="119"/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/>
      <c r="I75" s="119"/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/>
      <c r="I76" s="119"/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/>
      <c r="I77" s="119"/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/>
      <c r="I78" s="119"/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/>
      <c r="I79" s="119"/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/>
      <c r="I80" s="119"/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/>
      <c r="I81" s="119"/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/>
      <c r="I82" s="119"/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/>
      <c r="I83" s="119"/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0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5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57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Q15" sqref="Q15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0.57334235453315296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211.85000000000002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296</v>
      </c>
      <c r="F8" s="344"/>
      <c r="G8" s="344"/>
      <c r="H8" s="345"/>
      <c r="I8" s="146" t="s">
        <v>487</v>
      </c>
      <c r="J8" s="346" t="s">
        <v>1079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45003</v>
      </c>
      <c r="F9" s="344"/>
      <c r="G9" s="344"/>
      <c r="H9" s="345"/>
      <c r="I9" s="146" t="s">
        <v>88</v>
      </c>
      <c r="J9" s="209" t="s">
        <v>1080</v>
      </c>
      <c r="K9" s="262" t="s">
        <v>490</v>
      </c>
      <c r="L9" s="369" t="s">
        <v>1081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63" t="s">
        <v>569</v>
      </c>
      <c r="E12" s="384">
        <v>46052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50</v>
      </c>
      <c r="F13" s="349"/>
      <c r="H13" s="117"/>
      <c r="I13" s="123"/>
      <c r="J13" s="215" t="s">
        <v>483</v>
      </c>
      <c r="K13" s="264">
        <f>+COUNTIF($G$22:$G$66,"VQ")*2</f>
        <v>0</v>
      </c>
      <c r="L13" s="264">
        <f>+SUMIF($G$23:$G$65,"VQ",$L$23:$L$65)</f>
        <v>0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2</v>
      </c>
      <c r="F14" s="350"/>
      <c r="H14" s="117"/>
      <c r="I14" s="123"/>
      <c r="J14" s="215" t="s">
        <v>42</v>
      </c>
      <c r="K14" s="264">
        <f>+COUNTIF($G$22:$G$66,"NT")*2</f>
        <v>0</v>
      </c>
      <c r="L14" s="264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739</v>
      </c>
      <c r="F15" s="350"/>
      <c r="H15" s="117"/>
      <c r="I15" s="123"/>
      <c r="J15" s="215" t="s">
        <v>484</v>
      </c>
      <c r="K15" s="264">
        <f>+COUNTIF($G$22:$G$66,"NO")*2</f>
        <v>4</v>
      </c>
      <c r="L15" s="264">
        <f>+SUMIF($G$23:$G$65,"NO",$L$23:$L$65)</f>
        <v>423.70000000000005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423.70000000000005</v>
      </c>
      <c r="F16" s="350"/>
      <c r="H16" s="117"/>
      <c r="I16" s="123"/>
      <c r="J16" s="215" t="s">
        <v>485</v>
      </c>
      <c r="K16" s="264">
        <f>+COUNTIF($G$22:$G$66,"TO")*2</f>
        <v>0</v>
      </c>
      <c r="L16" s="264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0.57334235453315296</v>
      </c>
      <c r="F17" s="350"/>
      <c r="G17" s="124"/>
      <c r="H17" s="125"/>
      <c r="I17" s="123"/>
      <c r="J17" s="215" t="s">
        <v>486</v>
      </c>
      <c r="K17" s="264">
        <f>+COUNTIF($G$22:$G$66,"VA")*2</f>
        <v>0</v>
      </c>
      <c r="L17" s="264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211.85000000000002</v>
      </c>
      <c r="F18" s="353"/>
      <c r="G18" s="124"/>
      <c r="H18" s="125"/>
      <c r="I18" s="123"/>
      <c r="J18" s="215" t="s">
        <v>44</v>
      </c>
      <c r="K18" s="264">
        <f>+COUNTIF($G$22:$G$66,"MEJ")*2</f>
        <v>0</v>
      </c>
      <c r="L18" s="264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69</v>
      </c>
      <c r="D23" s="152">
        <v>2</v>
      </c>
      <c r="E23" s="152" t="s">
        <v>75</v>
      </c>
      <c r="F23" s="152" t="s">
        <v>750</v>
      </c>
      <c r="G23" s="153" t="s">
        <v>484</v>
      </c>
      <c r="H23" s="154" t="s">
        <v>1077</v>
      </c>
      <c r="I23" s="155">
        <v>359</v>
      </c>
      <c r="J23" s="152">
        <v>99.9</v>
      </c>
      <c r="K23" s="156">
        <v>99.2</v>
      </c>
      <c r="L23" s="157">
        <f t="shared" ref="L23:L65" si="0">+J23+K23</f>
        <v>199.10000000000002</v>
      </c>
      <c r="M23" s="158">
        <f t="shared" ref="M23:M66" si="1">+L23/I23</f>
        <v>0.55459610027855155</v>
      </c>
      <c r="N23" s="122"/>
    </row>
    <row r="24" spans="2:14" x14ac:dyDescent="0.25">
      <c r="B24" s="121"/>
      <c r="C24" s="159">
        <v>70</v>
      </c>
      <c r="D24" s="159">
        <v>1</v>
      </c>
      <c r="E24" s="159" t="s">
        <v>67</v>
      </c>
      <c r="F24" s="159" t="s">
        <v>750</v>
      </c>
      <c r="G24" s="160" t="s">
        <v>484</v>
      </c>
      <c r="H24" s="161" t="s">
        <v>1078</v>
      </c>
      <c r="I24" s="162">
        <v>380</v>
      </c>
      <c r="J24" s="159">
        <v>112.5</v>
      </c>
      <c r="K24" s="163">
        <v>112.1</v>
      </c>
      <c r="L24" s="164">
        <f t="shared" si="0"/>
        <v>224.6</v>
      </c>
      <c r="M24" s="165">
        <f t="shared" si="1"/>
        <v>0.59105263157894739</v>
      </c>
      <c r="N24" s="122"/>
    </row>
    <row r="25" spans="2:14" x14ac:dyDescent="0.25">
      <c r="B25" s="121"/>
      <c r="C25" s="159"/>
      <c r="D25" s="159"/>
      <c r="E25" s="159"/>
      <c r="F25" s="159"/>
      <c r="G25" s="160"/>
      <c r="H25" s="161"/>
      <c r="I25" s="162"/>
      <c r="J25" s="159"/>
      <c r="K25" s="163"/>
      <c r="L25" s="164">
        <f t="shared" si="0"/>
        <v>0</v>
      </c>
      <c r="M25" s="165" t="e">
        <f t="shared" si="1"/>
        <v>#DIV/0!</v>
      </c>
      <c r="N25" s="122"/>
    </row>
    <row r="26" spans="2:14" x14ac:dyDescent="0.25">
      <c r="B26" s="121"/>
      <c r="C26" s="159"/>
      <c r="D26" s="159"/>
      <c r="E26" s="159"/>
      <c r="F26" s="159"/>
      <c r="G26" s="160"/>
      <c r="H26" s="161"/>
      <c r="I26" s="162"/>
      <c r="J26" s="159"/>
      <c r="K26" s="163"/>
      <c r="L26" s="164">
        <f t="shared" si="0"/>
        <v>0</v>
      </c>
      <c r="M26" s="165" t="e">
        <f t="shared" si="1"/>
        <v>#DIV/0!</v>
      </c>
      <c r="N26" s="122"/>
    </row>
    <row r="27" spans="2:14" x14ac:dyDescent="0.25">
      <c r="B27" s="121"/>
      <c r="C27" s="159"/>
      <c r="D27" s="159"/>
      <c r="E27" s="159"/>
      <c r="F27" s="159"/>
      <c r="G27" s="160"/>
      <c r="H27" s="161"/>
      <c r="I27" s="162"/>
      <c r="J27" s="159"/>
      <c r="K27" s="163"/>
      <c r="L27" s="164">
        <f t="shared" si="0"/>
        <v>0</v>
      </c>
      <c r="M27" s="165" t="e">
        <f t="shared" si="1"/>
        <v>#DIV/0!</v>
      </c>
      <c r="N27" s="122"/>
    </row>
    <row r="28" spans="2:14" x14ac:dyDescent="0.25">
      <c r="B28" s="121"/>
      <c r="C28" s="159"/>
      <c r="D28" s="159"/>
      <c r="E28" s="159"/>
      <c r="F28" s="159"/>
      <c r="G28" s="160"/>
      <c r="H28" s="161"/>
      <c r="I28" s="162"/>
      <c r="J28" s="159"/>
      <c r="K28" s="163"/>
      <c r="L28" s="164">
        <f t="shared" si="0"/>
        <v>0</v>
      </c>
      <c r="M28" s="165" t="e">
        <f t="shared" si="1"/>
        <v>#DIV/0!</v>
      </c>
      <c r="N28" s="122"/>
    </row>
    <row r="29" spans="2:14" x14ac:dyDescent="0.25">
      <c r="B29" s="121"/>
      <c r="C29" s="160"/>
      <c r="D29" s="160"/>
      <c r="E29" s="160"/>
      <c r="F29" s="160"/>
      <c r="G29" s="160"/>
      <c r="H29" s="161"/>
      <c r="I29" s="162"/>
      <c r="J29" s="159"/>
      <c r="K29" s="163"/>
      <c r="L29" s="164">
        <f t="shared" si="0"/>
        <v>0</v>
      </c>
      <c r="M29" s="165" t="e">
        <f t="shared" si="1"/>
        <v>#DIV/0!</v>
      </c>
      <c r="N29" s="122"/>
    </row>
    <row r="30" spans="2:14" x14ac:dyDescent="0.25">
      <c r="B30" s="121"/>
      <c r="C30" s="160"/>
      <c r="D30" s="160"/>
      <c r="E30" s="160"/>
      <c r="F30" s="160"/>
      <c r="G30" s="160"/>
      <c r="H30" s="161"/>
      <c r="I30" s="162"/>
      <c r="J30" s="159"/>
      <c r="K30" s="163"/>
      <c r="L30" s="164">
        <f t="shared" si="0"/>
        <v>0</v>
      </c>
      <c r="M30" s="165" t="e">
        <f t="shared" si="1"/>
        <v>#DIV/0!</v>
      </c>
      <c r="N30" s="122"/>
    </row>
    <row r="31" spans="2:14" x14ac:dyDescent="0.25">
      <c r="B31" s="121"/>
      <c r="C31" s="159"/>
      <c r="D31" s="159"/>
      <c r="E31" s="159"/>
      <c r="F31" s="159"/>
      <c r="G31" s="160"/>
      <c r="H31" s="161"/>
      <c r="I31" s="162"/>
      <c r="J31" s="159"/>
      <c r="K31" s="163"/>
      <c r="L31" s="164">
        <f t="shared" si="0"/>
        <v>0</v>
      </c>
      <c r="M31" s="165" t="e">
        <f t="shared" si="1"/>
        <v>#DIV/0!</v>
      </c>
      <c r="N31" s="122"/>
    </row>
    <row r="32" spans="2:14" x14ac:dyDescent="0.25">
      <c r="B32" s="121"/>
      <c r="C32" s="159"/>
      <c r="D32" s="159"/>
      <c r="E32" s="159"/>
      <c r="F32" s="159"/>
      <c r="G32" s="160"/>
      <c r="H32" s="161"/>
      <c r="I32" s="162"/>
      <c r="J32" s="159"/>
      <c r="K32" s="163"/>
      <c r="L32" s="164">
        <f t="shared" si="0"/>
        <v>0</v>
      </c>
      <c r="M32" s="165" t="e">
        <f t="shared" si="1"/>
        <v>#DIV/0!</v>
      </c>
      <c r="N32" s="122"/>
    </row>
    <row r="33" spans="2:14" x14ac:dyDescent="0.25">
      <c r="B33" s="121"/>
      <c r="C33" s="160"/>
      <c r="D33" s="160"/>
      <c r="E33" s="160"/>
      <c r="F33" s="160"/>
      <c r="G33" s="160"/>
      <c r="H33" s="161"/>
      <c r="I33" s="162"/>
      <c r="J33" s="159"/>
      <c r="K33" s="163"/>
      <c r="L33" s="164">
        <f t="shared" si="0"/>
        <v>0</v>
      </c>
      <c r="M33" s="165" t="e">
        <f t="shared" si="1"/>
        <v>#DIV/0!</v>
      </c>
      <c r="N33" s="122"/>
    </row>
    <row r="34" spans="2:14" x14ac:dyDescent="0.25">
      <c r="B34" s="121"/>
      <c r="C34" s="159"/>
      <c r="D34" s="159"/>
      <c r="E34" s="159"/>
      <c r="F34" s="159"/>
      <c r="G34" s="160"/>
      <c r="H34" s="161"/>
      <c r="I34" s="162"/>
      <c r="J34" s="159"/>
      <c r="K34" s="166"/>
      <c r="L34" s="164">
        <f t="shared" si="0"/>
        <v>0</v>
      </c>
      <c r="M34" s="167" t="e">
        <f t="shared" si="1"/>
        <v>#DIV/0!</v>
      </c>
      <c r="N34" s="122"/>
    </row>
    <row r="35" spans="2:14" x14ac:dyDescent="0.25">
      <c r="B35" s="121"/>
      <c r="C35" s="159"/>
      <c r="D35" s="159"/>
      <c r="E35" s="159"/>
      <c r="F35" s="159"/>
      <c r="G35" s="160"/>
      <c r="H35" s="161"/>
      <c r="I35" s="162"/>
      <c r="J35" s="159"/>
      <c r="K35" s="163"/>
      <c r="L35" s="164">
        <f t="shared" si="0"/>
        <v>0</v>
      </c>
      <c r="M35" s="165" t="e">
        <f t="shared" si="1"/>
        <v>#DIV/0!</v>
      </c>
      <c r="N35" s="122"/>
    </row>
    <row r="36" spans="2:14" x14ac:dyDescent="0.25">
      <c r="B36" s="121"/>
      <c r="C36" s="159"/>
      <c r="D36" s="159"/>
      <c r="E36" s="159"/>
      <c r="F36" s="159"/>
      <c r="G36" s="160"/>
      <c r="H36" s="161"/>
      <c r="I36" s="162"/>
      <c r="J36" s="159"/>
      <c r="K36" s="163"/>
      <c r="L36" s="164">
        <f t="shared" si="0"/>
        <v>0</v>
      </c>
      <c r="M36" s="165" t="e">
        <f t="shared" si="1"/>
        <v>#DIV/0!</v>
      </c>
      <c r="N36" s="122"/>
    </row>
    <row r="37" spans="2:14" x14ac:dyDescent="0.25">
      <c r="B37" s="121"/>
      <c r="C37" s="159"/>
      <c r="D37" s="159"/>
      <c r="E37" s="159"/>
      <c r="F37" s="159"/>
      <c r="G37" s="160"/>
      <c r="H37" s="161"/>
      <c r="I37" s="162"/>
      <c r="J37" s="159"/>
      <c r="K37" s="163"/>
      <c r="L37" s="164">
        <f t="shared" si="0"/>
        <v>0</v>
      </c>
      <c r="M37" s="165" t="e">
        <f t="shared" si="1"/>
        <v>#DIV/0!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65"/>
      <c r="D66" s="265">
        <f>+COUNT($D$22:$D$65)</f>
        <v>2</v>
      </c>
      <c r="E66" s="265"/>
      <c r="F66" s="373"/>
      <c r="G66" s="373"/>
      <c r="H66" s="149"/>
      <c r="I66" s="148">
        <f>SUM($I$22:$I$65)</f>
        <v>739</v>
      </c>
      <c r="J66" s="150">
        <f>SUM($J$22:$J$65)</f>
        <v>212.4</v>
      </c>
      <c r="K66" s="151">
        <f>SUM($K$22:$K$65)</f>
        <v>211.3</v>
      </c>
      <c r="L66" s="148">
        <f>SUM($L$22:$L$65)</f>
        <v>423.70000000000005</v>
      </c>
      <c r="M66" s="178">
        <f t="shared" si="1"/>
        <v>0.57334235453315296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/>
      <c r="I71" s="119"/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/>
      <c r="I72" s="119"/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/>
      <c r="I73" s="119"/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/>
      <c r="I74" s="119"/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/>
      <c r="I75" s="119"/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/>
      <c r="I76" s="119"/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/>
      <c r="I77" s="119"/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/>
      <c r="I78" s="119"/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/>
      <c r="I79" s="119"/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/>
      <c r="I80" s="119"/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/>
      <c r="I81" s="119"/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/>
      <c r="I82" s="119"/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/>
      <c r="I83" s="119"/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0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2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56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F69" zoomScale="90" zoomScaleNormal="90" workbookViewId="0">
      <selection activeCell="L9" sqref="L9:M9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0.57855343648794522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229.68571428571425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1140</v>
      </c>
      <c r="F8" s="344"/>
      <c r="G8" s="344"/>
      <c r="H8" s="345"/>
      <c r="I8" s="146" t="s">
        <v>487</v>
      </c>
      <c r="J8" s="346" t="s">
        <v>1141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52591</v>
      </c>
      <c r="F9" s="344"/>
      <c r="G9" s="344"/>
      <c r="H9" s="345"/>
      <c r="I9" s="146" t="s">
        <v>88</v>
      </c>
      <c r="J9" s="209" t="s">
        <v>1142</v>
      </c>
      <c r="K9" s="269" t="s">
        <v>490</v>
      </c>
      <c r="L9" s="369" t="s">
        <v>1143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67" t="s">
        <v>569</v>
      </c>
      <c r="E12" s="384">
        <v>46055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51</v>
      </c>
      <c r="F13" s="349"/>
      <c r="H13" s="117"/>
      <c r="I13" s="123"/>
      <c r="J13" s="215" t="s">
        <v>483</v>
      </c>
      <c r="K13" s="268">
        <f>+COUNTIF($G$22:$G$66,"VQ")*2</f>
        <v>30</v>
      </c>
      <c r="L13" s="268">
        <f>+SUMIF($G$23:$G$65,"VQ",$L$23:$L$65)</f>
        <v>2948.1999999999994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42</v>
      </c>
      <c r="F14" s="350"/>
      <c r="H14" s="117"/>
      <c r="I14" s="123"/>
      <c r="J14" s="215" t="s">
        <v>42</v>
      </c>
      <c r="K14" s="268">
        <f>+COUNTIF($G$22:$G$66,"NT")*2</f>
        <v>14</v>
      </c>
      <c r="L14" s="268">
        <f>+SUMIF($G$23:$G$65,"NT",$L$23:$L$65)</f>
        <v>1484.5000000000002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16674</v>
      </c>
      <c r="F15" s="350"/>
      <c r="H15" s="117"/>
      <c r="I15" s="123"/>
      <c r="J15" s="215" t="s">
        <v>484</v>
      </c>
      <c r="K15" s="268">
        <f>+COUNTIF($G$22:$G$66,"NO")*2</f>
        <v>0</v>
      </c>
      <c r="L15" s="268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9646.7999999999993</v>
      </c>
      <c r="F16" s="350"/>
      <c r="H16" s="117"/>
      <c r="I16" s="123"/>
      <c r="J16" s="215" t="s">
        <v>485</v>
      </c>
      <c r="K16" s="268">
        <f>+COUNTIF($G$22:$G$66,"TO")*2</f>
        <v>0</v>
      </c>
      <c r="L16" s="268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0.57855343648794522</v>
      </c>
      <c r="F17" s="350"/>
      <c r="G17" s="124"/>
      <c r="H17" s="125"/>
      <c r="I17" s="123"/>
      <c r="J17" s="215" t="s">
        <v>486</v>
      </c>
      <c r="K17" s="268">
        <f>+COUNTIF($G$22:$G$66,"VA")*2</f>
        <v>0</v>
      </c>
      <c r="L17" s="268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229.68571428571425</v>
      </c>
      <c r="F18" s="353"/>
      <c r="G18" s="124"/>
      <c r="H18" s="125"/>
      <c r="I18" s="123"/>
      <c r="J18" s="215" t="s">
        <v>44</v>
      </c>
      <c r="K18" s="268">
        <f>+COUNTIF($G$22:$G$66,"MEJ")*2</f>
        <v>40</v>
      </c>
      <c r="L18" s="268">
        <f>+SUMIF($G$23:$G$65,"MEJ",$L$23:$L$65)</f>
        <v>5214.0999999999995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</v>
      </c>
      <c r="D23" s="152">
        <v>13</v>
      </c>
      <c r="E23" s="152" t="s">
        <v>68</v>
      </c>
      <c r="F23" s="152" t="s">
        <v>526</v>
      </c>
      <c r="G23" s="153" t="s">
        <v>483</v>
      </c>
      <c r="H23" s="154" t="s">
        <v>1101</v>
      </c>
      <c r="I23" s="155">
        <v>341</v>
      </c>
      <c r="J23" s="152">
        <v>95.7</v>
      </c>
      <c r="K23" s="156">
        <v>96</v>
      </c>
      <c r="L23" s="157">
        <f t="shared" ref="L23:L65" si="0">+J23+K23</f>
        <v>191.7</v>
      </c>
      <c r="M23" s="158">
        <f t="shared" ref="M23:M66" si="1">+L23/I23</f>
        <v>0.56217008797653956</v>
      </c>
      <c r="N23" s="122"/>
    </row>
    <row r="24" spans="2:14" x14ac:dyDescent="0.25">
      <c r="B24" s="121"/>
      <c r="C24" s="159">
        <v>2</v>
      </c>
      <c r="D24" s="159">
        <v>20</v>
      </c>
      <c r="E24" s="159" t="s">
        <v>67</v>
      </c>
      <c r="F24" s="159" t="s">
        <v>526</v>
      </c>
      <c r="G24" s="160" t="s">
        <v>42</v>
      </c>
      <c r="H24" s="161" t="s">
        <v>1102</v>
      </c>
      <c r="I24" s="162">
        <v>338</v>
      </c>
      <c r="J24" s="159">
        <v>98.7</v>
      </c>
      <c r="K24" s="163">
        <v>97.4</v>
      </c>
      <c r="L24" s="164">
        <f t="shared" si="0"/>
        <v>196.10000000000002</v>
      </c>
      <c r="M24" s="165">
        <f t="shared" si="1"/>
        <v>0.58017751479289947</v>
      </c>
      <c r="N24" s="122"/>
    </row>
    <row r="25" spans="2:14" x14ac:dyDescent="0.25">
      <c r="B25" s="121"/>
      <c r="C25" s="159">
        <v>3</v>
      </c>
      <c r="D25" s="159">
        <v>11</v>
      </c>
      <c r="E25" s="159" t="s">
        <v>75</v>
      </c>
      <c r="F25" s="159" t="s">
        <v>526</v>
      </c>
      <c r="G25" s="160" t="s">
        <v>483</v>
      </c>
      <c r="H25" s="161" t="s">
        <v>1103</v>
      </c>
      <c r="I25" s="162">
        <v>351</v>
      </c>
      <c r="J25" s="159">
        <v>99.2</v>
      </c>
      <c r="K25" s="163">
        <v>99.8</v>
      </c>
      <c r="L25" s="164">
        <f t="shared" si="0"/>
        <v>199</v>
      </c>
      <c r="M25" s="165">
        <f t="shared" si="1"/>
        <v>0.5669515669515669</v>
      </c>
      <c r="N25" s="122"/>
    </row>
    <row r="26" spans="2:14" x14ac:dyDescent="0.25">
      <c r="B26" s="121"/>
      <c r="C26" s="159">
        <v>4</v>
      </c>
      <c r="D26" s="159">
        <v>22</v>
      </c>
      <c r="E26" s="159" t="s">
        <v>67</v>
      </c>
      <c r="F26" s="159" t="s">
        <v>526</v>
      </c>
      <c r="G26" s="160" t="s">
        <v>483</v>
      </c>
      <c r="H26" s="161" t="s">
        <v>1104</v>
      </c>
      <c r="I26" s="162">
        <v>367</v>
      </c>
      <c r="J26" s="159">
        <v>103.9</v>
      </c>
      <c r="K26" s="163">
        <v>102.4</v>
      </c>
      <c r="L26" s="164">
        <f t="shared" si="0"/>
        <v>206.3</v>
      </c>
      <c r="M26" s="165">
        <f t="shared" si="1"/>
        <v>0.56212534059945507</v>
      </c>
      <c r="N26" s="122"/>
    </row>
    <row r="27" spans="2:14" x14ac:dyDescent="0.25">
      <c r="B27" s="121"/>
      <c r="C27" s="159">
        <v>5</v>
      </c>
      <c r="D27" s="159">
        <v>2</v>
      </c>
      <c r="E27" s="159" t="s">
        <v>75</v>
      </c>
      <c r="F27" s="159" t="s">
        <v>526</v>
      </c>
      <c r="G27" s="160" t="s">
        <v>483</v>
      </c>
      <c r="H27" s="161" t="s">
        <v>1105</v>
      </c>
      <c r="I27" s="162">
        <v>375</v>
      </c>
      <c r="J27" s="159">
        <v>101.9</v>
      </c>
      <c r="K27" s="163">
        <v>101.5</v>
      </c>
      <c r="L27" s="164">
        <f t="shared" si="0"/>
        <v>203.4</v>
      </c>
      <c r="M27" s="165">
        <f t="shared" si="1"/>
        <v>0.54239999999999999</v>
      </c>
      <c r="N27" s="122"/>
    </row>
    <row r="28" spans="2:14" x14ac:dyDescent="0.25">
      <c r="B28" s="121"/>
      <c r="C28" s="159">
        <v>6</v>
      </c>
      <c r="D28" s="159">
        <v>4</v>
      </c>
      <c r="E28" s="159" t="s">
        <v>75</v>
      </c>
      <c r="F28" s="159" t="s">
        <v>526</v>
      </c>
      <c r="G28" s="160" t="s">
        <v>483</v>
      </c>
      <c r="H28" s="161" t="s">
        <v>1106</v>
      </c>
      <c r="I28" s="162">
        <v>354</v>
      </c>
      <c r="J28" s="159">
        <v>104.3</v>
      </c>
      <c r="K28" s="163">
        <v>104.8</v>
      </c>
      <c r="L28" s="164">
        <f t="shared" si="0"/>
        <v>209.1</v>
      </c>
      <c r="M28" s="165">
        <f t="shared" si="1"/>
        <v>0.59067796610169487</v>
      </c>
      <c r="N28" s="122"/>
    </row>
    <row r="29" spans="2:14" x14ac:dyDescent="0.25">
      <c r="B29" s="121"/>
      <c r="C29" s="160">
        <v>7</v>
      </c>
      <c r="D29" s="160">
        <v>14</v>
      </c>
      <c r="E29" s="160" t="s">
        <v>67</v>
      </c>
      <c r="F29" s="159" t="s">
        <v>526</v>
      </c>
      <c r="G29" s="160" t="s">
        <v>42</v>
      </c>
      <c r="H29" s="161" t="s">
        <v>1107</v>
      </c>
      <c r="I29" s="162">
        <v>397</v>
      </c>
      <c r="J29" s="159">
        <v>109</v>
      </c>
      <c r="K29" s="163">
        <v>107.1</v>
      </c>
      <c r="L29" s="164">
        <f t="shared" si="0"/>
        <v>216.1</v>
      </c>
      <c r="M29" s="165">
        <f t="shared" si="1"/>
        <v>0.54433249370277081</v>
      </c>
      <c r="N29" s="122"/>
    </row>
    <row r="30" spans="2:14" x14ac:dyDescent="0.25">
      <c r="B30" s="121"/>
      <c r="C30" s="160">
        <v>8</v>
      </c>
      <c r="D30" s="160">
        <v>5</v>
      </c>
      <c r="E30" s="160" t="s">
        <v>75</v>
      </c>
      <c r="F30" s="159" t="s">
        <v>526</v>
      </c>
      <c r="G30" s="160" t="s">
        <v>483</v>
      </c>
      <c r="H30" s="161" t="s">
        <v>1108</v>
      </c>
      <c r="I30" s="162">
        <v>377</v>
      </c>
      <c r="J30" s="159">
        <v>106.4</v>
      </c>
      <c r="K30" s="163">
        <v>106</v>
      </c>
      <c r="L30" s="164">
        <f t="shared" si="0"/>
        <v>212.4</v>
      </c>
      <c r="M30" s="165">
        <f t="shared" si="1"/>
        <v>0.56339522546419096</v>
      </c>
      <c r="N30" s="122"/>
    </row>
    <row r="31" spans="2:14" x14ac:dyDescent="0.25">
      <c r="B31" s="121"/>
      <c r="C31" s="159">
        <v>9</v>
      </c>
      <c r="D31" s="159">
        <v>15</v>
      </c>
      <c r="E31" s="159" t="s">
        <v>75</v>
      </c>
      <c r="F31" s="159" t="s">
        <v>526</v>
      </c>
      <c r="G31" s="160" t="s">
        <v>483</v>
      </c>
      <c r="H31" s="161" t="s">
        <v>1109</v>
      </c>
      <c r="I31" s="162">
        <v>402</v>
      </c>
      <c r="J31" s="159">
        <v>108.1</v>
      </c>
      <c r="K31" s="163">
        <v>108.2</v>
      </c>
      <c r="L31" s="164">
        <f t="shared" si="0"/>
        <v>216.3</v>
      </c>
      <c r="M31" s="165">
        <f t="shared" si="1"/>
        <v>0.53805970149253735</v>
      </c>
      <c r="N31" s="122"/>
    </row>
    <row r="32" spans="2:14" x14ac:dyDescent="0.25">
      <c r="B32" s="121"/>
      <c r="C32" s="159">
        <v>10</v>
      </c>
      <c r="D32" s="159">
        <v>1</v>
      </c>
      <c r="E32" s="159" t="s">
        <v>67</v>
      </c>
      <c r="F32" s="159" t="s">
        <v>526</v>
      </c>
      <c r="G32" s="160" t="s">
        <v>483</v>
      </c>
      <c r="H32" s="161" t="s">
        <v>1110</v>
      </c>
      <c r="I32" s="162">
        <v>337</v>
      </c>
      <c r="J32" s="159">
        <v>89</v>
      </c>
      <c r="K32" s="163">
        <v>90</v>
      </c>
      <c r="L32" s="164">
        <f t="shared" si="0"/>
        <v>179</v>
      </c>
      <c r="M32" s="165">
        <f t="shared" si="1"/>
        <v>0.53115727002967361</v>
      </c>
      <c r="N32" s="122"/>
    </row>
    <row r="33" spans="2:14" x14ac:dyDescent="0.25">
      <c r="B33" s="121"/>
      <c r="C33" s="160">
        <v>11</v>
      </c>
      <c r="D33" s="160">
        <v>21</v>
      </c>
      <c r="E33" s="160" t="s">
        <v>67</v>
      </c>
      <c r="F33" s="159" t="s">
        <v>526</v>
      </c>
      <c r="G33" s="160" t="s">
        <v>42</v>
      </c>
      <c r="H33" s="161" t="s">
        <v>1111</v>
      </c>
      <c r="I33" s="162">
        <v>377</v>
      </c>
      <c r="J33" s="159">
        <v>106.7</v>
      </c>
      <c r="K33" s="163">
        <v>105.2</v>
      </c>
      <c r="L33" s="164">
        <f t="shared" si="0"/>
        <v>211.9</v>
      </c>
      <c r="M33" s="165">
        <f t="shared" si="1"/>
        <v>0.56206896551724139</v>
      </c>
      <c r="N33" s="122"/>
    </row>
    <row r="34" spans="2:14" x14ac:dyDescent="0.25">
      <c r="B34" s="121"/>
      <c r="C34" s="159">
        <v>12</v>
      </c>
      <c r="D34" s="159">
        <v>12</v>
      </c>
      <c r="E34" s="159" t="s">
        <v>68</v>
      </c>
      <c r="F34" s="159" t="s">
        <v>526</v>
      </c>
      <c r="G34" s="160" t="s">
        <v>42</v>
      </c>
      <c r="H34" s="161" t="s">
        <v>1112</v>
      </c>
      <c r="I34" s="162">
        <v>364</v>
      </c>
      <c r="J34" s="159">
        <v>104.3</v>
      </c>
      <c r="K34" s="166">
        <v>105.2</v>
      </c>
      <c r="L34" s="164">
        <f t="shared" si="0"/>
        <v>209.5</v>
      </c>
      <c r="M34" s="167">
        <f t="shared" si="1"/>
        <v>0.5755494505494505</v>
      </c>
      <c r="N34" s="122"/>
    </row>
    <row r="35" spans="2:14" x14ac:dyDescent="0.25">
      <c r="B35" s="121"/>
      <c r="C35" s="159">
        <v>13</v>
      </c>
      <c r="D35" s="159">
        <v>18</v>
      </c>
      <c r="E35" s="159" t="s">
        <v>75</v>
      </c>
      <c r="F35" s="159" t="s">
        <v>527</v>
      </c>
      <c r="G35" s="160" t="s">
        <v>483</v>
      </c>
      <c r="H35" s="161" t="s">
        <v>1113</v>
      </c>
      <c r="I35" s="162">
        <v>347</v>
      </c>
      <c r="J35" s="159">
        <v>92</v>
      </c>
      <c r="K35" s="163">
        <v>91.6</v>
      </c>
      <c r="L35" s="164">
        <f t="shared" si="0"/>
        <v>183.6</v>
      </c>
      <c r="M35" s="165">
        <f t="shared" si="1"/>
        <v>0.52910662824207488</v>
      </c>
      <c r="N35" s="122"/>
    </row>
    <row r="36" spans="2:14" x14ac:dyDescent="0.25">
      <c r="B36" s="121"/>
      <c r="C36" s="159">
        <v>14</v>
      </c>
      <c r="D36" s="159">
        <v>3</v>
      </c>
      <c r="E36" s="159" t="s">
        <v>75</v>
      </c>
      <c r="F36" s="159" t="s">
        <v>526</v>
      </c>
      <c r="G36" s="160" t="s">
        <v>483</v>
      </c>
      <c r="H36" s="161" t="s">
        <v>1114</v>
      </c>
      <c r="I36" s="162">
        <v>367</v>
      </c>
      <c r="J36" s="159">
        <v>100.4</v>
      </c>
      <c r="K36" s="163">
        <v>100.3</v>
      </c>
      <c r="L36" s="164">
        <f t="shared" si="0"/>
        <v>200.7</v>
      </c>
      <c r="M36" s="165">
        <f t="shared" si="1"/>
        <v>0.54686648501362389</v>
      </c>
      <c r="N36" s="122"/>
    </row>
    <row r="37" spans="2:14" x14ac:dyDescent="0.25">
      <c r="B37" s="121"/>
      <c r="C37" s="159">
        <v>15</v>
      </c>
      <c r="D37" s="159">
        <v>17</v>
      </c>
      <c r="E37" s="159" t="s">
        <v>67</v>
      </c>
      <c r="F37" s="159" t="s">
        <v>526</v>
      </c>
      <c r="G37" s="160" t="s">
        <v>483</v>
      </c>
      <c r="H37" s="161" t="s">
        <v>1115</v>
      </c>
      <c r="I37" s="162">
        <v>322</v>
      </c>
      <c r="J37" s="159">
        <v>88.9</v>
      </c>
      <c r="K37" s="163">
        <v>88.6</v>
      </c>
      <c r="L37" s="164">
        <f t="shared" si="0"/>
        <v>177.5</v>
      </c>
      <c r="M37" s="165">
        <f t="shared" si="1"/>
        <v>0.55124223602484468</v>
      </c>
      <c r="N37" s="122"/>
    </row>
    <row r="38" spans="2:14" x14ac:dyDescent="0.25">
      <c r="B38" s="121"/>
      <c r="C38" s="159">
        <v>16</v>
      </c>
      <c r="D38" s="159">
        <v>7</v>
      </c>
      <c r="E38" s="159" t="s">
        <v>75</v>
      </c>
      <c r="F38" s="159" t="s">
        <v>526</v>
      </c>
      <c r="G38" s="159" t="s">
        <v>42</v>
      </c>
      <c r="H38" s="168" t="s">
        <v>1116</v>
      </c>
      <c r="I38" s="169">
        <v>376</v>
      </c>
      <c r="J38" s="159">
        <v>110</v>
      </c>
      <c r="K38" s="163">
        <v>110.8</v>
      </c>
      <c r="L38" s="164">
        <f t="shared" si="0"/>
        <v>220.8</v>
      </c>
      <c r="M38" s="165">
        <f t="shared" si="1"/>
        <v>0.58723404255319156</v>
      </c>
      <c r="N38" s="122"/>
    </row>
    <row r="39" spans="2:14" x14ac:dyDescent="0.25">
      <c r="B39" s="121"/>
      <c r="C39" s="159">
        <v>17</v>
      </c>
      <c r="D39" s="159">
        <v>16</v>
      </c>
      <c r="E39" s="159" t="s">
        <v>67</v>
      </c>
      <c r="F39" s="159" t="s">
        <v>526</v>
      </c>
      <c r="G39" s="160" t="s">
        <v>42</v>
      </c>
      <c r="H39" s="161" t="s">
        <v>1117</v>
      </c>
      <c r="I39" s="162">
        <v>387</v>
      </c>
      <c r="J39" s="159">
        <v>108.1</v>
      </c>
      <c r="K39" s="163">
        <v>109.1</v>
      </c>
      <c r="L39" s="164">
        <f t="shared" si="0"/>
        <v>217.2</v>
      </c>
      <c r="M39" s="165">
        <f t="shared" si="1"/>
        <v>0.5612403100775194</v>
      </c>
      <c r="N39" s="122"/>
    </row>
    <row r="40" spans="2:14" x14ac:dyDescent="0.25">
      <c r="B40" s="121"/>
      <c r="C40" s="159">
        <v>18</v>
      </c>
      <c r="D40" s="159">
        <v>19</v>
      </c>
      <c r="E40" s="159" t="s">
        <v>75</v>
      </c>
      <c r="F40" s="159" t="s">
        <v>526</v>
      </c>
      <c r="G40" s="160" t="s">
        <v>483</v>
      </c>
      <c r="H40" s="161" t="s">
        <v>1118</v>
      </c>
      <c r="I40" s="162">
        <v>351</v>
      </c>
      <c r="J40" s="159">
        <v>90</v>
      </c>
      <c r="K40" s="163">
        <v>91.7</v>
      </c>
      <c r="L40" s="164">
        <f t="shared" si="0"/>
        <v>181.7</v>
      </c>
      <c r="M40" s="165">
        <f t="shared" si="1"/>
        <v>0.51766381766381764</v>
      </c>
      <c r="N40" s="122"/>
    </row>
    <row r="41" spans="2:14" x14ac:dyDescent="0.25">
      <c r="B41" s="121"/>
      <c r="C41" s="159">
        <v>19</v>
      </c>
      <c r="D41" s="159">
        <v>6</v>
      </c>
      <c r="E41" s="159" t="s">
        <v>67</v>
      </c>
      <c r="F41" s="159" t="s">
        <v>526</v>
      </c>
      <c r="G41" s="160" t="s">
        <v>42</v>
      </c>
      <c r="H41" s="161" t="s">
        <v>1119</v>
      </c>
      <c r="I41" s="162">
        <v>384</v>
      </c>
      <c r="J41" s="159">
        <v>106.9</v>
      </c>
      <c r="K41" s="163">
        <v>106</v>
      </c>
      <c r="L41" s="164">
        <f t="shared" si="0"/>
        <v>212.9</v>
      </c>
      <c r="M41" s="165">
        <f t="shared" si="1"/>
        <v>0.55442708333333335</v>
      </c>
      <c r="N41" s="122"/>
    </row>
    <row r="42" spans="2:14" x14ac:dyDescent="0.25">
      <c r="B42" s="121"/>
      <c r="C42" s="160">
        <v>20</v>
      </c>
      <c r="D42" s="160">
        <v>10</v>
      </c>
      <c r="E42" s="160" t="s">
        <v>67</v>
      </c>
      <c r="F42" s="159" t="s">
        <v>526</v>
      </c>
      <c r="G42" s="160" t="s">
        <v>483</v>
      </c>
      <c r="H42" s="161" t="s">
        <v>1120</v>
      </c>
      <c r="I42" s="162">
        <v>309</v>
      </c>
      <c r="J42" s="159">
        <v>81.900000000000006</v>
      </c>
      <c r="K42" s="163">
        <v>82.2</v>
      </c>
      <c r="L42" s="164">
        <f t="shared" si="0"/>
        <v>164.10000000000002</v>
      </c>
      <c r="M42" s="165">
        <f t="shared" si="1"/>
        <v>0.53106796116504862</v>
      </c>
      <c r="N42" s="122"/>
    </row>
    <row r="43" spans="2:14" x14ac:dyDescent="0.25">
      <c r="B43" s="121"/>
      <c r="C43" s="159">
        <v>21</v>
      </c>
      <c r="D43" s="159">
        <v>27</v>
      </c>
      <c r="E43" s="159" t="s">
        <v>75</v>
      </c>
      <c r="F43" s="159" t="s">
        <v>526</v>
      </c>
      <c r="G43" s="160" t="s">
        <v>44</v>
      </c>
      <c r="H43" s="161" t="s">
        <v>1121</v>
      </c>
      <c r="I43" s="162">
        <v>469</v>
      </c>
      <c r="J43" s="159">
        <v>142.1</v>
      </c>
      <c r="K43" s="163">
        <v>142.1</v>
      </c>
      <c r="L43" s="164">
        <f t="shared" si="0"/>
        <v>284.2</v>
      </c>
      <c r="M43" s="165">
        <f t="shared" si="1"/>
        <v>0.60597014925373127</v>
      </c>
      <c r="N43" s="122"/>
    </row>
    <row r="44" spans="2:14" x14ac:dyDescent="0.25">
      <c r="B44" s="121"/>
      <c r="C44" s="160">
        <v>22</v>
      </c>
      <c r="D44" s="160">
        <v>8</v>
      </c>
      <c r="E44" s="160" t="s">
        <v>75</v>
      </c>
      <c r="F44" s="159" t="s">
        <v>526</v>
      </c>
      <c r="G44" s="160" t="s">
        <v>483</v>
      </c>
      <c r="H44" s="161" t="s">
        <v>1122</v>
      </c>
      <c r="I44" s="162">
        <v>384</v>
      </c>
      <c r="J44" s="159">
        <v>105.4</v>
      </c>
      <c r="K44" s="163">
        <v>104.3</v>
      </c>
      <c r="L44" s="164">
        <f t="shared" si="0"/>
        <v>209.7</v>
      </c>
      <c r="M44" s="165">
        <f t="shared" si="1"/>
        <v>0.54609374999999993</v>
      </c>
      <c r="N44" s="122"/>
    </row>
    <row r="45" spans="2:14" x14ac:dyDescent="0.25">
      <c r="B45" s="121"/>
      <c r="C45" s="160">
        <v>23</v>
      </c>
      <c r="D45" s="160">
        <v>24</v>
      </c>
      <c r="E45" s="160" t="s">
        <v>67</v>
      </c>
      <c r="F45" s="159" t="s">
        <v>526</v>
      </c>
      <c r="G45" s="160" t="s">
        <v>44</v>
      </c>
      <c r="H45" s="161" t="s">
        <v>1123</v>
      </c>
      <c r="I45" s="162">
        <v>444</v>
      </c>
      <c r="J45" s="159">
        <v>130.4</v>
      </c>
      <c r="K45" s="163">
        <v>130.5</v>
      </c>
      <c r="L45" s="164">
        <f t="shared" si="0"/>
        <v>260.89999999999998</v>
      </c>
      <c r="M45" s="165">
        <f t="shared" si="1"/>
        <v>0.58761261261261255</v>
      </c>
      <c r="N45" s="122"/>
    </row>
    <row r="46" spans="2:14" x14ac:dyDescent="0.25">
      <c r="B46" s="121"/>
      <c r="C46" s="160">
        <v>24</v>
      </c>
      <c r="D46" s="160">
        <v>26</v>
      </c>
      <c r="E46" s="160" t="s">
        <v>75</v>
      </c>
      <c r="F46" s="159" t="s">
        <v>526</v>
      </c>
      <c r="G46" s="160" t="s">
        <v>44</v>
      </c>
      <c r="H46" s="161" t="s">
        <v>1124</v>
      </c>
      <c r="I46" s="162">
        <v>422</v>
      </c>
      <c r="J46" s="159">
        <v>130.1</v>
      </c>
      <c r="K46" s="163">
        <v>129.9</v>
      </c>
      <c r="L46" s="164">
        <f t="shared" si="0"/>
        <v>260</v>
      </c>
      <c r="M46" s="165">
        <f t="shared" si="1"/>
        <v>0.61611374407582942</v>
      </c>
      <c r="N46" s="122"/>
    </row>
    <row r="47" spans="2:14" x14ac:dyDescent="0.25">
      <c r="B47" s="121"/>
      <c r="C47" s="160">
        <v>25</v>
      </c>
      <c r="D47" s="160">
        <v>33</v>
      </c>
      <c r="E47" s="160" t="s">
        <v>75</v>
      </c>
      <c r="F47" s="159" t="s">
        <v>526</v>
      </c>
      <c r="G47" s="160" t="s">
        <v>44</v>
      </c>
      <c r="H47" s="161" t="s">
        <v>1125</v>
      </c>
      <c r="I47" s="162">
        <v>424</v>
      </c>
      <c r="J47" s="159">
        <v>130.19999999999999</v>
      </c>
      <c r="K47" s="163">
        <v>130.4</v>
      </c>
      <c r="L47" s="164">
        <f t="shared" si="0"/>
        <v>260.60000000000002</v>
      </c>
      <c r="M47" s="165">
        <f t="shared" si="1"/>
        <v>0.61462264150943402</v>
      </c>
      <c r="N47" s="122"/>
    </row>
    <row r="48" spans="2:14" x14ac:dyDescent="0.25">
      <c r="B48" s="121"/>
      <c r="C48" s="160">
        <v>26</v>
      </c>
      <c r="D48" s="160">
        <v>9</v>
      </c>
      <c r="E48" s="160" t="s">
        <v>75</v>
      </c>
      <c r="F48" s="159" t="s">
        <v>526</v>
      </c>
      <c r="G48" s="160" t="s">
        <v>483</v>
      </c>
      <c r="H48" s="161" t="s">
        <v>1126</v>
      </c>
      <c r="I48" s="162">
        <v>371</v>
      </c>
      <c r="J48" s="159">
        <v>106.7</v>
      </c>
      <c r="K48" s="163">
        <v>107</v>
      </c>
      <c r="L48" s="164">
        <f t="shared" si="0"/>
        <v>213.7</v>
      </c>
      <c r="M48" s="165">
        <f t="shared" si="1"/>
        <v>0.57601078167115904</v>
      </c>
      <c r="N48" s="122"/>
    </row>
    <row r="49" spans="2:14" x14ac:dyDescent="0.25">
      <c r="B49" s="121"/>
      <c r="C49" s="160">
        <v>27</v>
      </c>
      <c r="D49" s="160">
        <v>42</v>
      </c>
      <c r="E49" s="160" t="s">
        <v>75</v>
      </c>
      <c r="F49" s="159" t="s">
        <v>526</v>
      </c>
      <c r="G49" s="160" t="s">
        <v>44</v>
      </c>
      <c r="H49" s="161" t="s">
        <v>1127</v>
      </c>
      <c r="I49" s="162">
        <v>456</v>
      </c>
      <c r="J49" s="159">
        <v>133.69999999999999</v>
      </c>
      <c r="K49" s="163">
        <v>133.5</v>
      </c>
      <c r="L49" s="164">
        <f t="shared" si="0"/>
        <v>267.2</v>
      </c>
      <c r="M49" s="165">
        <f t="shared" si="1"/>
        <v>0.58596491228070169</v>
      </c>
      <c r="N49" s="122"/>
    </row>
    <row r="50" spans="2:14" x14ac:dyDescent="0.25">
      <c r="B50" s="121"/>
      <c r="C50" s="159">
        <v>28</v>
      </c>
      <c r="D50" s="159">
        <v>41</v>
      </c>
      <c r="E50" s="159" t="s">
        <v>67</v>
      </c>
      <c r="F50" s="159" t="s">
        <v>526</v>
      </c>
      <c r="G50" s="160" t="s">
        <v>44</v>
      </c>
      <c r="H50" s="161" t="s">
        <v>1128</v>
      </c>
      <c r="I50" s="162">
        <v>434</v>
      </c>
      <c r="J50" s="159">
        <v>123.5</v>
      </c>
      <c r="K50" s="163">
        <v>122.1</v>
      </c>
      <c r="L50" s="164">
        <f t="shared" si="0"/>
        <v>245.6</v>
      </c>
      <c r="M50" s="165">
        <f t="shared" si="1"/>
        <v>0.56589861751152071</v>
      </c>
      <c r="N50" s="122"/>
    </row>
    <row r="51" spans="2:14" x14ac:dyDescent="0.25">
      <c r="B51" s="121"/>
      <c r="C51" s="159">
        <v>29</v>
      </c>
      <c r="D51" s="159">
        <v>37</v>
      </c>
      <c r="E51" s="159" t="s">
        <v>68</v>
      </c>
      <c r="F51" s="159" t="s">
        <v>526</v>
      </c>
      <c r="G51" s="160" t="s">
        <v>44</v>
      </c>
      <c r="H51" s="168" t="s">
        <v>1129</v>
      </c>
      <c r="I51" s="169">
        <v>449</v>
      </c>
      <c r="J51" s="159">
        <v>138.5</v>
      </c>
      <c r="K51" s="163">
        <v>137.9</v>
      </c>
      <c r="L51" s="164">
        <f t="shared" si="0"/>
        <v>276.39999999999998</v>
      </c>
      <c r="M51" s="165">
        <f t="shared" si="1"/>
        <v>0.61559020044543422</v>
      </c>
      <c r="N51" s="122"/>
    </row>
    <row r="52" spans="2:14" x14ac:dyDescent="0.25">
      <c r="B52" s="121"/>
      <c r="C52" s="159">
        <v>30</v>
      </c>
      <c r="D52" s="160">
        <v>38</v>
      </c>
      <c r="E52" s="160" t="s">
        <v>75</v>
      </c>
      <c r="F52" s="159" t="s">
        <v>526</v>
      </c>
      <c r="G52" s="160" t="s">
        <v>44</v>
      </c>
      <c r="H52" s="168" t="s">
        <v>256</v>
      </c>
      <c r="I52" s="169">
        <v>426</v>
      </c>
      <c r="J52" s="159">
        <v>128.30000000000001</v>
      </c>
      <c r="K52" s="163">
        <v>127.4</v>
      </c>
      <c r="L52" s="164">
        <f t="shared" si="0"/>
        <v>255.70000000000002</v>
      </c>
      <c r="M52" s="165">
        <f t="shared" si="1"/>
        <v>0.60023474178403757</v>
      </c>
      <c r="N52" s="122"/>
    </row>
    <row r="53" spans="2:14" x14ac:dyDescent="0.25">
      <c r="B53" s="121"/>
      <c r="C53" s="159">
        <v>31</v>
      </c>
      <c r="D53" s="160">
        <v>25</v>
      </c>
      <c r="E53" s="160" t="s">
        <v>67</v>
      </c>
      <c r="F53" s="159" t="s">
        <v>526</v>
      </c>
      <c r="G53" s="160" t="s">
        <v>44</v>
      </c>
      <c r="H53" s="168" t="s">
        <v>1130</v>
      </c>
      <c r="I53" s="169">
        <v>423</v>
      </c>
      <c r="J53" s="159">
        <v>123</v>
      </c>
      <c r="K53" s="163">
        <v>123.1</v>
      </c>
      <c r="L53" s="164">
        <f t="shared" si="0"/>
        <v>246.1</v>
      </c>
      <c r="M53" s="165">
        <f t="shared" si="1"/>
        <v>0.58179669030732861</v>
      </c>
      <c r="N53" s="122"/>
    </row>
    <row r="54" spans="2:14" x14ac:dyDescent="0.25">
      <c r="B54" s="121"/>
      <c r="C54" s="159">
        <v>32</v>
      </c>
      <c r="D54" s="160">
        <v>34</v>
      </c>
      <c r="E54" s="160" t="s">
        <v>75</v>
      </c>
      <c r="F54" s="159" t="s">
        <v>526</v>
      </c>
      <c r="G54" s="160" t="s">
        <v>44</v>
      </c>
      <c r="H54" s="168" t="s">
        <v>1131</v>
      </c>
      <c r="I54" s="169">
        <v>431</v>
      </c>
      <c r="J54" s="159">
        <v>135.6</v>
      </c>
      <c r="K54" s="163">
        <v>137.1</v>
      </c>
      <c r="L54" s="164">
        <f t="shared" si="0"/>
        <v>272.7</v>
      </c>
      <c r="M54" s="165">
        <f t="shared" si="1"/>
        <v>0.63271461716937349</v>
      </c>
      <c r="N54" s="122"/>
    </row>
    <row r="55" spans="2:14" x14ac:dyDescent="0.25">
      <c r="B55" s="121"/>
      <c r="C55" s="159">
        <v>33</v>
      </c>
      <c r="D55" s="160">
        <v>40</v>
      </c>
      <c r="E55" s="160" t="s">
        <v>67</v>
      </c>
      <c r="F55" s="159" t="s">
        <v>526</v>
      </c>
      <c r="G55" s="160" t="s">
        <v>44</v>
      </c>
      <c r="H55" s="168" t="s">
        <v>1132</v>
      </c>
      <c r="I55" s="169">
        <v>420</v>
      </c>
      <c r="J55" s="159">
        <v>125.6</v>
      </c>
      <c r="K55" s="163">
        <v>126.1</v>
      </c>
      <c r="L55" s="164">
        <f t="shared" si="0"/>
        <v>251.7</v>
      </c>
      <c r="M55" s="165">
        <f t="shared" si="1"/>
        <v>0.59928571428571431</v>
      </c>
      <c r="N55" s="122"/>
    </row>
    <row r="56" spans="2:14" x14ac:dyDescent="0.25">
      <c r="B56" s="121"/>
      <c r="C56" s="159">
        <v>34</v>
      </c>
      <c r="D56" s="160">
        <v>23</v>
      </c>
      <c r="E56" s="160" t="s">
        <v>75</v>
      </c>
      <c r="F56" s="159" t="s">
        <v>526</v>
      </c>
      <c r="G56" s="160" t="s">
        <v>44</v>
      </c>
      <c r="H56" s="168" t="s">
        <v>1133</v>
      </c>
      <c r="I56" s="169">
        <v>410</v>
      </c>
      <c r="J56" s="159">
        <v>128.69999999999999</v>
      </c>
      <c r="K56" s="163">
        <v>129.80000000000001</v>
      </c>
      <c r="L56" s="164">
        <f t="shared" si="0"/>
        <v>258.5</v>
      </c>
      <c r="M56" s="165">
        <f t="shared" si="1"/>
        <v>0.63048780487804879</v>
      </c>
      <c r="N56" s="122"/>
    </row>
    <row r="57" spans="2:14" x14ac:dyDescent="0.25">
      <c r="B57" s="121"/>
      <c r="C57" s="159">
        <v>35</v>
      </c>
      <c r="D57" s="159">
        <v>32</v>
      </c>
      <c r="E57" s="159" t="s">
        <v>75</v>
      </c>
      <c r="F57" s="159" t="s">
        <v>526</v>
      </c>
      <c r="G57" s="160" t="s">
        <v>44</v>
      </c>
      <c r="H57" s="168" t="s">
        <v>743</v>
      </c>
      <c r="I57" s="169">
        <v>406</v>
      </c>
      <c r="J57" s="159">
        <v>127.2</v>
      </c>
      <c r="K57" s="163">
        <v>126.5</v>
      </c>
      <c r="L57" s="164">
        <f t="shared" si="0"/>
        <v>253.7</v>
      </c>
      <c r="M57" s="165">
        <f t="shared" si="1"/>
        <v>0.62487684729064041</v>
      </c>
      <c r="N57" s="122"/>
    </row>
    <row r="58" spans="2:14" x14ac:dyDescent="0.25">
      <c r="B58" s="121"/>
      <c r="C58" s="159">
        <v>36</v>
      </c>
      <c r="D58" s="159">
        <v>35</v>
      </c>
      <c r="E58" s="159" t="s">
        <v>75</v>
      </c>
      <c r="F58" s="159" t="s">
        <v>526</v>
      </c>
      <c r="G58" s="160" t="s">
        <v>44</v>
      </c>
      <c r="H58" s="168" t="s">
        <v>1134</v>
      </c>
      <c r="I58" s="169">
        <v>413</v>
      </c>
      <c r="J58" s="159">
        <v>122.7</v>
      </c>
      <c r="K58" s="163">
        <v>119.9</v>
      </c>
      <c r="L58" s="164">
        <f t="shared" si="0"/>
        <v>242.60000000000002</v>
      </c>
      <c r="M58" s="165">
        <f t="shared" si="1"/>
        <v>0.587409200968523</v>
      </c>
      <c r="N58" s="122"/>
    </row>
    <row r="59" spans="2:14" x14ac:dyDescent="0.25">
      <c r="B59" s="121"/>
      <c r="C59" s="159">
        <v>37</v>
      </c>
      <c r="D59" s="170">
        <v>31</v>
      </c>
      <c r="E59" s="170" t="s">
        <v>75</v>
      </c>
      <c r="F59" s="159" t="s">
        <v>526</v>
      </c>
      <c r="G59" s="171" t="s">
        <v>44</v>
      </c>
      <c r="H59" s="168" t="s">
        <v>1135</v>
      </c>
      <c r="I59" s="169">
        <v>401</v>
      </c>
      <c r="J59" s="159">
        <v>116.5</v>
      </c>
      <c r="K59" s="163">
        <v>116.4</v>
      </c>
      <c r="L59" s="164">
        <f t="shared" si="0"/>
        <v>232.9</v>
      </c>
      <c r="M59" s="165">
        <f t="shared" si="1"/>
        <v>0.5807980049875312</v>
      </c>
      <c r="N59" s="122"/>
    </row>
    <row r="60" spans="2:14" x14ac:dyDescent="0.25">
      <c r="B60" s="121"/>
      <c r="C60" s="159">
        <v>38</v>
      </c>
      <c r="D60" s="170">
        <v>30</v>
      </c>
      <c r="E60" s="170" t="s">
        <v>75</v>
      </c>
      <c r="F60" s="159" t="s">
        <v>526</v>
      </c>
      <c r="G60" s="171" t="s">
        <v>44</v>
      </c>
      <c r="H60" s="168" t="s">
        <v>1136</v>
      </c>
      <c r="I60" s="169">
        <v>390</v>
      </c>
      <c r="J60" s="159">
        <v>113.1</v>
      </c>
      <c r="K60" s="163">
        <v>111.9</v>
      </c>
      <c r="L60" s="164">
        <f t="shared" si="0"/>
        <v>225</v>
      </c>
      <c r="M60" s="165">
        <f t="shared" si="1"/>
        <v>0.57692307692307687</v>
      </c>
      <c r="N60" s="122"/>
    </row>
    <row r="61" spans="2:14" x14ac:dyDescent="0.25">
      <c r="B61" s="121"/>
      <c r="C61" s="159">
        <v>39</v>
      </c>
      <c r="D61" s="170">
        <v>29</v>
      </c>
      <c r="E61" s="170" t="s">
        <v>75</v>
      </c>
      <c r="F61" s="159" t="s">
        <v>526</v>
      </c>
      <c r="G61" s="171" t="s">
        <v>44</v>
      </c>
      <c r="H61" s="168" t="s">
        <v>324</v>
      </c>
      <c r="I61" s="169">
        <v>451</v>
      </c>
      <c r="J61" s="159">
        <v>135.4</v>
      </c>
      <c r="K61" s="163">
        <v>135.19999999999999</v>
      </c>
      <c r="L61" s="164">
        <f t="shared" si="0"/>
        <v>270.60000000000002</v>
      </c>
      <c r="M61" s="165">
        <f t="shared" si="1"/>
        <v>0.60000000000000009</v>
      </c>
      <c r="N61" s="122"/>
    </row>
    <row r="62" spans="2:14" x14ac:dyDescent="0.25">
      <c r="B62" s="121"/>
      <c r="C62" s="159">
        <v>40</v>
      </c>
      <c r="D62" s="170">
        <v>39</v>
      </c>
      <c r="E62" s="170" t="s">
        <v>75</v>
      </c>
      <c r="F62" s="159" t="s">
        <v>526</v>
      </c>
      <c r="G62" s="170" t="s">
        <v>44</v>
      </c>
      <c r="H62" s="168" t="s">
        <v>1137</v>
      </c>
      <c r="I62" s="169">
        <v>502</v>
      </c>
      <c r="J62" s="159">
        <v>144.9</v>
      </c>
      <c r="K62" s="159">
        <v>145.69999999999999</v>
      </c>
      <c r="L62" s="164">
        <f t="shared" si="0"/>
        <v>290.60000000000002</v>
      </c>
      <c r="M62" s="165">
        <f t="shared" si="1"/>
        <v>0.57888446215139444</v>
      </c>
      <c r="N62" s="122"/>
    </row>
    <row r="63" spans="2:14" x14ac:dyDescent="0.25">
      <c r="B63" s="121"/>
      <c r="C63" s="159">
        <v>41</v>
      </c>
      <c r="D63" s="170">
        <v>28</v>
      </c>
      <c r="E63" s="170" t="s">
        <v>75</v>
      </c>
      <c r="F63" s="159" t="s">
        <v>526</v>
      </c>
      <c r="G63" s="170" t="s">
        <v>44</v>
      </c>
      <c r="H63" s="205" t="s">
        <v>1138</v>
      </c>
      <c r="I63" s="169">
        <v>443</v>
      </c>
      <c r="J63" s="159">
        <v>134.4</v>
      </c>
      <c r="K63" s="159">
        <v>134.6</v>
      </c>
      <c r="L63" s="164">
        <f t="shared" si="0"/>
        <v>269</v>
      </c>
      <c r="M63" s="165">
        <f t="shared" si="1"/>
        <v>0.60722347629796836</v>
      </c>
      <c r="N63" s="122"/>
    </row>
    <row r="64" spans="2:14" x14ac:dyDescent="0.25">
      <c r="B64" s="121"/>
      <c r="C64" s="159">
        <v>42</v>
      </c>
      <c r="D64" s="170">
        <v>36</v>
      </c>
      <c r="E64" s="170" t="s">
        <v>75</v>
      </c>
      <c r="F64" s="159" t="s">
        <v>526</v>
      </c>
      <c r="G64" s="170" t="s">
        <v>44</v>
      </c>
      <c r="H64" s="168" t="s">
        <v>1139</v>
      </c>
      <c r="I64" s="169">
        <v>482</v>
      </c>
      <c r="J64" s="159">
        <v>145.69999999999999</v>
      </c>
      <c r="K64" s="163">
        <v>144.4</v>
      </c>
      <c r="L64" s="164">
        <f t="shared" si="0"/>
        <v>290.10000000000002</v>
      </c>
      <c r="M64" s="165">
        <f t="shared" si="1"/>
        <v>0.60186721991701253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66"/>
      <c r="D66" s="266">
        <f>+COUNT($D$22:$D$65)</f>
        <v>42</v>
      </c>
      <c r="E66" s="266"/>
      <c r="F66" s="373"/>
      <c r="G66" s="373"/>
      <c r="H66" s="149"/>
      <c r="I66" s="148">
        <f>SUM($I$22:$I$65)</f>
        <v>16674</v>
      </c>
      <c r="J66" s="150">
        <f>SUM($J$22:$J$65)</f>
        <v>4827.0999999999976</v>
      </c>
      <c r="K66" s="151">
        <f>SUM($K$22:$K$65)</f>
        <v>4819.7</v>
      </c>
      <c r="L66" s="148">
        <f>SUM($L$22:$L$65)</f>
        <v>9646.7999999999993</v>
      </c>
      <c r="M66" s="178">
        <f t="shared" si="1"/>
        <v>0.57855343648794522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110.62</v>
      </c>
      <c r="I71" s="119">
        <v>107.97999999999999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42</v>
      </c>
      <c r="I72" s="119">
        <v>67.900000000000006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41</v>
      </c>
      <c r="I73" s="119">
        <v>205.84</v>
      </c>
      <c r="J73" s="181">
        <v>2</v>
      </c>
      <c r="K73" s="185">
        <v>3.98</v>
      </c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42</v>
      </c>
      <c r="I74" s="119">
        <v>42.519999999999996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19.943999999999999</v>
      </c>
      <c r="I75" s="119">
        <v>18.78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83</v>
      </c>
      <c r="I76" s="119">
        <v>38.840000000000003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0</v>
      </c>
      <c r="I77" s="119">
        <v>0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42</v>
      </c>
      <c r="I78" s="119">
        <v>31.04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27</v>
      </c>
      <c r="I79" s="119">
        <v>31.5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55.5</v>
      </c>
      <c r="I80" s="119">
        <v>52.88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21.27</v>
      </c>
      <c r="I81" s="119">
        <v>40.56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42</v>
      </c>
      <c r="I82" s="119">
        <v>13.780000000000001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0</v>
      </c>
      <c r="I83" s="119">
        <v>0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651.61999999999989</v>
      </c>
      <c r="J84" s="187">
        <f>SUM(J71:J83)</f>
        <v>2</v>
      </c>
      <c r="K84" s="186">
        <f>SUM(K71:K83)</f>
        <v>3.98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42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55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H29" sqref="H29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0.56494922903347111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166.9111111111111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566</v>
      </c>
      <c r="F8" s="344"/>
      <c r="G8" s="344"/>
      <c r="H8" s="345"/>
      <c r="I8" s="146" t="s">
        <v>487</v>
      </c>
      <c r="J8" s="346" t="s">
        <v>1098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28012</v>
      </c>
      <c r="F9" s="344"/>
      <c r="G9" s="344"/>
      <c r="H9" s="345"/>
      <c r="I9" s="146" t="s">
        <v>88</v>
      </c>
      <c r="J9" s="209" t="s">
        <v>1099</v>
      </c>
      <c r="K9" s="269" t="s">
        <v>490</v>
      </c>
      <c r="L9" s="369" t="s">
        <v>1100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67" t="s">
        <v>569</v>
      </c>
      <c r="E12" s="384">
        <v>46055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52</v>
      </c>
      <c r="F13" s="349"/>
      <c r="H13" s="117"/>
      <c r="I13" s="123"/>
      <c r="J13" s="215" t="s">
        <v>483</v>
      </c>
      <c r="K13" s="268">
        <f>+COUNTIF($G$22:$G$66,"VQ")*2</f>
        <v>20</v>
      </c>
      <c r="L13" s="268">
        <f>+SUMIF($G$23:$G$65,"VQ",$L$23:$L$65)</f>
        <v>1589.2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18</v>
      </c>
      <c r="F14" s="350"/>
      <c r="H14" s="117"/>
      <c r="I14" s="123"/>
      <c r="J14" s="215" t="s">
        <v>42</v>
      </c>
      <c r="K14" s="268">
        <f>+COUNTIF($G$22:$G$66,"NT")*2</f>
        <v>16</v>
      </c>
      <c r="L14" s="268">
        <f>+SUMIF($G$23:$G$65,"NT",$L$23:$L$65)</f>
        <v>1415.2000000000003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5318</v>
      </c>
      <c r="F15" s="350"/>
      <c r="H15" s="117"/>
      <c r="I15" s="123"/>
      <c r="J15" s="215" t="s">
        <v>484</v>
      </c>
      <c r="K15" s="268">
        <f>+COUNTIF($G$22:$G$66,"NO")*2</f>
        <v>0</v>
      </c>
      <c r="L15" s="268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3004.3999999999996</v>
      </c>
      <c r="F16" s="350"/>
      <c r="H16" s="117"/>
      <c r="I16" s="123"/>
      <c r="J16" s="215" t="s">
        <v>485</v>
      </c>
      <c r="K16" s="268">
        <f>+COUNTIF($G$22:$G$66,"TO")*2</f>
        <v>0</v>
      </c>
      <c r="L16" s="268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0.56494922903347111</v>
      </c>
      <c r="F17" s="350"/>
      <c r="G17" s="124"/>
      <c r="H17" s="125"/>
      <c r="I17" s="123"/>
      <c r="J17" s="215" t="s">
        <v>486</v>
      </c>
      <c r="K17" s="268">
        <f>+COUNTIF($G$22:$G$66,"VA")*2</f>
        <v>0</v>
      </c>
      <c r="L17" s="268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166.9111111111111</v>
      </c>
      <c r="F18" s="353"/>
      <c r="G18" s="124"/>
      <c r="H18" s="125"/>
      <c r="I18" s="123"/>
      <c r="J18" s="215" t="s">
        <v>44</v>
      </c>
      <c r="K18" s="268">
        <f>+COUNTIF($G$22:$G$66,"MEJ")*2</f>
        <v>0</v>
      </c>
      <c r="L18" s="268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43</v>
      </c>
      <c r="D23" s="152">
        <v>1</v>
      </c>
      <c r="E23" s="152" t="s">
        <v>68</v>
      </c>
      <c r="F23" s="152" t="s">
        <v>526</v>
      </c>
      <c r="G23" s="153" t="s">
        <v>483</v>
      </c>
      <c r="H23" s="154" t="s">
        <v>1082</v>
      </c>
      <c r="I23" s="155">
        <v>318</v>
      </c>
      <c r="J23" s="152">
        <v>92.9</v>
      </c>
      <c r="K23" s="156">
        <v>92.6</v>
      </c>
      <c r="L23" s="157">
        <f t="shared" ref="L23:L65" si="0">+J23+K23</f>
        <v>185.5</v>
      </c>
      <c r="M23" s="158">
        <f t="shared" ref="M23:M66" si="1">+L23/I23</f>
        <v>0.58333333333333337</v>
      </c>
      <c r="N23" s="122"/>
    </row>
    <row r="24" spans="2:14" x14ac:dyDescent="0.25">
      <c r="B24" s="121"/>
      <c r="C24" s="159">
        <v>44</v>
      </c>
      <c r="D24" s="159">
        <v>2</v>
      </c>
      <c r="E24" s="159" t="s">
        <v>75</v>
      </c>
      <c r="F24" s="159" t="s">
        <v>526</v>
      </c>
      <c r="G24" s="160" t="s">
        <v>42</v>
      </c>
      <c r="H24" s="161" t="s">
        <v>1083</v>
      </c>
      <c r="I24" s="162">
        <v>310</v>
      </c>
      <c r="J24" s="159">
        <v>89.8</v>
      </c>
      <c r="K24" s="163">
        <v>88.7</v>
      </c>
      <c r="L24" s="164">
        <f t="shared" si="0"/>
        <v>178.5</v>
      </c>
      <c r="M24" s="165">
        <f t="shared" si="1"/>
        <v>0.57580645161290323</v>
      </c>
      <c r="N24" s="122"/>
    </row>
    <row r="25" spans="2:14" x14ac:dyDescent="0.25">
      <c r="B25" s="121"/>
      <c r="C25" s="159">
        <v>45</v>
      </c>
      <c r="D25" s="159">
        <v>7</v>
      </c>
      <c r="E25" s="159" t="s">
        <v>68</v>
      </c>
      <c r="F25" s="159" t="s">
        <v>526</v>
      </c>
      <c r="G25" s="160" t="s">
        <v>42</v>
      </c>
      <c r="H25" s="161" t="s">
        <v>1084</v>
      </c>
      <c r="I25" s="162">
        <v>277</v>
      </c>
      <c r="J25" s="159">
        <v>82.4</v>
      </c>
      <c r="K25" s="163">
        <v>82</v>
      </c>
      <c r="L25" s="164">
        <f t="shared" si="0"/>
        <v>164.4</v>
      </c>
      <c r="M25" s="165">
        <f t="shared" si="1"/>
        <v>0.59350180505415162</v>
      </c>
      <c r="N25" s="122"/>
    </row>
    <row r="26" spans="2:14" x14ac:dyDescent="0.25">
      <c r="B26" s="121"/>
      <c r="C26" s="159">
        <v>46</v>
      </c>
      <c r="D26" s="159">
        <v>4</v>
      </c>
      <c r="E26" s="159" t="s">
        <v>67</v>
      </c>
      <c r="F26" s="159" t="s">
        <v>526</v>
      </c>
      <c r="G26" s="160" t="s">
        <v>42</v>
      </c>
      <c r="H26" s="161" t="s">
        <v>1085</v>
      </c>
      <c r="I26" s="162">
        <v>288</v>
      </c>
      <c r="J26" s="159">
        <v>80.900000000000006</v>
      </c>
      <c r="K26" s="163">
        <v>81.8</v>
      </c>
      <c r="L26" s="164">
        <f t="shared" si="0"/>
        <v>162.69999999999999</v>
      </c>
      <c r="M26" s="165">
        <f t="shared" si="1"/>
        <v>0.56493055555555549</v>
      </c>
      <c r="N26" s="122"/>
    </row>
    <row r="27" spans="2:14" x14ac:dyDescent="0.25">
      <c r="B27" s="121"/>
      <c r="C27" s="159">
        <v>47</v>
      </c>
      <c r="D27" s="159">
        <v>15</v>
      </c>
      <c r="E27" s="159" t="s">
        <v>68</v>
      </c>
      <c r="F27" s="159" t="s">
        <v>526</v>
      </c>
      <c r="G27" s="160" t="s">
        <v>42</v>
      </c>
      <c r="H27" s="161" t="s">
        <v>1086</v>
      </c>
      <c r="I27" s="162">
        <v>319</v>
      </c>
      <c r="J27" s="159">
        <v>91.6</v>
      </c>
      <c r="K27" s="163">
        <v>93</v>
      </c>
      <c r="L27" s="164">
        <f t="shared" si="0"/>
        <v>184.6</v>
      </c>
      <c r="M27" s="165">
        <f t="shared" si="1"/>
        <v>0.57868338557993726</v>
      </c>
      <c r="N27" s="122"/>
    </row>
    <row r="28" spans="2:14" x14ac:dyDescent="0.25">
      <c r="B28" s="121"/>
      <c r="C28" s="159">
        <v>48</v>
      </c>
      <c r="D28" s="159">
        <v>14</v>
      </c>
      <c r="E28" s="159" t="s">
        <v>68</v>
      </c>
      <c r="F28" s="159" t="s">
        <v>526</v>
      </c>
      <c r="G28" s="160" t="s">
        <v>42</v>
      </c>
      <c r="H28" s="161" t="s">
        <v>1087</v>
      </c>
      <c r="I28" s="162">
        <v>321</v>
      </c>
      <c r="J28" s="159">
        <v>90.7</v>
      </c>
      <c r="K28" s="163">
        <v>89.9</v>
      </c>
      <c r="L28" s="164">
        <f t="shared" si="0"/>
        <v>180.60000000000002</v>
      </c>
      <c r="M28" s="165">
        <f t="shared" si="1"/>
        <v>0.56261682242990663</v>
      </c>
      <c r="N28" s="122"/>
    </row>
    <row r="29" spans="2:14" x14ac:dyDescent="0.25">
      <c r="B29" s="121"/>
      <c r="C29" s="160">
        <v>49</v>
      </c>
      <c r="D29" s="160">
        <v>9</v>
      </c>
      <c r="E29" s="160" t="s">
        <v>67</v>
      </c>
      <c r="F29" s="159" t="s">
        <v>526</v>
      </c>
      <c r="G29" s="160" t="s">
        <v>483</v>
      </c>
      <c r="H29" s="161" t="s">
        <v>1088</v>
      </c>
      <c r="I29" s="162">
        <v>274</v>
      </c>
      <c r="J29" s="159">
        <v>70.599999999999994</v>
      </c>
      <c r="K29" s="163">
        <v>72.900000000000006</v>
      </c>
      <c r="L29" s="164">
        <f t="shared" si="0"/>
        <v>143.5</v>
      </c>
      <c r="M29" s="165">
        <f t="shared" si="1"/>
        <v>0.52372262773722633</v>
      </c>
      <c r="N29" s="122"/>
    </row>
    <row r="30" spans="2:14" x14ac:dyDescent="0.25">
      <c r="B30" s="121"/>
      <c r="C30" s="160">
        <v>50</v>
      </c>
      <c r="D30" s="160">
        <v>10</v>
      </c>
      <c r="E30" s="160" t="s">
        <v>68</v>
      </c>
      <c r="F30" s="159" t="s">
        <v>526</v>
      </c>
      <c r="G30" s="160" t="s">
        <v>483</v>
      </c>
      <c r="H30" s="161" t="s">
        <v>1089</v>
      </c>
      <c r="I30" s="162">
        <v>292</v>
      </c>
      <c r="J30" s="159">
        <v>82.7</v>
      </c>
      <c r="K30" s="163">
        <v>83.4</v>
      </c>
      <c r="L30" s="164">
        <f t="shared" si="0"/>
        <v>166.10000000000002</v>
      </c>
      <c r="M30" s="165">
        <f t="shared" si="1"/>
        <v>0.56883561643835623</v>
      </c>
      <c r="N30" s="122"/>
    </row>
    <row r="31" spans="2:14" x14ac:dyDescent="0.25">
      <c r="B31" s="121"/>
      <c r="C31" s="159">
        <v>51</v>
      </c>
      <c r="D31" s="159">
        <v>13</v>
      </c>
      <c r="E31" s="159" t="s">
        <v>67</v>
      </c>
      <c r="F31" s="159" t="s">
        <v>526</v>
      </c>
      <c r="G31" s="160" t="s">
        <v>483</v>
      </c>
      <c r="H31" s="161" t="s">
        <v>1090</v>
      </c>
      <c r="I31" s="162">
        <v>299</v>
      </c>
      <c r="J31" s="159">
        <v>83</v>
      </c>
      <c r="K31" s="163">
        <v>83.7</v>
      </c>
      <c r="L31" s="164">
        <f t="shared" si="0"/>
        <v>166.7</v>
      </c>
      <c r="M31" s="165">
        <f t="shared" si="1"/>
        <v>0.55752508361204012</v>
      </c>
      <c r="N31" s="122"/>
    </row>
    <row r="32" spans="2:14" x14ac:dyDescent="0.25">
      <c r="B32" s="121"/>
      <c r="C32" s="159">
        <v>52</v>
      </c>
      <c r="D32" s="159">
        <v>3</v>
      </c>
      <c r="E32" s="159" t="s">
        <v>67</v>
      </c>
      <c r="F32" s="159" t="s">
        <v>526</v>
      </c>
      <c r="G32" s="160" t="s">
        <v>483</v>
      </c>
      <c r="H32" s="161" t="s">
        <v>1091</v>
      </c>
      <c r="I32" s="162">
        <v>281</v>
      </c>
      <c r="J32" s="159">
        <v>76.5</v>
      </c>
      <c r="K32" s="163">
        <v>75.8</v>
      </c>
      <c r="L32" s="164">
        <f t="shared" si="0"/>
        <v>152.30000000000001</v>
      </c>
      <c r="M32" s="165">
        <f t="shared" si="1"/>
        <v>0.54199288256227762</v>
      </c>
      <c r="N32" s="122"/>
    </row>
    <row r="33" spans="2:14" x14ac:dyDescent="0.25">
      <c r="B33" s="121"/>
      <c r="C33" s="160">
        <v>53</v>
      </c>
      <c r="D33" s="160">
        <v>5</v>
      </c>
      <c r="E33" s="160" t="s">
        <v>68</v>
      </c>
      <c r="F33" s="159" t="s">
        <v>526</v>
      </c>
      <c r="G33" s="160" t="s">
        <v>42</v>
      </c>
      <c r="H33" s="161" t="s">
        <v>1092</v>
      </c>
      <c r="I33" s="162">
        <v>320</v>
      </c>
      <c r="J33" s="159">
        <v>89.7</v>
      </c>
      <c r="K33" s="163">
        <v>90.9</v>
      </c>
      <c r="L33" s="164">
        <f t="shared" si="0"/>
        <v>180.60000000000002</v>
      </c>
      <c r="M33" s="165">
        <f t="shared" si="1"/>
        <v>0.56437500000000007</v>
      </c>
      <c r="N33" s="122"/>
    </row>
    <row r="34" spans="2:14" x14ac:dyDescent="0.25">
      <c r="B34" s="121"/>
      <c r="C34" s="159">
        <v>54</v>
      </c>
      <c r="D34" s="159">
        <v>11</v>
      </c>
      <c r="E34" s="159" t="s">
        <v>68</v>
      </c>
      <c r="F34" s="159" t="s">
        <v>526</v>
      </c>
      <c r="G34" s="160" t="s">
        <v>483</v>
      </c>
      <c r="H34" s="161" t="s">
        <v>1093</v>
      </c>
      <c r="I34" s="162">
        <v>286</v>
      </c>
      <c r="J34" s="159">
        <v>78.099999999999994</v>
      </c>
      <c r="K34" s="166">
        <v>79.5</v>
      </c>
      <c r="L34" s="164">
        <f t="shared" si="0"/>
        <v>157.6</v>
      </c>
      <c r="M34" s="167">
        <f t="shared" si="1"/>
        <v>0.55104895104895102</v>
      </c>
      <c r="N34" s="122"/>
    </row>
    <row r="35" spans="2:14" x14ac:dyDescent="0.25">
      <c r="B35" s="121"/>
      <c r="C35" s="159">
        <v>55</v>
      </c>
      <c r="D35" s="159">
        <v>12</v>
      </c>
      <c r="E35" s="159" t="s">
        <v>68</v>
      </c>
      <c r="F35" s="159" t="s">
        <v>526</v>
      </c>
      <c r="G35" s="160" t="s">
        <v>42</v>
      </c>
      <c r="H35" s="161" t="s">
        <v>1094</v>
      </c>
      <c r="I35" s="162">
        <v>336</v>
      </c>
      <c r="J35" s="159">
        <v>95.3</v>
      </c>
      <c r="K35" s="163">
        <v>95.9</v>
      </c>
      <c r="L35" s="164">
        <f t="shared" si="0"/>
        <v>191.2</v>
      </c>
      <c r="M35" s="165">
        <f t="shared" si="1"/>
        <v>0.56904761904761902</v>
      </c>
      <c r="N35" s="122"/>
    </row>
    <row r="36" spans="2:14" x14ac:dyDescent="0.25">
      <c r="B36" s="121"/>
      <c r="C36" s="159">
        <v>56</v>
      </c>
      <c r="D36" s="159">
        <v>6</v>
      </c>
      <c r="E36" s="159" t="s">
        <v>67</v>
      </c>
      <c r="F36" s="159" t="s">
        <v>526</v>
      </c>
      <c r="G36" s="160" t="s">
        <v>483</v>
      </c>
      <c r="H36" s="161" t="s">
        <v>1095</v>
      </c>
      <c r="I36" s="162">
        <v>260</v>
      </c>
      <c r="J36" s="159">
        <v>72.3</v>
      </c>
      <c r="K36" s="163">
        <v>72.099999999999994</v>
      </c>
      <c r="L36" s="164">
        <f t="shared" si="0"/>
        <v>144.39999999999998</v>
      </c>
      <c r="M36" s="165">
        <f t="shared" si="1"/>
        <v>0.55538461538461525</v>
      </c>
      <c r="N36" s="122"/>
    </row>
    <row r="37" spans="2:14" x14ac:dyDescent="0.25">
      <c r="B37" s="121"/>
      <c r="C37" s="159">
        <v>57</v>
      </c>
      <c r="D37" s="159">
        <v>18</v>
      </c>
      <c r="E37" s="159" t="s">
        <v>68</v>
      </c>
      <c r="F37" s="159" t="s">
        <v>526</v>
      </c>
      <c r="G37" s="160" t="s">
        <v>42</v>
      </c>
      <c r="H37" s="161" t="s">
        <v>687</v>
      </c>
      <c r="I37" s="162">
        <v>298</v>
      </c>
      <c r="J37" s="159">
        <v>85.9</v>
      </c>
      <c r="K37" s="163">
        <v>86.7</v>
      </c>
      <c r="L37" s="164">
        <f t="shared" si="0"/>
        <v>172.60000000000002</v>
      </c>
      <c r="M37" s="165">
        <f t="shared" si="1"/>
        <v>0.57919463087248335</v>
      </c>
      <c r="N37" s="122"/>
    </row>
    <row r="38" spans="2:14" x14ac:dyDescent="0.25">
      <c r="B38" s="121"/>
      <c r="C38" s="159">
        <v>58</v>
      </c>
      <c r="D38" s="159">
        <v>8</v>
      </c>
      <c r="E38" s="159" t="s">
        <v>68</v>
      </c>
      <c r="F38" s="159" t="s">
        <v>526</v>
      </c>
      <c r="G38" s="159" t="s">
        <v>483</v>
      </c>
      <c r="H38" s="168" t="s">
        <v>1088</v>
      </c>
      <c r="I38" s="169">
        <v>271</v>
      </c>
      <c r="J38" s="159">
        <v>76.8</v>
      </c>
      <c r="K38" s="163">
        <v>76.099999999999994</v>
      </c>
      <c r="L38" s="164">
        <f t="shared" si="0"/>
        <v>152.89999999999998</v>
      </c>
      <c r="M38" s="165">
        <f t="shared" si="1"/>
        <v>0.56420664206642057</v>
      </c>
      <c r="N38" s="122"/>
    </row>
    <row r="39" spans="2:14" x14ac:dyDescent="0.25">
      <c r="B39" s="121"/>
      <c r="C39" s="159">
        <v>59</v>
      </c>
      <c r="D39" s="159">
        <v>16</v>
      </c>
      <c r="E39" s="159" t="s">
        <v>68</v>
      </c>
      <c r="F39" s="159" t="s">
        <v>526</v>
      </c>
      <c r="G39" s="160" t="s">
        <v>483</v>
      </c>
      <c r="H39" s="161" t="s">
        <v>1096</v>
      </c>
      <c r="I39" s="162">
        <v>288</v>
      </c>
      <c r="J39" s="159">
        <v>82.2</v>
      </c>
      <c r="K39" s="163">
        <v>82.5</v>
      </c>
      <c r="L39" s="164">
        <f t="shared" si="0"/>
        <v>164.7</v>
      </c>
      <c r="M39" s="165">
        <f t="shared" si="1"/>
        <v>0.57187499999999991</v>
      </c>
      <c r="N39" s="122"/>
    </row>
    <row r="40" spans="2:14" x14ac:dyDescent="0.25">
      <c r="B40" s="121"/>
      <c r="C40" s="159">
        <v>60</v>
      </c>
      <c r="D40" s="159">
        <v>17</v>
      </c>
      <c r="E40" s="159" t="s">
        <v>67</v>
      </c>
      <c r="F40" s="159" t="s">
        <v>526</v>
      </c>
      <c r="G40" s="160" t="s">
        <v>483</v>
      </c>
      <c r="H40" s="161" t="s">
        <v>1097</v>
      </c>
      <c r="I40" s="162">
        <v>280</v>
      </c>
      <c r="J40" s="159">
        <v>77.3</v>
      </c>
      <c r="K40" s="163">
        <v>78.2</v>
      </c>
      <c r="L40" s="164">
        <f t="shared" si="0"/>
        <v>155.5</v>
      </c>
      <c r="M40" s="165">
        <f t="shared" si="1"/>
        <v>0.55535714285714288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66"/>
      <c r="D66" s="266">
        <f>+COUNT($D$22:$D$65)</f>
        <v>18</v>
      </c>
      <c r="E66" s="266"/>
      <c r="F66" s="373"/>
      <c r="G66" s="373"/>
      <c r="H66" s="149"/>
      <c r="I66" s="148">
        <f>SUM($I$22:$I$65)</f>
        <v>5318</v>
      </c>
      <c r="J66" s="150">
        <f>SUM($J$22:$J$65)</f>
        <v>1498.7000000000003</v>
      </c>
      <c r="K66" s="151">
        <f>SUM($K$22:$K$65)</f>
        <v>1505.6999999999998</v>
      </c>
      <c r="L66" s="148">
        <f>SUM($L$22:$L$65)</f>
        <v>3004.3999999999996</v>
      </c>
      <c r="M66" s="178">
        <f t="shared" si="1"/>
        <v>0.56494922903347111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52.08</v>
      </c>
      <c r="I71" s="119">
        <v>50.06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18</v>
      </c>
      <c r="I72" s="119">
        <v>22.92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16</v>
      </c>
      <c r="I73" s="119">
        <v>62</v>
      </c>
      <c r="J73" s="181">
        <v>2</v>
      </c>
      <c r="K73" s="185">
        <v>11.22</v>
      </c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18</v>
      </c>
      <c r="I74" s="119">
        <v>15.06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8.66</v>
      </c>
      <c r="I75" s="119">
        <v>8.3800000000000008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36</v>
      </c>
      <c r="I76" s="119">
        <v>12.14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72</v>
      </c>
      <c r="I77" s="119">
        <v>10.82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18</v>
      </c>
      <c r="I78" s="119">
        <v>10.28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18</v>
      </c>
      <c r="I79" s="119">
        <v>11.12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18.5</v>
      </c>
      <c r="I80" s="119">
        <v>17.48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18</v>
      </c>
      <c r="I81" s="119">
        <v>14.54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18</v>
      </c>
      <c r="I82" s="119">
        <v>5.7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7.58</v>
      </c>
      <c r="I83" s="119">
        <v>7.06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247.55999999999997</v>
      </c>
      <c r="J84" s="187">
        <f>SUM(J71:J83)</f>
        <v>2</v>
      </c>
      <c r="K84" s="186">
        <f>SUM(K71:K83)</f>
        <v>11.22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18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54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A57" zoomScale="90" zoomScaleNormal="90" workbookViewId="0">
      <selection activeCell="I71" sqref="I71:I83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0.56895057766367141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208.57058823529414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1144</v>
      </c>
      <c r="F8" s="344"/>
      <c r="G8" s="344"/>
      <c r="H8" s="345"/>
      <c r="I8" s="146" t="s">
        <v>487</v>
      </c>
      <c r="J8" s="346" t="s">
        <v>1144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65705</v>
      </c>
      <c r="F9" s="344"/>
      <c r="G9" s="344"/>
      <c r="H9" s="345"/>
      <c r="I9" s="146" t="s">
        <v>88</v>
      </c>
      <c r="J9" s="209" t="s">
        <v>1206</v>
      </c>
      <c r="K9" s="269" t="s">
        <v>490</v>
      </c>
      <c r="L9" s="369" t="s">
        <v>1207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67" t="s">
        <v>569</v>
      </c>
      <c r="E12" s="384">
        <v>46057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53</v>
      </c>
      <c r="F13" s="349"/>
      <c r="H13" s="117"/>
      <c r="I13" s="123"/>
      <c r="J13" s="215" t="s">
        <v>483</v>
      </c>
      <c r="K13" s="268">
        <f>+COUNTIF($G$22:$G$66,"VQ")*2</f>
        <v>0</v>
      </c>
      <c r="L13" s="268">
        <f>+SUMIF($G$23:$G$65,"VQ",$L$23:$L$65)</f>
        <v>0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17</v>
      </c>
      <c r="F14" s="350"/>
      <c r="H14" s="117"/>
      <c r="I14" s="123"/>
      <c r="J14" s="215" t="s">
        <v>42</v>
      </c>
      <c r="K14" s="268">
        <f>+COUNTIF($G$22:$G$66,"NT")*2</f>
        <v>0</v>
      </c>
      <c r="L14" s="268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6232</v>
      </c>
      <c r="F15" s="350"/>
      <c r="H15" s="117"/>
      <c r="I15" s="123"/>
      <c r="J15" s="215" t="s">
        <v>484</v>
      </c>
      <c r="K15" s="268">
        <f>+COUNTIF($G$22:$G$66,"NO")*2</f>
        <v>0</v>
      </c>
      <c r="L15" s="268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3545.7000000000003</v>
      </c>
      <c r="F16" s="350"/>
      <c r="H16" s="117"/>
      <c r="I16" s="123"/>
      <c r="J16" s="215" t="s">
        <v>485</v>
      </c>
      <c r="K16" s="268">
        <f>+COUNTIF($G$22:$G$66,"TO")*2</f>
        <v>0</v>
      </c>
      <c r="L16" s="268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0.56895057766367141</v>
      </c>
      <c r="F17" s="350"/>
      <c r="G17" s="124"/>
      <c r="H17" s="125"/>
      <c r="I17" s="123"/>
      <c r="J17" s="215" t="s">
        <v>486</v>
      </c>
      <c r="K17" s="268">
        <f>+COUNTIF($G$22:$G$66,"VA")*2</f>
        <v>0</v>
      </c>
      <c r="L17" s="268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208.57058823529414</v>
      </c>
      <c r="F18" s="353"/>
      <c r="G18" s="124"/>
      <c r="H18" s="125"/>
      <c r="I18" s="123"/>
      <c r="J18" s="215" t="s">
        <v>44</v>
      </c>
      <c r="K18" s="268">
        <f>+COUNTIF($G$22:$G$66,"MEJ")*2</f>
        <v>34</v>
      </c>
      <c r="L18" s="268">
        <f>+SUMIF($G$23:$G$65,"MEJ",$L$23:$L$65)</f>
        <v>3545.7000000000003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</v>
      </c>
      <c r="D23" s="152">
        <v>10</v>
      </c>
      <c r="E23" s="152" t="s">
        <v>68</v>
      </c>
      <c r="F23" s="152" t="s">
        <v>526</v>
      </c>
      <c r="G23" s="153" t="s">
        <v>44</v>
      </c>
      <c r="H23" s="154" t="s">
        <v>933</v>
      </c>
      <c r="I23" s="155">
        <v>365</v>
      </c>
      <c r="J23" s="152">
        <v>106.6</v>
      </c>
      <c r="K23" s="156">
        <v>107</v>
      </c>
      <c r="L23" s="157">
        <f t="shared" ref="L23:L65" si="0">+J23+K23</f>
        <v>213.6</v>
      </c>
      <c r="M23" s="158">
        <f t="shared" ref="M23:M66" si="1">+L23/I23</f>
        <v>0.58520547945205481</v>
      </c>
      <c r="N23" s="122"/>
    </row>
    <row r="24" spans="2:14" x14ac:dyDescent="0.25">
      <c r="B24" s="121"/>
      <c r="C24" s="159">
        <v>2</v>
      </c>
      <c r="D24" s="159">
        <v>3</v>
      </c>
      <c r="E24" s="159" t="s">
        <v>68</v>
      </c>
      <c r="F24" s="159" t="s">
        <v>526</v>
      </c>
      <c r="G24" s="160" t="s">
        <v>44</v>
      </c>
      <c r="H24" s="161" t="s">
        <v>1194</v>
      </c>
      <c r="I24" s="162">
        <v>356</v>
      </c>
      <c r="J24" s="159">
        <v>98.5</v>
      </c>
      <c r="K24" s="163">
        <v>98.1</v>
      </c>
      <c r="L24" s="164">
        <f t="shared" si="0"/>
        <v>196.6</v>
      </c>
      <c r="M24" s="165">
        <f t="shared" si="1"/>
        <v>0.55224719101123598</v>
      </c>
      <c r="N24" s="122"/>
    </row>
    <row r="25" spans="2:14" x14ac:dyDescent="0.25">
      <c r="B25" s="121"/>
      <c r="C25" s="159">
        <v>3</v>
      </c>
      <c r="D25" s="159">
        <v>7</v>
      </c>
      <c r="E25" s="159" t="s">
        <v>67</v>
      </c>
      <c r="F25" s="159" t="s">
        <v>526</v>
      </c>
      <c r="G25" s="160" t="s">
        <v>44</v>
      </c>
      <c r="H25" s="161" t="s">
        <v>1195</v>
      </c>
      <c r="I25" s="162">
        <v>332</v>
      </c>
      <c r="J25" s="159">
        <v>93</v>
      </c>
      <c r="K25" s="163">
        <v>90.7</v>
      </c>
      <c r="L25" s="164">
        <f t="shared" si="0"/>
        <v>183.7</v>
      </c>
      <c r="M25" s="165">
        <f t="shared" si="1"/>
        <v>0.55331325301204815</v>
      </c>
      <c r="N25" s="122"/>
    </row>
    <row r="26" spans="2:14" x14ac:dyDescent="0.25">
      <c r="B26" s="121"/>
      <c r="C26" s="159">
        <v>4</v>
      </c>
      <c r="D26" s="159">
        <v>1</v>
      </c>
      <c r="E26" s="159" t="s">
        <v>67</v>
      </c>
      <c r="F26" s="159" t="s">
        <v>526</v>
      </c>
      <c r="G26" s="160" t="s">
        <v>44</v>
      </c>
      <c r="H26" s="161" t="s">
        <v>1196</v>
      </c>
      <c r="I26" s="162">
        <v>371</v>
      </c>
      <c r="J26" s="159">
        <v>102.5</v>
      </c>
      <c r="K26" s="163">
        <v>102.3</v>
      </c>
      <c r="L26" s="164">
        <f t="shared" si="0"/>
        <v>204.8</v>
      </c>
      <c r="M26" s="165">
        <f t="shared" si="1"/>
        <v>0.55202156334231811</v>
      </c>
      <c r="N26" s="122"/>
    </row>
    <row r="27" spans="2:14" x14ac:dyDescent="0.25">
      <c r="B27" s="121"/>
      <c r="C27" s="159">
        <v>5</v>
      </c>
      <c r="D27" s="159">
        <v>11</v>
      </c>
      <c r="E27" s="159" t="s">
        <v>67</v>
      </c>
      <c r="F27" s="159" t="s">
        <v>526</v>
      </c>
      <c r="G27" s="160" t="s">
        <v>44</v>
      </c>
      <c r="H27" s="161" t="s">
        <v>1197</v>
      </c>
      <c r="I27" s="162">
        <v>343</v>
      </c>
      <c r="J27" s="159">
        <v>100.1</v>
      </c>
      <c r="K27" s="163">
        <v>100.7</v>
      </c>
      <c r="L27" s="164">
        <f t="shared" si="0"/>
        <v>200.8</v>
      </c>
      <c r="M27" s="165">
        <f t="shared" si="1"/>
        <v>0.58542274052478138</v>
      </c>
      <c r="N27" s="122"/>
    </row>
    <row r="28" spans="2:14" x14ac:dyDescent="0.25">
      <c r="B28" s="121"/>
      <c r="C28" s="159">
        <v>6</v>
      </c>
      <c r="D28" s="159">
        <v>9</v>
      </c>
      <c r="E28" s="159" t="s">
        <v>68</v>
      </c>
      <c r="F28" s="159" t="s">
        <v>526</v>
      </c>
      <c r="G28" s="160" t="s">
        <v>44</v>
      </c>
      <c r="H28" s="161" t="s">
        <v>1198</v>
      </c>
      <c r="I28" s="162">
        <v>404</v>
      </c>
      <c r="J28" s="159">
        <v>105.5</v>
      </c>
      <c r="K28" s="163">
        <v>106.8</v>
      </c>
      <c r="L28" s="164">
        <f t="shared" si="0"/>
        <v>212.3</v>
      </c>
      <c r="M28" s="165">
        <f t="shared" si="1"/>
        <v>0.52549504950495052</v>
      </c>
      <c r="N28" s="122"/>
    </row>
    <row r="29" spans="2:14" x14ac:dyDescent="0.25">
      <c r="B29" s="121"/>
      <c r="C29" s="160">
        <v>7</v>
      </c>
      <c r="D29" s="160">
        <v>2</v>
      </c>
      <c r="E29" s="160" t="s">
        <v>68</v>
      </c>
      <c r="F29" s="160" t="s">
        <v>526</v>
      </c>
      <c r="G29" s="160" t="s">
        <v>44</v>
      </c>
      <c r="H29" s="161" t="s">
        <v>41</v>
      </c>
      <c r="I29" s="162">
        <v>287</v>
      </c>
      <c r="J29" s="159">
        <v>75.099999999999994</v>
      </c>
      <c r="K29" s="163">
        <v>74.099999999999994</v>
      </c>
      <c r="L29" s="164">
        <f t="shared" si="0"/>
        <v>149.19999999999999</v>
      </c>
      <c r="M29" s="165">
        <f t="shared" si="1"/>
        <v>0.51986062717770032</v>
      </c>
      <c r="N29" s="122"/>
    </row>
    <row r="30" spans="2:14" x14ac:dyDescent="0.25">
      <c r="B30" s="121"/>
      <c r="C30" s="160">
        <v>8</v>
      </c>
      <c r="D30" s="160">
        <v>17</v>
      </c>
      <c r="E30" s="160" t="s">
        <v>67</v>
      </c>
      <c r="F30" s="160" t="s">
        <v>527</v>
      </c>
      <c r="G30" s="160" t="s">
        <v>44</v>
      </c>
      <c r="H30" s="161" t="s">
        <v>955</v>
      </c>
      <c r="I30" s="162">
        <v>387</v>
      </c>
      <c r="J30" s="159">
        <v>111.9</v>
      </c>
      <c r="K30" s="163">
        <v>114.9</v>
      </c>
      <c r="L30" s="164">
        <f t="shared" si="0"/>
        <v>226.8</v>
      </c>
      <c r="M30" s="165">
        <f t="shared" si="1"/>
        <v>0.586046511627907</v>
      </c>
      <c r="N30" s="122"/>
    </row>
    <row r="31" spans="2:14" x14ac:dyDescent="0.25">
      <c r="B31" s="121"/>
      <c r="C31" s="159">
        <v>9</v>
      </c>
      <c r="D31" s="159">
        <v>6</v>
      </c>
      <c r="E31" s="159" t="s">
        <v>67</v>
      </c>
      <c r="F31" s="159" t="s">
        <v>526</v>
      </c>
      <c r="G31" s="160" t="s">
        <v>44</v>
      </c>
      <c r="H31" s="161" t="s">
        <v>1199</v>
      </c>
      <c r="I31" s="162">
        <v>399</v>
      </c>
      <c r="J31" s="159">
        <v>112.4</v>
      </c>
      <c r="K31" s="163">
        <v>114</v>
      </c>
      <c r="L31" s="164">
        <f t="shared" si="0"/>
        <v>226.4</v>
      </c>
      <c r="M31" s="165">
        <f t="shared" si="1"/>
        <v>0.56741854636591482</v>
      </c>
      <c r="N31" s="122"/>
    </row>
    <row r="32" spans="2:14" x14ac:dyDescent="0.25">
      <c r="B32" s="121"/>
      <c r="C32" s="159">
        <v>10</v>
      </c>
      <c r="D32" s="159">
        <v>4</v>
      </c>
      <c r="E32" s="159" t="s">
        <v>68</v>
      </c>
      <c r="F32" s="159" t="s">
        <v>526</v>
      </c>
      <c r="G32" s="160" t="s">
        <v>44</v>
      </c>
      <c r="H32" s="161" t="s">
        <v>1200</v>
      </c>
      <c r="I32" s="162">
        <v>335</v>
      </c>
      <c r="J32" s="159">
        <v>97.4</v>
      </c>
      <c r="K32" s="163">
        <v>97.5</v>
      </c>
      <c r="L32" s="164">
        <f t="shared" si="0"/>
        <v>194.9</v>
      </c>
      <c r="M32" s="165">
        <f t="shared" si="1"/>
        <v>0.58179104477611943</v>
      </c>
      <c r="N32" s="122"/>
    </row>
    <row r="33" spans="2:14" x14ac:dyDescent="0.25">
      <c r="B33" s="121"/>
      <c r="C33" s="160">
        <v>11</v>
      </c>
      <c r="D33" s="160">
        <v>8</v>
      </c>
      <c r="E33" s="160" t="s">
        <v>67</v>
      </c>
      <c r="F33" s="160" t="s">
        <v>526</v>
      </c>
      <c r="G33" s="160" t="s">
        <v>44</v>
      </c>
      <c r="H33" s="161" t="s">
        <v>1201</v>
      </c>
      <c r="I33" s="162">
        <v>358</v>
      </c>
      <c r="J33" s="159">
        <v>99.6</v>
      </c>
      <c r="K33" s="163">
        <v>101.2</v>
      </c>
      <c r="L33" s="164">
        <f t="shared" si="0"/>
        <v>200.8</v>
      </c>
      <c r="M33" s="165">
        <f t="shared" si="1"/>
        <v>0.56089385474860343</v>
      </c>
      <c r="N33" s="122"/>
    </row>
    <row r="34" spans="2:14" x14ac:dyDescent="0.25">
      <c r="B34" s="121"/>
      <c r="C34" s="159">
        <v>12</v>
      </c>
      <c r="D34" s="159">
        <v>15</v>
      </c>
      <c r="E34" s="159" t="s">
        <v>67</v>
      </c>
      <c r="F34" s="159" t="s">
        <v>526</v>
      </c>
      <c r="G34" s="160" t="s">
        <v>44</v>
      </c>
      <c r="H34" s="161" t="s">
        <v>762</v>
      </c>
      <c r="I34" s="162">
        <v>324</v>
      </c>
      <c r="J34" s="159">
        <v>92.5</v>
      </c>
      <c r="K34" s="166">
        <v>93.2</v>
      </c>
      <c r="L34" s="164">
        <f t="shared" si="0"/>
        <v>185.7</v>
      </c>
      <c r="M34" s="167">
        <f t="shared" si="1"/>
        <v>0.57314814814814807</v>
      </c>
      <c r="N34" s="122"/>
    </row>
    <row r="35" spans="2:14" x14ac:dyDescent="0.25">
      <c r="B35" s="121"/>
      <c r="C35" s="159">
        <v>13</v>
      </c>
      <c r="D35" s="159">
        <v>5</v>
      </c>
      <c r="E35" s="159" t="s">
        <v>68</v>
      </c>
      <c r="F35" s="159" t="s">
        <v>526</v>
      </c>
      <c r="G35" s="160" t="s">
        <v>44</v>
      </c>
      <c r="H35" s="161" t="s">
        <v>1202</v>
      </c>
      <c r="I35" s="162">
        <v>360</v>
      </c>
      <c r="J35" s="159">
        <v>107.6</v>
      </c>
      <c r="K35" s="163">
        <v>107.2</v>
      </c>
      <c r="L35" s="164">
        <f t="shared" si="0"/>
        <v>214.8</v>
      </c>
      <c r="M35" s="165">
        <f t="shared" si="1"/>
        <v>0.59666666666666668</v>
      </c>
      <c r="N35" s="122"/>
    </row>
    <row r="36" spans="2:14" x14ac:dyDescent="0.25">
      <c r="B36" s="121"/>
      <c r="C36" s="159">
        <v>14</v>
      </c>
      <c r="D36" s="159">
        <v>16</v>
      </c>
      <c r="E36" s="159" t="s">
        <v>75</v>
      </c>
      <c r="F36" s="159" t="s">
        <v>526</v>
      </c>
      <c r="G36" s="160" t="s">
        <v>44</v>
      </c>
      <c r="H36" s="161" t="s">
        <v>1203</v>
      </c>
      <c r="I36" s="162">
        <v>361</v>
      </c>
      <c r="J36" s="159">
        <v>104.4</v>
      </c>
      <c r="K36" s="163">
        <v>104.4</v>
      </c>
      <c r="L36" s="164">
        <f t="shared" si="0"/>
        <v>208.8</v>
      </c>
      <c r="M36" s="165">
        <f t="shared" si="1"/>
        <v>0.57839335180055407</v>
      </c>
      <c r="N36" s="122"/>
    </row>
    <row r="37" spans="2:14" x14ac:dyDescent="0.25">
      <c r="B37" s="121"/>
      <c r="C37" s="159">
        <v>15</v>
      </c>
      <c r="D37" s="159">
        <v>13</v>
      </c>
      <c r="E37" s="159" t="s">
        <v>68</v>
      </c>
      <c r="F37" s="159" t="s">
        <v>750</v>
      </c>
      <c r="G37" s="160" t="s">
        <v>44</v>
      </c>
      <c r="H37" s="161" t="s">
        <v>1204</v>
      </c>
      <c r="I37" s="162">
        <v>398</v>
      </c>
      <c r="J37" s="159">
        <v>117.9</v>
      </c>
      <c r="K37" s="163">
        <v>116.3</v>
      </c>
      <c r="L37" s="164">
        <f t="shared" si="0"/>
        <v>234.2</v>
      </c>
      <c r="M37" s="165">
        <f t="shared" si="1"/>
        <v>0.58844221105527639</v>
      </c>
      <c r="N37" s="122"/>
    </row>
    <row r="38" spans="2:14" x14ac:dyDescent="0.25">
      <c r="B38" s="121"/>
      <c r="C38" s="159">
        <v>16</v>
      </c>
      <c r="D38" s="159">
        <v>14</v>
      </c>
      <c r="E38" s="159" t="s">
        <v>67</v>
      </c>
      <c r="F38" s="159" t="s">
        <v>750</v>
      </c>
      <c r="G38" s="159" t="s">
        <v>44</v>
      </c>
      <c r="H38" s="168" t="s">
        <v>1205</v>
      </c>
      <c r="I38" s="169">
        <v>461</v>
      </c>
      <c r="J38" s="159">
        <v>131.30000000000001</v>
      </c>
      <c r="K38" s="163">
        <v>131.19999999999999</v>
      </c>
      <c r="L38" s="164">
        <f t="shared" si="0"/>
        <v>262.5</v>
      </c>
      <c r="M38" s="165">
        <f t="shared" si="1"/>
        <v>0.56941431670281994</v>
      </c>
      <c r="N38" s="122"/>
    </row>
    <row r="39" spans="2:14" x14ac:dyDescent="0.25">
      <c r="B39" s="121"/>
      <c r="C39" s="159">
        <v>17</v>
      </c>
      <c r="D39" s="159">
        <v>12</v>
      </c>
      <c r="E39" s="159" t="s">
        <v>67</v>
      </c>
      <c r="F39" s="159" t="s">
        <v>527</v>
      </c>
      <c r="G39" s="160" t="s">
        <v>44</v>
      </c>
      <c r="H39" s="161" t="s">
        <v>1005</v>
      </c>
      <c r="I39" s="162">
        <v>391</v>
      </c>
      <c r="J39" s="159">
        <v>115.2</v>
      </c>
      <c r="K39" s="163">
        <v>114.6</v>
      </c>
      <c r="L39" s="164">
        <f t="shared" si="0"/>
        <v>229.8</v>
      </c>
      <c r="M39" s="165">
        <f t="shared" si="1"/>
        <v>0.58772378516624046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66"/>
      <c r="D66" s="266">
        <f>+COUNT($D$22:$D$65)</f>
        <v>17</v>
      </c>
      <c r="E66" s="266"/>
      <c r="F66" s="373"/>
      <c r="G66" s="373"/>
      <c r="H66" s="149"/>
      <c r="I66" s="148">
        <f>SUM($I$22:$I$65)</f>
        <v>6232</v>
      </c>
      <c r="J66" s="150">
        <f>SUM($J$22:$J$65)</f>
        <v>1771.5</v>
      </c>
      <c r="K66" s="151">
        <f>SUM($K$22:$K$65)</f>
        <v>1774.2</v>
      </c>
      <c r="L66" s="148">
        <f>SUM($L$22:$L$65)</f>
        <v>3545.7000000000003</v>
      </c>
      <c r="M66" s="178">
        <f t="shared" si="1"/>
        <v>0.56895057766367141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43.64</v>
      </c>
      <c r="I71" s="119">
        <v>42.58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17</v>
      </c>
      <c r="I72" s="119">
        <v>24.9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16</v>
      </c>
      <c r="I73" s="119">
        <v>63.059999999999995</v>
      </c>
      <c r="J73" s="181">
        <v>1</v>
      </c>
      <c r="K73" s="185">
        <v>3.9</v>
      </c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17</v>
      </c>
      <c r="I74" s="119">
        <v>18.98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9.94</v>
      </c>
      <c r="I75" s="119">
        <v>9.6999999999999993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34</v>
      </c>
      <c r="I76" s="119">
        <v>12.48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68</v>
      </c>
      <c r="I77" s="119">
        <v>11.1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17</v>
      </c>
      <c r="I78" s="119">
        <v>13.6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17</v>
      </c>
      <c r="I79" s="119">
        <v>12.44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22.1</v>
      </c>
      <c r="I80" s="119">
        <v>21.42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17</v>
      </c>
      <c r="I81" s="119">
        <v>16.78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17</v>
      </c>
      <c r="I82" s="119">
        <v>5.54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8.1999999999999993</v>
      </c>
      <c r="I83" s="119">
        <v>7.97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260.54999999999995</v>
      </c>
      <c r="J84" s="187">
        <f>SUM(J71:J83)</f>
        <v>1</v>
      </c>
      <c r="K84" s="186">
        <f>SUM(K71:K83)</f>
        <v>3.9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17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53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102"/>
  <sheetViews>
    <sheetView view="pageBreakPreview" topLeftCell="A68" zoomScale="60" zoomScaleNormal="90" workbookViewId="0">
      <selection activeCell="S86" sqref="S86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+M73</f>
        <v>0.58766158342388253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+L73/D73</f>
        <v>313.68200000000002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303</v>
      </c>
      <c r="F8" s="344"/>
      <c r="G8" s="344"/>
      <c r="H8" s="345"/>
      <c r="I8" s="146" t="s">
        <v>487</v>
      </c>
      <c r="J8" s="346" t="s">
        <v>751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45003</v>
      </c>
      <c r="F9" s="344"/>
      <c r="G9" s="344"/>
      <c r="H9" s="345"/>
      <c r="I9" s="146" t="s">
        <v>88</v>
      </c>
      <c r="J9" s="209" t="s">
        <v>1188</v>
      </c>
      <c r="K9" s="270" t="s">
        <v>490</v>
      </c>
      <c r="L9" s="369">
        <v>9110503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71" t="s">
        <v>569</v>
      </c>
      <c r="E12" s="384">
        <v>46056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54</v>
      </c>
      <c r="F13" s="349"/>
      <c r="H13" s="117"/>
      <c r="I13" s="123"/>
      <c r="J13" s="215" t="s">
        <v>483</v>
      </c>
      <c r="K13" s="272">
        <f>+COUNTIF($G$22:$G$73,"VQ")*2</f>
        <v>0</v>
      </c>
      <c r="L13" s="272">
        <f>+SUMIF($G$23:$G$72,"VQ",$L$23:$L$72)</f>
        <v>0</v>
      </c>
      <c r="N13" s="122"/>
    </row>
    <row r="14" spans="2:14" x14ac:dyDescent="0.25">
      <c r="B14" s="121"/>
      <c r="C14" s="348" t="s">
        <v>478</v>
      </c>
      <c r="D14" s="348"/>
      <c r="E14" s="350">
        <f>+D73</f>
        <v>50</v>
      </c>
      <c r="F14" s="350"/>
      <c r="H14" s="117"/>
      <c r="I14" s="123"/>
      <c r="J14" s="215" t="s">
        <v>42</v>
      </c>
      <c r="K14" s="272">
        <f>+COUNTIF($G$22:$G$73,"NT")*2</f>
        <v>90</v>
      </c>
      <c r="L14" s="272">
        <f>+SUMIF($G$23:$G$72,"NT",$L$23:$L$72)</f>
        <v>14357.000000000002</v>
      </c>
      <c r="N14" s="122"/>
    </row>
    <row r="15" spans="2:14" x14ac:dyDescent="0.25">
      <c r="B15" s="121"/>
      <c r="C15" s="348" t="s">
        <v>479</v>
      </c>
      <c r="D15" s="348"/>
      <c r="E15" s="351">
        <f>+I73</f>
        <v>26689</v>
      </c>
      <c r="F15" s="350"/>
      <c r="H15" s="117"/>
      <c r="I15" s="123"/>
      <c r="J15" s="215" t="s">
        <v>484</v>
      </c>
      <c r="K15" s="272">
        <f>+COUNTIF($G$22:$G$73,"NO")*2</f>
        <v>0</v>
      </c>
      <c r="L15" s="272">
        <f>+SUMIF($G$23:$G$72,"NO",$L$23:$L$72)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+L73</f>
        <v>15684.100000000002</v>
      </c>
      <c r="F16" s="350"/>
      <c r="H16" s="117"/>
      <c r="I16" s="123"/>
      <c r="J16" s="215" t="s">
        <v>485</v>
      </c>
      <c r="K16" s="272">
        <f>+COUNTIF($G$22:$G$73,"TO")*2</f>
        <v>0</v>
      </c>
      <c r="L16" s="272">
        <f>+SUMIF($G$23:$G$72,"TO",$L$23:$L$72)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+M73</f>
        <v>0.58766158342388253</v>
      </c>
      <c r="F17" s="350"/>
      <c r="G17" s="124"/>
      <c r="H17" s="125"/>
      <c r="I17" s="123"/>
      <c r="J17" s="215" t="s">
        <v>486</v>
      </c>
      <c r="K17" s="272">
        <f>+COUNTIF($G$22:$G$73,"VA")*2</f>
        <v>10</v>
      </c>
      <c r="L17" s="272">
        <f>+SUMIF($G$23:$G$72,"VA",$L$23:$L$72)</f>
        <v>1327.1000000000001</v>
      </c>
      <c r="N17" s="122"/>
    </row>
    <row r="18" spans="2:14" x14ac:dyDescent="0.25">
      <c r="B18" s="121"/>
      <c r="C18" s="348" t="s">
        <v>482</v>
      </c>
      <c r="D18" s="348"/>
      <c r="E18" s="353">
        <f>+L73/D73</f>
        <v>313.68200000000002</v>
      </c>
      <c r="F18" s="353"/>
      <c r="G18" s="124"/>
      <c r="H18" s="125"/>
      <c r="I18" s="123"/>
      <c r="J18" s="215" t="s">
        <v>44</v>
      </c>
      <c r="K18" s="272">
        <f>+COUNTIF($G$22:$G$73,"MEJ")*2</f>
        <v>0</v>
      </c>
      <c r="L18" s="272">
        <f>+SUMIF($G$23:$G$72,"MEJ",$L$23:$L$72)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</v>
      </c>
      <c r="D23" s="152">
        <v>9</v>
      </c>
      <c r="E23" s="152" t="s">
        <v>67</v>
      </c>
      <c r="F23" s="152" t="s">
        <v>750</v>
      </c>
      <c r="G23" s="153" t="s">
        <v>486</v>
      </c>
      <c r="H23" s="154" t="s">
        <v>795</v>
      </c>
      <c r="I23" s="155">
        <v>465</v>
      </c>
      <c r="J23" s="152">
        <v>124</v>
      </c>
      <c r="K23" s="156">
        <v>126</v>
      </c>
      <c r="L23" s="157">
        <f t="shared" ref="L23:L72" si="0">+J23+K23</f>
        <v>250</v>
      </c>
      <c r="M23" s="158">
        <f t="shared" ref="M23:M73" si="1">+L23/I23</f>
        <v>0.5376344086021505</v>
      </c>
      <c r="N23" s="122"/>
    </row>
    <row r="24" spans="2:14" x14ac:dyDescent="0.25">
      <c r="B24" s="121"/>
      <c r="C24" s="159">
        <v>2</v>
      </c>
      <c r="D24" s="159">
        <v>3</v>
      </c>
      <c r="E24" s="159" t="s">
        <v>75</v>
      </c>
      <c r="F24" s="159" t="s">
        <v>526</v>
      </c>
      <c r="G24" s="160" t="s">
        <v>42</v>
      </c>
      <c r="H24" s="161" t="s">
        <v>427</v>
      </c>
      <c r="I24" s="162">
        <v>542</v>
      </c>
      <c r="J24" s="159">
        <v>163.9</v>
      </c>
      <c r="K24" s="163">
        <v>166.3</v>
      </c>
      <c r="L24" s="164">
        <f t="shared" si="0"/>
        <v>330.20000000000005</v>
      </c>
      <c r="M24" s="165">
        <f t="shared" si="1"/>
        <v>0.60922509225092258</v>
      </c>
      <c r="N24" s="122"/>
    </row>
    <row r="25" spans="2:14" x14ac:dyDescent="0.25">
      <c r="B25" s="121"/>
      <c r="C25" s="159">
        <v>3</v>
      </c>
      <c r="D25" s="159">
        <v>22</v>
      </c>
      <c r="E25" s="159" t="s">
        <v>67</v>
      </c>
      <c r="F25" s="159" t="s">
        <v>526</v>
      </c>
      <c r="G25" s="160" t="s">
        <v>42</v>
      </c>
      <c r="H25" s="161" t="s">
        <v>1145</v>
      </c>
      <c r="I25" s="162">
        <v>526</v>
      </c>
      <c r="J25" s="159">
        <v>150.69999999999999</v>
      </c>
      <c r="K25" s="163">
        <v>152.69999999999999</v>
      </c>
      <c r="L25" s="164">
        <f t="shared" ref="L25:L30" si="2">+J25+K25</f>
        <v>303.39999999999998</v>
      </c>
      <c r="M25" s="165">
        <f t="shared" ref="M25:M30" si="3">+L25/I25</f>
        <v>0.57680608365019004</v>
      </c>
      <c r="N25" s="122"/>
    </row>
    <row r="26" spans="2:14" x14ac:dyDescent="0.25">
      <c r="B26" s="121"/>
      <c r="C26" s="159">
        <v>4</v>
      </c>
      <c r="D26" s="159">
        <v>20</v>
      </c>
      <c r="E26" s="159" t="s">
        <v>75</v>
      </c>
      <c r="F26" s="159" t="s">
        <v>526</v>
      </c>
      <c r="G26" s="160" t="s">
        <v>42</v>
      </c>
      <c r="H26" s="161" t="s">
        <v>308</v>
      </c>
      <c r="I26" s="162">
        <v>536</v>
      </c>
      <c r="J26" s="159">
        <v>160.6</v>
      </c>
      <c r="K26" s="163">
        <v>158.69999999999999</v>
      </c>
      <c r="L26" s="164">
        <f t="shared" si="2"/>
        <v>319.29999999999995</v>
      </c>
      <c r="M26" s="165">
        <f t="shared" si="3"/>
        <v>0.59570895522388057</v>
      </c>
      <c r="N26" s="122"/>
    </row>
    <row r="27" spans="2:14" x14ac:dyDescent="0.25">
      <c r="B27" s="121"/>
      <c r="C27" s="159">
        <v>5</v>
      </c>
      <c r="D27" s="159">
        <v>17</v>
      </c>
      <c r="E27" s="159" t="s">
        <v>75</v>
      </c>
      <c r="F27" s="159" t="s">
        <v>526</v>
      </c>
      <c r="G27" s="160" t="s">
        <v>42</v>
      </c>
      <c r="H27" s="161" t="s">
        <v>1146</v>
      </c>
      <c r="I27" s="162">
        <v>560</v>
      </c>
      <c r="J27" s="159">
        <v>161.5</v>
      </c>
      <c r="K27" s="163">
        <v>163.5</v>
      </c>
      <c r="L27" s="164">
        <f t="shared" si="2"/>
        <v>325</v>
      </c>
      <c r="M27" s="165">
        <f t="shared" si="3"/>
        <v>0.5803571428571429</v>
      </c>
      <c r="N27" s="122"/>
    </row>
    <row r="28" spans="2:14" x14ac:dyDescent="0.25">
      <c r="B28" s="121"/>
      <c r="C28" s="159">
        <v>6</v>
      </c>
      <c r="D28" s="159">
        <v>26</v>
      </c>
      <c r="E28" s="159" t="s">
        <v>67</v>
      </c>
      <c r="F28" s="159" t="s">
        <v>750</v>
      </c>
      <c r="G28" s="160" t="s">
        <v>486</v>
      </c>
      <c r="H28" s="161" t="s">
        <v>1147</v>
      </c>
      <c r="I28" s="162">
        <v>455</v>
      </c>
      <c r="J28" s="159">
        <v>123.5</v>
      </c>
      <c r="K28" s="163">
        <v>125.3</v>
      </c>
      <c r="L28" s="164">
        <f t="shared" si="2"/>
        <v>248.8</v>
      </c>
      <c r="M28" s="165">
        <f t="shared" si="3"/>
        <v>0.5468131868131868</v>
      </c>
      <c r="N28" s="122"/>
    </row>
    <row r="29" spans="2:14" x14ac:dyDescent="0.25">
      <c r="B29" s="121"/>
      <c r="C29" s="159">
        <v>7</v>
      </c>
      <c r="D29" s="159">
        <v>5</v>
      </c>
      <c r="E29" s="159" t="s">
        <v>67</v>
      </c>
      <c r="F29" s="159" t="s">
        <v>750</v>
      </c>
      <c r="G29" s="160" t="s">
        <v>486</v>
      </c>
      <c r="H29" s="161" t="s">
        <v>1148</v>
      </c>
      <c r="I29" s="162">
        <v>494</v>
      </c>
      <c r="J29" s="159">
        <v>140</v>
      </c>
      <c r="K29" s="163">
        <v>140.30000000000001</v>
      </c>
      <c r="L29" s="164">
        <f t="shared" si="2"/>
        <v>280.3</v>
      </c>
      <c r="M29" s="165">
        <f t="shared" si="3"/>
        <v>0.56740890688259116</v>
      </c>
      <c r="N29" s="122"/>
    </row>
    <row r="30" spans="2:14" x14ac:dyDescent="0.25">
      <c r="B30" s="121"/>
      <c r="C30" s="159">
        <v>8</v>
      </c>
      <c r="D30" s="159">
        <v>24</v>
      </c>
      <c r="E30" s="159" t="s">
        <v>67</v>
      </c>
      <c r="F30" s="159" t="s">
        <v>750</v>
      </c>
      <c r="G30" s="160" t="s">
        <v>486</v>
      </c>
      <c r="H30" s="161" t="s">
        <v>1149</v>
      </c>
      <c r="I30" s="162">
        <v>469</v>
      </c>
      <c r="J30" s="159">
        <v>123.3</v>
      </c>
      <c r="K30" s="163">
        <v>127.5</v>
      </c>
      <c r="L30" s="164">
        <f t="shared" si="2"/>
        <v>250.8</v>
      </c>
      <c r="M30" s="165">
        <f t="shared" si="3"/>
        <v>0.53475479744136467</v>
      </c>
      <c r="N30" s="122"/>
    </row>
    <row r="31" spans="2:14" x14ac:dyDescent="0.25">
      <c r="B31" s="121"/>
      <c r="C31" s="159">
        <v>9</v>
      </c>
      <c r="D31" s="159">
        <v>13</v>
      </c>
      <c r="E31" s="159" t="s">
        <v>67</v>
      </c>
      <c r="F31" s="159" t="s">
        <v>526</v>
      </c>
      <c r="G31" s="160" t="s">
        <v>42</v>
      </c>
      <c r="H31" s="161" t="s">
        <v>1150</v>
      </c>
      <c r="I31" s="162">
        <v>554</v>
      </c>
      <c r="J31" s="159">
        <v>161.1</v>
      </c>
      <c r="K31" s="163">
        <v>163.30000000000001</v>
      </c>
      <c r="L31" s="164">
        <f t="shared" si="0"/>
        <v>324.39999999999998</v>
      </c>
      <c r="M31" s="165">
        <f t="shared" si="1"/>
        <v>0.5855595667870036</v>
      </c>
      <c r="N31" s="122"/>
    </row>
    <row r="32" spans="2:14" x14ac:dyDescent="0.25">
      <c r="B32" s="121"/>
      <c r="C32" s="159">
        <v>10</v>
      </c>
      <c r="D32" s="159">
        <v>8</v>
      </c>
      <c r="E32" s="159" t="s">
        <v>67</v>
      </c>
      <c r="F32" s="159" t="s">
        <v>526</v>
      </c>
      <c r="G32" s="160" t="s">
        <v>42</v>
      </c>
      <c r="H32" s="161" t="s">
        <v>1151</v>
      </c>
      <c r="I32" s="162">
        <v>534</v>
      </c>
      <c r="J32" s="159">
        <v>156.5</v>
      </c>
      <c r="K32" s="163">
        <v>156.5</v>
      </c>
      <c r="L32" s="164">
        <f t="shared" si="0"/>
        <v>313</v>
      </c>
      <c r="M32" s="165">
        <f t="shared" si="1"/>
        <v>0.58614232209737827</v>
      </c>
      <c r="N32" s="122"/>
    </row>
    <row r="33" spans="2:14" x14ac:dyDescent="0.25">
      <c r="B33" s="121"/>
      <c r="C33" s="159">
        <v>11</v>
      </c>
      <c r="D33" s="159">
        <v>18</v>
      </c>
      <c r="E33" s="159" t="s">
        <v>68</v>
      </c>
      <c r="F33" s="159" t="s">
        <v>526</v>
      </c>
      <c r="G33" s="160" t="s">
        <v>42</v>
      </c>
      <c r="H33" s="161" t="s">
        <v>1152</v>
      </c>
      <c r="I33" s="162">
        <v>540</v>
      </c>
      <c r="J33" s="159">
        <v>159</v>
      </c>
      <c r="K33" s="163">
        <v>158</v>
      </c>
      <c r="L33" s="164">
        <f t="shared" si="0"/>
        <v>317</v>
      </c>
      <c r="M33" s="165">
        <f t="shared" si="1"/>
        <v>0.58703703703703702</v>
      </c>
      <c r="N33" s="122"/>
    </row>
    <row r="34" spans="2:14" x14ac:dyDescent="0.25">
      <c r="B34" s="121"/>
      <c r="C34" s="159">
        <v>12</v>
      </c>
      <c r="D34" s="159">
        <v>6</v>
      </c>
      <c r="E34" s="159" t="s">
        <v>75</v>
      </c>
      <c r="F34" s="159" t="s">
        <v>750</v>
      </c>
      <c r="G34" s="160" t="s">
        <v>486</v>
      </c>
      <c r="H34" s="161" t="s">
        <v>1153</v>
      </c>
      <c r="I34" s="162">
        <v>558</v>
      </c>
      <c r="J34" s="159">
        <v>148.4</v>
      </c>
      <c r="K34" s="163">
        <v>148.80000000000001</v>
      </c>
      <c r="L34" s="164">
        <f t="shared" si="0"/>
        <v>297.20000000000005</v>
      </c>
      <c r="M34" s="165">
        <f t="shared" si="1"/>
        <v>0.53261648745519719</v>
      </c>
      <c r="N34" s="122"/>
    </row>
    <row r="35" spans="2:14" x14ac:dyDescent="0.25">
      <c r="B35" s="121"/>
      <c r="C35" s="160">
        <v>13</v>
      </c>
      <c r="D35" s="160">
        <v>25</v>
      </c>
      <c r="E35" s="160" t="s">
        <v>67</v>
      </c>
      <c r="F35" s="159" t="s">
        <v>526</v>
      </c>
      <c r="G35" s="160" t="s">
        <v>42</v>
      </c>
      <c r="H35" s="161" t="s">
        <v>1154</v>
      </c>
      <c r="I35" s="162">
        <v>544</v>
      </c>
      <c r="J35" s="159">
        <v>168.2</v>
      </c>
      <c r="K35" s="163">
        <v>167</v>
      </c>
      <c r="L35" s="164">
        <f t="shared" si="0"/>
        <v>335.2</v>
      </c>
      <c r="M35" s="165">
        <f t="shared" si="1"/>
        <v>0.61617647058823533</v>
      </c>
      <c r="N35" s="122"/>
    </row>
    <row r="36" spans="2:14" x14ac:dyDescent="0.25">
      <c r="B36" s="121"/>
      <c r="C36" s="160">
        <v>14</v>
      </c>
      <c r="D36" s="160">
        <v>12</v>
      </c>
      <c r="E36" s="160" t="s">
        <v>75</v>
      </c>
      <c r="F36" s="159" t="s">
        <v>526</v>
      </c>
      <c r="G36" s="160" t="s">
        <v>42</v>
      </c>
      <c r="H36" s="161" t="s">
        <v>1155</v>
      </c>
      <c r="I36" s="162">
        <v>534</v>
      </c>
      <c r="J36" s="159">
        <v>159.80000000000001</v>
      </c>
      <c r="K36" s="163">
        <v>162.6</v>
      </c>
      <c r="L36" s="164">
        <f t="shared" si="0"/>
        <v>322.39999999999998</v>
      </c>
      <c r="M36" s="165">
        <f t="shared" si="1"/>
        <v>0.60374531835205991</v>
      </c>
      <c r="N36" s="122"/>
    </row>
    <row r="37" spans="2:14" x14ac:dyDescent="0.25">
      <c r="B37" s="121"/>
      <c r="C37" s="159">
        <v>15</v>
      </c>
      <c r="D37" s="159">
        <v>15</v>
      </c>
      <c r="E37" s="159" t="s">
        <v>67</v>
      </c>
      <c r="F37" s="159" t="s">
        <v>526</v>
      </c>
      <c r="G37" s="160" t="s">
        <v>42</v>
      </c>
      <c r="H37" s="161" t="s">
        <v>1156</v>
      </c>
      <c r="I37" s="162">
        <v>538</v>
      </c>
      <c r="J37" s="159">
        <v>158.69999999999999</v>
      </c>
      <c r="K37" s="163">
        <v>158.30000000000001</v>
      </c>
      <c r="L37" s="164">
        <f t="shared" si="0"/>
        <v>317</v>
      </c>
      <c r="M37" s="165">
        <f t="shared" si="1"/>
        <v>0.58921933085501854</v>
      </c>
      <c r="N37" s="122"/>
    </row>
    <row r="38" spans="2:14" x14ac:dyDescent="0.25">
      <c r="B38" s="121"/>
      <c r="C38" s="159">
        <v>16</v>
      </c>
      <c r="D38" s="159">
        <v>23</v>
      </c>
      <c r="E38" s="159" t="s">
        <v>75</v>
      </c>
      <c r="F38" s="159" t="s">
        <v>526</v>
      </c>
      <c r="G38" s="160" t="s">
        <v>42</v>
      </c>
      <c r="H38" s="161" t="s">
        <v>1157</v>
      </c>
      <c r="I38" s="162">
        <v>540</v>
      </c>
      <c r="J38" s="159">
        <v>163.30000000000001</v>
      </c>
      <c r="K38" s="163">
        <v>161.9</v>
      </c>
      <c r="L38" s="164">
        <f t="shared" si="0"/>
        <v>325.20000000000005</v>
      </c>
      <c r="M38" s="165">
        <f t="shared" si="1"/>
        <v>0.60222222222222233</v>
      </c>
      <c r="N38" s="122"/>
    </row>
    <row r="39" spans="2:14" x14ac:dyDescent="0.25">
      <c r="B39" s="121"/>
      <c r="C39" s="160">
        <v>17</v>
      </c>
      <c r="D39" s="160">
        <v>16</v>
      </c>
      <c r="E39" s="160" t="s">
        <v>75</v>
      </c>
      <c r="F39" s="159" t="s">
        <v>526</v>
      </c>
      <c r="G39" s="160" t="s">
        <v>42</v>
      </c>
      <c r="H39" s="161" t="s">
        <v>1158</v>
      </c>
      <c r="I39" s="162">
        <v>542</v>
      </c>
      <c r="J39" s="159">
        <v>158.4</v>
      </c>
      <c r="K39" s="163">
        <v>161</v>
      </c>
      <c r="L39" s="164">
        <f t="shared" si="0"/>
        <v>319.39999999999998</v>
      </c>
      <c r="M39" s="165">
        <f t="shared" si="1"/>
        <v>0.5892988929889299</v>
      </c>
      <c r="N39" s="122"/>
    </row>
    <row r="40" spans="2:14" x14ac:dyDescent="0.25">
      <c r="B40" s="121"/>
      <c r="C40" s="159">
        <v>18</v>
      </c>
      <c r="D40" s="159">
        <v>28</v>
      </c>
      <c r="E40" s="159" t="s">
        <v>75</v>
      </c>
      <c r="F40" s="159" t="s">
        <v>526</v>
      </c>
      <c r="G40" s="160" t="s">
        <v>42</v>
      </c>
      <c r="H40" s="161" t="s">
        <v>1159</v>
      </c>
      <c r="I40" s="162">
        <v>518</v>
      </c>
      <c r="J40" s="159">
        <v>156.80000000000001</v>
      </c>
      <c r="K40" s="166">
        <v>157.19999999999999</v>
      </c>
      <c r="L40" s="164">
        <f t="shared" si="0"/>
        <v>314</v>
      </c>
      <c r="M40" s="167">
        <f t="shared" si="1"/>
        <v>0.60617760617760619</v>
      </c>
      <c r="N40" s="122"/>
    </row>
    <row r="41" spans="2:14" x14ac:dyDescent="0.25">
      <c r="B41" s="121"/>
      <c r="C41" s="159">
        <v>19</v>
      </c>
      <c r="D41" s="159">
        <v>27</v>
      </c>
      <c r="E41" s="159" t="s">
        <v>67</v>
      </c>
      <c r="F41" s="159" t="s">
        <v>526</v>
      </c>
      <c r="G41" s="160" t="s">
        <v>42</v>
      </c>
      <c r="H41" s="161" t="s">
        <v>1160</v>
      </c>
      <c r="I41" s="162">
        <v>526</v>
      </c>
      <c r="J41" s="159">
        <v>160.5</v>
      </c>
      <c r="K41" s="163">
        <v>158.5</v>
      </c>
      <c r="L41" s="164">
        <f t="shared" si="0"/>
        <v>319</v>
      </c>
      <c r="M41" s="165">
        <f t="shared" si="1"/>
        <v>0.60646387832699622</v>
      </c>
      <c r="N41" s="122"/>
    </row>
    <row r="42" spans="2:14" x14ac:dyDescent="0.25">
      <c r="B42" s="121"/>
      <c r="C42" s="159">
        <v>20</v>
      </c>
      <c r="D42" s="159">
        <v>21</v>
      </c>
      <c r="E42" s="159" t="s">
        <v>68</v>
      </c>
      <c r="F42" s="159" t="s">
        <v>526</v>
      </c>
      <c r="G42" s="160" t="s">
        <v>42</v>
      </c>
      <c r="H42" s="161">
        <v>5548</v>
      </c>
      <c r="I42" s="162">
        <v>546</v>
      </c>
      <c r="J42" s="159">
        <v>161.5</v>
      </c>
      <c r="K42" s="163">
        <v>163.5</v>
      </c>
      <c r="L42" s="164">
        <f t="shared" si="0"/>
        <v>325</v>
      </c>
      <c r="M42" s="165">
        <f t="shared" si="1"/>
        <v>0.59523809523809523</v>
      </c>
      <c r="N42" s="122"/>
    </row>
    <row r="43" spans="2:14" x14ac:dyDescent="0.25">
      <c r="B43" s="121"/>
      <c r="C43" s="159">
        <v>21</v>
      </c>
      <c r="D43" s="159">
        <v>2</v>
      </c>
      <c r="E43" s="159" t="s">
        <v>75</v>
      </c>
      <c r="F43" s="159" t="s">
        <v>526</v>
      </c>
      <c r="G43" s="160" t="s">
        <v>42</v>
      </c>
      <c r="H43" s="161" t="s">
        <v>1161</v>
      </c>
      <c r="I43" s="162">
        <v>540</v>
      </c>
      <c r="J43" s="159">
        <v>154.4</v>
      </c>
      <c r="K43" s="163">
        <v>154.19999999999999</v>
      </c>
      <c r="L43" s="164">
        <f t="shared" si="0"/>
        <v>308.60000000000002</v>
      </c>
      <c r="M43" s="165">
        <f t="shared" si="1"/>
        <v>0.57148148148148148</v>
      </c>
      <c r="N43" s="122"/>
    </row>
    <row r="44" spans="2:14" x14ac:dyDescent="0.25">
      <c r="B44" s="121"/>
      <c r="C44" s="159">
        <v>22</v>
      </c>
      <c r="D44" s="159">
        <v>10</v>
      </c>
      <c r="E44" s="159" t="s">
        <v>75</v>
      </c>
      <c r="F44" s="159" t="s">
        <v>526</v>
      </c>
      <c r="G44" s="159" t="s">
        <v>42</v>
      </c>
      <c r="H44" s="168" t="s">
        <v>1162</v>
      </c>
      <c r="I44" s="169">
        <v>538</v>
      </c>
      <c r="J44" s="159">
        <v>160.1</v>
      </c>
      <c r="K44" s="163">
        <v>160.4</v>
      </c>
      <c r="L44" s="164">
        <f t="shared" si="0"/>
        <v>320.5</v>
      </c>
      <c r="M44" s="165">
        <f t="shared" si="1"/>
        <v>0.59572490706319703</v>
      </c>
      <c r="N44" s="122"/>
    </row>
    <row r="45" spans="2:14" x14ac:dyDescent="0.25">
      <c r="B45" s="121"/>
      <c r="C45" s="159">
        <v>23</v>
      </c>
      <c r="D45" s="159">
        <v>7</v>
      </c>
      <c r="E45" s="159" t="s">
        <v>68</v>
      </c>
      <c r="F45" s="159" t="s">
        <v>526</v>
      </c>
      <c r="G45" s="160" t="s">
        <v>42</v>
      </c>
      <c r="H45" s="161" t="s">
        <v>1163</v>
      </c>
      <c r="I45" s="162">
        <v>522</v>
      </c>
      <c r="J45" s="159">
        <v>153.6</v>
      </c>
      <c r="K45" s="163">
        <v>153.30000000000001</v>
      </c>
      <c r="L45" s="164">
        <f t="shared" si="0"/>
        <v>306.89999999999998</v>
      </c>
      <c r="M45" s="165">
        <f t="shared" si="1"/>
        <v>0.58793103448275863</v>
      </c>
      <c r="N45" s="122"/>
    </row>
    <row r="46" spans="2:14" x14ac:dyDescent="0.25">
      <c r="B46" s="121"/>
      <c r="C46" s="159">
        <v>24</v>
      </c>
      <c r="D46" s="159">
        <v>1</v>
      </c>
      <c r="E46" s="159" t="s">
        <v>67</v>
      </c>
      <c r="F46" s="159" t="s">
        <v>526</v>
      </c>
      <c r="G46" s="160" t="s">
        <v>42</v>
      </c>
      <c r="H46" s="161" t="s">
        <v>1164</v>
      </c>
      <c r="I46" s="162">
        <v>544</v>
      </c>
      <c r="J46" s="159">
        <v>163.69999999999999</v>
      </c>
      <c r="K46" s="163">
        <v>163.30000000000001</v>
      </c>
      <c r="L46" s="164">
        <f t="shared" si="0"/>
        <v>327</v>
      </c>
      <c r="M46" s="165">
        <f t="shared" si="1"/>
        <v>0.60110294117647056</v>
      </c>
      <c r="N46" s="122"/>
    </row>
    <row r="47" spans="2:14" x14ac:dyDescent="0.25">
      <c r="B47" s="121"/>
      <c r="C47" s="159">
        <v>25</v>
      </c>
      <c r="D47" s="159">
        <v>14</v>
      </c>
      <c r="E47" s="159" t="s">
        <v>68</v>
      </c>
      <c r="F47" s="159" t="s">
        <v>526</v>
      </c>
      <c r="G47" s="160" t="s">
        <v>42</v>
      </c>
      <c r="H47" s="161" t="s">
        <v>1165</v>
      </c>
      <c r="I47" s="162">
        <v>552</v>
      </c>
      <c r="J47" s="159">
        <v>159.19999999999999</v>
      </c>
      <c r="K47" s="163">
        <v>160.80000000000001</v>
      </c>
      <c r="L47" s="164">
        <f t="shared" si="0"/>
        <v>320</v>
      </c>
      <c r="M47" s="165">
        <f t="shared" si="1"/>
        <v>0.57971014492753625</v>
      </c>
      <c r="N47" s="122"/>
    </row>
    <row r="48" spans="2:14" x14ac:dyDescent="0.25">
      <c r="B48" s="121"/>
      <c r="C48" s="160">
        <v>26</v>
      </c>
      <c r="D48" s="160">
        <v>4</v>
      </c>
      <c r="E48" s="160" t="s">
        <v>75</v>
      </c>
      <c r="F48" s="159" t="s">
        <v>526</v>
      </c>
      <c r="G48" s="160" t="s">
        <v>42</v>
      </c>
      <c r="H48" s="161" t="s">
        <v>1166</v>
      </c>
      <c r="I48" s="162">
        <v>548</v>
      </c>
      <c r="J48" s="159">
        <v>163.69999999999999</v>
      </c>
      <c r="K48" s="163">
        <v>162.9</v>
      </c>
      <c r="L48" s="164">
        <f t="shared" si="0"/>
        <v>326.60000000000002</v>
      </c>
      <c r="M48" s="165">
        <f t="shared" si="1"/>
        <v>0.59598540145985401</v>
      </c>
      <c r="N48" s="122"/>
    </row>
    <row r="49" spans="2:14" x14ac:dyDescent="0.25">
      <c r="B49" s="121"/>
      <c r="C49" s="159">
        <v>27</v>
      </c>
      <c r="D49" s="159">
        <v>19</v>
      </c>
      <c r="E49" s="159" t="s">
        <v>67</v>
      </c>
      <c r="F49" s="159" t="s">
        <v>526</v>
      </c>
      <c r="G49" s="160" t="s">
        <v>42</v>
      </c>
      <c r="H49" s="161" t="s">
        <v>1019</v>
      </c>
      <c r="I49" s="162">
        <v>548</v>
      </c>
      <c r="J49" s="159">
        <v>157</v>
      </c>
      <c r="K49" s="163">
        <v>156.9</v>
      </c>
      <c r="L49" s="164">
        <f t="shared" si="0"/>
        <v>313.89999999999998</v>
      </c>
      <c r="M49" s="165">
        <f t="shared" si="1"/>
        <v>0.57281021897810214</v>
      </c>
      <c r="N49" s="122"/>
    </row>
    <row r="50" spans="2:14" x14ac:dyDescent="0.25">
      <c r="B50" s="121"/>
      <c r="C50" s="160">
        <v>28</v>
      </c>
      <c r="D50" s="160">
        <v>11</v>
      </c>
      <c r="E50" s="160" t="s">
        <v>75</v>
      </c>
      <c r="F50" s="159" t="s">
        <v>526</v>
      </c>
      <c r="G50" s="160" t="s">
        <v>42</v>
      </c>
      <c r="H50" s="161" t="s">
        <v>1167</v>
      </c>
      <c r="I50" s="162">
        <v>542</v>
      </c>
      <c r="J50" s="159">
        <v>160</v>
      </c>
      <c r="K50" s="163">
        <v>163.5</v>
      </c>
      <c r="L50" s="164">
        <f t="shared" si="0"/>
        <v>323.5</v>
      </c>
      <c r="M50" s="165">
        <f t="shared" si="1"/>
        <v>0.59686346863468631</v>
      </c>
      <c r="N50" s="122"/>
    </row>
    <row r="51" spans="2:14" x14ac:dyDescent="0.25">
      <c r="B51" s="121"/>
      <c r="C51" s="160">
        <v>29</v>
      </c>
      <c r="D51" s="160">
        <v>46</v>
      </c>
      <c r="E51" s="160" t="s">
        <v>67</v>
      </c>
      <c r="F51" s="159" t="s">
        <v>526</v>
      </c>
      <c r="G51" s="160" t="s">
        <v>42</v>
      </c>
      <c r="H51" s="161" t="s">
        <v>1168</v>
      </c>
      <c r="I51" s="162">
        <v>522</v>
      </c>
      <c r="J51" s="159">
        <v>155.6</v>
      </c>
      <c r="K51" s="163">
        <v>155</v>
      </c>
      <c r="L51" s="164">
        <f t="shared" si="0"/>
        <v>310.60000000000002</v>
      </c>
      <c r="M51" s="165">
        <f t="shared" si="1"/>
        <v>0.5950191570881227</v>
      </c>
      <c r="N51" s="122"/>
    </row>
    <row r="52" spans="2:14" x14ac:dyDescent="0.25">
      <c r="B52" s="121"/>
      <c r="C52" s="160">
        <v>30</v>
      </c>
      <c r="D52" s="160">
        <v>29</v>
      </c>
      <c r="E52" s="160" t="s">
        <v>68</v>
      </c>
      <c r="F52" s="159" t="s">
        <v>526</v>
      </c>
      <c r="G52" s="160" t="s">
        <v>42</v>
      </c>
      <c r="H52" s="161" t="s">
        <v>1169</v>
      </c>
      <c r="I52" s="162">
        <v>542</v>
      </c>
      <c r="J52" s="159">
        <v>164.7</v>
      </c>
      <c r="K52" s="163">
        <v>164.3</v>
      </c>
      <c r="L52" s="164">
        <f t="shared" si="0"/>
        <v>329</v>
      </c>
      <c r="M52" s="165">
        <f t="shared" si="1"/>
        <v>0.6070110701107011</v>
      </c>
      <c r="N52" s="122"/>
    </row>
    <row r="53" spans="2:14" x14ac:dyDescent="0.25">
      <c r="B53" s="121"/>
      <c r="C53" s="160">
        <v>31</v>
      </c>
      <c r="D53" s="160">
        <v>36</v>
      </c>
      <c r="E53" s="160" t="s">
        <v>68</v>
      </c>
      <c r="F53" s="159" t="s">
        <v>526</v>
      </c>
      <c r="G53" s="160" t="s">
        <v>42</v>
      </c>
      <c r="H53" s="161" t="s">
        <v>1170</v>
      </c>
      <c r="I53" s="162">
        <v>526</v>
      </c>
      <c r="J53" s="159">
        <v>156.1</v>
      </c>
      <c r="K53" s="163">
        <v>155.9</v>
      </c>
      <c r="L53" s="164">
        <f t="shared" si="0"/>
        <v>312</v>
      </c>
      <c r="M53" s="165">
        <f t="shared" si="1"/>
        <v>0.59315589353612164</v>
      </c>
      <c r="N53" s="122"/>
    </row>
    <row r="54" spans="2:14" x14ac:dyDescent="0.25">
      <c r="B54" s="121"/>
      <c r="C54" s="160">
        <v>32</v>
      </c>
      <c r="D54" s="160">
        <v>48</v>
      </c>
      <c r="E54" s="160" t="s">
        <v>67</v>
      </c>
      <c r="F54" s="159" t="s">
        <v>526</v>
      </c>
      <c r="G54" s="160" t="s">
        <v>42</v>
      </c>
      <c r="H54" s="161" t="s">
        <v>1171</v>
      </c>
      <c r="I54" s="162">
        <v>558</v>
      </c>
      <c r="J54" s="159">
        <v>157.1</v>
      </c>
      <c r="K54" s="163">
        <v>158</v>
      </c>
      <c r="L54" s="164">
        <f t="shared" si="0"/>
        <v>315.10000000000002</v>
      </c>
      <c r="M54" s="165">
        <f t="shared" si="1"/>
        <v>0.56469534050179215</v>
      </c>
      <c r="N54" s="122"/>
    </row>
    <row r="55" spans="2:14" x14ac:dyDescent="0.25">
      <c r="B55" s="121"/>
      <c r="C55" s="160">
        <v>33</v>
      </c>
      <c r="D55" s="160">
        <v>32</v>
      </c>
      <c r="E55" s="160" t="s">
        <v>75</v>
      </c>
      <c r="F55" s="159" t="s">
        <v>526</v>
      </c>
      <c r="G55" s="160" t="s">
        <v>42</v>
      </c>
      <c r="H55" s="161" t="s">
        <v>1172</v>
      </c>
      <c r="I55" s="162">
        <v>536</v>
      </c>
      <c r="J55" s="159">
        <v>154.9</v>
      </c>
      <c r="K55" s="163">
        <v>151.9</v>
      </c>
      <c r="L55" s="164">
        <f t="shared" si="0"/>
        <v>306.8</v>
      </c>
      <c r="M55" s="165">
        <f t="shared" si="1"/>
        <v>0.57238805970149254</v>
      </c>
      <c r="N55" s="122"/>
    </row>
    <row r="56" spans="2:14" x14ac:dyDescent="0.25">
      <c r="B56" s="121"/>
      <c r="C56" s="159">
        <v>34</v>
      </c>
      <c r="D56" s="159">
        <v>34</v>
      </c>
      <c r="E56" s="159" t="s">
        <v>68</v>
      </c>
      <c r="F56" s="159" t="s">
        <v>526</v>
      </c>
      <c r="G56" s="160" t="s">
        <v>42</v>
      </c>
      <c r="H56" s="161" t="s">
        <v>1173</v>
      </c>
      <c r="I56" s="162">
        <v>528</v>
      </c>
      <c r="J56" s="159">
        <v>163</v>
      </c>
      <c r="K56" s="163">
        <v>162</v>
      </c>
      <c r="L56" s="164">
        <f t="shared" si="0"/>
        <v>325</v>
      </c>
      <c r="M56" s="165">
        <f t="shared" si="1"/>
        <v>0.61553030303030298</v>
      </c>
      <c r="N56" s="122"/>
    </row>
    <row r="57" spans="2:14" x14ac:dyDescent="0.25">
      <c r="B57" s="121"/>
      <c r="C57" s="159">
        <v>35</v>
      </c>
      <c r="D57" s="159">
        <v>42</v>
      </c>
      <c r="E57" s="159" t="s">
        <v>68</v>
      </c>
      <c r="F57" s="159" t="s">
        <v>526</v>
      </c>
      <c r="G57" s="160" t="s">
        <v>42</v>
      </c>
      <c r="H57" s="168" t="s">
        <v>1174</v>
      </c>
      <c r="I57" s="169">
        <v>534</v>
      </c>
      <c r="J57" s="159">
        <v>155.9</v>
      </c>
      <c r="K57" s="163">
        <v>158.80000000000001</v>
      </c>
      <c r="L57" s="164">
        <f t="shared" si="0"/>
        <v>314.70000000000005</v>
      </c>
      <c r="M57" s="165">
        <f t="shared" si="1"/>
        <v>0.58932584269662935</v>
      </c>
      <c r="N57" s="122"/>
    </row>
    <row r="58" spans="2:14" x14ac:dyDescent="0.25">
      <c r="B58" s="121"/>
      <c r="C58" s="159">
        <v>36</v>
      </c>
      <c r="D58" s="160">
        <v>43</v>
      </c>
      <c r="E58" s="160" t="s">
        <v>68</v>
      </c>
      <c r="F58" s="159" t="s">
        <v>526</v>
      </c>
      <c r="G58" s="160" t="s">
        <v>42</v>
      </c>
      <c r="H58" s="168" t="s">
        <v>1175</v>
      </c>
      <c r="I58" s="169">
        <v>532</v>
      </c>
      <c r="J58" s="159">
        <v>157.1</v>
      </c>
      <c r="K58" s="163">
        <v>156.5</v>
      </c>
      <c r="L58" s="164">
        <f t="shared" si="0"/>
        <v>313.60000000000002</v>
      </c>
      <c r="M58" s="165">
        <f t="shared" si="1"/>
        <v>0.58947368421052637</v>
      </c>
      <c r="N58" s="122"/>
    </row>
    <row r="59" spans="2:14" x14ac:dyDescent="0.25">
      <c r="B59" s="121"/>
      <c r="C59" s="159">
        <v>37</v>
      </c>
      <c r="D59" s="160">
        <v>44</v>
      </c>
      <c r="E59" s="160" t="s">
        <v>67</v>
      </c>
      <c r="F59" s="159" t="s">
        <v>526</v>
      </c>
      <c r="G59" s="160" t="s">
        <v>42</v>
      </c>
      <c r="H59" s="168" t="s">
        <v>1176</v>
      </c>
      <c r="I59" s="169">
        <v>564</v>
      </c>
      <c r="J59" s="159">
        <v>163.69999999999999</v>
      </c>
      <c r="K59" s="163">
        <v>164.4</v>
      </c>
      <c r="L59" s="164">
        <f t="shared" si="0"/>
        <v>328.1</v>
      </c>
      <c r="M59" s="165">
        <f t="shared" si="1"/>
        <v>0.58173758865248226</v>
      </c>
      <c r="N59" s="122"/>
    </row>
    <row r="60" spans="2:14" x14ac:dyDescent="0.25">
      <c r="B60" s="121"/>
      <c r="C60" s="159">
        <v>38</v>
      </c>
      <c r="D60" s="160">
        <v>40</v>
      </c>
      <c r="E60" s="160" t="s">
        <v>75</v>
      </c>
      <c r="F60" s="159" t="s">
        <v>526</v>
      </c>
      <c r="G60" s="160" t="s">
        <v>42</v>
      </c>
      <c r="H60" s="168" t="s">
        <v>1177</v>
      </c>
      <c r="I60" s="169">
        <v>554</v>
      </c>
      <c r="J60" s="159">
        <v>165.3</v>
      </c>
      <c r="K60" s="163">
        <v>164.8</v>
      </c>
      <c r="L60" s="164">
        <f t="shared" ref="L60" si="4">+J60+K60</f>
        <v>330.1</v>
      </c>
      <c r="M60" s="165">
        <f t="shared" ref="M60" si="5">+L60/I60</f>
        <v>0.59584837545126357</v>
      </c>
      <c r="N60" s="122"/>
    </row>
    <row r="61" spans="2:14" x14ac:dyDescent="0.25">
      <c r="B61" s="121"/>
      <c r="C61" s="159">
        <v>39</v>
      </c>
      <c r="D61" s="160">
        <v>33</v>
      </c>
      <c r="E61" s="160" t="s">
        <v>67</v>
      </c>
      <c r="F61" s="159" t="s">
        <v>526</v>
      </c>
      <c r="G61" s="160" t="s">
        <v>42</v>
      </c>
      <c r="H61" s="168" t="s">
        <v>1178</v>
      </c>
      <c r="I61" s="169">
        <v>570</v>
      </c>
      <c r="J61" s="159">
        <v>165.9</v>
      </c>
      <c r="K61" s="163">
        <v>168</v>
      </c>
      <c r="L61" s="164">
        <f t="shared" si="0"/>
        <v>333.9</v>
      </c>
      <c r="M61" s="165">
        <f t="shared" si="1"/>
        <v>0.58578947368421053</v>
      </c>
      <c r="N61" s="122"/>
    </row>
    <row r="62" spans="2:14" x14ac:dyDescent="0.25">
      <c r="B62" s="121"/>
      <c r="C62" s="159">
        <v>40</v>
      </c>
      <c r="D62" s="160">
        <v>47</v>
      </c>
      <c r="E62" s="160" t="s">
        <v>75</v>
      </c>
      <c r="F62" s="159" t="s">
        <v>526</v>
      </c>
      <c r="G62" s="160" t="s">
        <v>42</v>
      </c>
      <c r="H62" s="168" t="s">
        <v>1179</v>
      </c>
      <c r="I62" s="169">
        <v>528</v>
      </c>
      <c r="J62" s="159">
        <v>158.80000000000001</v>
      </c>
      <c r="K62" s="163">
        <v>159.5</v>
      </c>
      <c r="L62" s="164">
        <f t="shared" si="0"/>
        <v>318.3</v>
      </c>
      <c r="M62" s="165">
        <f t="shared" si="1"/>
        <v>0.60284090909090915</v>
      </c>
      <c r="N62" s="122"/>
    </row>
    <row r="63" spans="2:14" x14ac:dyDescent="0.25">
      <c r="B63" s="121"/>
      <c r="C63" s="159">
        <v>41</v>
      </c>
      <c r="D63" s="160">
        <v>30</v>
      </c>
      <c r="E63" s="160" t="s">
        <v>67</v>
      </c>
      <c r="F63" s="159" t="s">
        <v>526</v>
      </c>
      <c r="G63" s="160" t="s">
        <v>42</v>
      </c>
      <c r="H63" s="168" t="s">
        <v>1180</v>
      </c>
      <c r="I63" s="169">
        <v>522</v>
      </c>
      <c r="J63" s="159">
        <v>154.1</v>
      </c>
      <c r="K63" s="163">
        <v>155.69999999999999</v>
      </c>
      <c r="L63" s="164">
        <f t="shared" si="0"/>
        <v>309.79999999999995</v>
      </c>
      <c r="M63" s="165">
        <f t="shared" si="1"/>
        <v>0.59348659003831405</v>
      </c>
      <c r="N63" s="122"/>
    </row>
    <row r="64" spans="2:14" x14ac:dyDescent="0.25">
      <c r="B64" s="121"/>
      <c r="C64" s="159">
        <v>42</v>
      </c>
      <c r="D64" s="159">
        <v>38</v>
      </c>
      <c r="E64" s="159" t="s">
        <v>75</v>
      </c>
      <c r="F64" s="159" t="s">
        <v>526</v>
      </c>
      <c r="G64" s="160" t="s">
        <v>42</v>
      </c>
      <c r="H64" s="168" t="s">
        <v>1181</v>
      </c>
      <c r="I64" s="169">
        <v>530</v>
      </c>
      <c r="J64" s="159">
        <v>154.80000000000001</v>
      </c>
      <c r="K64" s="163">
        <v>155.80000000000001</v>
      </c>
      <c r="L64" s="164">
        <f t="shared" si="0"/>
        <v>310.60000000000002</v>
      </c>
      <c r="M64" s="165">
        <f t="shared" si="1"/>
        <v>0.58603773584905661</v>
      </c>
      <c r="N64" s="122"/>
    </row>
    <row r="65" spans="2:14" x14ac:dyDescent="0.25">
      <c r="B65" s="121"/>
      <c r="C65" s="159">
        <v>43</v>
      </c>
      <c r="D65" s="159">
        <v>50</v>
      </c>
      <c r="E65" s="159" t="s">
        <v>67</v>
      </c>
      <c r="F65" s="159" t="s">
        <v>526</v>
      </c>
      <c r="G65" s="160" t="s">
        <v>42</v>
      </c>
      <c r="H65" s="168" t="s">
        <v>1182</v>
      </c>
      <c r="I65" s="169">
        <v>532</v>
      </c>
      <c r="J65" s="159">
        <v>160.30000000000001</v>
      </c>
      <c r="K65" s="163">
        <v>158.80000000000001</v>
      </c>
      <c r="L65" s="164">
        <f t="shared" si="0"/>
        <v>319.10000000000002</v>
      </c>
      <c r="M65" s="165">
        <f t="shared" si="1"/>
        <v>0.59981203007518802</v>
      </c>
      <c r="N65" s="122"/>
    </row>
    <row r="66" spans="2:14" x14ac:dyDescent="0.25">
      <c r="B66" s="121"/>
      <c r="C66" s="159">
        <v>44</v>
      </c>
      <c r="D66" s="170">
        <v>39</v>
      </c>
      <c r="E66" s="170" t="s">
        <v>75</v>
      </c>
      <c r="F66" s="159" t="s">
        <v>526</v>
      </c>
      <c r="G66" s="171" t="s">
        <v>42</v>
      </c>
      <c r="H66" s="168" t="s">
        <v>1183</v>
      </c>
      <c r="I66" s="169">
        <v>568</v>
      </c>
      <c r="J66" s="159">
        <v>164.4</v>
      </c>
      <c r="K66" s="163">
        <v>165.7</v>
      </c>
      <c r="L66" s="164">
        <f t="shared" si="0"/>
        <v>330.1</v>
      </c>
      <c r="M66" s="165">
        <f t="shared" si="1"/>
        <v>0.58116197183098595</v>
      </c>
      <c r="N66" s="122"/>
    </row>
    <row r="67" spans="2:14" x14ac:dyDescent="0.25">
      <c r="B67" s="121"/>
      <c r="C67" s="159">
        <v>45</v>
      </c>
      <c r="D67" s="170">
        <v>31</v>
      </c>
      <c r="E67" s="170" t="s">
        <v>75</v>
      </c>
      <c r="F67" s="159" t="s">
        <v>526</v>
      </c>
      <c r="G67" s="171" t="s">
        <v>42</v>
      </c>
      <c r="H67" s="168" t="s">
        <v>1184</v>
      </c>
      <c r="I67" s="169">
        <v>500</v>
      </c>
      <c r="J67" s="159">
        <v>149.4</v>
      </c>
      <c r="K67" s="163">
        <v>149</v>
      </c>
      <c r="L67" s="164">
        <f t="shared" si="0"/>
        <v>298.39999999999998</v>
      </c>
      <c r="M67" s="165">
        <f t="shared" si="1"/>
        <v>0.5968</v>
      </c>
      <c r="N67" s="122"/>
    </row>
    <row r="68" spans="2:14" x14ac:dyDescent="0.25">
      <c r="B68" s="121"/>
      <c r="C68" s="159">
        <v>46</v>
      </c>
      <c r="D68" s="170">
        <v>37</v>
      </c>
      <c r="E68" s="170" t="s">
        <v>75</v>
      </c>
      <c r="F68" s="159" t="s">
        <v>526</v>
      </c>
      <c r="G68" s="171" t="s">
        <v>42</v>
      </c>
      <c r="H68" s="168">
        <v>286</v>
      </c>
      <c r="I68" s="169">
        <v>530</v>
      </c>
      <c r="J68" s="159">
        <v>153.30000000000001</v>
      </c>
      <c r="K68" s="163">
        <v>153.4</v>
      </c>
      <c r="L68" s="164">
        <f t="shared" si="0"/>
        <v>306.70000000000005</v>
      </c>
      <c r="M68" s="165">
        <f t="shared" si="1"/>
        <v>0.57867924528301895</v>
      </c>
      <c r="N68" s="122"/>
    </row>
    <row r="69" spans="2:14" x14ac:dyDescent="0.25">
      <c r="B69" s="121"/>
      <c r="C69" s="159">
        <v>47</v>
      </c>
      <c r="D69" s="170">
        <v>45</v>
      </c>
      <c r="E69" s="170" t="s">
        <v>75</v>
      </c>
      <c r="F69" s="159" t="s">
        <v>526</v>
      </c>
      <c r="G69" s="170" t="s">
        <v>42</v>
      </c>
      <c r="H69" s="168" t="s">
        <v>826</v>
      </c>
      <c r="I69" s="169">
        <v>510</v>
      </c>
      <c r="J69" s="159">
        <v>155.1</v>
      </c>
      <c r="K69" s="159">
        <v>155</v>
      </c>
      <c r="L69" s="164">
        <f t="shared" si="0"/>
        <v>310.10000000000002</v>
      </c>
      <c r="M69" s="165">
        <f t="shared" si="1"/>
        <v>0.6080392156862745</v>
      </c>
      <c r="N69" s="122"/>
    </row>
    <row r="70" spans="2:14" x14ac:dyDescent="0.25">
      <c r="B70" s="121"/>
      <c r="C70" s="159">
        <v>49</v>
      </c>
      <c r="D70" s="170">
        <v>35</v>
      </c>
      <c r="E70" s="170" t="s">
        <v>68</v>
      </c>
      <c r="F70" s="159" t="s">
        <v>526</v>
      </c>
      <c r="G70" s="170" t="s">
        <v>42</v>
      </c>
      <c r="H70" s="205" t="s">
        <v>1185</v>
      </c>
      <c r="I70" s="169">
        <v>570</v>
      </c>
      <c r="J70" s="159">
        <v>159.1</v>
      </c>
      <c r="K70" s="159">
        <v>159</v>
      </c>
      <c r="L70" s="164">
        <f t="shared" si="0"/>
        <v>318.10000000000002</v>
      </c>
      <c r="M70" s="165">
        <f t="shared" si="1"/>
        <v>0.55807017543859649</v>
      </c>
      <c r="N70" s="122"/>
    </row>
    <row r="71" spans="2:14" x14ac:dyDescent="0.25">
      <c r="B71" s="121"/>
      <c r="C71" s="159">
        <v>49</v>
      </c>
      <c r="D71" s="170">
        <v>49</v>
      </c>
      <c r="E71" s="170" t="s">
        <v>67</v>
      </c>
      <c r="F71" s="159" t="s">
        <v>526</v>
      </c>
      <c r="G71" s="170" t="s">
        <v>42</v>
      </c>
      <c r="H71" s="168" t="s">
        <v>1186</v>
      </c>
      <c r="I71" s="169">
        <v>532</v>
      </c>
      <c r="J71" s="159">
        <v>168.4</v>
      </c>
      <c r="K71" s="163">
        <v>166.4</v>
      </c>
      <c r="L71" s="164">
        <f t="shared" si="0"/>
        <v>334.8</v>
      </c>
      <c r="M71" s="165">
        <f t="shared" si="1"/>
        <v>0.62932330827067673</v>
      </c>
      <c r="N71" s="122"/>
    </row>
    <row r="72" spans="2:14" x14ac:dyDescent="0.25">
      <c r="B72" s="121"/>
      <c r="C72" s="172">
        <v>50</v>
      </c>
      <c r="D72" s="173">
        <v>41</v>
      </c>
      <c r="E72" s="173" t="s">
        <v>67</v>
      </c>
      <c r="F72" s="173" t="s">
        <v>526</v>
      </c>
      <c r="G72" s="173" t="s">
        <v>42</v>
      </c>
      <c r="H72" s="174" t="s">
        <v>1187</v>
      </c>
      <c r="I72" s="175">
        <v>546</v>
      </c>
      <c r="J72" s="172">
        <v>163</v>
      </c>
      <c r="K72" s="206">
        <v>162.6</v>
      </c>
      <c r="L72" s="176">
        <f t="shared" si="0"/>
        <v>325.60000000000002</v>
      </c>
      <c r="M72" s="177">
        <f t="shared" si="1"/>
        <v>0.59633699633699633</v>
      </c>
      <c r="N72" s="122"/>
    </row>
    <row r="73" spans="2:14" x14ac:dyDescent="0.25">
      <c r="B73" s="121"/>
      <c r="C73" s="273"/>
      <c r="D73" s="273">
        <f>+COUNT($D$22:$D$72)</f>
        <v>50</v>
      </c>
      <c r="E73" s="273"/>
      <c r="F73" s="373"/>
      <c r="G73" s="373"/>
      <c r="H73" s="149"/>
      <c r="I73" s="148">
        <f>SUM($I$22:$I$72)</f>
        <v>26689</v>
      </c>
      <c r="J73" s="150">
        <f>SUM($J$22:$J$72)</f>
        <v>7831.4000000000005</v>
      </c>
      <c r="K73" s="151">
        <f>SUM($K$22:$K$72)</f>
        <v>7852.7</v>
      </c>
      <c r="L73" s="148">
        <f>SUM($L$22:$L$72)</f>
        <v>15684.100000000002</v>
      </c>
      <c r="M73" s="178">
        <f t="shared" si="1"/>
        <v>0.58766158342388253</v>
      </c>
      <c r="N73" s="122"/>
    </row>
    <row r="74" spans="2:14" ht="16.5" thickBot="1" x14ac:dyDescent="0.3">
      <c r="B74" s="129"/>
      <c r="C74" s="130"/>
      <c r="D74" s="130"/>
      <c r="E74" s="130"/>
      <c r="F74" s="130"/>
      <c r="G74" s="130"/>
      <c r="H74" s="131"/>
      <c r="I74" s="130"/>
      <c r="J74" s="131"/>
      <c r="K74" s="130"/>
      <c r="L74" s="130"/>
      <c r="M74" s="130"/>
      <c r="N74" s="132"/>
    </row>
    <row r="75" spans="2:14" ht="17.25" thickTop="1" thickBot="1" x14ac:dyDescent="0.3">
      <c r="B75" s="133"/>
      <c r="C75" s="133"/>
      <c r="D75" s="133"/>
      <c r="E75" s="133"/>
      <c r="F75" s="133"/>
      <c r="G75" s="133"/>
      <c r="H75" s="134"/>
      <c r="I75" s="133"/>
      <c r="J75" s="134"/>
      <c r="K75" s="133"/>
      <c r="L75" s="133"/>
      <c r="M75" s="133"/>
      <c r="N75" s="133"/>
    </row>
    <row r="76" spans="2:14" ht="16.5" thickTop="1" x14ac:dyDescent="0.25">
      <c r="B76" s="135"/>
      <c r="C76" s="133"/>
      <c r="D76" s="133"/>
      <c r="E76" s="133"/>
      <c r="F76" s="133"/>
      <c r="G76" s="133"/>
      <c r="H76" s="134"/>
      <c r="I76" s="133"/>
      <c r="J76" s="134"/>
      <c r="K76" s="133"/>
      <c r="L76" s="133"/>
      <c r="M76" s="133"/>
      <c r="N76" s="136"/>
    </row>
    <row r="77" spans="2:14" ht="32.25" customHeight="1" x14ac:dyDescent="0.25">
      <c r="B77" s="121"/>
      <c r="D77" s="374" t="s">
        <v>12</v>
      </c>
      <c r="E77" s="375"/>
      <c r="F77" s="375"/>
      <c r="G77" s="375"/>
      <c r="H77" s="180" t="s">
        <v>491</v>
      </c>
      <c r="I77" s="183" t="s">
        <v>489</v>
      </c>
      <c r="J77" s="200" t="s">
        <v>54</v>
      </c>
      <c r="K77" s="201" t="s">
        <v>492</v>
      </c>
      <c r="N77" s="122"/>
    </row>
    <row r="78" spans="2:14" x14ac:dyDescent="0.25">
      <c r="B78" s="121"/>
      <c r="D78" s="367" t="s">
        <v>59</v>
      </c>
      <c r="E78" s="368"/>
      <c r="F78" s="368"/>
      <c r="G78" s="368"/>
      <c r="H78" s="181">
        <v>130.41999999999999</v>
      </c>
      <c r="I78" s="119">
        <v>125.64</v>
      </c>
      <c r="J78" s="181"/>
      <c r="K78" s="185"/>
      <c r="N78" s="122"/>
    </row>
    <row r="79" spans="2:14" x14ac:dyDescent="0.25">
      <c r="B79" s="121"/>
      <c r="D79" s="367" t="s">
        <v>15</v>
      </c>
      <c r="E79" s="368"/>
      <c r="F79" s="368"/>
      <c r="G79" s="368"/>
      <c r="H79" s="181">
        <v>44</v>
      </c>
      <c r="I79" s="119">
        <v>91.28</v>
      </c>
      <c r="J79" s="181">
        <v>6</v>
      </c>
      <c r="K79" s="185">
        <v>12.54</v>
      </c>
      <c r="N79" s="122"/>
    </row>
    <row r="80" spans="2:14" x14ac:dyDescent="0.25">
      <c r="B80" s="121"/>
      <c r="D80" s="367" t="s">
        <v>13</v>
      </c>
      <c r="E80" s="368"/>
      <c r="F80" s="368"/>
      <c r="G80" s="368"/>
      <c r="H80" s="181">
        <v>39</v>
      </c>
      <c r="I80" s="119">
        <v>250.77999999999997</v>
      </c>
      <c r="J80" s="181">
        <v>11</v>
      </c>
      <c r="K80" s="185">
        <v>76.28</v>
      </c>
      <c r="N80" s="122"/>
    </row>
    <row r="81" spans="2:14" x14ac:dyDescent="0.25">
      <c r="B81" s="121"/>
      <c r="D81" s="367" t="s">
        <v>16</v>
      </c>
      <c r="E81" s="368"/>
      <c r="F81" s="368"/>
      <c r="G81" s="368"/>
      <c r="H81" s="181">
        <v>45</v>
      </c>
      <c r="I81" s="119">
        <v>62.06</v>
      </c>
      <c r="J81" s="181">
        <v>5</v>
      </c>
      <c r="K81" s="185">
        <v>7.56</v>
      </c>
      <c r="N81" s="122"/>
    </row>
    <row r="82" spans="2:14" x14ac:dyDescent="0.25">
      <c r="B82" s="121"/>
      <c r="D82" s="367" t="s">
        <v>60</v>
      </c>
      <c r="E82" s="368"/>
      <c r="F82" s="368"/>
      <c r="G82" s="368"/>
      <c r="H82" s="181">
        <v>37.78</v>
      </c>
      <c r="I82" s="119">
        <v>35.900000000000006</v>
      </c>
      <c r="J82" s="181"/>
      <c r="K82" s="185"/>
      <c r="N82" s="122"/>
    </row>
    <row r="83" spans="2:14" x14ac:dyDescent="0.25">
      <c r="B83" s="121"/>
      <c r="D83" s="367" t="s">
        <v>14</v>
      </c>
      <c r="E83" s="368"/>
      <c r="F83" s="368"/>
      <c r="G83" s="368"/>
      <c r="H83" s="181">
        <v>90</v>
      </c>
      <c r="I83" s="119">
        <v>48.599999999999994</v>
      </c>
      <c r="J83" s="181">
        <v>10</v>
      </c>
      <c r="K83" s="185">
        <v>6.16</v>
      </c>
      <c r="N83" s="122"/>
    </row>
    <row r="84" spans="2:14" x14ac:dyDescent="0.25">
      <c r="B84" s="121"/>
      <c r="D84" s="367" t="s">
        <v>20</v>
      </c>
      <c r="E84" s="368"/>
      <c r="F84" s="368"/>
      <c r="G84" s="368"/>
      <c r="H84" s="181">
        <v>180</v>
      </c>
      <c r="I84" s="119">
        <v>39.72</v>
      </c>
      <c r="J84" s="181">
        <v>20</v>
      </c>
      <c r="K84" s="185"/>
      <c r="N84" s="122"/>
    </row>
    <row r="85" spans="2:14" x14ac:dyDescent="0.25">
      <c r="B85" s="121"/>
      <c r="D85" s="367" t="s">
        <v>17</v>
      </c>
      <c r="E85" s="368"/>
      <c r="F85" s="368"/>
      <c r="G85" s="368"/>
      <c r="H85" s="181">
        <v>45</v>
      </c>
      <c r="I85" s="119">
        <v>53.059999999999995</v>
      </c>
      <c r="J85" s="181">
        <v>5</v>
      </c>
      <c r="K85" s="185"/>
      <c r="N85" s="122"/>
    </row>
    <row r="86" spans="2:14" x14ac:dyDescent="0.25">
      <c r="B86" s="121"/>
      <c r="D86" s="367" t="s">
        <v>61</v>
      </c>
      <c r="E86" s="368"/>
      <c r="F86" s="368"/>
      <c r="G86" s="368"/>
      <c r="H86" s="181">
        <v>45</v>
      </c>
      <c r="I86" s="119">
        <v>49.6</v>
      </c>
      <c r="J86" s="181">
        <v>5</v>
      </c>
      <c r="K86" s="185">
        <v>9.5399999999999991</v>
      </c>
      <c r="N86" s="122"/>
    </row>
    <row r="87" spans="2:14" x14ac:dyDescent="0.25">
      <c r="B87" s="121"/>
      <c r="D87" s="367" t="s">
        <v>48</v>
      </c>
      <c r="E87" s="368"/>
      <c r="F87" s="368"/>
      <c r="G87" s="368"/>
      <c r="H87" s="181">
        <v>81.28</v>
      </c>
      <c r="I87" s="119">
        <v>76.62</v>
      </c>
      <c r="J87" s="181"/>
      <c r="K87" s="185"/>
      <c r="N87" s="122"/>
    </row>
    <row r="88" spans="2:14" x14ac:dyDescent="0.25">
      <c r="B88" s="121"/>
      <c r="D88" s="367" t="s">
        <v>19</v>
      </c>
      <c r="E88" s="368"/>
      <c r="F88" s="368"/>
      <c r="G88" s="368"/>
      <c r="H88" s="181">
        <v>45</v>
      </c>
      <c r="I88" s="119">
        <v>59.56</v>
      </c>
      <c r="J88" s="181">
        <v>5</v>
      </c>
      <c r="K88" s="185">
        <v>6.7</v>
      </c>
      <c r="N88" s="122"/>
    </row>
    <row r="89" spans="2:14" x14ac:dyDescent="0.25">
      <c r="B89" s="121"/>
      <c r="D89" s="367" t="s">
        <v>18</v>
      </c>
      <c r="E89" s="368"/>
      <c r="F89" s="368"/>
      <c r="G89" s="368"/>
      <c r="H89" s="181">
        <v>45</v>
      </c>
      <c r="I89" s="119">
        <v>15.52</v>
      </c>
      <c r="J89" s="181">
        <v>5</v>
      </c>
      <c r="K89" s="185"/>
      <c r="N89" s="122"/>
    </row>
    <row r="90" spans="2:14" x14ac:dyDescent="0.25">
      <c r="B90" s="121"/>
      <c r="D90" s="367" t="s">
        <v>49</v>
      </c>
      <c r="E90" s="368"/>
      <c r="F90" s="368"/>
      <c r="G90" s="368"/>
      <c r="H90" s="181">
        <v>31.479999999999997</v>
      </c>
      <c r="I90" s="119">
        <v>30.439999999999998</v>
      </c>
      <c r="J90" s="181"/>
      <c r="K90" s="185"/>
      <c r="N90" s="122"/>
    </row>
    <row r="91" spans="2:14" x14ac:dyDescent="0.25">
      <c r="B91" s="121"/>
      <c r="D91" s="370" t="s">
        <v>21</v>
      </c>
      <c r="E91" s="371"/>
      <c r="F91" s="371"/>
      <c r="G91" s="372"/>
      <c r="H91" s="182"/>
      <c r="I91" s="184">
        <f>SUM(I78:I90)</f>
        <v>938.78</v>
      </c>
      <c r="J91" s="187">
        <f>SUM(J78:J90)</f>
        <v>72</v>
      </c>
      <c r="K91" s="186">
        <f>SUM(K78:K90)</f>
        <v>118.77999999999999</v>
      </c>
      <c r="N91" s="122"/>
    </row>
    <row r="92" spans="2:14" ht="16.5" thickBot="1" x14ac:dyDescent="0.3">
      <c r="B92" s="129"/>
      <c r="C92" s="130"/>
      <c r="D92" s="130"/>
      <c r="E92" s="130"/>
      <c r="F92" s="130"/>
      <c r="G92" s="130"/>
      <c r="H92" s="131"/>
      <c r="I92" s="130"/>
      <c r="J92" s="131"/>
      <c r="K92" s="130"/>
      <c r="L92" s="130"/>
      <c r="M92" s="130"/>
      <c r="N92" s="132"/>
    </row>
    <row r="93" spans="2:14" ht="16.5" thickTop="1" x14ac:dyDescent="0.25">
      <c r="B93" s="121"/>
      <c r="G93" s="137"/>
      <c r="H93" s="138"/>
      <c r="I93" s="137"/>
      <c r="J93" s="138"/>
      <c r="N93" s="122"/>
    </row>
    <row r="94" spans="2:14" ht="15.75" customHeight="1" x14ac:dyDescent="0.25">
      <c r="B94" s="121"/>
      <c r="F94" s="365" t="s">
        <v>22</v>
      </c>
      <c r="G94" s="365"/>
      <c r="H94" s="188" t="s">
        <v>33</v>
      </c>
      <c r="I94" s="180" t="s">
        <v>31</v>
      </c>
      <c r="N94" s="122"/>
    </row>
    <row r="95" spans="2:14" x14ac:dyDescent="0.25">
      <c r="B95" s="121"/>
      <c r="F95" s="366" t="s">
        <v>23</v>
      </c>
      <c r="G95" s="366"/>
      <c r="H95" s="190"/>
      <c r="I95" s="191"/>
      <c r="N95" s="122"/>
    </row>
    <row r="96" spans="2:14" x14ac:dyDescent="0.25">
      <c r="B96" s="121"/>
      <c r="F96" s="378" t="s">
        <v>24</v>
      </c>
      <c r="G96" s="378"/>
      <c r="H96" s="192">
        <f>+D73</f>
        <v>50</v>
      </c>
      <c r="I96" s="193"/>
      <c r="N96" s="122"/>
    </row>
    <row r="97" spans="2:14" x14ac:dyDescent="0.25">
      <c r="B97" s="121"/>
      <c r="F97" s="378" t="s">
        <v>34</v>
      </c>
      <c r="G97" s="378"/>
      <c r="H97" s="194"/>
      <c r="I97" s="193"/>
      <c r="N97" s="122"/>
    </row>
    <row r="98" spans="2:14" x14ac:dyDescent="0.25">
      <c r="B98" s="121"/>
      <c r="F98" s="378" t="s">
        <v>35</v>
      </c>
      <c r="G98" s="378"/>
      <c r="H98" s="194"/>
      <c r="I98" s="193"/>
      <c r="N98" s="122"/>
    </row>
    <row r="99" spans="2:14" x14ac:dyDescent="0.25">
      <c r="B99" s="121"/>
      <c r="F99" s="379" t="s">
        <v>29</v>
      </c>
      <c r="G99" s="379"/>
      <c r="H99" s="195"/>
      <c r="I99" s="196"/>
      <c r="N99" s="122"/>
    </row>
    <row r="100" spans="2:14" x14ac:dyDescent="0.25">
      <c r="B100" s="121"/>
      <c r="F100" s="380" t="s">
        <v>21</v>
      </c>
      <c r="G100" s="380"/>
      <c r="H100" s="189"/>
      <c r="I100" s="182">
        <f>SUM(I95:I99)</f>
        <v>0</v>
      </c>
      <c r="N100" s="122"/>
    </row>
    <row r="101" spans="2:14" ht="16.5" thickBot="1" x14ac:dyDescent="0.3">
      <c r="B101" s="129"/>
      <c r="C101" s="130"/>
      <c r="D101" s="130"/>
      <c r="E101" s="130"/>
      <c r="F101" s="130"/>
      <c r="G101" s="130"/>
      <c r="H101" s="131"/>
      <c r="I101" s="130"/>
      <c r="J101" s="131"/>
      <c r="K101" s="130"/>
      <c r="L101" s="130"/>
      <c r="M101" s="130"/>
      <c r="N101" s="132"/>
    </row>
    <row r="102" spans="2:14" ht="16.5" thickTop="1" x14ac:dyDescent="0.25">
      <c r="I102" s="139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7:G77"/>
    <mergeCell ref="C21:C22"/>
    <mergeCell ref="D21:D22"/>
    <mergeCell ref="E21:E22"/>
    <mergeCell ref="F21:G21"/>
    <mergeCell ref="J21:J22"/>
    <mergeCell ref="K21:K22"/>
    <mergeCell ref="L21:L22"/>
    <mergeCell ref="M21:M22"/>
    <mergeCell ref="F73:G73"/>
    <mergeCell ref="H21:H22"/>
    <mergeCell ref="I21:I22"/>
    <mergeCell ref="D89:G89"/>
    <mergeCell ref="D78:G78"/>
    <mergeCell ref="D79:G79"/>
    <mergeCell ref="D80:G80"/>
    <mergeCell ref="D81:G81"/>
    <mergeCell ref="D82:G82"/>
    <mergeCell ref="D83:G83"/>
    <mergeCell ref="D84:G84"/>
    <mergeCell ref="D85:G85"/>
    <mergeCell ref="D86:G86"/>
    <mergeCell ref="D87:G87"/>
    <mergeCell ref="D88:G88"/>
    <mergeCell ref="F98:G98"/>
    <mergeCell ref="F99:G99"/>
    <mergeCell ref="F100:G100"/>
    <mergeCell ref="D90:G90"/>
    <mergeCell ref="D91:G91"/>
    <mergeCell ref="F94:G94"/>
    <mergeCell ref="F95:G95"/>
    <mergeCell ref="F96:G96"/>
    <mergeCell ref="F97:G97"/>
  </mergeCells>
  <conditionalFormatting sqref="M23:M72">
    <cfRule type="cellIs" dxfId="52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rowBreaks count="1" manualBreakCount="1">
    <brk id="75" min="1" max="13" man="1"/>
  </rowBreaks>
  <drawing r:id="rId2"/>
  <legacy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A65" zoomScale="90" zoomScaleNormal="90" workbookViewId="0">
      <selection activeCell="I71" sqref="I71:I83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0.55709372312983663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194.37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1208</v>
      </c>
      <c r="F8" s="344"/>
      <c r="G8" s="344"/>
      <c r="H8" s="345"/>
      <c r="I8" s="146" t="s">
        <v>487</v>
      </c>
      <c r="J8" s="346" t="s">
        <v>1209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36375</v>
      </c>
      <c r="F9" s="344"/>
      <c r="G9" s="344"/>
      <c r="H9" s="345"/>
      <c r="I9" s="146" t="s">
        <v>88</v>
      </c>
      <c r="J9" s="209" t="s">
        <v>1210</v>
      </c>
      <c r="K9" s="274" t="s">
        <v>490</v>
      </c>
      <c r="L9" s="369" t="s">
        <v>1211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75" t="s">
        <v>569</v>
      </c>
      <c r="E12" s="384">
        <v>46057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55</v>
      </c>
      <c r="F13" s="349"/>
      <c r="H13" s="117"/>
      <c r="I13" s="123"/>
      <c r="J13" s="215" t="s">
        <v>483</v>
      </c>
      <c r="K13" s="276">
        <f>+COUNTIF($G$22:$G$66,"VQ")*2</f>
        <v>20</v>
      </c>
      <c r="L13" s="276">
        <f>+SUMIF($G$23:$G$65,"VQ",$L$23:$L$65)</f>
        <v>1943.7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10</v>
      </c>
      <c r="F14" s="350"/>
      <c r="H14" s="117"/>
      <c r="I14" s="123"/>
      <c r="J14" s="215" t="s">
        <v>42</v>
      </c>
      <c r="K14" s="276">
        <f>+COUNTIF($G$22:$G$66,"NT")*2</f>
        <v>0</v>
      </c>
      <c r="L14" s="276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3489</v>
      </c>
      <c r="F15" s="350"/>
      <c r="H15" s="117"/>
      <c r="I15" s="123"/>
      <c r="J15" s="215" t="s">
        <v>484</v>
      </c>
      <c r="K15" s="276">
        <f>+COUNTIF($G$22:$G$66,"NO")*2</f>
        <v>0</v>
      </c>
      <c r="L15" s="276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1943.7</v>
      </c>
      <c r="F16" s="350"/>
      <c r="H16" s="117"/>
      <c r="I16" s="123"/>
      <c r="J16" s="215" t="s">
        <v>485</v>
      </c>
      <c r="K16" s="276">
        <f>+COUNTIF($G$22:$G$66,"TO")*2</f>
        <v>0</v>
      </c>
      <c r="L16" s="276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0.55709372312983663</v>
      </c>
      <c r="F17" s="350"/>
      <c r="G17" s="124"/>
      <c r="H17" s="125"/>
      <c r="I17" s="123"/>
      <c r="J17" s="215" t="s">
        <v>486</v>
      </c>
      <c r="K17" s="276">
        <f>+COUNTIF($G$22:$G$66,"VA")*2</f>
        <v>0</v>
      </c>
      <c r="L17" s="276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194.37</v>
      </c>
      <c r="F18" s="353"/>
      <c r="G18" s="124"/>
      <c r="H18" s="125"/>
      <c r="I18" s="123"/>
      <c r="J18" s="215" t="s">
        <v>44</v>
      </c>
      <c r="K18" s="276">
        <f>+COUNTIF($G$22:$G$66,"MEJ")*2</f>
        <v>0</v>
      </c>
      <c r="L18" s="276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18</v>
      </c>
      <c r="D23" s="152">
        <v>1</v>
      </c>
      <c r="E23" s="152" t="s">
        <v>67</v>
      </c>
      <c r="F23" s="152" t="s">
        <v>526</v>
      </c>
      <c r="G23" s="153" t="s">
        <v>483</v>
      </c>
      <c r="H23" s="154" t="s">
        <v>521</v>
      </c>
      <c r="I23" s="155">
        <v>359</v>
      </c>
      <c r="J23" s="152">
        <v>95.6</v>
      </c>
      <c r="K23" s="156">
        <v>96.2</v>
      </c>
      <c r="L23" s="157">
        <f t="shared" ref="L23:L65" si="0">+J23+K23</f>
        <v>191.8</v>
      </c>
      <c r="M23" s="158">
        <f t="shared" ref="M23:M66" si="1">+L23/I23</f>
        <v>0.53426183844011144</v>
      </c>
      <c r="N23" s="122"/>
    </row>
    <row r="24" spans="2:14" x14ac:dyDescent="0.25">
      <c r="B24" s="121"/>
      <c r="C24" s="159">
        <v>19</v>
      </c>
      <c r="D24" s="159">
        <v>8</v>
      </c>
      <c r="E24" s="159" t="s">
        <v>68</v>
      </c>
      <c r="F24" s="159" t="s">
        <v>526</v>
      </c>
      <c r="G24" s="160" t="s">
        <v>483</v>
      </c>
      <c r="H24" s="161" t="s">
        <v>1189</v>
      </c>
      <c r="I24" s="162">
        <v>337</v>
      </c>
      <c r="J24" s="159">
        <v>103.2</v>
      </c>
      <c r="K24" s="163">
        <v>102.6</v>
      </c>
      <c r="L24" s="164">
        <f t="shared" si="0"/>
        <v>205.8</v>
      </c>
      <c r="M24" s="165">
        <f t="shared" si="1"/>
        <v>0.61068249258160245</v>
      </c>
      <c r="N24" s="122"/>
    </row>
    <row r="25" spans="2:14" x14ac:dyDescent="0.25">
      <c r="B25" s="121"/>
      <c r="C25" s="159">
        <v>20</v>
      </c>
      <c r="D25" s="159">
        <v>2</v>
      </c>
      <c r="E25" s="159" t="s">
        <v>68</v>
      </c>
      <c r="F25" s="159" t="s">
        <v>526</v>
      </c>
      <c r="G25" s="160" t="s">
        <v>483</v>
      </c>
      <c r="H25" s="161" t="s">
        <v>1190</v>
      </c>
      <c r="I25" s="162">
        <v>379</v>
      </c>
      <c r="J25" s="159">
        <v>106.2</v>
      </c>
      <c r="K25" s="163">
        <v>105.4</v>
      </c>
      <c r="L25" s="164">
        <f t="shared" si="0"/>
        <v>211.60000000000002</v>
      </c>
      <c r="M25" s="165">
        <f t="shared" si="1"/>
        <v>0.55831134564643803</v>
      </c>
      <c r="N25" s="122"/>
    </row>
    <row r="26" spans="2:14" x14ac:dyDescent="0.25">
      <c r="B26" s="121"/>
      <c r="C26" s="159">
        <v>21</v>
      </c>
      <c r="D26" s="159">
        <v>10</v>
      </c>
      <c r="E26" s="159" t="s">
        <v>68</v>
      </c>
      <c r="F26" s="159" t="s">
        <v>526</v>
      </c>
      <c r="G26" s="160" t="s">
        <v>483</v>
      </c>
      <c r="H26" s="161" t="s">
        <v>367</v>
      </c>
      <c r="I26" s="162">
        <v>371</v>
      </c>
      <c r="J26" s="159">
        <v>103.6</v>
      </c>
      <c r="K26" s="163">
        <v>103</v>
      </c>
      <c r="L26" s="164">
        <f t="shared" si="0"/>
        <v>206.6</v>
      </c>
      <c r="M26" s="165">
        <f t="shared" si="1"/>
        <v>0.5568733153638814</v>
      </c>
      <c r="N26" s="122"/>
    </row>
    <row r="27" spans="2:14" x14ac:dyDescent="0.25">
      <c r="B27" s="121"/>
      <c r="C27" s="159">
        <v>22</v>
      </c>
      <c r="D27" s="159">
        <v>3</v>
      </c>
      <c r="E27" s="159" t="s">
        <v>68</v>
      </c>
      <c r="F27" s="159" t="s">
        <v>526</v>
      </c>
      <c r="G27" s="160" t="s">
        <v>483</v>
      </c>
      <c r="H27" s="161" t="s">
        <v>1191</v>
      </c>
      <c r="I27" s="162">
        <v>381</v>
      </c>
      <c r="J27" s="159">
        <v>106</v>
      </c>
      <c r="K27" s="163">
        <v>107.6</v>
      </c>
      <c r="L27" s="164">
        <f t="shared" si="0"/>
        <v>213.6</v>
      </c>
      <c r="M27" s="165">
        <f t="shared" si="1"/>
        <v>0.56062992125984246</v>
      </c>
      <c r="N27" s="122"/>
    </row>
    <row r="28" spans="2:14" x14ac:dyDescent="0.25">
      <c r="B28" s="121"/>
      <c r="C28" s="159">
        <v>23</v>
      </c>
      <c r="D28" s="159">
        <v>4</v>
      </c>
      <c r="E28" s="159" t="s">
        <v>75</v>
      </c>
      <c r="F28" s="159" t="s">
        <v>526</v>
      </c>
      <c r="G28" s="160" t="s">
        <v>483</v>
      </c>
      <c r="H28" s="161" t="s">
        <v>976</v>
      </c>
      <c r="I28" s="162">
        <v>331</v>
      </c>
      <c r="J28" s="159">
        <v>95.1</v>
      </c>
      <c r="K28" s="163">
        <v>96.2</v>
      </c>
      <c r="L28" s="164">
        <f t="shared" si="0"/>
        <v>191.3</v>
      </c>
      <c r="M28" s="165">
        <f t="shared" si="1"/>
        <v>0.57794561933534749</v>
      </c>
      <c r="N28" s="122"/>
    </row>
    <row r="29" spans="2:14" x14ac:dyDescent="0.25">
      <c r="B29" s="121"/>
      <c r="C29" s="160">
        <v>24</v>
      </c>
      <c r="D29" s="160">
        <v>7</v>
      </c>
      <c r="E29" s="160" t="s">
        <v>67</v>
      </c>
      <c r="F29" s="160" t="s">
        <v>526</v>
      </c>
      <c r="G29" s="160" t="s">
        <v>483</v>
      </c>
      <c r="H29" s="161" t="s">
        <v>1192</v>
      </c>
      <c r="I29" s="162">
        <v>299</v>
      </c>
      <c r="J29" s="159">
        <v>82.8</v>
      </c>
      <c r="K29" s="163">
        <v>83.4</v>
      </c>
      <c r="L29" s="164">
        <f t="shared" si="0"/>
        <v>166.2</v>
      </c>
      <c r="M29" s="165">
        <f t="shared" si="1"/>
        <v>0.55585284280936453</v>
      </c>
      <c r="N29" s="122"/>
    </row>
    <row r="30" spans="2:14" x14ac:dyDescent="0.25">
      <c r="B30" s="121"/>
      <c r="C30" s="160">
        <v>25</v>
      </c>
      <c r="D30" s="160">
        <v>5</v>
      </c>
      <c r="E30" s="160" t="s">
        <v>68</v>
      </c>
      <c r="F30" s="160" t="s">
        <v>526</v>
      </c>
      <c r="G30" s="160" t="s">
        <v>483</v>
      </c>
      <c r="H30" s="161" t="s">
        <v>380</v>
      </c>
      <c r="I30" s="162">
        <v>329</v>
      </c>
      <c r="J30" s="159">
        <v>92.4</v>
      </c>
      <c r="K30" s="163">
        <v>92.6</v>
      </c>
      <c r="L30" s="164">
        <f t="shared" si="0"/>
        <v>185</v>
      </c>
      <c r="M30" s="165">
        <f t="shared" si="1"/>
        <v>0.56231003039513683</v>
      </c>
      <c r="N30" s="122"/>
    </row>
    <row r="31" spans="2:14" x14ac:dyDescent="0.25">
      <c r="B31" s="121"/>
      <c r="C31" s="159">
        <v>26</v>
      </c>
      <c r="D31" s="159">
        <v>6</v>
      </c>
      <c r="E31" s="159" t="s">
        <v>67</v>
      </c>
      <c r="F31" s="159" t="s">
        <v>527</v>
      </c>
      <c r="G31" s="160" t="s">
        <v>483</v>
      </c>
      <c r="H31" s="161" t="s">
        <v>1147</v>
      </c>
      <c r="I31" s="162">
        <v>349</v>
      </c>
      <c r="J31" s="159">
        <v>94.9</v>
      </c>
      <c r="K31" s="163">
        <v>95.1</v>
      </c>
      <c r="L31" s="164">
        <f t="shared" si="0"/>
        <v>190</v>
      </c>
      <c r="M31" s="165">
        <f t="shared" si="1"/>
        <v>0.54441260744985676</v>
      </c>
      <c r="N31" s="122"/>
    </row>
    <row r="32" spans="2:14" x14ac:dyDescent="0.25">
      <c r="B32" s="121"/>
      <c r="C32" s="159">
        <v>27</v>
      </c>
      <c r="D32" s="159">
        <v>9</v>
      </c>
      <c r="E32" s="159" t="s">
        <v>67</v>
      </c>
      <c r="F32" s="159" t="s">
        <v>526</v>
      </c>
      <c r="G32" s="160" t="s">
        <v>483</v>
      </c>
      <c r="H32" s="161" t="s">
        <v>1193</v>
      </c>
      <c r="I32" s="162">
        <v>354</v>
      </c>
      <c r="J32" s="159">
        <v>91</v>
      </c>
      <c r="K32" s="163">
        <v>90.8</v>
      </c>
      <c r="L32" s="164">
        <f t="shared" si="0"/>
        <v>181.8</v>
      </c>
      <c r="M32" s="165">
        <f t="shared" si="1"/>
        <v>0.51355932203389831</v>
      </c>
      <c r="N32" s="122"/>
    </row>
    <row r="33" spans="2:14" x14ac:dyDescent="0.25">
      <c r="B33" s="121"/>
      <c r="C33" s="160"/>
      <c r="D33" s="160"/>
      <c r="E33" s="160"/>
      <c r="F33" s="160"/>
      <c r="G33" s="160"/>
      <c r="H33" s="161"/>
      <c r="I33" s="162"/>
      <c r="J33" s="159"/>
      <c r="K33" s="163"/>
      <c r="L33" s="164">
        <f t="shared" si="0"/>
        <v>0</v>
      </c>
      <c r="M33" s="165" t="e">
        <f t="shared" si="1"/>
        <v>#DIV/0!</v>
      </c>
      <c r="N33" s="122"/>
    </row>
    <row r="34" spans="2:14" x14ac:dyDescent="0.25">
      <c r="B34" s="121"/>
      <c r="C34" s="159"/>
      <c r="D34" s="159"/>
      <c r="E34" s="159"/>
      <c r="F34" s="159"/>
      <c r="G34" s="160"/>
      <c r="H34" s="161"/>
      <c r="I34" s="162"/>
      <c r="J34" s="159"/>
      <c r="K34" s="166"/>
      <c r="L34" s="164">
        <f t="shared" si="0"/>
        <v>0</v>
      </c>
      <c r="M34" s="167" t="e">
        <f t="shared" si="1"/>
        <v>#DIV/0!</v>
      </c>
      <c r="N34" s="122"/>
    </row>
    <row r="35" spans="2:14" x14ac:dyDescent="0.25">
      <c r="B35" s="121"/>
      <c r="C35" s="159"/>
      <c r="D35" s="159"/>
      <c r="E35" s="159"/>
      <c r="F35" s="159"/>
      <c r="G35" s="160"/>
      <c r="H35" s="161"/>
      <c r="I35" s="162"/>
      <c r="J35" s="159"/>
      <c r="K35" s="163"/>
      <c r="L35" s="164">
        <f t="shared" si="0"/>
        <v>0</v>
      </c>
      <c r="M35" s="165" t="e">
        <f t="shared" si="1"/>
        <v>#DIV/0!</v>
      </c>
      <c r="N35" s="122"/>
    </row>
    <row r="36" spans="2:14" x14ac:dyDescent="0.25">
      <c r="B36" s="121"/>
      <c r="C36" s="159"/>
      <c r="D36" s="159"/>
      <c r="E36" s="159"/>
      <c r="F36" s="159"/>
      <c r="G36" s="160"/>
      <c r="H36" s="161"/>
      <c r="I36" s="162"/>
      <c r="J36" s="159"/>
      <c r="K36" s="163"/>
      <c r="L36" s="164">
        <f t="shared" si="0"/>
        <v>0</v>
      </c>
      <c r="M36" s="165" t="e">
        <f t="shared" si="1"/>
        <v>#DIV/0!</v>
      </c>
      <c r="N36" s="122"/>
    </row>
    <row r="37" spans="2:14" x14ac:dyDescent="0.25">
      <c r="B37" s="121"/>
      <c r="C37" s="159"/>
      <c r="D37" s="159"/>
      <c r="E37" s="159"/>
      <c r="F37" s="159"/>
      <c r="G37" s="160"/>
      <c r="H37" s="161"/>
      <c r="I37" s="162"/>
      <c r="J37" s="159"/>
      <c r="K37" s="163"/>
      <c r="L37" s="164">
        <f t="shared" si="0"/>
        <v>0</v>
      </c>
      <c r="M37" s="165" t="e">
        <f t="shared" si="1"/>
        <v>#DIV/0!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77"/>
      <c r="D66" s="277">
        <f>+COUNT($D$22:$D$65)</f>
        <v>10</v>
      </c>
      <c r="E66" s="277"/>
      <c r="F66" s="373"/>
      <c r="G66" s="373"/>
      <c r="H66" s="149"/>
      <c r="I66" s="148">
        <f>SUM($I$22:$I$65)</f>
        <v>3489</v>
      </c>
      <c r="J66" s="150">
        <f>SUM($J$22:$J$65)</f>
        <v>970.8</v>
      </c>
      <c r="K66" s="151">
        <f>SUM($K$22:$K$65)</f>
        <v>972.90000000000009</v>
      </c>
      <c r="L66" s="148">
        <f>SUM($L$22:$L$65)</f>
        <v>1943.7</v>
      </c>
      <c r="M66" s="178">
        <f t="shared" si="1"/>
        <v>0.55709372312983663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25.88</v>
      </c>
      <c r="I71" s="119">
        <v>25.2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10</v>
      </c>
      <c r="I72" s="119">
        <v>13.64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9</v>
      </c>
      <c r="I73" s="119">
        <v>33.74</v>
      </c>
      <c r="J73" s="181">
        <v>1</v>
      </c>
      <c r="K73" s="185">
        <v>4.16</v>
      </c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10</v>
      </c>
      <c r="I74" s="119">
        <v>10.48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5.24</v>
      </c>
      <c r="I75" s="119">
        <v>5.0599999999999996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19</v>
      </c>
      <c r="I76" s="119">
        <v>6.14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40</v>
      </c>
      <c r="I77" s="119">
        <v>5.88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10</v>
      </c>
      <c r="I78" s="119">
        <v>6.9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10</v>
      </c>
      <c r="I79" s="119">
        <v>6.3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10.18</v>
      </c>
      <c r="I80" s="119">
        <v>10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10</v>
      </c>
      <c r="I81" s="119">
        <v>10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10</v>
      </c>
      <c r="I82" s="119">
        <v>3.2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5.62</v>
      </c>
      <c r="I83" s="119">
        <v>5.2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141.74</v>
      </c>
      <c r="J84" s="187">
        <f>SUM(J71:J83)</f>
        <v>1</v>
      </c>
      <c r="K84" s="186">
        <f>SUM(K71:K83)</f>
        <v>4.16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10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51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A2" zoomScale="90" zoomScaleNormal="90" workbookViewId="0">
      <selection activeCell="I71" sqref="I71:I83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0.55643028846153852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185.18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1220</v>
      </c>
      <c r="F8" s="344"/>
      <c r="G8" s="344"/>
      <c r="H8" s="345"/>
      <c r="I8" s="146" t="s">
        <v>487</v>
      </c>
      <c r="J8" s="346" t="s">
        <v>1217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41927</v>
      </c>
      <c r="F9" s="344"/>
      <c r="G9" s="344"/>
      <c r="H9" s="345"/>
      <c r="I9" s="146" t="s">
        <v>88</v>
      </c>
      <c r="J9" s="209" t="s">
        <v>1218</v>
      </c>
      <c r="K9" s="274" t="s">
        <v>490</v>
      </c>
      <c r="L9" s="369" t="s">
        <v>1219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75" t="s">
        <v>569</v>
      </c>
      <c r="E12" s="384">
        <v>46057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57</v>
      </c>
      <c r="F13" s="349"/>
      <c r="H13" s="117"/>
      <c r="I13" s="123"/>
      <c r="J13" s="215" t="s">
        <v>483</v>
      </c>
      <c r="K13" s="276">
        <f>+COUNTIF($G$22:$G$66,"VQ")*2</f>
        <v>0</v>
      </c>
      <c r="L13" s="276">
        <f>+SUMIF($G$23:$G$65,"VQ",$L$23:$L$65)</f>
        <v>0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5</v>
      </c>
      <c r="F14" s="350"/>
      <c r="H14" s="117"/>
      <c r="I14" s="123"/>
      <c r="J14" s="215" t="s">
        <v>42</v>
      </c>
      <c r="K14" s="276">
        <f>+COUNTIF($G$22:$G$66,"NT")*2</f>
        <v>0</v>
      </c>
      <c r="L14" s="276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1664</v>
      </c>
      <c r="F15" s="350"/>
      <c r="H15" s="117"/>
      <c r="I15" s="123"/>
      <c r="J15" s="215" t="s">
        <v>484</v>
      </c>
      <c r="K15" s="276">
        <f>+COUNTIF($G$22:$G$66,"NO")*2</f>
        <v>0</v>
      </c>
      <c r="L15" s="276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925.90000000000009</v>
      </c>
      <c r="F16" s="350"/>
      <c r="H16" s="117"/>
      <c r="I16" s="123"/>
      <c r="J16" s="215" t="s">
        <v>485</v>
      </c>
      <c r="K16" s="276">
        <f>+COUNTIF($G$22:$G$66,"TO")*2</f>
        <v>0</v>
      </c>
      <c r="L16" s="276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0.55643028846153852</v>
      </c>
      <c r="F17" s="350"/>
      <c r="G17" s="124"/>
      <c r="H17" s="125"/>
      <c r="I17" s="123"/>
      <c r="J17" s="215" t="s">
        <v>486</v>
      </c>
      <c r="K17" s="276">
        <f>+COUNTIF($G$22:$G$66,"VA")*2</f>
        <v>0</v>
      </c>
      <c r="L17" s="276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185.18</v>
      </c>
      <c r="F18" s="353"/>
      <c r="G18" s="124"/>
      <c r="H18" s="125"/>
      <c r="I18" s="123"/>
      <c r="J18" s="215" t="s">
        <v>44</v>
      </c>
      <c r="K18" s="276">
        <f>+COUNTIF($G$22:$G$66,"MEJ")*2</f>
        <v>10</v>
      </c>
      <c r="L18" s="276">
        <f>+SUMIF($G$23:$G$65,"MEJ",$L$23:$L$65)</f>
        <v>925.90000000000009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28</v>
      </c>
      <c r="D23" s="152">
        <v>2</v>
      </c>
      <c r="E23" s="152" t="s">
        <v>68</v>
      </c>
      <c r="F23" s="152" t="s">
        <v>526</v>
      </c>
      <c r="G23" s="153" t="s">
        <v>44</v>
      </c>
      <c r="H23" s="154" t="s">
        <v>1212</v>
      </c>
      <c r="I23" s="155">
        <v>336</v>
      </c>
      <c r="J23" s="152">
        <v>92.5</v>
      </c>
      <c r="K23" s="156">
        <v>92.2</v>
      </c>
      <c r="L23" s="157">
        <f t="shared" ref="L23:L65" si="0">+J23+K23</f>
        <v>184.7</v>
      </c>
      <c r="M23" s="158">
        <f t="shared" ref="M23:M66" si="1">+L23/I23</f>
        <v>0.54970238095238089</v>
      </c>
      <c r="N23" s="122"/>
    </row>
    <row r="24" spans="2:14" x14ac:dyDescent="0.25">
      <c r="B24" s="121"/>
      <c r="C24" s="159">
        <v>29</v>
      </c>
      <c r="D24" s="159">
        <v>3</v>
      </c>
      <c r="E24" s="159" t="s">
        <v>68</v>
      </c>
      <c r="F24" s="159" t="s">
        <v>526</v>
      </c>
      <c r="G24" s="160" t="s">
        <v>44</v>
      </c>
      <c r="H24" s="161" t="s">
        <v>1213</v>
      </c>
      <c r="I24" s="162">
        <v>364</v>
      </c>
      <c r="J24" s="159">
        <v>101.4</v>
      </c>
      <c r="K24" s="163">
        <v>100.8</v>
      </c>
      <c r="L24" s="164">
        <f t="shared" si="0"/>
        <v>202.2</v>
      </c>
      <c r="M24" s="165">
        <f t="shared" si="1"/>
        <v>0.55549450549450541</v>
      </c>
      <c r="N24" s="122"/>
    </row>
    <row r="25" spans="2:14" x14ac:dyDescent="0.25">
      <c r="B25" s="121"/>
      <c r="C25" s="159">
        <v>30</v>
      </c>
      <c r="D25" s="159">
        <v>4</v>
      </c>
      <c r="E25" s="159" t="s">
        <v>68</v>
      </c>
      <c r="F25" s="159" t="s">
        <v>526</v>
      </c>
      <c r="G25" s="160" t="s">
        <v>44</v>
      </c>
      <c r="H25" s="161" t="s">
        <v>1214</v>
      </c>
      <c r="I25" s="162">
        <v>330</v>
      </c>
      <c r="J25" s="159">
        <v>92.4</v>
      </c>
      <c r="K25" s="163">
        <v>93.1</v>
      </c>
      <c r="L25" s="164">
        <f t="shared" si="0"/>
        <v>185.5</v>
      </c>
      <c r="M25" s="165">
        <f t="shared" si="1"/>
        <v>0.56212121212121213</v>
      </c>
      <c r="N25" s="122"/>
    </row>
    <row r="26" spans="2:14" x14ac:dyDescent="0.25">
      <c r="B26" s="121"/>
      <c r="C26" s="159">
        <v>31</v>
      </c>
      <c r="D26" s="159">
        <v>1</v>
      </c>
      <c r="E26" s="159" t="s">
        <v>68</v>
      </c>
      <c r="F26" s="159" t="s">
        <v>526</v>
      </c>
      <c r="G26" s="160" t="s">
        <v>44</v>
      </c>
      <c r="H26" s="161" t="s">
        <v>1215</v>
      </c>
      <c r="I26" s="162">
        <v>338</v>
      </c>
      <c r="J26" s="159">
        <v>92.5</v>
      </c>
      <c r="K26" s="163">
        <v>93.8</v>
      </c>
      <c r="L26" s="164">
        <f t="shared" si="0"/>
        <v>186.3</v>
      </c>
      <c r="M26" s="165">
        <f t="shared" si="1"/>
        <v>0.55118343195266273</v>
      </c>
      <c r="N26" s="122"/>
    </row>
    <row r="27" spans="2:14" x14ac:dyDescent="0.25">
      <c r="B27" s="121"/>
      <c r="C27" s="159">
        <v>32</v>
      </c>
      <c r="D27" s="159">
        <v>5</v>
      </c>
      <c r="E27" s="159" t="s">
        <v>67</v>
      </c>
      <c r="F27" s="159" t="s">
        <v>526</v>
      </c>
      <c r="G27" s="160" t="s">
        <v>44</v>
      </c>
      <c r="H27" s="161" t="s">
        <v>1216</v>
      </c>
      <c r="I27" s="162">
        <v>296</v>
      </c>
      <c r="J27" s="159">
        <v>83.9</v>
      </c>
      <c r="K27" s="163">
        <v>83.3</v>
      </c>
      <c r="L27" s="164">
        <f t="shared" si="0"/>
        <v>167.2</v>
      </c>
      <c r="M27" s="165">
        <f t="shared" si="1"/>
        <v>0.56486486486486487</v>
      </c>
      <c r="N27" s="122"/>
    </row>
    <row r="28" spans="2:14" x14ac:dyDescent="0.25">
      <c r="B28" s="121"/>
      <c r="C28" s="159"/>
      <c r="D28" s="159"/>
      <c r="E28" s="159"/>
      <c r="F28" s="159"/>
      <c r="G28" s="160"/>
      <c r="H28" s="161"/>
      <c r="I28" s="162"/>
      <c r="J28" s="159"/>
      <c r="K28" s="163"/>
      <c r="L28" s="164">
        <f t="shared" si="0"/>
        <v>0</v>
      </c>
      <c r="M28" s="165" t="e">
        <f t="shared" si="1"/>
        <v>#DIV/0!</v>
      </c>
      <c r="N28" s="122"/>
    </row>
    <row r="29" spans="2:14" x14ac:dyDescent="0.25">
      <c r="B29" s="121"/>
      <c r="C29" s="160"/>
      <c r="D29" s="160"/>
      <c r="E29" s="160"/>
      <c r="F29" s="160"/>
      <c r="G29" s="160"/>
      <c r="H29" s="161"/>
      <c r="I29" s="162"/>
      <c r="J29" s="159"/>
      <c r="K29" s="163"/>
      <c r="L29" s="164">
        <f t="shared" si="0"/>
        <v>0</v>
      </c>
      <c r="M29" s="165" t="e">
        <f t="shared" si="1"/>
        <v>#DIV/0!</v>
      </c>
      <c r="N29" s="122"/>
    </row>
    <row r="30" spans="2:14" x14ac:dyDescent="0.25">
      <c r="B30" s="121"/>
      <c r="C30" s="160"/>
      <c r="D30" s="160"/>
      <c r="E30" s="160"/>
      <c r="F30" s="160"/>
      <c r="G30" s="160"/>
      <c r="H30" s="161"/>
      <c r="I30" s="162"/>
      <c r="J30" s="159"/>
      <c r="K30" s="163"/>
      <c r="L30" s="164">
        <f t="shared" si="0"/>
        <v>0</v>
      </c>
      <c r="M30" s="165" t="e">
        <f t="shared" si="1"/>
        <v>#DIV/0!</v>
      </c>
      <c r="N30" s="122"/>
    </row>
    <row r="31" spans="2:14" x14ac:dyDescent="0.25">
      <c r="B31" s="121"/>
      <c r="C31" s="159"/>
      <c r="D31" s="159"/>
      <c r="E31" s="159"/>
      <c r="F31" s="159"/>
      <c r="G31" s="160"/>
      <c r="H31" s="161"/>
      <c r="I31" s="162"/>
      <c r="J31" s="159"/>
      <c r="K31" s="163"/>
      <c r="L31" s="164">
        <f t="shared" si="0"/>
        <v>0</v>
      </c>
      <c r="M31" s="165" t="e">
        <f t="shared" si="1"/>
        <v>#DIV/0!</v>
      </c>
      <c r="N31" s="122"/>
    </row>
    <row r="32" spans="2:14" x14ac:dyDescent="0.25">
      <c r="B32" s="121"/>
      <c r="C32" s="159"/>
      <c r="D32" s="159"/>
      <c r="E32" s="159"/>
      <c r="F32" s="159"/>
      <c r="G32" s="160"/>
      <c r="H32" s="161"/>
      <c r="I32" s="162"/>
      <c r="J32" s="159"/>
      <c r="K32" s="163"/>
      <c r="L32" s="164">
        <f t="shared" si="0"/>
        <v>0</v>
      </c>
      <c r="M32" s="165" t="e">
        <f t="shared" si="1"/>
        <v>#DIV/0!</v>
      </c>
      <c r="N32" s="122"/>
    </row>
    <row r="33" spans="2:14" x14ac:dyDescent="0.25">
      <c r="B33" s="121"/>
      <c r="C33" s="160"/>
      <c r="D33" s="160"/>
      <c r="E33" s="160"/>
      <c r="F33" s="160"/>
      <c r="G33" s="160"/>
      <c r="H33" s="161"/>
      <c r="I33" s="162"/>
      <c r="J33" s="159"/>
      <c r="K33" s="163"/>
      <c r="L33" s="164">
        <f t="shared" si="0"/>
        <v>0</v>
      </c>
      <c r="M33" s="165" t="e">
        <f t="shared" si="1"/>
        <v>#DIV/0!</v>
      </c>
      <c r="N33" s="122"/>
    </row>
    <row r="34" spans="2:14" x14ac:dyDescent="0.25">
      <c r="B34" s="121"/>
      <c r="C34" s="159"/>
      <c r="D34" s="159"/>
      <c r="E34" s="159"/>
      <c r="F34" s="159"/>
      <c r="G34" s="160"/>
      <c r="H34" s="161"/>
      <c r="I34" s="162"/>
      <c r="J34" s="159"/>
      <c r="K34" s="166"/>
      <c r="L34" s="164">
        <f t="shared" si="0"/>
        <v>0</v>
      </c>
      <c r="M34" s="167" t="e">
        <f t="shared" si="1"/>
        <v>#DIV/0!</v>
      </c>
      <c r="N34" s="122"/>
    </row>
    <row r="35" spans="2:14" x14ac:dyDescent="0.25">
      <c r="B35" s="121"/>
      <c r="C35" s="159"/>
      <c r="D35" s="159"/>
      <c r="E35" s="159"/>
      <c r="F35" s="159"/>
      <c r="G35" s="160"/>
      <c r="H35" s="161"/>
      <c r="I35" s="162"/>
      <c r="J35" s="159"/>
      <c r="K35" s="163"/>
      <c r="L35" s="164">
        <f t="shared" si="0"/>
        <v>0</v>
      </c>
      <c r="M35" s="165" t="e">
        <f t="shared" si="1"/>
        <v>#DIV/0!</v>
      </c>
      <c r="N35" s="122"/>
    </row>
    <row r="36" spans="2:14" x14ac:dyDescent="0.25">
      <c r="B36" s="121"/>
      <c r="C36" s="159"/>
      <c r="D36" s="159"/>
      <c r="E36" s="159"/>
      <c r="F36" s="159"/>
      <c r="G36" s="160"/>
      <c r="H36" s="161"/>
      <c r="I36" s="162"/>
      <c r="J36" s="159"/>
      <c r="K36" s="163"/>
      <c r="L36" s="164">
        <f t="shared" si="0"/>
        <v>0</v>
      </c>
      <c r="M36" s="165" t="e">
        <f t="shared" si="1"/>
        <v>#DIV/0!</v>
      </c>
      <c r="N36" s="122"/>
    </row>
    <row r="37" spans="2:14" x14ac:dyDescent="0.25">
      <c r="B37" s="121"/>
      <c r="C37" s="159"/>
      <c r="D37" s="159"/>
      <c r="E37" s="159"/>
      <c r="F37" s="159"/>
      <c r="G37" s="160"/>
      <c r="H37" s="161"/>
      <c r="I37" s="162"/>
      <c r="J37" s="159"/>
      <c r="K37" s="163"/>
      <c r="L37" s="164">
        <f t="shared" si="0"/>
        <v>0</v>
      </c>
      <c r="M37" s="165" t="e">
        <f t="shared" si="1"/>
        <v>#DIV/0!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77"/>
      <c r="D66" s="277">
        <f>+COUNT($D$22:$D$65)</f>
        <v>5</v>
      </c>
      <c r="E66" s="277"/>
      <c r="F66" s="373"/>
      <c r="G66" s="373"/>
      <c r="H66" s="149"/>
      <c r="I66" s="148">
        <f>SUM($I$22:$I$65)</f>
        <v>1664</v>
      </c>
      <c r="J66" s="150">
        <f>SUM($J$22:$J$65)</f>
        <v>462.70000000000005</v>
      </c>
      <c r="K66" s="151">
        <f>SUM($K$22:$K$65)</f>
        <v>463.20000000000005</v>
      </c>
      <c r="L66" s="148">
        <f>SUM($L$22:$L$65)</f>
        <v>925.90000000000009</v>
      </c>
      <c r="M66" s="178">
        <f t="shared" si="1"/>
        <v>0.55643028846153852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7.3</v>
      </c>
      <c r="I71" s="119">
        <v>7.04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5</v>
      </c>
      <c r="I72" s="119">
        <v>7.04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5</v>
      </c>
      <c r="I73" s="119">
        <v>22.64</v>
      </c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5</v>
      </c>
      <c r="I74" s="119">
        <v>5.44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2.9</v>
      </c>
      <c r="I75" s="119">
        <v>2.8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10</v>
      </c>
      <c r="I76" s="119">
        <v>3.72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20</v>
      </c>
      <c r="I77" s="119">
        <v>3.14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5</v>
      </c>
      <c r="I78" s="119">
        <v>2.76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5</v>
      </c>
      <c r="I79" s="119">
        <v>3.36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5.56</v>
      </c>
      <c r="I80" s="119">
        <v>5.34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5</v>
      </c>
      <c r="I81" s="119">
        <v>3.92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5</v>
      </c>
      <c r="I82" s="119">
        <v>1.52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2.74</v>
      </c>
      <c r="I83" s="119">
        <v>2.62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71.339999999999989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5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50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A6" zoomScale="90" zoomScaleNormal="90" workbookViewId="0">
      <selection activeCell="P78" sqref="P78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0.57768567639257296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232.30666666666667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334</v>
      </c>
      <c r="F8" s="344"/>
      <c r="G8" s="344"/>
      <c r="H8" s="345"/>
      <c r="I8" s="146" t="s">
        <v>487</v>
      </c>
      <c r="J8" s="346" t="s">
        <v>1231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28012</v>
      </c>
      <c r="F9" s="344"/>
      <c r="G9" s="344"/>
      <c r="H9" s="345"/>
      <c r="I9" s="146" t="s">
        <v>88</v>
      </c>
      <c r="J9" s="209" t="s">
        <v>1232</v>
      </c>
      <c r="K9" s="278" t="s">
        <v>490</v>
      </c>
      <c r="L9" s="369" t="s">
        <v>1233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79" t="s">
        <v>569</v>
      </c>
      <c r="E12" s="384">
        <v>46058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56</v>
      </c>
      <c r="F13" s="349"/>
      <c r="H13" s="117"/>
      <c r="I13" s="123"/>
      <c r="J13" s="215" t="s">
        <v>483</v>
      </c>
      <c r="K13" s="280">
        <f>+COUNTIF($G$22:$G$66,"VQ")*2</f>
        <v>0</v>
      </c>
      <c r="L13" s="280">
        <f>+SUMIF($G$23:$G$65,"VQ",$L$23:$L$65)</f>
        <v>0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15</v>
      </c>
      <c r="F14" s="350"/>
      <c r="H14" s="117"/>
      <c r="I14" s="123"/>
      <c r="J14" s="215" t="s">
        <v>42</v>
      </c>
      <c r="K14" s="280">
        <f>+COUNTIF($G$22:$G$66,"NT")*2</f>
        <v>18</v>
      </c>
      <c r="L14" s="280">
        <f>+SUMIF($G$23:$G$65,"NT",$L$23:$L$65)</f>
        <v>2061.1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6032</v>
      </c>
      <c r="F15" s="350"/>
      <c r="H15" s="117"/>
      <c r="I15" s="123"/>
      <c r="J15" s="215" t="s">
        <v>484</v>
      </c>
      <c r="K15" s="280">
        <f>+COUNTIF($G$22:$G$66,"NO")*2</f>
        <v>0</v>
      </c>
      <c r="L15" s="280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3484.6</v>
      </c>
      <c r="F16" s="350"/>
      <c r="H16" s="117"/>
      <c r="I16" s="123"/>
      <c r="J16" s="215" t="s">
        <v>485</v>
      </c>
      <c r="K16" s="280">
        <f>+COUNTIF($G$22:$G$66,"TO")*2</f>
        <v>0</v>
      </c>
      <c r="L16" s="280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0.57768567639257296</v>
      </c>
      <c r="F17" s="350"/>
      <c r="G17" s="124"/>
      <c r="H17" s="125"/>
      <c r="I17" s="123"/>
      <c r="J17" s="215" t="s">
        <v>486</v>
      </c>
      <c r="K17" s="280">
        <f>+COUNTIF($G$22:$G$66,"VA")*2</f>
        <v>0</v>
      </c>
      <c r="L17" s="280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232.30666666666667</v>
      </c>
      <c r="F18" s="353"/>
      <c r="G18" s="124"/>
      <c r="H18" s="125"/>
      <c r="I18" s="123"/>
      <c r="J18" s="215" t="s">
        <v>44</v>
      </c>
      <c r="K18" s="280">
        <f>+COUNTIF($G$22:$G$66,"MEJ")*2</f>
        <v>12</v>
      </c>
      <c r="L18" s="280">
        <f>+SUMIF($G$23:$G$65,"MEJ",$L$23:$L$65)</f>
        <v>1423.5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</v>
      </c>
      <c r="D23" s="152">
        <v>8</v>
      </c>
      <c r="E23" s="152" t="s">
        <v>68</v>
      </c>
      <c r="F23" s="152" t="s">
        <v>526</v>
      </c>
      <c r="G23" s="153" t="s">
        <v>44</v>
      </c>
      <c r="H23" s="154" t="s">
        <v>1221</v>
      </c>
      <c r="I23" s="155">
        <v>419</v>
      </c>
      <c r="J23" s="152">
        <v>127.1</v>
      </c>
      <c r="K23" s="156">
        <v>125.9</v>
      </c>
      <c r="L23" s="157">
        <f t="shared" ref="L23:L65" si="0">+J23+K23</f>
        <v>253</v>
      </c>
      <c r="M23" s="158">
        <f t="shared" ref="M23:M66" si="1">+L23/I23</f>
        <v>0.60381861575178997</v>
      </c>
      <c r="N23" s="122"/>
    </row>
    <row r="24" spans="2:14" x14ac:dyDescent="0.25">
      <c r="B24" s="121"/>
      <c r="C24" s="159">
        <v>2</v>
      </c>
      <c r="D24" s="159">
        <v>1</v>
      </c>
      <c r="E24" s="159" t="s">
        <v>68</v>
      </c>
      <c r="F24" s="159" t="s">
        <v>526</v>
      </c>
      <c r="G24" s="160" t="s">
        <v>44</v>
      </c>
      <c r="H24" s="161" t="s">
        <v>1222</v>
      </c>
      <c r="I24" s="162">
        <v>388</v>
      </c>
      <c r="J24" s="159">
        <v>115.1</v>
      </c>
      <c r="K24" s="163">
        <v>113.5</v>
      </c>
      <c r="L24" s="164">
        <f t="shared" si="0"/>
        <v>228.6</v>
      </c>
      <c r="M24" s="165">
        <f t="shared" si="1"/>
        <v>0.58917525773195878</v>
      </c>
      <c r="N24" s="122"/>
    </row>
    <row r="25" spans="2:14" x14ac:dyDescent="0.25">
      <c r="B25" s="121"/>
      <c r="C25" s="159">
        <v>3</v>
      </c>
      <c r="D25" s="159">
        <v>4</v>
      </c>
      <c r="E25" s="159" t="s">
        <v>67</v>
      </c>
      <c r="F25" s="159" t="s">
        <v>526</v>
      </c>
      <c r="G25" s="160" t="s">
        <v>44</v>
      </c>
      <c r="H25" s="161" t="s">
        <v>128</v>
      </c>
      <c r="I25" s="162">
        <v>457</v>
      </c>
      <c r="J25" s="159">
        <v>134</v>
      </c>
      <c r="K25" s="163">
        <v>133.30000000000001</v>
      </c>
      <c r="L25" s="164">
        <f t="shared" si="0"/>
        <v>267.3</v>
      </c>
      <c r="M25" s="165">
        <f t="shared" si="1"/>
        <v>0.58490153172866521</v>
      </c>
      <c r="N25" s="122"/>
    </row>
    <row r="26" spans="2:14" x14ac:dyDescent="0.25">
      <c r="B26" s="121"/>
      <c r="C26" s="159">
        <v>4</v>
      </c>
      <c r="D26" s="159">
        <v>3</v>
      </c>
      <c r="E26" s="159" t="s">
        <v>75</v>
      </c>
      <c r="F26" s="159" t="s">
        <v>526</v>
      </c>
      <c r="G26" s="160" t="s">
        <v>42</v>
      </c>
      <c r="H26" s="161" t="s">
        <v>632</v>
      </c>
      <c r="I26" s="162">
        <v>385</v>
      </c>
      <c r="J26" s="159">
        <v>107.5</v>
      </c>
      <c r="K26" s="163">
        <v>105.4</v>
      </c>
      <c r="L26" s="164">
        <f t="shared" si="0"/>
        <v>212.9</v>
      </c>
      <c r="M26" s="165">
        <f t="shared" si="1"/>
        <v>0.55298701298701303</v>
      </c>
      <c r="N26" s="122"/>
    </row>
    <row r="27" spans="2:14" x14ac:dyDescent="0.25">
      <c r="B27" s="121"/>
      <c r="C27" s="159">
        <v>5</v>
      </c>
      <c r="D27" s="159">
        <v>5</v>
      </c>
      <c r="E27" s="159" t="s">
        <v>75</v>
      </c>
      <c r="F27" s="159" t="s">
        <v>526</v>
      </c>
      <c r="G27" s="160" t="s">
        <v>42</v>
      </c>
      <c r="H27" s="161" t="s">
        <v>1223</v>
      </c>
      <c r="I27" s="162">
        <v>440</v>
      </c>
      <c r="J27" s="159">
        <v>126.7</v>
      </c>
      <c r="K27" s="163">
        <v>124.8</v>
      </c>
      <c r="L27" s="164">
        <f t="shared" si="0"/>
        <v>251.5</v>
      </c>
      <c r="M27" s="165">
        <f t="shared" si="1"/>
        <v>0.57159090909090904</v>
      </c>
      <c r="N27" s="122"/>
    </row>
    <row r="28" spans="2:14" x14ac:dyDescent="0.25">
      <c r="B28" s="121"/>
      <c r="C28" s="159">
        <v>6</v>
      </c>
      <c r="D28" s="159">
        <v>7</v>
      </c>
      <c r="E28" s="159" t="s">
        <v>75</v>
      </c>
      <c r="F28" s="159" t="s">
        <v>526</v>
      </c>
      <c r="G28" s="160" t="s">
        <v>42</v>
      </c>
      <c r="H28" s="161" t="s">
        <v>1224</v>
      </c>
      <c r="I28" s="162">
        <v>342</v>
      </c>
      <c r="J28" s="159">
        <v>97.5</v>
      </c>
      <c r="K28" s="163">
        <v>96.3</v>
      </c>
      <c r="L28" s="164">
        <f t="shared" si="0"/>
        <v>193.8</v>
      </c>
      <c r="M28" s="165">
        <f t="shared" si="1"/>
        <v>0.56666666666666665</v>
      </c>
      <c r="N28" s="122"/>
    </row>
    <row r="29" spans="2:14" x14ac:dyDescent="0.25">
      <c r="B29" s="121"/>
      <c r="C29" s="160">
        <v>7</v>
      </c>
      <c r="D29" s="160">
        <v>10</v>
      </c>
      <c r="E29" s="160" t="s">
        <v>75</v>
      </c>
      <c r="F29" s="159" t="s">
        <v>526</v>
      </c>
      <c r="G29" s="160" t="s">
        <v>42</v>
      </c>
      <c r="H29" s="161" t="s">
        <v>1225</v>
      </c>
      <c r="I29" s="162">
        <v>407</v>
      </c>
      <c r="J29" s="159">
        <v>113.3</v>
      </c>
      <c r="K29" s="163">
        <v>114.1</v>
      </c>
      <c r="L29" s="164">
        <f t="shared" si="0"/>
        <v>227.39999999999998</v>
      </c>
      <c r="M29" s="165">
        <f t="shared" si="1"/>
        <v>0.55872235872235865</v>
      </c>
      <c r="N29" s="122"/>
    </row>
    <row r="30" spans="2:14" x14ac:dyDescent="0.25">
      <c r="B30" s="121"/>
      <c r="C30" s="160">
        <v>8</v>
      </c>
      <c r="D30" s="160">
        <v>9</v>
      </c>
      <c r="E30" s="160" t="s">
        <v>75</v>
      </c>
      <c r="F30" s="159" t="s">
        <v>526</v>
      </c>
      <c r="G30" s="160" t="s">
        <v>42</v>
      </c>
      <c r="H30" s="161" t="s">
        <v>1226</v>
      </c>
      <c r="I30" s="162">
        <v>397</v>
      </c>
      <c r="J30" s="159">
        <v>113.8</v>
      </c>
      <c r="K30" s="163">
        <v>113.2</v>
      </c>
      <c r="L30" s="164">
        <f t="shared" si="0"/>
        <v>227</v>
      </c>
      <c r="M30" s="165">
        <f t="shared" si="1"/>
        <v>0.5717884130982368</v>
      </c>
      <c r="N30" s="122"/>
    </row>
    <row r="31" spans="2:14" x14ac:dyDescent="0.25">
      <c r="B31" s="121"/>
      <c r="C31" s="159">
        <v>9</v>
      </c>
      <c r="D31" s="159">
        <v>14</v>
      </c>
      <c r="E31" s="159" t="s">
        <v>75</v>
      </c>
      <c r="F31" s="159" t="s">
        <v>526</v>
      </c>
      <c r="G31" s="160" t="s">
        <v>42</v>
      </c>
      <c r="H31" s="161" t="s">
        <v>1227</v>
      </c>
      <c r="I31" s="162">
        <v>415</v>
      </c>
      <c r="J31" s="159">
        <v>117.3</v>
      </c>
      <c r="K31" s="163">
        <v>118.4</v>
      </c>
      <c r="L31" s="164">
        <f t="shared" si="0"/>
        <v>235.7</v>
      </c>
      <c r="M31" s="165">
        <f t="shared" si="1"/>
        <v>0.56795180722891558</v>
      </c>
      <c r="N31" s="122"/>
    </row>
    <row r="32" spans="2:14" x14ac:dyDescent="0.25">
      <c r="B32" s="121"/>
      <c r="C32" s="159">
        <v>10</v>
      </c>
      <c r="D32" s="159">
        <v>11</v>
      </c>
      <c r="E32" s="159" t="s">
        <v>75</v>
      </c>
      <c r="F32" s="159" t="s">
        <v>526</v>
      </c>
      <c r="G32" s="160" t="s">
        <v>44</v>
      </c>
      <c r="H32" s="161" t="s">
        <v>916</v>
      </c>
      <c r="I32" s="162">
        <v>384</v>
      </c>
      <c r="J32" s="159">
        <v>112.2</v>
      </c>
      <c r="K32" s="163">
        <v>111.7</v>
      </c>
      <c r="L32" s="164">
        <f t="shared" si="0"/>
        <v>223.9</v>
      </c>
      <c r="M32" s="165">
        <f t="shared" si="1"/>
        <v>0.58307291666666672</v>
      </c>
      <c r="N32" s="122"/>
    </row>
    <row r="33" spans="2:14" x14ac:dyDescent="0.25">
      <c r="B33" s="121"/>
      <c r="C33" s="160">
        <v>11</v>
      </c>
      <c r="D33" s="160">
        <v>12</v>
      </c>
      <c r="E33" s="160" t="s">
        <v>67</v>
      </c>
      <c r="F33" s="159" t="s">
        <v>526</v>
      </c>
      <c r="G33" s="160" t="s">
        <v>42</v>
      </c>
      <c r="H33" s="161" t="s">
        <v>1228</v>
      </c>
      <c r="I33" s="162">
        <v>426</v>
      </c>
      <c r="J33" s="159">
        <v>120</v>
      </c>
      <c r="K33" s="163">
        <v>119.9</v>
      </c>
      <c r="L33" s="164">
        <f t="shared" si="0"/>
        <v>239.9</v>
      </c>
      <c r="M33" s="165">
        <f t="shared" si="1"/>
        <v>0.56314553990610328</v>
      </c>
      <c r="N33" s="122"/>
    </row>
    <row r="34" spans="2:14" x14ac:dyDescent="0.25">
      <c r="B34" s="121"/>
      <c r="C34" s="159">
        <v>12</v>
      </c>
      <c r="D34" s="159">
        <v>13</v>
      </c>
      <c r="E34" s="159" t="s">
        <v>68</v>
      </c>
      <c r="F34" s="159" t="s">
        <v>526</v>
      </c>
      <c r="G34" s="160" t="s">
        <v>44</v>
      </c>
      <c r="H34" s="161" t="s">
        <v>202</v>
      </c>
      <c r="I34" s="162">
        <v>372</v>
      </c>
      <c r="J34" s="159">
        <v>110.6</v>
      </c>
      <c r="K34" s="166">
        <v>110</v>
      </c>
      <c r="L34" s="164">
        <f t="shared" si="0"/>
        <v>220.6</v>
      </c>
      <c r="M34" s="167">
        <f t="shared" si="1"/>
        <v>0.59301075268817205</v>
      </c>
      <c r="N34" s="122"/>
    </row>
    <row r="35" spans="2:14" x14ac:dyDescent="0.25">
      <c r="B35" s="121"/>
      <c r="C35" s="159">
        <v>13</v>
      </c>
      <c r="D35" s="159">
        <v>15</v>
      </c>
      <c r="E35" s="159" t="s">
        <v>75</v>
      </c>
      <c r="F35" s="159" t="s">
        <v>526</v>
      </c>
      <c r="G35" s="160" t="s">
        <v>42</v>
      </c>
      <c r="H35" s="161" t="s">
        <v>1229</v>
      </c>
      <c r="I35" s="162">
        <v>460</v>
      </c>
      <c r="J35" s="159">
        <v>134</v>
      </c>
      <c r="K35" s="163">
        <v>135</v>
      </c>
      <c r="L35" s="164">
        <f t="shared" si="0"/>
        <v>269</v>
      </c>
      <c r="M35" s="165">
        <f t="shared" si="1"/>
        <v>0.58478260869565213</v>
      </c>
      <c r="N35" s="122"/>
    </row>
    <row r="36" spans="2:14" x14ac:dyDescent="0.25">
      <c r="B36" s="121"/>
      <c r="C36" s="159">
        <v>14</v>
      </c>
      <c r="D36" s="159">
        <v>6</v>
      </c>
      <c r="E36" s="159" t="s">
        <v>68</v>
      </c>
      <c r="F36" s="159" t="s">
        <v>526</v>
      </c>
      <c r="G36" s="160" t="s">
        <v>42</v>
      </c>
      <c r="H36" s="161" t="s">
        <v>946</v>
      </c>
      <c r="I36" s="162">
        <v>348</v>
      </c>
      <c r="J36" s="159">
        <v>102</v>
      </c>
      <c r="K36" s="163">
        <v>101.9</v>
      </c>
      <c r="L36" s="164">
        <f t="shared" si="0"/>
        <v>203.9</v>
      </c>
      <c r="M36" s="165">
        <f t="shared" si="1"/>
        <v>0.58591954022988513</v>
      </c>
      <c r="N36" s="122"/>
    </row>
    <row r="37" spans="2:14" x14ac:dyDescent="0.25">
      <c r="B37" s="121"/>
      <c r="C37" s="159">
        <v>15</v>
      </c>
      <c r="D37" s="159">
        <v>2</v>
      </c>
      <c r="E37" s="159" t="s">
        <v>67</v>
      </c>
      <c r="F37" s="159" t="s">
        <v>526</v>
      </c>
      <c r="G37" s="160" t="s">
        <v>44</v>
      </c>
      <c r="H37" s="161" t="s">
        <v>1230</v>
      </c>
      <c r="I37" s="162">
        <v>392</v>
      </c>
      <c r="J37" s="159">
        <v>115.3</v>
      </c>
      <c r="K37" s="163">
        <v>114.8</v>
      </c>
      <c r="L37" s="164">
        <f t="shared" si="0"/>
        <v>230.1</v>
      </c>
      <c r="M37" s="165">
        <f t="shared" si="1"/>
        <v>0.58698979591836731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81"/>
      <c r="D66" s="281">
        <f>+COUNT($D$22:$D$65)</f>
        <v>15</v>
      </c>
      <c r="E66" s="281"/>
      <c r="F66" s="373"/>
      <c r="G66" s="373"/>
      <c r="H66" s="149"/>
      <c r="I66" s="148">
        <f>SUM($I$22:$I$65)</f>
        <v>6032</v>
      </c>
      <c r="J66" s="150">
        <f>SUM($J$22:$J$65)</f>
        <v>1746.3999999999999</v>
      </c>
      <c r="K66" s="151">
        <f>SUM($K$22:$K$65)</f>
        <v>1738.2000000000003</v>
      </c>
      <c r="L66" s="148">
        <f>SUM($L$22:$L$65)</f>
        <v>3484.6</v>
      </c>
      <c r="M66" s="178">
        <f t="shared" si="1"/>
        <v>0.57768567639257296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58.599999999999994</v>
      </c>
      <c r="I71" s="119">
        <v>56.820000000000007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25</v>
      </c>
      <c r="I72" s="119">
        <v>37.659999999999997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24</v>
      </c>
      <c r="I73" s="119">
        <v>104.22</v>
      </c>
      <c r="J73" s="181">
        <v>1</v>
      </c>
      <c r="K73" s="185">
        <v>4.6900000000000004</v>
      </c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25</v>
      </c>
      <c r="I74" s="119">
        <v>26.12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15.74</v>
      </c>
      <c r="I75" s="119">
        <v>15.44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50</v>
      </c>
      <c r="I76" s="119">
        <v>19.72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100</v>
      </c>
      <c r="I77" s="119">
        <v>15.82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25</v>
      </c>
      <c r="I78" s="119">
        <v>17.739999999999998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25</v>
      </c>
      <c r="I79" s="119">
        <v>18.579999999999998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31.2</v>
      </c>
      <c r="I80" s="119">
        <v>30.18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25</v>
      </c>
      <c r="I81" s="119">
        <v>23.12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25</v>
      </c>
      <c r="I82" s="119">
        <v>8.16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15.52</v>
      </c>
      <c r="I83" s="119">
        <v>14.64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388.22</v>
      </c>
      <c r="J84" s="187">
        <f>SUM(J71:J83)</f>
        <v>1</v>
      </c>
      <c r="K84" s="186">
        <f>SUM(K71:K83)</f>
        <v>4.6900000000000004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15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49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A71" zoomScale="90" zoomScaleNormal="90" workbookViewId="0">
      <selection activeCell="E13" sqref="E13:F13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0.5502800248911015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176.86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334</v>
      </c>
      <c r="F8" s="344"/>
      <c r="G8" s="344"/>
      <c r="H8" s="345"/>
      <c r="I8" s="146" t="s">
        <v>487</v>
      </c>
      <c r="J8" s="346" t="s">
        <v>1243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28012</v>
      </c>
      <c r="F9" s="344"/>
      <c r="G9" s="344"/>
      <c r="H9" s="345"/>
      <c r="I9" s="146" t="s">
        <v>88</v>
      </c>
      <c r="J9" s="209" t="s">
        <v>1244</v>
      </c>
      <c r="K9" s="274" t="s">
        <v>490</v>
      </c>
      <c r="L9" s="369" t="s">
        <v>1245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75" t="s">
        <v>569</v>
      </c>
      <c r="E12" s="384">
        <v>46058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58</v>
      </c>
      <c r="F13" s="349"/>
      <c r="H13" s="117"/>
      <c r="I13" s="123"/>
      <c r="J13" s="215" t="s">
        <v>483</v>
      </c>
      <c r="K13" s="276">
        <f>+COUNTIF($G$22:$G$66,"VQ")*2</f>
        <v>0</v>
      </c>
      <c r="L13" s="276">
        <f>+SUMIF($G$23:$G$65,"VQ",$L$23:$L$65)</f>
        <v>0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10</v>
      </c>
      <c r="F14" s="350"/>
      <c r="H14" s="117"/>
      <c r="I14" s="123"/>
      <c r="J14" s="215" t="s">
        <v>42</v>
      </c>
      <c r="K14" s="276">
        <f>+COUNTIF($G$22:$G$66,"NT")*2</f>
        <v>20</v>
      </c>
      <c r="L14" s="276">
        <f>+SUMIF($G$23:$G$65,"NT",$L$23:$L$65)</f>
        <v>1768.6000000000001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3214</v>
      </c>
      <c r="F15" s="350"/>
      <c r="H15" s="117"/>
      <c r="I15" s="123"/>
      <c r="J15" s="215" t="s">
        <v>484</v>
      </c>
      <c r="K15" s="276">
        <f>+COUNTIF($G$22:$G$66,"NO")*2</f>
        <v>0</v>
      </c>
      <c r="L15" s="276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1768.6000000000001</v>
      </c>
      <c r="F16" s="350"/>
      <c r="H16" s="117"/>
      <c r="I16" s="123"/>
      <c r="J16" s="215" t="s">
        <v>485</v>
      </c>
      <c r="K16" s="276">
        <f>+COUNTIF($G$22:$G$66,"TO")*2</f>
        <v>0</v>
      </c>
      <c r="L16" s="276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0.5502800248911015</v>
      </c>
      <c r="F17" s="350"/>
      <c r="G17" s="124"/>
      <c r="H17" s="125"/>
      <c r="I17" s="123"/>
      <c r="J17" s="215" t="s">
        <v>486</v>
      </c>
      <c r="K17" s="276">
        <f>+COUNTIF($G$22:$G$66,"VA")*2</f>
        <v>0</v>
      </c>
      <c r="L17" s="276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176.86</v>
      </c>
      <c r="F18" s="353"/>
      <c r="G18" s="124"/>
      <c r="H18" s="125"/>
      <c r="I18" s="123"/>
      <c r="J18" s="215" t="s">
        <v>44</v>
      </c>
      <c r="K18" s="276">
        <f>+COUNTIF($G$22:$G$66,"MEJ")*2</f>
        <v>0</v>
      </c>
      <c r="L18" s="276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16</v>
      </c>
      <c r="D23" s="152">
        <v>10</v>
      </c>
      <c r="E23" s="152" t="s">
        <v>67</v>
      </c>
      <c r="F23" s="152" t="s">
        <v>526</v>
      </c>
      <c r="G23" s="153" t="s">
        <v>42</v>
      </c>
      <c r="H23" s="154" t="s">
        <v>1234</v>
      </c>
      <c r="I23" s="155">
        <v>308</v>
      </c>
      <c r="J23" s="152">
        <v>83.9</v>
      </c>
      <c r="K23" s="156">
        <v>84.3</v>
      </c>
      <c r="L23" s="157">
        <f t="shared" ref="L23:L65" si="0">+J23+K23</f>
        <v>168.2</v>
      </c>
      <c r="M23" s="158">
        <f t="shared" ref="M23:M66" si="1">+L23/I23</f>
        <v>0.54610389610389609</v>
      </c>
      <c r="N23" s="122"/>
    </row>
    <row r="24" spans="2:14" x14ac:dyDescent="0.25">
      <c r="B24" s="121"/>
      <c r="C24" s="159">
        <v>17</v>
      </c>
      <c r="D24" s="159">
        <v>3</v>
      </c>
      <c r="E24" s="159" t="s">
        <v>67</v>
      </c>
      <c r="F24" s="159" t="s">
        <v>526</v>
      </c>
      <c r="G24" s="160" t="s">
        <v>42</v>
      </c>
      <c r="H24" s="161" t="s">
        <v>41</v>
      </c>
      <c r="I24" s="162">
        <v>324</v>
      </c>
      <c r="J24" s="159">
        <v>91.5</v>
      </c>
      <c r="K24" s="163">
        <v>91.1</v>
      </c>
      <c r="L24" s="164">
        <f t="shared" si="0"/>
        <v>182.6</v>
      </c>
      <c r="M24" s="165">
        <f t="shared" si="1"/>
        <v>0.56358024691358022</v>
      </c>
      <c r="N24" s="122"/>
    </row>
    <row r="25" spans="2:14" x14ac:dyDescent="0.25">
      <c r="B25" s="121"/>
      <c r="C25" s="159">
        <v>18</v>
      </c>
      <c r="D25" s="159">
        <v>2</v>
      </c>
      <c r="E25" s="159" t="s">
        <v>67</v>
      </c>
      <c r="F25" s="159" t="s">
        <v>526</v>
      </c>
      <c r="G25" s="160" t="s">
        <v>42</v>
      </c>
      <c r="H25" s="161" t="s">
        <v>1235</v>
      </c>
      <c r="I25" s="162">
        <v>316</v>
      </c>
      <c r="J25" s="159">
        <v>85.3</v>
      </c>
      <c r="K25" s="163">
        <v>87</v>
      </c>
      <c r="L25" s="164">
        <f t="shared" si="0"/>
        <v>172.3</v>
      </c>
      <c r="M25" s="165">
        <f t="shared" si="1"/>
        <v>0.54525316455696204</v>
      </c>
      <c r="N25" s="122"/>
    </row>
    <row r="26" spans="2:14" x14ac:dyDescent="0.25">
      <c r="B26" s="121"/>
      <c r="C26" s="159">
        <v>19</v>
      </c>
      <c r="D26" s="159">
        <v>5</v>
      </c>
      <c r="E26" s="159" t="s">
        <v>68</v>
      </c>
      <c r="F26" s="159" t="s">
        <v>526</v>
      </c>
      <c r="G26" s="160" t="s">
        <v>42</v>
      </c>
      <c r="H26" s="161" t="s">
        <v>1236</v>
      </c>
      <c r="I26" s="162">
        <v>326</v>
      </c>
      <c r="J26" s="159">
        <v>89</v>
      </c>
      <c r="K26" s="163">
        <v>89.2</v>
      </c>
      <c r="L26" s="164">
        <f t="shared" si="0"/>
        <v>178.2</v>
      </c>
      <c r="M26" s="165">
        <f t="shared" si="1"/>
        <v>0.5466257668711656</v>
      </c>
      <c r="N26" s="122"/>
    </row>
    <row r="27" spans="2:14" x14ac:dyDescent="0.25">
      <c r="B27" s="121"/>
      <c r="C27" s="159">
        <v>20</v>
      </c>
      <c r="D27" s="159">
        <v>9</v>
      </c>
      <c r="E27" s="159" t="s">
        <v>68</v>
      </c>
      <c r="F27" s="159" t="s">
        <v>526</v>
      </c>
      <c r="G27" s="160" t="s">
        <v>42</v>
      </c>
      <c r="H27" s="161" t="s">
        <v>1237</v>
      </c>
      <c r="I27" s="162">
        <v>307</v>
      </c>
      <c r="J27" s="159">
        <v>88.4</v>
      </c>
      <c r="K27" s="163">
        <v>88.4</v>
      </c>
      <c r="L27" s="164">
        <f t="shared" si="0"/>
        <v>176.8</v>
      </c>
      <c r="M27" s="165">
        <f t="shared" si="1"/>
        <v>0.57589576547231269</v>
      </c>
      <c r="N27" s="122"/>
    </row>
    <row r="28" spans="2:14" x14ac:dyDescent="0.25">
      <c r="B28" s="121"/>
      <c r="C28" s="159">
        <v>21</v>
      </c>
      <c r="D28" s="159">
        <v>7</v>
      </c>
      <c r="E28" s="159" t="s">
        <v>68</v>
      </c>
      <c r="F28" s="159" t="s">
        <v>526</v>
      </c>
      <c r="G28" s="160" t="s">
        <v>42</v>
      </c>
      <c r="H28" s="161" t="s">
        <v>1238</v>
      </c>
      <c r="I28" s="162">
        <v>341</v>
      </c>
      <c r="J28" s="159">
        <v>90.5</v>
      </c>
      <c r="K28" s="163">
        <v>89.7</v>
      </c>
      <c r="L28" s="164">
        <f t="shared" si="0"/>
        <v>180.2</v>
      </c>
      <c r="M28" s="165">
        <f t="shared" si="1"/>
        <v>0.52844574780058651</v>
      </c>
      <c r="N28" s="122"/>
    </row>
    <row r="29" spans="2:14" x14ac:dyDescent="0.25">
      <c r="B29" s="121"/>
      <c r="C29" s="160">
        <v>22</v>
      </c>
      <c r="D29" s="160">
        <v>6</v>
      </c>
      <c r="E29" s="160" t="s">
        <v>67</v>
      </c>
      <c r="F29" s="159" t="s">
        <v>526</v>
      </c>
      <c r="G29" s="160" t="s">
        <v>42</v>
      </c>
      <c r="H29" s="161" t="s">
        <v>1239</v>
      </c>
      <c r="I29" s="162">
        <v>289</v>
      </c>
      <c r="J29" s="159">
        <v>83.4</v>
      </c>
      <c r="K29" s="163">
        <v>82.7</v>
      </c>
      <c r="L29" s="164">
        <f t="shared" si="0"/>
        <v>166.10000000000002</v>
      </c>
      <c r="M29" s="165">
        <f t="shared" si="1"/>
        <v>0.57474048442906578</v>
      </c>
      <c r="N29" s="122"/>
    </row>
    <row r="30" spans="2:14" x14ac:dyDescent="0.25">
      <c r="B30" s="121"/>
      <c r="C30" s="160">
        <v>23</v>
      </c>
      <c r="D30" s="160">
        <v>4</v>
      </c>
      <c r="E30" s="160" t="s">
        <v>68</v>
      </c>
      <c r="F30" s="159" t="s">
        <v>526</v>
      </c>
      <c r="G30" s="160" t="s">
        <v>42</v>
      </c>
      <c r="H30" s="161" t="s">
        <v>1240</v>
      </c>
      <c r="I30" s="162">
        <v>310</v>
      </c>
      <c r="J30" s="159">
        <v>85.7</v>
      </c>
      <c r="K30" s="163">
        <v>85.7</v>
      </c>
      <c r="L30" s="164">
        <f t="shared" si="0"/>
        <v>171.4</v>
      </c>
      <c r="M30" s="165">
        <f t="shared" si="1"/>
        <v>0.55290322580645168</v>
      </c>
      <c r="N30" s="122"/>
    </row>
    <row r="31" spans="2:14" x14ac:dyDescent="0.25">
      <c r="B31" s="121"/>
      <c r="C31" s="159">
        <v>24</v>
      </c>
      <c r="D31" s="159">
        <v>8</v>
      </c>
      <c r="E31" s="159" t="s">
        <v>68</v>
      </c>
      <c r="F31" s="159" t="s">
        <v>526</v>
      </c>
      <c r="G31" s="160" t="s">
        <v>42</v>
      </c>
      <c r="H31" s="161" t="s">
        <v>1241</v>
      </c>
      <c r="I31" s="162">
        <v>345</v>
      </c>
      <c r="J31" s="159">
        <v>93.3</v>
      </c>
      <c r="K31" s="163">
        <v>94</v>
      </c>
      <c r="L31" s="164">
        <f t="shared" si="0"/>
        <v>187.3</v>
      </c>
      <c r="M31" s="165">
        <f t="shared" si="1"/>
        <v>0.54289855072463766</v>
      </c>
      <c r="N31" s="122"/>
    </row>
    <row r="32" spans="2:14" x14ac:dyDescent="0.25">
      <c r="B32" s="121"/>
      <c r="C32" s="159">
        <v>25</v>
      </c>
      <c r="D32" s="159">
        <v>1</v>
      </c>
      <c r="E32" s="159" t="s">
        <v>68</v>
      </c>
      <c r="F32" s="159" t="s">
        <v>526</v>
      </c>
      <c r="G32" s="160" t="s">
        <v>42</v>
      </c>
      <c r="H32" s="161" t="s">
        <v>1242</v>
      </c>
      <c r="I32" s="162">
        <v>348</v>
      </c>
      <c r="J32" s="159">
        <v>92.7</v>
      </c>
      <c r="K32" s="163">
        <v>92.8</v>
      </c>
      <c r="L32" s="164">
        <f t="shared" si="0"/>
        <v>185.5</v>
      </c>
      <c r="M32" s="165">
        <f t="shared" si="1"/>
        <v>0.53304597701149425</v>
      </c>
      <c r="N32" s="122"/>
    </row>
    <row r="33" spans="2:14" x14ac:dyDescent="0.25">
      <c r="B33" s="121"/>
      <c r="C33" s="160"/>
      <c r="D33" s="160"/>
      <c r="E33" s="160"/>
      <c r="F33" s="160"/>
      <c r="G33" s="160"/>
      <c r="H33" s="161"/>
      <c r="I33" s="162"/>
      <c r="J33" s="159"/>
      <c r="K33" s="163"/>
      <c r="L33" s="164">
        <f t="shared" si="0"/>
        <v>0</v>
      </c>
      <c r="M33" s="165" t="e">
        <f t="shared" si="1"/>
        <v>#DIV/0!</v>
      </c>
      <c r="N33" s="122"/>
    </row>
    <row r="34" spans="2:14" x14ac:dyDescent="0.25">
      <c r="B34" s="121"/>
      <c r="C34" s="159"/>
      <c r="D34" s="159"/>
      <c r="E34" s="159"/>
      <c r="F34" s="159"/>
      <c r="G34" s="160"/>
      <c r="H34" s="161"/>
      <c r="I34" s="162"/>
      <c r="J34" s="159"/>
      <c r="K34" s="166"/>
      <c r="L34" s="164">
        <f t="shared" si="0"/>
        <v>0</v>
      </c>
      <c r="M34" s="167" t="e">
        <f t="shared" si="1"/>
        <v>#DIV/0!</v>
      </c>
      <c r="N34" s="122"/>
    </row>
    <row r="35" spans="2:14" x14ac:dyDescent="0.25">
      <c r="B35" s="121"/>
      <c r="C35" s="159"/>
      <c r="D35" s="159"/>
      <c r="E35" s="159"/>
      <c r="F35" s="159"/>
      <c r="G35" s="160"/>
      <c r="H35" s="161"/>
      <c r="I35" s="162"/>
      <c r="J35" s="159"/>
      <c r="K35" s="163"/>
      <c r="L35" s="164">
        <f t="shared" si="0"/>
        <v>0</v>
      </c>
      <c r="M35" s="165" t="e">
        <f t="shared" si="1"/>
        <v>#DIV/0!</v>
      </c>
      <c r="N35" s="122"/>
    </row>
    <row r="36" spans="2:14" x14ac:dyDescent="0.25">
      <c r="B36" s="121"/>
      <c r="C36" s="159"/>
      <c r="D36" s="159"/>
      <c r="E36" s="159"/>
      <c r="F36" s="159"/>
      <c r="G36" s="160"/>
      <c r="H36" s="161"/>
      <c r="I36" s="162"/>
      <c r="J36" s="159"/>
      <c r="K36" s="163"/>
      <c r="L36" s="164">
        <f t="shared" si="0"/>
        <v>0</v>
      </c>
      <c r="M36" s="165" t="e">
        <f t="shared" si="1"/>
        <v>#DIV/0!</v>
      </c>
      <c r="N36" s="122"/>
    </row>
    <row r="37" spans="2:14" x14ac:dyDescent="0.25">
      <c r="B37" s="121"/>
      <c r="C37" s="159"/>
      <c r="D37" s="159"/>
      <c r="E37" s="159"/>
      <c r="F37" s="159"/>
      <c r="G37" s="160"/>
      <c r="H37" s="161"/>
      <c r="I37" s="162"/>
      <c r="J37" s="159"/>
      <c r="K37" s="163"/>
      <c r="L37" s="164">
        <f t="shared" si="0"/>
        <v>0</v>
      </c>
      <c r="M37" s="165" t="e">
        <f t="shared" si="1"/>
        <v>#DIV/0!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77"/>
      <c r="D66" s="277">
        <f>+COUNT($D$22:$D$65)</f>
        <v>10</v>
      </c>
      <c r="E66" s="277"/>
      <c r="F66" s="373"/>
      <c r="G66" s="373"/>
      <c r="H66" s="149"/>
      <c r="I66" s="148">
        <f>SUM($I$22:$I$65)</f>
        <v>3214</v>
      </c>
      <c r="J66" s="150">
        <f>SUM($J$22:$J$65)</f>
        <v>883.7</v>
      </c>
      <c r="K66" s="151">
        <f>SUM($K$22:$K$65)</f>
        <v>884.90000000000009</v>
      </c>
      <c r="L66" s="148">
        <f>SUM($L$22:$L$65)</f>
        <v>1768.6000000000001</v>
      </c>
      <c r="M66" s="178">
        <f t="shared" si="1"/>
        <v>0.5502800248911015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/>
      <c r="I71" s="119"/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/>
      <c r="I72" s="119"/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/>
      <c r="I73" s="119"/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/>
      <c r="I74" s="119"/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/>
      <c r="I75" s="119"/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/>
      <c r="I76" s="119"/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/>
      <c r="I77" s="119"/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/>
      <c r="I78" s="119"/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/>
      <c r="I79" s="119"/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/>
      <c r="I80" s="119"/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/>
      <c r="I81" s="119"/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/>
      <c r="I82" s="119"/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/>
      <c r="I83" s="119"/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0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10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48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B66" zoomScale="90" zoomScaleNormal="90" workbookViewId="0">
      <selection activeCell="I71" sqref="I71:I83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0.55168972158991436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157.53500000000003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1246</v>
      </c>
      <c r="F8" s="344"/>
      <c r="G8" s="344"/>
      <c r="H8" s="345"/>
      <c r="I8" s="146" t="s">
        <v>487</v>
      </c>
      <c r="J8" s="346" t="s">
        <v>1247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69057</v>
      </c>
      <c r="F9" s="344"/>
      <c r="G9" s="344"/>
      <c r="H9" s="345"/>
      <c r="I9" s="146" t="s">
        <v>88</v>
      </c>
      <c r="J9" s="209" t="s">
        <v>1248</v>
      </c>
      <c r="K9" s="285" t="s">
        <v>490</v>
      </c>
      <c r="L9" s="369" t="s">
        <v>1249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83" t="s">
        <v>569</v>
      </c>
      <c r="E12" s="384">
        <v>46059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59</v>
      </c>
      <c r="F13" s="349"/>
      <c r="H13" s="117"/>
      <c r="I13" s="123"/>
      <c r="J13" s="215" t="s">
        <v>483</v>
      </c>
      <c r="K13" s="284">
        <f>+COUNTIF($G$22:$G$66,"VQ")*2</f>
        <v>30</v>
      </c>
      <c r="L13" s="284">
        <f>+SUMIF($G$23:$G$65,"VQ",$L$23:$L$65)</f>
        <v>2250.7000000000003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20</v>
      </c>
      <c r="F14" s="350"/>
      <c r="H14" s="117"/>
      <c r="I14" s="123"/>
      <c r="J14" s="215" t="s">
        <v>42</v>
      </c>
      <c r="K14" s="284">
        <f>+COUNTIF($G$22:$G$66,"NT")*2</f>
        <v>0</v>
      </c>
      <c r="L14" s="284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5711</v>
      </c>
      <c r="F15" s="350"/>
      <c r="H15" s="117"/>
      <c r="I15" s="123"/>
      <c r="J15" s="215" t="s">
        <v>484</v>
      </c>
      <c r="K15" s="284">
        <f>+COUNTIF($G$22:$G$66,"NO")*2</f>
        <v>0</v>
      </c>
      <c r="L15" s="284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3150.7000000000007</v>
      </c>
      <c r="F16" s="350"/>
      <c r="H16" s="117"/>
      <c r="I16" s="123"/>
      <c r="J16" s="215" t="s">
        <v>485</v>
      </c>
      <c r="K16" s="284">
        <f>+COUNTIF($G$22:$G$66,"TO")*2</f>
        <v>0</v>
      </c>
      <c r="L16" s="284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0.55168972158991436</v>
      </c>
      <c r="F17" s="350"/>
      <c r="G17" s="124"/>
      <c r="H17" s="125"/>
      <c r="I17" s="123"/>
      <c r="J17" s="215" t="s">
        <v>486</v>
      </c>
      <c r="K17" s="284">
        <f>+COUNTIF($G$22:$G$66,"VA")*2</f>
        <v>0</v>
      </c>
      <c r="L17" s="284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157.53500000000003</v>
      </c>
      <c r="F18" s="353"/>
      <c r="G18" s="124"/>
      <c r="H18" s="125"/>
      <c r="I18" s="123"/>
      <c r="J18" s="215" t="s">
        <v>44</v>
      </c>
      <c r="K18" s="284">
        <f>+COUNTIF($G$22:$G$66,"MEJ")*2</f>
        <v>10</v>
      </c>
      <c r="L18" s="284">
        <f>+SUMIF($G$23:$G$65,"MEJ",$L$23:$L$65)</f>
        <v>900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</v>
      </c>
      <c r="D23" s="152">
        <v>16</v>
      </c>
      <c r="E23" s="152" t="s">
        <v>68</v>
      </c>
      <c r="F23" s="152" t="s">
        <v>526</v>
      </c>
      <c r="G23" s="153" t="s">
        <v>483</v>
      </c>
      <c r="H23" s="154" t="s">
        <v>1250</v>
      </c>
      <c r="I23" s="155">
        <v>290</v>
      </c>
      <c r="J23" s="152">
        <v>80.8</v>
      </c>
      <c r="K23" s="156">
        <v>81.099999999999994</v>
      </c>
      <c r="L23" s="157">
        <f t="shared" ref="L23:L65" si="0">+J23+K23</f>
        <v>161.89999999999998</v>
      </c>
      <c r="M23" s="158">
        <f t="shared" ref="M23:M66" si="1">+L23/I23</f>
        <v>0.5582758620689654</v>
      </c>
      <c r="N23" s="122"/>
    </row>
    <row r="24" spans="2:14" x14ac:dyDescent="0.25">
      <c r="B24" s="121"/>
      <c r="C24" s="159">
        <v>2</v>
      </c>
      <c r="D24" s="159">
        <v>12</v>
      </c>
      <c r="E24" s="159" t="s">
        <v>67</v>
      </c>
      <c r="F24" s="159" t="s">
        <v>526</v>
      </c>
      <c r="G24" s="160" t="s">
        <v>483</v>
      </c>
      <c r="H24" s="161" t="s">
        <v>465</v>
      </c>
      <c r="I24" s="162">
        <v>292</v>
      </c>
      <c r="J24" s="159">
        <v>81.599999999999994</v>
      </c>
      <c r="K24" s="163">
        <v>82</v>
      </c>
      <c r="L24" s="164">
        <f t="shared" si="0"/>
        <v>163.6</v>
      </c>
      <c r="M24" s="165">
        <f t="shared" si="1"/>
        <v>0.5602739726027397</v>
      </c>
      <c r="N24" s="122"/>
    </row>
    <row r="25" spans="2:14" x14ac:dyDescent="0.25">
      <c r="B25" s="121"/>
      <c r="C25" s="159">
        <v>3</v>
      </c>
      <c r="D25" s="159">
        <v>15</v>
      </c>
      <c r="E25" s="159" t="s">
        <v>67</v>
      </c>
      <c r="F25" s="159" t="s">
        <v>526</v>
      </c>
      <c r="G25" s="160" t="s">
        <v>483</v>
      </c>
      <c r="H25" s="161" t="s">
        <v>274</v>
      </c>
      <c r="I25" s="162">
        <v>290</v>
      </c>
      <c r="J25" s="159">
        <v>80.2</v>
      </c>
      <c r="K25" s="163">
        <v>80.3</v>
      </c>
      <c r="L25" s="164">
        <f t="shared" si="0"/>
        <v>160.5</v>
      </c>
      <c r="M25" s="165">
        <f t="shared" si="1"/>
        <v>0.55344827586206902</v>
      </c>
      <c r="N25" s="122"/>
    </row>
    <row r="26" spans="2:14" x14ac:dyDescent="0.25">
      <c r="B26" s="121"/>
      <c r="C26" s="159">
        <v>4</v>
      </c>
      <c r="D26" s="159">
        <v>2</v>
      </c>
      <c r="E26" s="159" t="s">
        <v>67</v>
      </c>
      <c r="F26" s="159" t="s">
        <v>526</v>
      </c>
      <c r="G26" s="160" t="s">
        <v>483</v>
      </c>
      <c r="H26" s="161" t="s">
        <v>1251</v>
      </c>
      <c r="I26" s="162">
        <v>242</v>
      </c>
      <c r="J26" s="159">
        <v>65.5</v>
      </c>
      <c r="K26" s="163">
        <v>63.2</v>
      </c>
      <c r="L26" s="164">
        <f t="shared" si="0"/>
        <v>128.69999999999999</v>
      </c>
      <c r="M26" s="165">
        <f t="shared" si="1"/>
        <v>0.53181818181818175</v>
      </c>
      <c r="N26" s="122"/>
    </row>
    <row r="27" spans="2:14" x14ac:dyDescent="0.25">
      <c r="B27" s="121"/>
      <c r="C27" s="159">
        <v>5</v>
      </c>
      <c r="D27" s="159">
        <v>3</v>
      </c>
      <c r="E27" s="159" t="s">
        <v>67</v>
      </c>
      <c r="F27" s="159" t="s">
        <v>526</v>
      </c>
      <c r="G27" s="160" t="s">
        <v>483</v>
      </c>
      <c r="H27" s="161" t="s">
        <v>310</v>
      </c>
      <c r="I27" s="162">
        <v>285</v>
      </c>
      <c r="J27" s="159">
        <v>74.900000000000006</v>
      </c>
      <c r="K27" s="163">
        <v>75</v>
      </c>
      <c r="L27" s="164">
        <f t="shared" si="0"/>
        <v>149.9</v>
      </c>
      <c r="M27" s="165">
        <f t="shared" si="1"/>
        <v>0.52596491228070175</v>
      </c>
      <c r="N27" s="122"/>
    </row>
    <row r="28" spans="2:14" x14ac:dyDescent="0.25">
      <c r="B28" s="121"/>
      <c r="C28" s="159">
        <v>6</v>
      </c>
      <c r="D28" s="159">
        <v>10</v>
      </c>
      <c r="E28" s="159" t="s">
        <v>67</v>
      </c>
      <c r="F28" s="159" t="s">
        <v>526</v>
      </c>
      <c r="G28" s="160" t="s">
        <v>44</v>
      </c>
      <c r="H28" s="161" t="s">
        <v>1252</v>
      </c>
      <c r="I28" s="162">
        <v>321</v>
      </c>
      <c r="J28" s="159">
        <v>91.3</v>
      </c>
      <c r="K28" s="163">
        <v>91.9</v>
      </c>
      <c r="L28" s="164">
        <f t="shared" si="0"/>
        <v>183.2</v>
      </c>
      <c r="M28" s="165">
        <f t="shared" si="1"/>
        <v>0.57071651090342679</v>
      </c>
      <c r="N28" s="122"/>
    </row>
    <row r="29" spans="2:14" x14ac:dyDescent="0.25">
      <c r="B29" s="121"/>
      <c r="C29" s="160">
        <v>7</v>
      </c>
      <c r="D29" s="160">
        <v>7</v>
      </c>
      <c r="E29" s="160" t="s">
        <v>67</v>
      </c>
      <c r="F29" s="159" t="s">
        <v>526</v>
      </c>
      <c r="G29" s="160" t="s">
        <v>44</v>
      </c>
      <c r="H29" s="161" t="s">
        <v>1253</v>
      </c>
      <c r="I29" s="162">
        <v>303</v>
      </c>
      <c r="J29" s="159">
        <v>85.1</v>
      </c>
      <c r="K29" s="163">
        <v>85.3</v>
      </c>
      <c r="L29" s="164">
        <f t="shared" si="0"/>
        <v>170.39999999999998</v>
      </c>
      <c r="M29" s="165">
        <f t="shared" si="1"/>
        <v>0.56237623762376232</v>
      </c>
      <c r="N29" s="122"/>
    </row>
    <row r="30" spans="2:14" x14ac:dyDescent="0.25">
      <c r="B30" s="121"/>
      <c r="C30" s="160">
        <v>8</v>
      </c>
      <c r="D30" s="160">
        <v>5</v>
      </c>
      <c r="E30" s="160" t="s">
        <v>67</v>
      </c>
      <c r="F30" s="159" t="s">
        <v>526</v>
      </c>
      <c r="G30" s="160" t="s">
        <v>483</v>
      </c>
      <c r="H30" s="161" t="s">
        <v>1254</v>
      </c>
      <c r="I30" s="162">
        <v>256</v>
      </c>
      <c r="J30" s="159">
        <v>69.7</v>
      </c>
      <c r="K30" s="163">
        <v>69.3</v>
      </c>
      <c r="L30" s="164">
        <f t="shared" si="0"/>
        <v>139</v>
      </c>
      <c r="M30" s="165">
        <f t="shared" si="1"/>
        <v>0.54296875</v>
      </c>
      <c r="N30" s="122"/>
    </row>
    <row r="31" spans="2:14" x14ac:dyDescent="0.25">
      <c r="B31" s="121"/>
      <c r="C31" s="159">
        <v>9</v>
      </c>
      <c r="D31" s="159">
        <v>20</v>
      </c>
      <c r="E31" s="159" t="s">
        <v>68</v>
      </c>
      <c r="F31" s="159" t="s">
        <v>526</v>
      </c>
      <c r="G31" s="160" t="s">
        <v>483</v>
      </c>
      <c r="H31" s="161" t="s">
        <v>1255</v>
      </c>
      <c r="I31" s="162">
        <v>268</v>
      </c>
      <c r="J31" s="159">
        <v>70.599999999999994</v>
      </c>
      <c r="K31" s="163">
        <v>70.8</v>
      </c>
      <c r="L31" s="164">
        <f t="shared" si="0"/>
        <v>141.39999999999998</v>
      </c>
      <c r="M31" s="165">
        <f t="shared" si="1"/>
        <v>0.52761194029850733</v>
      </c>
      <c r="N31" s="122"/>
    </row>
    <row r="32" spans="2:14" x14ac:dyDescent="0.25">
      <c r="B32" s="121"/>
      <c r="C32" s="159">
        <v>10</v>
      </c>
      <c r="D32" s="159">
        <v>8</v>
      </c>
      <c r="E32" s="159" t="s">
        <v>67</v>
      </c>
      <c r="F32" s="159" t="s">
        <v>526</v>
      </c>
      <c r="G32" s="160" t="s">
        <v>44</v>
      </c>
      <c r="H32" s="161">
        <v>7400</v>
      </c>
      <c r="I32" s="162">
        <v>355</v>
      </c>
      <c r="J32" s="159">
        <v>102</v>
      </c>
      <c r="K32" s="163">
        <v>100.8</v>
      </c>
      <c r="L32" s="164">
        <f t="shared" si="0"/>
        <v>202.8</v>
      </c>
      <c r="M32" s="165">
        <f t="shared" si="1"/>
        <v>0.57126760563380286</v>
      </c>
      <c r="N32" s="122"/>
    </row>
    <row r="33" spans="2:14" x14ac:dyDescent="0.25">
      <c r="B33" s="121"/>
      <c r="C33" s="160">
        <v>11</v>
      </c>
      <c r="D33" s="160">
        <v>6</v>
      </c>
      <c r="E33" s="160" t="s">
        <v>67</v>
      </c>
      <c r="F33" s="159" t="s">
        <v>526</v>
      </c>
      <c r="G33" s="160" t="s">
        <v>483</v>
      </c>
      <c r="H33" s="161" t="s">
        <v>41</v>
      </c>
      <c r="I33" s="162">
        <v>255</v>
      </c>
      <c r="J33" s="159">
        <v>70.5</v>
      </c>
      <c r="K33" s="163">
        <v>69.900000000000006</v>
      </c>
      <c r="L33" s="164">
        <f t="shared" si="0"/>
        <v>140.4</v>
      </c>
      <c r="M33" s="165">
        <f t="shared" si="1"/>
        <v>0.55058823529411771</v>
      </c>
      <c r="N33" s="122"/>
    </row>
    <row r="34" spans="2:14" x14ac:dyDescent="0.25">
      <c r="B34" s="121"/>
      <c r="C34" s="159">
        <v>12</v>
      </c>
      <c r="D34" s="159">
        <v>18</v>
      </c>
      <c r="E34" s="159" t="s">
        <v>68</v>
      </c>
      <c r="F34" s="159" t="s">
        <v>526</v>
      </c>
      <c r="G34" s="160" t="s">
        <v>483</v>
      </c>
      <c r="H34" s="161" t="s">
        <v>1256</v>
      </c>
      <c r="I34" s="162">
        <v>286</v>
      </c>
      <c r="J34" s="159">
        <v>79.5</v>
      </c>
      <c r="K34" s="166">
        <v>79.400000000000006</v>
      </c>
      <c r="L34" s="164">
        <f t="shared" si="0"/>
        <v>158.9</v>
      </c>
      <c r="M34" s="167">
        <f t="shared" si="1"/>
        <v>0.55559440559440565</v>
      </c>
      <c r="N34" s="122"/>
    </row>
    <row r="35" spans="2:14" x14ac:dyDescent="0.25">
      <c r="B35" s="121"/>
      <c r="C35" s="159">
        <v>13</v>
      </c>
      <c r="D35" s="159">
        <v>11</v>
      </c>
      <c r="E35" s="159" t="s">
        <v>67</v>
      </c>
      <c r="F35" s="159" t="s">
        <v>526</v>
      </c>
      <c r="G35" s="160" t="s">
        <v>483</v>
      </c>
      <c r="H35" s="161" t="s">
        <v>1257</v>
      </c>
      <c r="I35" s="162">
        <v>261</v>
      </c>
      <c r="J35" s="159">
        <v>71.8</v>
      </c>
      <c r="K35" s="163">
        <v>70.8</v>
      </c>
      <c r="L35" s="164">
        <f t="shared" si="0"/>
        <v>142.6</v>
      </c>
      <c r="M35" s="165">
        <f t="shared" si="1"/>
        <v>0.54636015325670495</v>
      </c>
      <c r="N35" s="122"/>
    </row>
    <row r="36" spans="2:14" x14ac:dyDescent="0.25">
      <c r="B36" s="121"/>
      <c r="C36" s="159">
        <v>14</v>
      </c>
      <c r="D36" s="159">
        <v>9</v>
      </c>
      <c r="E36" s="159" t="s">
        <v>68</v>
      </c>
      <c r="F36" s="159" t="s">
        <v>526</v>
      </c>
      <c r="G36" s="160" t="s">
        <v>483</v>
      </c>
      <c r="H36" s="161" t="s">
        <v>1258</v>
      </c>
      <c r="I36" s="162">
        <v>265</v>
      </c>
      <c r="J36" s="159">
        <v>75.5</v>
      </c>
      <c r="K36" s="163">
        <v>76</v>
      </c>
      <c r="L36" s="164">
        <f t="shared" si="0"/>
        <v>151.5</v>
      </c>
      <c r="M36" s="165">
        <f t="shared" si="1"/>
        <v>0.57169811320754715</v>
      </c>
      <c r="N36" s="122"/>
    </row>
    <row r="37" spans="2:14" x14ac:dyDescent="0.25">
      <c r="B37" s="121"/>
      <c r="C37" s="159">
        <v>15</v>
      </c>
      <c r="D37" s="159">
        <v>13</v>
      </c>
      <c r="E37" s="159" t="s">
        <v>67</v>
      </c>
      <c r="F37" s="159" t="s">
        <v>526</v>
      </c>
      <c r="G37" s="160" t="s">
        <v>483</v>
      </c>
      <c r="H37" s="161" t="s">
        <v>1259</v>
      </c>
      <c r="I37" s="162">
        <v>257</v>
      </c>
      <c r="J37" s="159">
        <v>68.099999999999994</v>
      </c>
      <c r="K37" s="163">
        <v>68.2</v>
      </c>
      <c r="L37" s="164">
        <f t="shared" si="0"/>
        <v>136.30000000000001</v>
      </c>
      <c r="M37" s="165">
        <f t="shared" si="1"/>
        <v>0.53035019455252919</v>
      </c>
      <c r="N37" s="122"/>
    </row>
    <row r="38" spans="2:14" x14ac:dyDescent="0.25">
      <c r="B38" s="121"/>
      <c r="C38" s="159">
        <v>16</v>
      </c>
      <c r="D38" s="159">
        <v>14</v>
      </c>
      <c r="E38" s="159" t="s">
        <v>68</v>
      </c>
      <c r="F38" s="159" t="s">
        <v>526</v>
      </c>
      <c r="G38" s="159" t="s">
        <v>483</v>
      </c>
      <c r="H38" s="168" t="s">
        <v>1260</v>
      </c>
      <c r="I38" s="169">
        <v>296</v>
      </c>
      <c r="J38" s="159">
        <v>83</v>
      </c>
      <c r="K38" s="163">
        <v>82.3</v>
      </c>
      <c r="L38" s="164">
        <f t="shared" si="0"/>
        <v>165.3</v>
      </c>
      <c r="M38" s="165">
        <f t="shared" si="1"/>
        <v>0.55844594594594599</v>
      </c>
      <c r="N38" s="122"/>
    </row>
    <row r="39" spans="2:14" x14ac:dyDescent="0.25">
      <c r="B39" s="121"/>
      <c r="C39" s="159">
        <v>17</v>
      </c>
      <c r="D39" s="159">
        <v>17</v>
      </c>
      <c r="E39" s="159" t="s">
        <v>67</v>
      </c>
      <c r="F39" s="159" t="s">
        <v>526</v>
      </c>
      <c r="G39" s="160" t="s">
        <v>483</v>
      </c>
      <c r="H39" s="161" t="s">
        <v>1261</v>
      </c>
      <c r="I39" s="162">
        <v>269</v>
      </c>
      <c r="J39" s="159">
        <v>73.3</v>
      </c>
      <c r="K39" s="163">
        <v>73.099999999999994</v>
      </c>
      <c r="L39" s="164">
        <f t="shared" si="0"/>
        <v>146.39999999999998</v>
      </c>
      <c r="M39" s="165">
        <f t="shared" si="1"/>
        <v>0.54423791821561329</v>
      </c>
      <c r="N39" s="122"/>
    </row>
    <row r="40" spans="2:14" x14ac:dyDescent="0.25">
      <c r="B40" s="121"/>
      <c r="C40" s="159">
        <v>18</v>
      </c>
      <c r="D40" s="159">
        <v>4</v>
      </c>
      <c r="E40" s="159" t="s">
        <v>68</v>
      </c>
      <c r="F40" s="159" t="s">
        <v>526</v>
      </c>
      <c r="G40" s="160" t="s">
        <v>44</v>
      </c>
      <c r="H40" s="161" t="s">
        <v>1262</v>
      </c>
      <c r="I40" s="162">
        <v>306</v>
      </c>
      <c r="J40" s="159">
        <v>83.2</v>
      </c>
      <c r="K40" s="163">
        <v>82.8</v>
      </c>
      <c r="L40" s="164">
        <f t="shared" si="0"/>
        <v>166</v>
      </c>
      <c r="M40" s="165">
        <f t="shared" si="1"/>
        <v>0.54248366013071891</v>
      </c>
      <c r="N40" s="122"/>
    </row>
    <row r="41" spans="2:14" x14ac:dyDescent="0.25">
      <c r="B41" s="121"/>
      <c r="C41" s="159">
        <v>19</v>
      </c>
      <c r="D41" s="159">
        <v>19</v>
      </c>
      <c r="E41" s="159" t="s">
        <v>67</v>
      </c>
      <c r="F41" s="159" t="s">
        <v>526</v>
      </c>
      <c r="G41" s="160" t="s">
        <v>483</v>
      </c>
      <c r="H41" s="161" t="s">
        <v>1263</v>
      </c>
      <c r="I41" s="162">
        <v>292</v>
      </c>
      <c r="J41" s="159">
        <v>81.900000000000006</v>
      </c>
      <c r="K41" s="163">
        <v>82.4</v>
      </c>
      <c r="L41" s="164">
        <f t="shared" si="0"/>
        <v>164.3</v>
      </c>
      <c r="M41" s="165">
        <f t="shared" si="1"/>
        <v>0.56267123287671239</v>
      </c>
      <c r="N41" s="122"/>
    </row>
    <row r="42" spans="2:14" x14ac:dyDescent="0.25">
      <c r="B42" s="121"/>
      <c r="C42" s="160">
        <v>20</v>
      </c>
      <c r="D42" s="160">
        <v>1</v>
      </c>
      <c r="E42" s="160" t="s">
        <v>68</v>
      </c>
      <c r="F42" s="159" t="s">
        <v>526</v>
      </c>
      <c r="G42" s="160" t="s">
        <v>44</v>
      </c>
      <c r="H42" s="161" t="s">
        <v>1264</v>
      </c>
      <c r="I42" s="162">
        <v>322</v>
      </c>
      <c r="J42" s="159">
        <v>89.1</v>
      </c>
      <c r="K42" s="163">
        <v>88.5</v>
      </c>
      <c r="L42" s="164">
        <f t="shared" si="0"/>
        <v>177.6</v>
      </c>
      <c r="M42" s="165">
        <f t="shared" si="1"/>
        <v>0.55155279503105592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82"/>
      <c r="D66" s="282">
        <f>+COUNT($D$22:$D$65)</f>
        <v>20</v>
      </c>
      <c r="E66" s="282"/>
      <c r="F66" s="373"/>
      <c r="G66" s="373"/>
      <c r="H66" s="149"/>
      <c r="I66" s="148">
        <f>SUM($I$22:$I$65)</f>
        <v>5711</v>
      </c>
      <c r="J66" s="150">
        <f>SUM($J$22:$J$65)</f>
        <v>1577.6</v>
      </c>
      <c r="K66" s="151">
        <f>SUM($K$22:$K$65)</f>
        <v>1573.0999999999997</v>
      </c>
      <c r="L66" s="148">
        <f>SUM($L$22:$L$65)</f>
        <v>3150.7000000000007</v>
      </c>
      <c r="M66" s="178">
        <f t="shared" si="1"/>
        <v>0.55168972158991436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108.42</v>
      </c>
      <c r="I71" s="119">
        <v>107.14000000000001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49</v>
      </c>
      <c r="I72" s="119">
        <v>63.04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47</v>
      </c>
      <c r="I73" s="119">
        <v>183.49</v>
      </c>
      <c r="J73" s="181">
        <v>2</v>
      </c>
      <c r="K73" s="185">
        <v>8.26</v>
      </c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49</v>
      </c>
      <c r="I74" s="119">
        <v>47.120000000000005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23.72</v>
      </c>
      <c r="I75" s="119">
        <v>22.92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196</v>
      </c>
      <c r="I76" s="119">
        <v>37.980000000000004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98</v>
      </c>
      <c r="I77" s="119">
        <v>27.39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49</v>
      </c>
      <c r="I78" s="119">
        <v>29.1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49</v>
      </c>
      <c r="I79" s="119">
        <v>38.840000000000003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55.48</v>
      </c>
      <c r="I80" s="119">
        <v>53.5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49</v>
      </c>
      <c r="I81" s="119">
        <v>38.42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49</v>
      </c>
      <c r="I82" s="119">
        <v>15.18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20.92</v>
      </c>
      <c r="I83" s="119">
        <v>19.36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683.48</v>
      </c>
      <c r="J84" s="187">
        <f>SUM(J71:J83)</f>
        <v>2</v>
      </c>
      <c r="K84" s="186">
        <f>SUM(K71:K83)</f>
        <v>8.26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20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47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K13" sqref="K13:K15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0.57358127967442918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181.21071428571432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1246</v>
      </c>
      <c r="F8" s="344"/>
      <c r="G8" s="344"/>
      <c r="H8" s="345"/>
      <c r="I8" s="146" t="s">
        <v>487</v>
      </c>
      <c r="J8" s="346" t="s">
        <v>1266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69057</v>
      </c>
      <c r="F9" s="344"/>
      <c r="G9" s="344"/>
      <c r="H9" s="345"/>
      <c r="I9" s="146" t="s">
        <v>88</v>
      </c>
      <c r="J9" s="209" t="s">
        <v>1267</v>
      </c>
      <c r="K9" s="285" t="s">
        <v>490</v>
      </c>
      <c r="L9" s="369" t="s">
        <v>1268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83" t="s">
        <v>569</v>
      </c>
      <c r="E12" s="384">
        <v>46059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60</v>
      </c>
      <c r="F13" s="349"/>
      <c r="H13" s="117"/>
      <c r="I13" s="123"/>
      <c r="J13" s="215" t="s">
        <v>483</v>
      </c>
      <c r="K13" s="284">
        <f>+COUNTIF($G$22:$G$66,"VQ")*2</f>
        <v>6</v>
      </c>
      <c r="L13" s="284">
        <f>+SUMIF($G$23:$G$65,"VQ",$L$23:$L$65)</f>
        <v>502.2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28</v>
      </c>
      <c r="F14" s="350"/>
      <c r="H14" s="117"/>
      <c r="I14" s="123"/>
      <c r="J14" s="215" t="s">
        <v>42</v>
      </c>
      <c r="K14" s="284">
        <f>+COUNTIF($G$22:$G$66,"NT")*2</f>
        <v>0</v>
      </c>
      <c r="L14" s="284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8846</v>
      </c>
      <c r="F15" s="350"/>
      <c r="H15" s="117"/>
      <c r="I15" s="123"/>
      <c r="J15" s="215" t="s">
        <v>484</v>
      </c>
      <c r="K15" s="284">
        <f>+COUNTIF($G$22:$G$66,"NO")*2</f>
        <v>50</v>
      </c>
      <c r="L15" s="284">
        <f>+SUMIF($G$23:$G$65,"NO",$L$23:$L$65)</f>
        <v>4571.7000000000007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5073.9000000000005</v>
      </c>
      <c r="F16" s="350"/>
      <c r="H16" s="117"/>
      <c r="I16" s="123"/>
      <c r="J16" s="215" t="s">
        <v>485</v>
      </c>
      <c r="K16" s="284">
        <f>+COUNTIF($G$22:$G$66,"TO")*2</f>
        <v>0</v>
      </c>
      <c r="L16" s="284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0.57358127967442918</v>
      </c>
      <c r="F17" s="350"/>
      <c r="G17" s="124"/>
      <c r="H17" s="125"/>
      <c r="I17" s="123"/>
      <c r="J17" s="215" t="s">
        <v>486</v>
      </c>
      <c r="K17" s="284">
        <f>+COUNTIF($G$22:$G$66,"VA")*2</f>
        <v>0</v>
      </c>
      <c r="L17" s="284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181.21071428571432</v>
      </c>
      <c r="F18" s="353"/>
      <c r="G18" s="124"/>
      <c r="H18" s="125"/>
      <c r="I18" s="123"/>
      <c r="J18" s="215" t="s">
        <v>44</v>
      </c>
      <c r="K18" s="284">
        <f>+COUNTIF($G$22:$G$66,"MEJ")*2</f>
        <v>0</v>
      </c>
      <c r="L18" s="284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21</v>
      </c>
      <c r="D23" s="152">
        <v>5</v>
      </c>
      <c r="E23" s="152" t="s">
        <v>67</v>
      </c>
      <c r="F23" s="152" t="s">
        <v>526</v>
      </c>
      <c r="G23" s="153" t="s">
        <v>484</v>
      </c>
      <c r="H23" s="154">
        <v>7408</v>
      </c>
      <c r="I23" s="155">
        <v>397</v>
      </c>
      <c r="J23" s="152">
        <v>112.6</v>
      </c>
      <c r="K23" s="156">
        <v>114.4</v>
      </c>
      <c r="L23" s="157">
        <f t="shared" ref="L23:L65" si="0">+J23+K23</f>
        <v>227</v>
      </c>
      <c r="M23" s="158">
        <f t="shared" ref="M23:M66" si="1">+L23/I23</f>
        <v>0.5717884130982368</v>
      </c>
      <c r="N23" s="122"/>
    </row>
    <row r="24" spans="2:14" x14ac:dyDescent="0.25">
      <c r="B24" s="121"/>
      <c r="C24" s="159">
        <v>22</v>
      </c>
      <c r="D24" s="159">
        <v>11</v>
      </c>
      <c r="E24" s="159" t="s">
        <v>68</v>
      </c>
      <c r="F24" s="159" t="s">
        <v>526</v>
      </c>
      <c r="G24" s="160" t="s">
        <v>483</v>
      </c>
      <c r="H24" s="161">
        <v>7424</v>
      </c>
      <c r="I24" s="162">
        <v>333</v>
      </c>
      <c r="J24" s="159">
        <v>93.4</v>
      </c>
      <c r="K24" s="163">
        <v>94</v>
      </c>
      <c r="L24" s="164">
        <f t="shared" si="0"/>
        <v>187.4</v>
      </c>
      <c r="M24" s="165">
        <f t="shared" si="1"/>
        <v>0.56276276276276282</v>
      </c>
      <c r="N24" s="122"/>
    </row>
    <row r="25" spans="2:14" x14ac:dyDescent="0.25">
      <c r="B25" s="121"/>
      <c r="C25" s="159">
        <v>23</v>
      </c>
      <c r="D25" s="159">
        <v>1</v>
      </c>
      <c r="E25" s="159" t="s">
        <v>75</v>
      </c>
      <c r="F25" s="159" t="s">
        <v>526</v>
      </c>
      <c r="G25" s="160" t="s">
        <v>484</v>
      </c>
      <c r="H25" s="161">
        <v>7405</v>
      </c>
      <c r="I25" s="162">
        <v>358</v>
      </c>
      <c r="J25" s="159">
        <v>104.5</v>
      </c>
      <c r="K25" s="163">
        <v>103.9</v>
      </c>
      <c r="L25" s="164">
        <f t="shared" si="0"/>
        <v>208.4</v>
      </c>
      <c r="M25" s="165">
        <f t="shared" si="1"/>
        <v>0.58212290502793296</v>
      </c>
      <c r="N25" s="122"/>
    </row>
    <row r="26" spans="2:14" x14ac:dyDescent="0.25">
      <c r="B26" s="121"/>
      <c r="C26" s="159">
        <v>24</v>
      </c>
      <c r="D26" s="159">
        <v>25</v>
      </c>
      <c r="E26" s="159" t="s">
        <v>67</v>
      </c>
      <c r="F26" s="159" t="s">
        <v>527</v>
      </c>
      <c r="G26" s="160" t="s">
        <v>484</v>
      </c>
      <c r="H26" s="161">
        <v>7395</v>
      </c>
      <c r="I26" s="162">
        <v>240</v>
      </c>
      <c r="J26" s="159">
        <v>66.900000000000006</v>
      </c>
      <c r="K26" s="163">
        <v>67.099999999999994</v>
      </c>
      <c r="L26" s="164">
        <f t="shared" si="0"/>
        <v>134</v>
      </c>
      <c r="M26" s="165">
        <f t="shared" si="1"/>
        <v>0.55833333333333335</v>
      </c>
      <c r="N26" s="122"/>
    </row>
    <row r="27" spans="2:14" x14ac:dyDescent="0.25">
      <c r="B27" s="121"/>
      <c r="C27" s="159">
        <v>25</v>
      </c>
      <c r="D27" s="159">
        <v>4</v>
      </c>
      <c r="E27" s="159" t="s">
        <v>67</v>
      </c>
      <c r="F27" s="159" t="s">
        <v>526</v>
      </c>
      <c r="G27" s="160" t="s">
        <v>484</v>
      </c>
      <c r="H27" s="161">
        <v>7409</v>
      </c>
      <c r="I27" s="162">
        <v>375</v>
      </c>
      <c r="J27" s="159">
        <v>115.7</v>
      </c>
      <c r="K27" s="163">
        <v>115.7</v>
      </c>
      <c r="L27" s="164">
        <f t="shared" si="0"/>
        <v>231.4</v>
      </c>
      <c r="M27" s="165">
        <f t="shared" si="1"/>
        <v>0.61706666666666665</v>
      </c>
      <c r="N27" s="122"/>
    </row>
    <row r="28" spans="2:14" x14ac:dyDescent="0.25">
      <c r="B28" s="121"/>
      <c r="C28" s="159">
        <v>26</v>
      </c>
      <c r="D28" s="159">
        <v>26</v>
      </c>
      <c r="E28" s="159" t="s">
        <v>67</v>
      </c>
      <c r="F28" s="159" t="s">
        <v>526</v>
      </c>
      <c r="G28" s="160" t="s">
        <v>484</v>
      </c>
      <c r="H28" s="161">
        <v>7413</v>
      </c>
      <c r="I28" s="162">
        <v>287</v>
      </c>
      <c r="J28" s="159">
        <v>80.8</v>
      </c>
      <c r="K28" s="163">
        <v>80.5</v>
      </c>
      <c r="L28" s="164">
        <f t="shared" si="0"/>
        <v>161.30000000000001</v>
      </c>
      <c r="M28" s="165">
        <f t="shared" si="1"/>
        <v>0.56202090592334497</v>
      </c>
      <c r="N28" s="122"/>
    </row>
    <row r="29" spans="2:14" x14ac:dyDescent="0.25">
      <c r="B29" s="121"/>
      <c r="C29" s="160">
        <v>27</v>
      </c>
      <c r="D29" s="160">
        <v>27</v>
      </c>
      <c r="E29" s="160" t="s">
        <v>68</v>
      </c>
      <c r="F29" s="160" t="s">
        <v>526</v>
      </c>
      <c r="G29" s="160" t="s">
        <v>483</v>
      </c>
      <c r="H29" s="161">
        <v>7415</v>
      </c>
      <c r="I29" s="162">
        <v>286</v>
      </c>
      <c r="J29" s="159">
        <v>83.4</v>
      </c>
      <c r="K29" s="163">
        <v>83.1</v>
      </c>
      <c r="L29" s="164">
        <f t="shared" si="0"/>
        <v>166.5</v>
      </c>
      <c r="M29" s="165">
        <f t="shared" si="1"/>
        <v>0.58216783216783219</v>
      </c>
      <c r="N29" s="122"/>
    </row>
    <row r="30" spans="2:14" x14ac:dyDescent="0.25">
      <c r="B30" s="121"/>
      <c r="C30" s="160">
        <v>28</v>
      </c>
      <c r="D30" s="160">
        <v>28</v>
      </c>
      <c r="E30" s="160" t="s">
        <v>67</v>
      </c>
      <c r="F30" s="160" t="s">
        <v>526</v>
      </c>
      <c r="G30" s="160" t="s">
        <v>484</v>
      </c>
      <c r="H30" s="161">
        <v>7417</v>
      </c>
      <c r="I30" s="162">
        <v>276</v>
      </c>
      <c r="J30" s="159">
        <v>78.599999999999994</v>
      </c>
      <c r="K30" s="163">
        <v>79.400000000000006</v>
      </c>
      <c r="L30" s="164">
        <f t="shared" si="0"/>
        <v>158</v>
      </c>
      <c r="M30" s="165">
        <f t="shared" si="1"/>
        <v>0.57246376811594202</v>
      </c>
      <c r="N30" s="122"/>
    </row>
    <row r="31" spans="2:14" x14ac:dyDescent="0.25">
      <c r="B31" s="121"/>
      <c r="C31" s="159">
        <v>29</v>
      </c>
      <c r="D31" s="159">
        <v>18</v>
      </c>
      <c r="E31" s="159" t="s">
        <v>67</v>
      </c>
      <c r="F31" s="159" t="s">
        <v>526</v>
      </c>
      <c r="G31" s="160" t="s">
        <v>484</v>
      </c>
      <c r="H31" s="161">
        <v>7398</v>
      </c>
      <c r="I31" s="162">
        <v>320</v>
      </c>
      <c r="J31" s="159">
        <v>89.2</v>
      </c>
      <c r="K31" s="163">
        <v>91</v>
      </c>
      <c r="L31" s="164">
        <f t="shared" si="0"/>
        <v>180.2</v>
      </c>
      <c r="M31" s="165">
        <f t="shared" si="1"/>
        <v>0.56312499999999999</v>
      </c>
      <c r="N31" s="122"/>
    </row>
    <row r="32" spans="2:14" x14ac:dyDescent="0.25">
      <c r="B32" s="121"/>
      <c r="C32" s="159">
        <v>30</v>
      </c>
      <c r="D32" s="159">
        <v>19</v>
      </c>
      <c r="E32" s="159" t="s">
        <v>68</v>
      </c>
      <c r="F32" s="159" t="s">
        <v>526</v>
      </c>
      <c r="G32" s="160" t="s">
        <v>483</v>
      </c>
      <c r="H32" s="161">
        <v>7423</v>
      </c>
      <c r="I32" s="162">
        <v>259</v>
      </c>
      <c r="J32" s="159">
        <v>75.099999999999994</v>
      </c>
      <c r="K32" s="163">
        <v>73.2</v>
      </c>
      <c r="L32" s="164">
        <f t="shared" si="0"/>
        <v>148.30000000000001</v>
      </c>
      <c r="M32" s="165">
        <f t="shared" si="1"/>
        <v>0.57258687258687269</v>
      </c>
      <c r="N32" s="122"/>
    </row>
    <row r="33" spans="2:14" x14ac:dyDescent="0.25">
      <c r="B33" s="121"/>
      <c r="C33" s="160">
        <v>31</v>
      </c>
      <c r="D33" s="160">
        <v>12</v>
      </c>
      <c r="E33" s="160" t="s">
        <v>67</v>
      </c>
      <c r="F33" s="160" t="s">
        <v>526</v>
      </c>
      <c r="G33" s="160" t="s">
        <v>484</v>
      </c>
      <c r="H33" s="161">
        <v>7419</v>
      </c>
      <c r="I33" s="162">
        <v>372</v>
      </c>
      <c r="J33" s="159">
        <v>113.2</v>
      </c>
      <c r="K33" s="163">
        <v>111.4</v>
      </c>
      <c r="L33" s="164">
        <f t="shared" si="0"/>
        <v>224.60000000000002</v>
      </c>
      <c r="M33" s="165">
        <f t="shared" si="1"/>
        <v>0.60376344086021516</v>
      </c>
      <c r="N33" s="122"/>
    </row>
    <row r="34" spans="2:14" x14ac:dyDescent="0.25">
      <c r="B34" s="121"/>
      <c r="C34" s="159">
        <v>32</v>
      </c>
      <c r="D34" s="159">
        <v>9</v>
      </c>
      <c r="E34" s="159" t="s">
        <v>68</v>
      </c>
      <c r="F34" s="159" t="s">
        <v>526</v>
      </c>
      <c r="G34" s="160" t="s">
        <v>484</v>
      </c>
      <c r="H34" s="161">
        <v>7399</v>
      </c>
      <c r="I34" s="162">
        <v>393</v>
      </c>
      <c r="J34" s="159">
        <v>112.1</v>
      </c>
      <c r="K34" s="166">
        <v>113.6</v>
      </c>
      <c r="L34" s="164">
        <f t="shared" si="0"/>
        <v>225.7</v>
      </c>
      <c r="M34" s="167">
        <f t="shared" si="1"/>
        <v>0.57430025445292621</v>
      </c>
      <c r="N34" s="122"/>
    </row>
    <row r="35" spans="2:14" x14ac:dyDescent="0.25">
      <c r="B35" s="121"/>
      <c r="C35" s="159">
        <v>33</v>
      </c>
      <c r="D35" s="159">
        <v>2</v>
      </c>
      <c r="E35" s="159" t="s">
        <v>68</v>
      </c>
      <c r="F35" s="159" t="s">
        <v>526</v>
      </c>
      <c r="G35" s="160" t="s">
        <v>484</v>
      </c>
      <c r="H35" s="161">
        <v>7401</v>
      </c>
      <c r="I35" s="162">
        <v>311</v>
      </c>
      <c r="J35" s="159">
        <v>92.5</v>
      </c>
      <c r="K35" s="163">
        <v>91.6</v>
      </c>
      <c r="L35" s="164">
        <f t="shared" si="0"/>
        <v>184.1</v>
      </c>
      <c r="M35" s="165">
        <f t="shared" si="1"/>
        <v>0.59196141479099673</v>
      </c>
      <c r="N35" s="122"/>
    </row>
    <row r="36" spans="2:14" x14ac:dyDescent="0.25">
      <c r="B36" s="121"/>
      <c r="C36" s="159">
        <v>34</v>
      </c>
      <c r="D36" s="159">
        <v>17</v>
      </c>
      <c r="E36" s="159" t="s">
        <v>67</v>
      </c>
      <c r="F36" s="159" t="s">
        <v>526</v>
      </c>
      <c r="G36" s="160" t="s">
        <v>484</v>
      </c>
      <c r="H36" s="161">
        <v>7407</v>
      </c>
      <c r="I36" s="162">
        <v>224</v>
      </c>
      <c r="J36" s="159">
        <v>61.7</v>
      </c>
      <c r="K36" s="163">
        <v>62</v>
      </c>
      <c r="L36" s="164">
        <f t="shared" si="0"/>
        <v>123.7</v>
      </c>
      <c r="M36" s="165">
        <f t="shared" si="1"/>
        <v>0.55223214285714284</v>
      </c>
      <c r="N36" s="122"/>
    </row>
    <row r="37" spans="2:14" x14ac:dyDescent="0.25">
      <c r="B37" s="121"/>
      <c r="C37" s="159">
        <v>35</v>
      </c>
      <c r="D37" s="159">
        <v>10</v>
      </c>
      <c r="E37" s="159" t="s">
        <v>67</v>
      </c>
      <c r="F37" s="159" t="s">
        <v>527</v>
      </c>
      <c r="G37" s="160" t="s">
        <v>484</v>
      </c>
      <c r="H37" s="161">
        <v>7414</v>
      </c>
      <c r="I37" s="162">
        <v>348</v>
      </c>
      <c r="J37" s="159">
        <v>101.1</v>
      </c>
      <c r="K37" s="163">
        <v>100.5</v>
      </c>
      <c r="L37" s="164">
        <f t="shared" si="0"/>
        <v>201.6</v>
      </c>
      <c r="M37" s="165">
        <f t="shared" si="1"/>
        <v>0.57931034482758614</v>
      </c>
      <c r="N37" s="122"/>
    </row>
    <row r="38" spans="2:14" x14ac:dyDescent="0.25">
      <c r="B38" s="121"/>
      <c r="C38" s="159">
        <v>36</v>
      </c>
      <c r="D38" s="159">
        <v>3</v>
      </c>
      <c r="E38" s="159" t="s">
        <v>67</v>
      </c>
      <c r="F38" s="159" t="s">
        <v>526</v>
      </c>
      <c r="G38" s="159" t="s">
        <v>484</v>
      </c>
      <c r="H38" s="168" t="s">
        <v>1265</v>
      </c>
      <c r="I38" s="169">
        <v>275</v>
      </c>
      <c r="J38" s="159">
        <v>71.8</v>
      </c>
      <c r="K38" s="163">
        <v>72.599999999999994</v>
      </c>
      <c r="L38" s="164">
        <f t="shared" si="0"/>
        <v>144.39999999999998</v>
      </c>
      <c r="M38" s="165">
        <f t="shared" si="1"/>
        <v>0.52509090909090905</v>
      </c>
      <c r="N38" s="122"/>
    </row>
    <row r="39" spans="2:14" x14ac:dyDescent="0.25">
      <c r="B39" s="121"/>
      <c r="C39" s="159">
        <v>37</v>
      </c>
      <c r="D39" s="159">
        <v>6</v>
      </c>
      <c r="E39" s="159" t="s">
        <v>67</v>
      </c>
      <c r="F39" s="159" t="s">
        <v>526</v>
      </c>
      <c r="G39" s="160" t="s">
        <v>484</v>
      </c>
      <c r="H39" s="161">
        <v>7403</v>
      </c>
      <c r="I39" s="162">
        <v>309</v>
      </c>
      <c r="J39" s="159">
        <v>87.4</v>
      </c>
      <c r="K39" s="163">
        <v>88.3</v>
      </c>
      <c r="L39" s="164">
        <f t="shared" si="0"/>
        <v>175.7</v>
      </c>
      <c r="M39" s="165">
        <f t="shared" si="1"/>
        <v>0.56860841423948216</v>
      </c>
      <c r="N39" s="122"/>
    </row>
    <row r="40" spans="2:14" x14ac:dyDescent="0.25">
      <c r="B40" s="121"/>
      <c r="C40" s="159">
        <v>38</v>
      </c>
      <c r="D40" s="159">
        <v>24</v>
      </c>
      <c r="E40" s="159" t="s">
        <v>67</v>
      </c>
      <c r="F40" s="159" t="s">
        <v>526</v>
      </c>
      <c r="G40" s="160" t="s">
        <v>484</v>
      </c>
      <c r="H40" s="161">
        <v>7406</v>
      </c>
      <c r="I40" s="162">
        <v>374</v>
      </c>
      <c r="J40" s="159">
        <v>107.7</v>
      </c>
      <c r="K40" s="163">
        <v>107.3</v>
      </c>
      <c r="L40" s="164">
        <f t="shared" si="0"/>
        <v>215</v>
      </c>
      <c r="M40" s="165">
        <f t="shared" si="1"/>
        <v>0.57486631016042777</v>
      </c>
      <c r="N40" s="122"/>
    </row>
    <row r="41" spans="2:14" x14ac:dyDescent="0.25">
      <c r="B41" s="121"/>
      <c r="C41" s="159">
        <v>39</v>
      </c>
      <c r="D41" s="159">
        <v>14</v>
      </c>
      <c r="E41" s="159" t="s">
        <v>67</v>
      </c>
      <c r="F41" s="159" t="s">
        <v>527</v>
      </c>
      <c r="G41" s="160" t="s">
        <v>484</v>
      </c>
      <c r="H41" s="161">
        <v>7418</v>
      </c>
      <c r="I41" s="162">
        <v>363</v>
      </c>
      <c r="J41" s="159">
        <v>106.5</v>
      </c>
      <c r="K41" s="163">
        <v>106.5</v>
      </c>
      <c r="L41" s="164">
        <f t="shared" si="0"/>
        <v>213</v>
      </c>
      <c r="M41" s="165">
        <f t="shared" si="1"/>
        <v>0.58677685950413228</v>
      </c>
      <c r="N41" s="122"/>
    </row>
    <row r="42" spans="2:14" x14ac:dyDescent="0.25">
      <c r="B42" s="121"/>
      <c r="C42" s="160">
        <v>40</v>
      </c>
      <c r="D42" s="160">
        <v>13</v>
      </c>
      <c r="E42" s="160" t="s">
        <v>67</v>
      </c>
      <c r="F42" s="160" t="s">
        <v>526</v>
      </c>
      <c r="G42" s="160" t="s">
        <v>484</v>
      </c>
      <c r="H42" s="161">
        <v>7411</v>
      </c>
      <c r="I42" s="162">
        <v>322</v>
      </c>
      <c r="J42" s="159">
        <v>90.2</v>
      </c>
      <c r="K42" s="163">
        <v>90.4</v>
      </c>
      <c r="L42" s="164">
        <f t="shared" si="0"/>
        <v>180.60000000000002</v>
      </c>
      <c r="M42" s="165">
        <f t="shared" si="1"/>
        <v>0.5608695652173914</v>
      </c>
      <c r="N42" s="122"/>
    </row>
    <row r="43" spans="2:14" x14ac:dyDescent="0.25">
      <c r="B43" s="121"/>
      <c r="C43" s="159">
        <v>41</v>
      </c>
      <c r="D43" s="159">
        <v>16</v>
      </c>
      <c r="E43" s="159" t="s">
        <v>67</v>
      </c>
      <c r="F43" s="159" t="s">
        <v>526</v>
      </c>
      <c r="G43" s="160" t="s">
        <v>484</v>
      </c>
      <c r="H43" s="161">
        <v>7410</v>
      </c>
      <c r="I43" s="162">
        <v>343</v>
      </c>
      <c r="J43" s="159">
        <v>101.2</v>
      </c>
      <c r="K43" s="163">
        <v>102.1</v>
      </c>
      <c r="L43" s="164">
        <f t="shared" si="0"/>
        <v>203.3</v>
      </c>
      <c r="M43" s="165">
        <f t="shared" si="1"/>
        <v>0.59271137026239074</v>
      </c>
      <c r="N43" s="122"/>
    </row>
    <row r="44" spans="2:14" x14ac:dyDescent="0.25">
      <c r="B44" s="121"/>
      <c r="C44" s="160">
        <v>42</v>
      </c>
      <c r="D44" s="160">
        <v>21</v>
      </c>
      <c r="E44" s="160" t="s">
        <v>68</v>
      </c>
      <c r="F44" s="160" t="s">
        <v>526</v>
      </c>
      <c r="G44" s="160" t="s">
        <v>484</v>
      </c>
      <c r="H44" s="161">
        <v>7420</v>
      </c>
      <c r="I44" s="162">
        <v>303</v>
      </c>
      <c r="J44" s="159">
        <v>83.8</v>
      </c>
      <c r="K44" s="163">
        <v>83</v>
      </c>
      <c r="L44" s="164">
        <f t="shared" si="0"/>
        <v>166.8</v>
      </c>
      <c r="M44" s="165">
        <f t="shared" si="1"/>
        <v>0.55049504950495054</v>
      </c>
      <c r="N44" s="122"/>
    </row>
    <row r="45" spans="2:14" x14ac:dyDescent="0.25">
      <c r="B45" s="121"/>
      <c r="C45" s="160">
        <v>43</v>
      </c>
      <c r="D45" s="160">
        <v>20</v>
      </c>
      <c r="E45" s="160" t="s">
        <v>67</v>
      </c>
      <c r="F45" s="160" t="s">
        <v>526</v>
      </c>
      <c r="G45" s="160" t="s">
        <v>484</v>
      </c>
      <c r="H45" s="161">
        <v>7425</v>
      </c>
      <c r="I45" s="162">
        <v>252</v>
      </c>
      <c r="J45" s="159">
        <v>71.400000000000006</v>
      </c>
      <c r="K45" s="163">
        <v>71.2</v>
      </c>
      <c r="L45" s="164">
        <f t="shared" si="0"/>
        <v>142.60000000000002</v>
      </c>
      <c r="M45" s="165">
        <f t="shared" si="1"/>
        <v>0.56587301587301597</v>
      </c>
      <c r="N45" s="122"/>
    </row>
    <row r="46" spans="2:14" x14ac:dyDescent="0.25">
      <c r="B46" s="121"/>
      <c r="C46" s="160">
        <v>44</v>
      </c>
      <c r="D46" s="160">
        <v>15</v>
      </c>
      <c r="E46" s="160" t="s">
        <v>67</v>
      </c>
      <c r="F46" s="160" t="s">
        <v>526</v>
      </c>
      <c r="G46" s="160" t="s">
        <v>484</v>
      </c>
      <c r="H46" s="161">
        <v>7412</v>
      </c>
      <c r="I46" s="162">
        <v>335</v>
      </c>
      <c r="J46" s="159">
        <v>95.2</v>
      </c>
      <c r="K46" s="163">
        <v>95.9</v>
      </c>
      <c r="L46" s="164">
        <f t="shared" si="0"/>
        <v>191.10000000000002</v>
      </c>
      <c r="M46" s="165">
        <f t="shared" si="1"/>
        <v>0.57044776119402996</v>
      </c>
      <c r="N46" s="122"/>
    </row>
    <row r="47" spans="2:14" x14ac:dyDescent="0.25">
      <c r="B47" s="121"/>
      <c r="C47" s="160">
        <v>45</v>
      </c>
      <c r="D47" s="160">
        <v>23</v>
      </c>
      <c r="E47" s="160" t="s">
        <v>67</v>
      </c>
      <c r="F47" s="160" t="s">
        <v>526</v>
      </c>
      <c r="G47" s="160" t="s">
        <v>484</v>
      </c>
      <c r="H47" s="161">
        <v>7422</v>
      </c>
      <c r="I47" s="162">
        <v>329</v>
      </c>
      <c r="J47" s="159">
        <v>95.5</v>
      </c>
      <c r="K47" s="163">
        <v>94.3</v>
      </c>
      <c r="L47" s="164">
        <f t="shared" si="0"/>
        <v>189.8</v>
      </c>
      <c r="M47" s="165">
        <f t="shared" si="1"/>
        <v>0.57689969604863223</v>
      </c>
      <c r="N47" s="122"/>
    </row>
    <row r="48" spans="2:14" x14ac:dyDescent="0.25">
      <c r="B48" s="121"/>
      <c r="C48" s="160">
        <v>46</v>
      </c>
      <c r="D48" s="160">
        <v>7</v>
      </c>
      <c r="E48" s="160" t="s">
        <v>68</v>
      </c>
      <c r="F48" s="160" t="s">
        <v>526</v>
      </c>
      <c r="G48" s="160" t="s">
        <v>484</v>
      </c>
      <c r="H48" s="161">
        <v>7416</v>
      </c>
      <c r="I48" s="162">
        <v>294</v>
      </c>
      <c r="J48" s="159">
        <v>83</v>
      </c>
      <c r="K48" s="163">
        <v>83.3</v>
      </c>
      <c r="L48" s="164">
        <f t="shared" si="0"/>
        <v>166.3</v>
      </c>
      <c r="M48" s="165">
        <f t="shared" si="1"/>
        <v>0.56564625850340144</v>
      </c>
      <c r="N48" s="122"/>
    </row>
    <row r="49" spans="2:14" x14ac:dyDescent="0.25">
      <c r="B49" s="121"/>
      <c r="C49" s="160">
        <v>47</v>
      </c>
      <c r="D49" s="160">
        <v>22</v>
      </c>
      <c r="E49" s="160" t="s">
        <v>75</v>
      </c>
      <c r="F49" s="160" t="s">
        <v>526</v>
      </c>
      <c r="G49" s="160" t="s">
        <v>484</v>
      </c>
      <c r="H49" s="161">
        <v>7421</v>
      </c>
      <c r="I49" s="162">
        <v>223</v>
      </c>
      <c r="J49" s="159">
        <v>62.4</v>
      </c>
      <c r="K49" s="163">
        <v>61.7</v>
      </c>
      <c r="L49" s="164">
        <f t="shared" si="0"/>
        <v>124.1</v>
      </c>
      <c r="M49" s="165">
        <f t="shared" si="1"/>
        <v>0.55650224215246635</v>
      </c>
      <c r="N49" s="122"/>
    </row>
    <row r="50" spans="2:14" x14ac:dyDescent="0.25">
      <c r="B50" s="121"/>
      <c r="C50" s="159">
        <v>48</v>
      </c>
      <c r="D50" s="159">
        <v>8</v>
      </c>
      <c r="E50" s="159" t="s">
        <v>68</v>
      </c>
      <c r="F50" s="159" t="s">
        <v>526</v>
      </c>
      <c r="G50" s="160" t="s">
        <v>484</v>
      </c>
      <c r="H50" s="161">
        <v>7402</v>
      </c>
      <c r="I50" s="162">
        <v>345</v>
      </c>
      <c r="J50" s="159">
        <v>98.8</v>
      </c>
      <c r="K50" s="163">
        <v>100.2</v>
      </c>
      <c r="L50" s="164">
        <f t="shared" si="0"/>
        <v>199</v>
      </c>
      <c r="M50" s="165">
        <f t="shared" si="1"/>
        <v>0.57681159420289851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82"/>
      <c r="D66" s="282">
        <f>+COUNT($D$22:$D$65)</f>
        <v>28</v>
      </c>
      <c r="E66" s="282"/>
      <c r="F66" s="373"/>
      <c r="G66" s="373"/>
      <c r="H66" s="149"/>
      <c r="I66" s="148">
        <f>SUM($I$22:$I$65)</f>
        <v>8846</v>
      </c>
      <c r="J66" s="150">
        <f>SUM($J$22:$J$65)</f>
        <v>2535.7000000000003</v>
      </c>
      <c r="K66" s="151">
        <f>SUM($K$22:$K$65)</f>
        <v>2538.1999999999998</v>
      </c>
      <c r="L66" s="148">
        <f>SUM($L$22:$L$65)</f>
        <v>5073.9000000000005</v>
      </c>
      <c r="M66" s="178">
        <f t="shared" si="1"/>
        <v>0.57358127967442918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/>
      <c r="I71" s="119"/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/>
      <c r="I72" s="119"/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/>
      <c r="I73" s="119"/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/>
      <c r="I74" s="119"/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/>
      <c r="I75" s="119"/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/>
      <c r="I76" s="119"/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/>
      <c r="I77" s="119"/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/>
      <c r="I78" s="119"/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/>
      <c r="I79" s="119"/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/>
      <c r="I80" s="119"/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/>
      <c r="I81" s="119"/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/>
      <c r="I82" s="119"/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/>
      <c r="I83" s="119"/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0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28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46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A65" zoomScale="90" zoomScaleNormal="90" workbookViewId="0">
      <selection activeCell="I71" sqref="I71:I83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0.56203614291626436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203.71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1287</v>
      </c>
      <c r="F8" s="344"/>
      <c r="G8" s="344"/>
      <c r="H8" s="345"/>
      <c r="I8" s="146" t="s">
        <v>487</v>
      </c>
      <c r="J8" s="346" t="s">
        <v>563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40398</v>
      </c>
      <c r="F9" s="344"/>
      <c r="G9" s="344"/>
      <c r="H9" s="345"/>
      <c r="I9" s="146" t="s">
        <v>88</v>
      </c>
      <c r="J9" s="209" t="s">
        <v>1248</v>
      </c>
      <c r="K9" s="285" t="s">
        <v>490</v>
      </c>
      <c r="L9" s="369" t="s">
        <v>1288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83" t="s">
        <v>569</v>
      </c>
      <c r="E12" s="384">
        <v>46059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61</v>
      </c>
      <c r="F13" s="349"/>
      <c r="H13" s="117"/>
      <c r="I13" s="123"/>
      <c r="J13" s="215" t="s">
        <v>483</v>
      </c>
      <c r="K13" s="284">
        <f>+COUNTIF($G$22:$G$66,"VQ")*2</f>
        <v>6</v>
      </c>
      <c r="L13" s="284">
        <f>+SUMIF($G$23:$G$65,"VQ",$L$23:$L$65)</f>
        <v>547.79999999999995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20</v>
      </c>
      <c r="F14" s="350"/>
      <c r="H14" s="117"/>
      <c r="I14" s="123"/>
      <c r="J14" s="215" t="s">
        <v>42</v>
      </c>
      <c r="K14" s="284">
        <f>+COUNTIF($G$22:$G$66,"NT")*2</f>
        <v>34</v>
      </c>
      <c r="L14" s="284">
        <f>+SUMIF($G$23:$G$65,"NT",$L$23:$L$65)</f>
        <v>3526.4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7249</v>
      </c>
      <c r="F15" s="350"/>
      <c r="H15" s="117"/>
      <c r="I15" s="123"/>
      <c r="J15" s="215" t="s">
        <v>484</v>
      </c>
      <c r="K15" s="284">
        <f>+COUNTIF($G$22:$G$66,"NO")*2</f>
        <v>0</v>
      </c>
      <c r="L15" s="284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4074.2000000000003</v>
      </c>
      <c r="F16" s="350"/>
      <c r="H16" s="117"/>
      <c r="I16" s="123"/>
      <c r="J16" s="215" t="s">
        <v>485</v>
      </c>
      <c r="K16" s="284">
        <f>+COUNTIF($G$22:$G$66,"TO")*2</f>
        <v>0</v>
      </c>
      <c r="L16" s="284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0.56203614291626436</v>
      </c>
      <c r="F17" s="350"/>
      <c r="G17" s="124"/>
      <c r="H17" s="125"/>
      <c r="I17" s="123"/>
      <c r="J17" s="215" t="s">
        <v>486</v>
      </c>
      <c r="K17" s="284">
        <f>+COUNTIF($G$22:$G$66,"VA")*2</f>
        <v>0</v>
      </c>
      <c r="L17" s="284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203.71</v>
      </c>
      <c r="F18" s="353"/>
      <c r="G18" s="124"/>
      <c r="H18" s="125"/>
      <c r="I18" s="123"/>
      <c r="J18" s="215" t="s">
        <v>44</v>
      </c>
      <c r="K18" s="284">
        <f>+COUNTIF($G$22:$G$66,"MEJ")*2</f>
        <v>0</v>
      </c>
      <c r="L18" s="284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49</v>
      </c>
      <c r="D23" s="152">
        <v>7</v>
      </c>
      <c r="E23" s="152" t="s">
        <v>67</v>
      </c>
      <c r="F23" s="152" t="s">
        <v>526</v>
      </c>
      <c r="G23" s="153" t="s">
        <v>42</v>
      </c>
      <c r="H23" s="154" t="s">
        <v>1269</v>
      </c>
      <c r="I23" s="155">
        <v>358</v>
      </c>
      <c r="J23" s="152">
        <v>100.4</v>
      </c>
      <c r="K23" s="156">
        <v>100.4</v>
      </c>
      <c r="L23" s="157">
        <f t="shared" ref="L23:L65" si="0">+J23+K23</f>
        <v>200.8</v>
      </c>
      <c r="M23" s="158">
        <f t="shared" ref="M23:M66" si="1">+L23/I23</f>
        <v>0.56089385474860343</v>
      </c>
      <c r="N23" s="122"/>
    </row>
    <row r="24" spans="2:14" x14ac:dyDescent="0.25">
      <c r="B24" s="121"/>
      <c r="C24" s="159">
        <v>50</v>
      </c>
      <c r="D24" s="159">
        <v>14</v>
      </c>
      <c r="E24" s="159" t="s">
        <v>75</v>
      </c>
      <c r="F24" s="159" t="s">
        <v>526</v>
      </c>
      <c r="G24" s="160" t="s">
        <v>42</v>
      </c>
      <c r="H24" s="161" t="s">
        <v>1270</v>
      </c>
      <c r="I24" s="162">
        <v>390</v>
      </c>
      <c r="J24" s="159">
        <v>107.3</v>
      </c>
      <c r="K24" s="163">
        <v>108.9</v>
      </c>
      <c r="L24" s="164">
        <f t="shared" si="0"/>
        <v>216.2</v>
      </c>
      <c r="M24" s="165">
        <f t="shared" si="1"/>
        <v>0.5543589743589743</v>
      </c>
      <c r="N24" s="122"/>
    </row>
    <row r="25" spans="2:14" x14ac:dyDescent="0.25">
      <c r="B25" s="121"/>
      <c r="C25" s="159">
        <v>51</v>
      </c>
      <c r="D25" s="159">
        <v>2</v>
      </c>
      <c r="E25" s="159" t="s">
        <v>75</v>
      </c>
      <c r="F25" s="159" t="s">
        <v>526</v>
      </c>
      <c r="G25" s="160" t="s">
        <v>42</v>
      </c>
      <c r="H25" s="161" t="s">
        <v>385</v>
      </c>
      <c r="I25" s="162">
        <v>386</v>
      </c>
      <c r="J25" s="159">
        <v>104.3</v>
      </c>
      <c r="K25" s="163">
        <v>104.8</v>
      </c>
      <c r="L25" s="164">
        <f t="shared" si="0"/>
        <v>209.1</v>
      </c>
      <c r="M25" s="165">
        <f t="shared" si="1"/>
        <v>0.54170984455958548</v>
      </c>
      <c r="N25" s="122"/>
    </row>
    <row r="26" spans="2:14" x14ac:dyDescent="0.25">
      <c r="B26" s="121"/>
      <c r="C26" s="159">
        <v>52</v>
      </c>
      <c r="D26" s="159">
        <v>19</v>
      </c>
      <c r="E26" s="159" t="s">
        <v>75</v>
      </c>
      <c r="F26" s="159" t="s">
        <v>527</v>
      </c>
      <c r="G26" s="160" t="s">
        <v>42</v>
      </c>
      <c r="H26" s="161" t="s">
        <v>1271</v>
      </c>
      <c r="I26" s="162">
        <v>411</v>
      </c>
      <c r="J26" s="159">
        <v>121.9</v>
      </c>
      <c r="K26" s="163">
        <v>122</v>
      </c>
      <c r="L26" s="164">
        <f t="shared" si="0"/>
        <v>243.9</v>
      </c>
      <c r="M26" s="165">
        <f t="shared" si="1"/>
        <v>0.59343065693430663</v>
      </c>
      <c r="N26" s="122"/>
    </row>
    <row r="27" spans="2:14" x14ac:dyDescent="0.25">
      <c r="B27" s="121"/>
      <c r="C27" s="159">
        <v>53</v>
      </c>
      <c r="D27" s="159">
        <v>17</v>
      </c>
      <c r="E27" s="159" t="s">
        <v>75</v>
      </c>
      <c r="F27" s="159" t="s">
        <v>526</v>
      </c>
      <c r="G27" s="160" t="s">
        <v>42</v>
      </c>
      <c r="H27" s="161" t="s">
        <v>1272</v>
      </c>
      <c r="I27" s="162">
        <v>357</v>
      </c>
      <c r="J27" s="159">
        <v>107.3</v>
      </c>
      <c r="K27" s="163">
        <v>105.8</v>
      </c>
      <c r="L27" s="164">
        <f t="shared" si="0"/>
        <v>213.1</v>
      </c>
      <c r="M27" s="165">
        <f t="shared" si="1"/>
        <v>0.59691876750700279</v>
      </c>
      <c r="N27" s="122"/>
    </row>
    <row r="28" spans="2:14" x14ac:dyDescent="0.25">
      <c r="B28" s="121"/>
      <c r="C28" s="159">
        <v>54</v>
      </c>
      <c r="D28" s="159">
        <v>9</v>
      </c>
      <c r="E28" s="159" t="s">
        <v>75</v>
      </c>
      <c r="F28" s="159" t="s">
        <v>526</v>
      </c>
      <c r="G28" s="160" t="s">
        <v>42</v>
      </c>
      <c r="H28" s="161" t="s">
        <v>1273</v>
      </c>
      <c r="I28" s="162">
        <v>377</v>
      </c>
      <c r="J28" s="159">
        <v>104.2</v>
      </c>
      <c r="K28" s="163">
        <v>104</v>
      </c>
      <c r="L28" s="164">
        <f t="shared" si="0"/>
        <v>208.2</v>
      </c>
      <c r="M28" s="165">
        <f t="shared" si="1"/>
        <v>0.55225464190981433</v>
      </c>
      <c r="N28" s="122"/>
    </row>
    <row r="29" spans="2:14" x14ac:dyDescent="0.25">
      <c r="B29" s="121"/>
      <c r="C29" s="160">
        <v>55</v>
      </c>
      <c r="D29" s="160">
        <v>1</v>
      </c>
      <c r="E29" s="160" t="s">
        <v>67</v>
      </c>
      <c r="F29" s="160" t="s">
        <v>526</v>
      </c>
      <c r="G29" s="160" t="s">
        <v>483</v>
      </c>
      <c r="H29" s="161" t="s">
        <v>1274</v>
      </c>
      <c r="I29" s="162">
        <v>367</v>
      </c>
      <c r="J29" s="159">
        <v>102.4</v>
      </c>
      <c r="K29" s="163">
        <v>101.4</v>
      </c>
      <c r="L29" s="164">
        <f t="shared" si="0"/>
        <v>203.8</v>
      </c>
      <c r="M29" s="165">
        <f t="shared" si="1"/>
        <v>0.55531335149863759</v>
      </c>
      <c r="N29" s="122"/>
    </row>
    <row r="30" spans="2:14" x14ac:dyDescent="0.25">
      <c r="B30" s="121"/>
      <c r="C30" s="160">
        <v>56</v>
      </c>
      <c r="D30" s="160">
        <v>11</v>
      </c>
      <c r="E30" s="160" t="s">
        <v>75</v>
      </c>
      <c r="F30" s="160" t="s">
        <v>526</v>
      </c>
      <c r="G30" s="160" t="s">
        <v>42</v>
      </c>
      <c r="H30" s="161" t="s">
        <v>1275</v>
      </c>
      <c r="I30" s="162">
        <v>358</v>
      </c>
      <c r="J30" s="159">
        <v>104.6</v>
      </c>
      <c r="K30" s="163">
        <v>104.7</v>
      </c>
      <c r="L30" s="164">
        <f t="shared" si="0"/>
        <v>209.3</v>
      </c>
      <c r="M30" s="165">
        <f t="shared" si="1"/>
        <v>0.58463687150837995</v>
      </c>
      <c r="N30" s="122"/>
    </row>
    <row r="31" spans="2:14" x14ac:dyDescent="0.25">
      <c r="B31" s="121"/>
      <c r="C31" s="159">
        <v>57</v>
      </c>
      <c r="D31" s="159">
        <v>4</v>
      </c>
      <c r="E31" s="159" t="s">
        <v>75</v>
      </c>
      <c r="F31" s="159" t="s">
        <v>526</v>
      </c>
      <c r="G31" s="160" t="s">
        <v>42</v>
      </c>
      <c r="H31" s="161" t="s">
        <v>1276</v>
      </c>
      <c r="I31" s="162">
        <v>366</v>
      </c>
      <c r="J31" s="159">
        <v>101.5</v>
      </c>
      <c r="K31" s="163">
        <v>102.1</v>
      </c>
      <c r="L31" s="164">
        <f t="shared" si="0"/>
        <v>203.6</v>
      </c>
      <c r="M31" s="165">
        <f t="shared" si="1"/>
        <v>0.55628415300546441</v>
      </c>
      <c r="N31" s="122"/>
    </row>
    <row r="32" spans="2:14" x14ac:dyDescent="0.25">
      <c r="B32" s="121"/>
      <c r="C32" s="159">
        <v>58</v>
      </c>
      <c r="D32" s="159">
        <v>5</v>
      </c>
      <c r="E32" s="159" t="s">
        <v>67</v>
      </c>
      <c r="F32" s="159" t="s">
        <v>526</v>
      </c>
      <c r="G32" s="160" t="s">
        <v>42</v>
      </c>
      <c r="H32" s="161" t="s">
        <v>1277</v>
      </c>
      <c r="I32" s="162">
        <v>352</v>
      </c>
      <c r="J32" s="159">
        <v>97.4</v>
      </c>
      <c r="K32" s="163">
        <v>98.1</v>
      </c>
      <c r="L32" s="164">
        <f t="shared" si="0"/>
        <v>195.5</v>
      </c>
      <c r="M32" s="165">
        <f t="shared" si="1"/>
        <v>0.55539772727272729</v>
      </c>
      <c r="N32" s="122"/>
    </row>
    <row r="33" spans="2:14" x14ac:dyDescent="0.25">
      <c r="B33" s="121"/>
      <c r="C33" s="160">
        <v>59</v>
      </c>
      <c r="D33" s="160">
        <v>15</v>
      </c>
      <c r="E33" s="160" t="s">
        <v>67</v>
      </c>
      <c r="F33" s="160" t="s">
        <v>526</v>
      </c>
      <c r="G33" s="160" t="s">
        <v>42</v>
      </c>
      <c r="H33" s="161" t="s">
        <v>1278</v>
      </c>
      <c r="I33" s="162">
        <v>384</v>
      </c>
      <c r="J33" s="159">
        <v>105.4</v>
      </c>
      <c r="K33" s="163">
        <v>106.6</v>
      </c>
      <c r="L33" s="164">
        <f t="shared" si="0"/>
        <v>212</v>
      </c>
      <c r="M33" s="165">
        <f t="shared" si="1"/>
        <v>0.55208333333333337</v>
      </c>
      <c r="N33" s="122"/>
    </row>
    <row r="34" spans="2:14" x14ac:dyDescent="0.25">
      <c r="B34" s="121"/>
      <c r="C34" s="159">
        <v>60</v>
      </c>
      <c r="D34" s="159">
        <v>13</v>
      </c>
      <c r="E34" s="159" t="s">
        <v>67</v>
      </c>
      <c r="F34" s="159" t="s">
        <v>526</v>
      </c>
      <c r="G34" s="160" t="s">
        <v>42</v>
      </c>
      <c r="H34" s="161" t="s">
        <v>1279</v>
      </c>
      <c r="I34" s="162">
        <v>321</v>
      </c>
      <c r="J34" s="159">
        <v>90.2</v>
      </c>
      <c r="K34" s="166">
        <v>89.7</v>
      </c>
      <c r="L34" s="164">
        <f t="shared" si="0"/>
        <v>179.9</v>
      </c>
      <c r="M34" s="167">
        <f t="shared" si="1"/>
        <v>0.56043613707165107</v>
      </c>
      <c r="N34" s="122"/>
    </row>
    <row r="35" spans="2:14" x14ac:dyDescent="0.25">
      <c r="B35" s="121"/>
      <c r="C35" s="159">
        <v>61</v>
      </c>
      <c r="D35" s="159">
        <v>10</v>
      </c>
      <c r="E35" s="159" t="s">
        <v>68</v>
      </c>
      <c r="F35" s="159" t="s">
        <v>526</v>
      </c>
      <c r="G35" s="160" t="s">
        <v>42</v>
      </c>
      <c r="H35" s="161" t="s">
        <v>1280</v>
      </c>
      <c r="I35" s="162">
        <v>325</v>
      </c>
      <c r="J35" s="159">
        <v>92.6</v>
      </c>
      <c r="K35" s="163">
        <v>93.6</v>
      </c>
      <c r="L35" s="164">
        <f t="shared" si="0"/>
        <v>186.2</v>
      </c>
      <c r="M35" s="165">
        <f t="shared" si="1"/>
        <v>0.57292307692307687</v>
      </c>
      <c r="N35" s="122"/>
    </row>
    <row r="36" spans="2:14" x14ac:dyDescent="0.25">
      <c r="B36" s="121"/>
      <c r="C36" s="159">
        <v>62</v>
      </c>
      <c r="D36" s="159">
        <v>12</v>
      </c>
      <c r="E36" s="159" t="s">
        <v>67</v>
      </c>
      <c r="F36" s="159" t="s">
        <v>526</v>
      </c>
      <c r="G36" s="160" t="s">
        <v>42</v>
      </c>
      <c r="H36" s="161" t="s">
        <v>1221</v>
      </c>
      <c r="I36" s="162">
        <v>331</v>
      </c>
      <c r="J36" s="159">
        <v>96.5</v>
      </c>
      <c r="K36" s="163">
        <v>97.3</v>
      </c>
      <c r="L36" s="164">
        <f t="shared" si="0"/>
        <v>193.8</v>
      </c>
      <c r="M36" s="165">
        <f t="shared" si="1"/>
        <v>0.58549848942598193</v>
      </c>
      <c r="N36" s="122"/>
    </row>
    <row r="37" spans="2:14" x14ac:dyDescent="0.25">
      <c r="B37" s="121"/>
      <c r="C37" s="159">
        <v>63</v>
      </c>
      <c r="D37" s="159">
        <v>18</v>
      </c>
      <c r="E37" s="159" t="s">
        <v>67</v>
      </c>
      <c r="F37" s="159" t="s">
        <v>526</v>
      </c>
      <c r="G37" s="160" t="s">
        <v>42</v>
      </c>
      <c r="H37" s="161" t="s">
        <v>1281</v>
      </c>
      <c r="I37" s="162">
        <v>422</v>
      </c>
      <c r="J37" s="159">
        <v>122.9</v>
      </c>
      <c r="K37" s="163">
        <v>122.9</v>
      </c>
      <c r="L37" s="164">
        <f t="shared" si="0"/>
        <v>245.8</v>
      </c>
      <c r="M37" s="165">
        <f t="shared" si="1"/>
        <v>0.58246445497630339</v>
      </c>
      <c r="N37" s="122"/>
    </row>
    <row r="38" spans="2:14" x14ac:dyDescent="0.25">
      <c r="B38" s="121"/>
      <c r="C38" s="159">
        <v>64</v>
      </c>
      <c r="D38" s="159">
        <v>6</v>
      </c>
      <c r="E38" s="159" t="s">
        <v>67</v>
      </c>
      <c r="F38" s="159" t="s">
        <v>526</v>
      </c>
      <c r="G38" s="159" t="s">
        <v>42</v>
      </c>
      <c r="H38" s="168" t="s">
        <v>1282</v>
      </c>
      <c r="I38" s="169">
        <v>382</v>
      </c>
      <c r="J38" s="159">
        <v>107.6</v>
      </c>
      <c r="K38" s="163">
        <v>107.8</v>
      </c>
      <c r="L38" s="164">
        <f t="shared" si="0"/>
        <v>215.39999999999998</v>
      </c>
      <c r="M38" s="165">
        <f t="shared" si="1"/>
        <v>0.56387434554973814</v>
      </c>
      <c r="N38" s="122"/>
    </row>
    <row r="39" spans="2:14" x14ac:dyDescent="0.25">
      <c r="B39" s="121"/>
      <c r="C39" s="159">
        <v>65</v>
      </c>
      <c r="D39" s="159">
        <v>20</v>
      </c>
      <c r="E39" s="159" t="s">
        <v>75</v>
      </c>
      <c r="F39" s="159" t="s">
        <v>526</v>
      </c>
      <c r="G39" s="160" t="s">
        <v>42</v>
      </c>
      <c r="H39" s="161" t="s">
        <v>1283</v>
      </c>
      <c r="I39" s="162">
        <v>320</v>
      </c>
      <c r="J39" s="159">
        <v>88.7</v>
      </c>
      <c r="K39" s="163">
        <v>89.4</v>
      </c>
      <c r="L39" s="164">
        <f t="shared" si="0"/>
        <v>178.10000000000002</v>
      </c>
      <c r="M39" s="165">
        <f t="shared" si="1"/>
        <v>0.55656250000000007</v>
      </c>
      <c r="N39" s="122"/>
    </row>
    <row r="40" spans="2:14" x14ac:dyDescent="0.25">
      <c r="B40" s="121"/>
      <c r="C40" s="159">
        <v>66</v>
      </c>
      <c r="D40" s="159">
        <v>3</v>
      </c>
      <c r="E40" s="159" t="s">
        <v>67</v>
      </c>
      <c r="F40" s="159" t="s">
        <v>526</v>
      </c>
      <c r="G40" s="160" t="s">
        <v>483</v>
      </c>
      <c r="H40" s="161" t="s">
        <v>1284</v>
      </c>
      <c r="I40" s="162">
        <v>331</v>
      </c>
      <c r="J40" s="159">
        <v>89.6</v>
      </c>
      <c r="K40" s="163">
        <v>89.3</v>
      </c>
      <c r="L40" s="164">
        <f t="shared" si="0"/>
        <v>178.89999999999998</v>
      </c>
      <c r="M40" s="165">
        <f t="shared" si="1"/>
        <v>0.54048338368580051</v>
      </c>
      <c r="N40" s="122"/>
    </row>
    <row r="41" spans="2:14" x14ac:dyDescent="0.25">
      <c r="B41" s="121"/>
      <c r="C41" s="159">
        <v>67</v>
      </c>
      <c r="D41" s="159">
        <v>8</v>
      </c>
      <c r="E41" s="159" t="s">
        <v>67</v>
      </c>
      <c r="F41" s="159" t="s">
        <v>526</v>
      </c>
      <c r="G41" s="160" t="s">
        <v>483</v>
      </c>
      <c r="H41" s="161" t="s">
        <v>1285</v>
      </c>
      <c r="I41" s="162">
        <v>317</v>
      </c>
      <c r="J41" s="159">
        <v>82.7</v>
      </c>
      <c r="K41" s="163">
        <v>82.4</v>
      </c>
      <c r="L41" s="164">
        <f t="shared" si="0"/>
        <v>165.10000000000002</v>
      </c>
      <c r="M41" s="165">
        <f t="shared" si="1"/>
        <v>0.52082018927444806</v>
      </c>
      <c r="N41" s="122"/>
    </row>
    <row r="42" spans="2:14" x14ac:dyDescent="0.25">
      <c r="B42" s="121"/>
      <c r="C42" s="160">
        <v>68</v>
      </c>
      <c r="D42" s="160">
        <v>16</v>
      </c>
      <c r="E42" s="160" t="s">
        <v>68</v>
      </c>
      <c r="F42" s="160" t="s">
        <v>526</v>
      </c>
      <c r="G42" s="160" t="s">
        <v>42</v>
      </c>
      <c r="H42" s="161" t="s">
        <v>1286</v>
      </c>
      <c r="I42" s="162">
        <v>394</v>
      </c>
      <c r="J42" s="159">
        <v>106.9</v>
      </c>
      <c r="K42" s="163">
        <v>108.6</v>
      </c>
      <c r="L42" s="164">
        <f t="shared" si="0"/>
        <v>215.5</v>
      </c>
      <c r="M42" s="165">
        <f t="shared" si="1"/>
        <v>0.54695431472081213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82"/>
      <c r="D66" s="282">
        <f>+COUNT($D$22:$D$65)</f>
        <v>20</v>
      </c>
      <c r="E66" s="282"/>
      <c r="F66" s="373"/>
      <c r="G66" s="373"/>
      <c r="H66" s="149"/>
      <c r="I66" s="148">
        <f>SUM($I$22:$I$65)</f>
        <v>7249</v>
      </c>
      <c r="J66" s="150">
        <f>SUM($J$22:$J$65)</f>
        <v>2034.4</v>
      </c>
      <c r="K66" s="151">
        <f>SUM($K$22:$K$65)</f>
        <v>2039.8</v>
      </c>
      <c r="L66" s="148">
        <f>SUM($L$22:$L$65)</f>
        <v>4074.2000000000003</v>
      </c>
      <c r="M66" s="178">
        <f t="shared" si="1"/>
        <v>0.56203614291626436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39.400000000000006</v>
      </c>
      <c r="I71" s="119">
        <v>37.58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20</v>
      </c>
      <c r="I72" s="119">
        <v>29.880000000000003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19</v>
      </c>
      <c r="I73" s="119">
        <v>86.74</v>
      </c>
      <c r="J73" s="181">
        <v>1</v>
      </c>
      <c r="K73" s="185">
        <v>4.92</v>
      </c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20</v>
      </c>
      <c r="I74" s="119">
        <v>19.440000000000001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14.38</v>
      </c>
      <c r="I75" s="119">
        <v>13.76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40</v>
      </c>
      <c r="I76" s="119">
        <v>17.059999999999999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80</v>
      </c>
      <c r="I77" s="119">
        <v>12.14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20</v>
      </c>
      <c r="I78" s="119">
        <v>13.04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20</v>
      </c>
      <c r="I79" s="119">
        <v>13.56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26.24</v>
      </c>
      <c r="I80" s="119">
        <v>26.28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20</v>
      </c>
      <c r="I81" s="119">
        <v>17.52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20</v>
      </c>
      <c r="I82" s="119">
        <v>6.48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12.44</v>
      </c>
      <c r="I83" s="119">
        <v>11.52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304.99999999999994</v>
      </c>
      <c r="J84" s="187">
        <f>SUM(J71:J83)</f>
        <v>1</v>
      </c>
      <c r="K84" s="186">
        <f>SUM(K71:K83)</f>
        <v>4.92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20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45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B1" zoomScale="90" zoomScaleNormal="90" workbookViewId="0">
      <selection activeCell="F24" sqref="F24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0.58913043478260863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189.7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1246</v>
      </c>
      <c r="F8" s="344"/>
      <c r="G8" s="344"/>
      <c r="H8" s="345"/>
      <c r="I8" s="146" t="s">
        <v>487</v>
      </c>
      <c r="J8" s="346" t="s">
        <v>1266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69057</v>
      </c>
      <c r="F9" s="344"/>
      <c r="G9" s="344"/>
      <c r="H9" s="345"/>
      <c r="I9" s="146" t="s">
        <v>88</v>
      </c>
      <c r="J9" s="209" t="s">
        <v>1289</v>
      </c>
      <c r="K9" s="285" t="s">
        <v>490</v>
      </c>
      <c r="L9" s="369" t="s">
        <v>1290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83" t="s">
        <v>569</v>
      </c>
      <c r="E12" s="384">
        <v>46059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62</v>
      </c>
      <c r="F13" s="349"/>
      <c r="H13" s="117"/>
      <c r="I13" s="123"/>
      <c r="J13" s="215" t="s">
        <v>483</v>
      </c>
      <c r="K13" s="284">
        <f>+COUNTIF($G$22:$G$66,"VQ")*2</f>
        <v>0</v>
      </c>
      <c r="L13" s="284">
        <f>+SUMIF($G$23:$G$65,"VQ",$L$23:$L$65)</f>
        <v>0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1</v>
      </c>
      <c r="F14" s="350"/>
      <c r="H14" s="117"/>
      <c r="I14" s="123"/>
      <c r="J14" s="215" t="s">
        <v>42</v>
      </c>
      <c r="K14" s="284">
        <f>+COUNTIF($G$22:$G$66,"NT")*2</f>
        <v>2</v>
      </c>
      <c r="L14" s="284">
        <f>+SUMIF($G$23:$G$65,"NT",$L$23:$L$65)</f>
        <v>189.7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322</v>
      </c>
      <c r="F15" s="350"/>
      <c r="H15" s="117"/>
      <c r="I15" s="123"/>
      <c r="J15" s="215" t="s">
        <v>484</v>
      </c>
      <c r="K15" s="284">
        <f>+COUNTIF($G$22:$G$66,"NO")*2</f>
        <v>0</v>
      </c>
      <c r="L15" s="284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189.7</v>
      </c>
      <c r="F16" s="350"/>
      <c r="H16" s="117"/>
      <c r="I16" s="123"/>
      <c r="J16" s="215" t="s">
        <v>485</v>
      </c>
      <c r="K16" s="284">
        <f>+COUNTIF($G$22:$G$66,"TO")*2</f>
        <v>0</v>
      </c>
      <c r="L16" s="284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0.58913043478260863</v>
      </c>
      <c r="F17" s="350"/>
      <c r="G17" s="124"/>
      <c r="H17" s="125"/>
      <c r="I17" s="123"/>
      <c r="J17" s="215" t="s">
        <v>486</v>
      </c>
      <c r="K17" s="284">
        <f>+COUNTIF($G$22:$G$66,"VA")*2</f>
        <v>0</v>
      </c>
      <c r="L17" s="284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189.7</v>
      </c>
      <c r="F18" s="353"/>
      <c r="G18" s="124"/>
      <c r="H18" s="125"/>
      <c r="I18" s="123"/>
      <c r="J18" s="215" t="s">
        <v>44</v>
      </c>
      <c r="K18" s="284">
        <f>+COUNTIF($G$22:$G$66,"MEJ")*2</f>
        <v>0</v>
      </c>
      <c r="L18" s="284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69</v>
      </c>
      <c r="D23" s="152">
        <v>1</v>
      </c>
      <c r="E23" s="152" t="s">
        <v>67</v>
      </c>
      <c r="F23" s="152" t="s">
        <v>526</v>
      </c>
      <c r="G23" s="153" t="s">
        <v>42</v>
      </c>
      <c r="H23" s="154">
        <v>7404</v>
      </c>
      <c r="I23" s="155">
        <v>322</v>
      </c>
      <c r="J23" s="152">
        <v>94.5</v>
      </c>
      <c r="K23" s="156">
        <v>95.2</v>
      </c>
      <c r="L23" s="157">
        <f t="shared" ref="L23:L65" si="0">+J23+K23</f>
        <v>189.7</v>
      </c>
      <c r="M23" s="158">
        <f t="shared" ref="M23:M66" si="1">+L23/I23</f>
        <v>0.58913043478260863</v>
      </c>
      <c r="N23" s="122"/>
    </row>
    <row r="24" spans="2:14" x14ac:dyDescent="0.25">
      <c r="B24" s="121"/>
      <c r="C24" s="159"/>
      <c r="D24" s="159"/>
      <c r="E24" s="159"/>
      <c r="F24" s="159"/>
      <c r="G24" s="160"/>
      <c r="H24" s="161"/>
      <c r="I24" s="162"/>
      <c r="J24" s="159"/>
      <c r="K24" s="163"/>
      <c r="L24" s="164">
        <f t="shared" si="0"/>
        <v>0</v>
      </c>
      <c r="M24" s="165" t="e">
        <f t="shared" si="1"/>
        <v>#DIV/0!</v>
      </c>
      <c r="N24" s="122"/>
    </row>
    <row r="25" spans="2:14" x14ac:dyDescent="0.25">
      <c r="B25" s="121"/>
      <c r="C25" s="159"/>
      <c r="D25" s="159"/>
      <c r="E25" s="159"/>
      <c r="F25" s="159"/>
      <c r="G25" s="160"/>
      <c r="H25" s="161"/>
      <c r="I25" s="162"/>
      <c r="J25" s="159"/>
      <c r="K25" s="163"/>
      <c r="L25" s="164">
        <f t="shared" si="0"/>
        <v>0</v>
      </c>
      <c r="M25" s="165" t="e">
        <f t="shared" si="1"/>
        <v>#DIV/0!</v>
      </c>
      <c r="N25" s="122"/>
    </row>
    <row r="26" spans="2:14" x14ac:dyDescent="0.25">
      <c r="B26" s="121"/>
      <c r="C26" s="159"/>
      <c r="D26" s="159"/>
      <c r="E26" s="159"/>
      <c r="F26" s="159"/>
      <c r="G26" s="160"/>
      <c r="H26" s="161"/>
      <c r="I26" s="162"/>
      <c r="J26" s="159"/>
      <c r="K26" s="163"/>
      <c r="L26" s="164">
        <f t="shared" si="0"/>
        <v>0</v>
      </c>
      <c r="M26" s="165" t="e">
        <f t="shared" si="1"/>
        <v>#DIV/0!</v>
      </c>
      <c r="N26" s="122"/>
    </row>
    <row r="27" spans="2:14" x14ac:dyDescent="0.25">
      <c r="B27" s="121"/>
      <c r="C27" s="159"/>
      <c r="D27" s="159"/>
      <c r="E27" s="159"/>
      <c r="F27" s="159"/>
      <c r="G27" s="160"/>
      <c r="H27" s="161"/>
      <c r="I27" s="162"/>
      <c r="J27" s="159"/>
      <c r="K27" s="163"/>
      <c r="L27" s="164">
        <f t="shared" si="0"/>
        <v>0</v>
      </c>
      <c r="M27" s="165" t="e">
        <f t="shared" si="1"/>
        <v>#DIV/0!</v>
      </c>
      <c r="N27" s="122"/>
    </row>
    <row r="28" spans="2:14" x14ac:dyDescent="0.25">
      <c r="B28" s="121"/>
      <c r="C28" s="159"/>
      <c r="D28" s="159"/>
      <c r="E28" s="159"/>
      <c r="F28" s="159"/>
      <c r="G28" s="160"/>
      <c r="H28" s="161"/>
      <c r="I28" s="162"/>
      <c r="J28" s="159"/>
      <c r="K28" s="163"/>
      <c r="L28" s="164">
        <f t="shared" si="0"/>
        <v>0</v>
      </c>
      <c r="M28" s="165" t="e">
        <f t="shared" si="1"/>
        <v>#DIV/0!</v>
      </c>
      <c r="N28" s="122"/>
    </row>
    <row r="29" spans="2:14" x14ac:dyDescent="0.25">
      <c r="B29" s="121"/>
      <c r="C29" s="160"/>
      <c r="D29" s="160"/>
      <c r="E29" s="160"/>
      <c r="F29" s="160"/>
      <c r="G29" s="160"/>
      <c r="H29" s="161"/>
      <c r="I29" s="162"/>
      <c r="J29" s="159"/>
      <c r="K29" s="163"/>
      <c r="L29" s="164">
        <f t="shared" si="0"/>
        <v>0</v>
      </c>
      <c r="M29" s="165" t="e">
        <f t="shared" si="1"/>
        <v>#DIV/0!</v>
      </c>
      <c r="N29" s="122"/>
    </row>
    <row r="30" spans="2:14" x14ac:dyDescent="0.25">
      <c r="B30" s="121"/>
      <c r="C30" s="160"/>
      <c r="D30" s="160"/>
      <c r="E30" s="160"/>
      <c r="F30" s="160"/>
      <c r="G30" s="160"/>
      <c r="H30" s="161"/>
      <c r="I30" s="162"/>
      <c r="J30" s="159"/>
      <c r="K30" s="163"/>
      <c r="L30" s="164">
        <f t="shared" si="0"/>
        <v>0</v>
      </c>
      <c r="M30" s="165" t="e">
        <f t="shared" si="1"/>
        <v>#DIV/0!</v>
      </c>
      <c r="N30" s="122"/>
    </row>
    <row r="31" spans="2:14" x14ac:dyDescent="0.25">
      <c r="B31" s="121"/>
      <c r="C31" s="159"/>
      <c r="D31" s="159"/>
      <c r="E31" s="159"/>
      <c r="F31" s="159"/>
      <c r="G31" s="160"/>
      <c r="H31" s="161"/>
      <c r="I31" s="162"/>
      <c r="J31" s="159"/>
      <c r="K31" s="163"/>
      <c r="L31" s="164">
        <f t="shared" si="0"/>
        <v>0</v>
      </c>
      <c r="M31" s="165" t="e">
        <f t="shared" si="1"/>
        <v>#DIV/0!</v>
      </c>
      <c r="N31" s="122"/>
    </row>
    <row r="32" spans="2:14" x14ac:dyDescent="0.25">
      <c r="B32" s="121"/>
      <c r="C32" s="159"/>
      <c r="D32" s="159"/>
      <c r="E32" s="159"/>
      <c r="F32" s="159"/>
      <c r="G32" s="160"/>
      <c r="H32" s="161"/>
      <c r="I32" s="162"/>
      <c r="J32" s="159"/>
      <c r="K32" s="163"/>
      <c r="L32" s="164">
        <f t="shared" si="0"/>
        <v>0</v>
      </c>
      <c r="M32" s="165" t="e">
        <f t="shared" si="1"/>
        <v>#DIV/0!</v>
      </c>
      <c r="N32" s="122"/>
    </row>
    <row r="33" spans="2:14" x14ac:dyDescent="0.25">
      <c r="B33" s="121"/>
      <c r="C33" s="160"/>
      <c r="D33" s="160"/>
      <c r="E33" s="160"/>
      <c r="F33" s="160"/>
      <c r="G33" s="160"/>
      <c r="H33" s="161"/>
      <c r="I33" s="162"/>
      <c r="J33" s="159"/>
      <c r="K33" s="163"/>
      <c r="L33" s="164">
        <f t="shared" si="0"/>
        <v>0</v>
      </c>
      <c r="M33" s="165" t="e">
        <f t="shared" si="1"/>
        <v>#DIV/0!</v>
      </c>
      <c r="N33" s="122"/>
    </row>
    <row r="34" spans="2:14" x14ac:dyDescent="0.25">
      <c r="B34" s="121"/>
      <c r="C34" s="159"/>
      <c r="D34" s="159"/>
      <c r="E34" s="159"/>
      <c r="F34" s="159"/>
      <c r="G34" s="160"/>
      <c r="H34" s="161"/>
      <c r="I34" s="162"/>
      <c r="J34" s="159"/>
      <c r="K34" s="166"/>
      <c r="L34" s="164">
        <f t="shared" si="0"/>
        <v>0</v>
      </c>
      <c r="M34" s="167" t="e">
        <f t="shared" si="1"/>
        <v>#DIV/0!</v>
      </c>
      <c r="N34" s="122"/>
    </row>
    <row r="35" spans="2:14" x14ac:dyDescent="0.25">
      <c r="B35" s="121"/>
      <c r="C35" s="159"/>
      <c r="D35" s="159"/>
      <c r="E35" s="159"/>
      <c r="F35" s="159"/>
      <c r="G35" s="160"/>
      <c r="H35" s="161"/>
      <c r="I35" s="162"/>
      <c r="J35" s="159"/>
      <c r="K35" s="163"/>
      <c r="L35" s="164">
        <f t="shared" si="0"/>
        <v>0</v>
      </c>
      <c r="M35" s="165" t="e">
        <f t="shared" si="1"/>
        <v>#DIV/0!</v>
      </c>
      <c r="N35" s="122"/>
    </row>
    <row r="36" spans="2:14" x14ac:dyDescent="0.25">
      <c r="B36" s="121"/>
      <c r="C36" s="159"/>
      <c r="D36" s="159"/>
      <c r="E36" s="159"/>
      <c r="F36" s="159"/>
      <c r="G36" s="160"/>
      <c r="H36" s="161"/>
      <c r="I36" s="162"/>
      <c r="J36" s="159"/>
      <c r="K36" s="163"/>
      <c r="L36" s="164">
        <f t="shared" si="0"/>
        <v>0</v>
      </c>
      <c r="M36" s="165" t="e">
        <f t="shared" si="1"/>
        <v>#DIV/0!</v>
      </c>
      <c r="N36" s="122"/>
    </row>
    <row r="37" spans="2:14" x14ac:dyDescent="0.25">
      <c r="B37" s="121"/>
      <c r="C37" s="159"/>
      <c r="D37" s="159"/>
      <c r="E37" s="159"/>
      <c r="F37" s="159"/>
      <c r="G37" s="160"/>
      <c r="H37" s="161"/>
      <c r="I37" s="162"/>
      <c r="J37" s="159"/>
      <c r="K37" s="163"/>
      <c r="L37" s="164">
        <f t="shared" si="0"/>
        <v>0</v>
      </c>
      <c r="M37" s="165" t="e">
        <f t="shared" si="1"/>
        <v>#DIV/0!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82"/>
      <c r="D66" s="282">
        <f>+COUNT($D$22:$D$65)</f>
        <v>1</v>
      </c>
      <c r="E66" s="282"/>
      <c r="F66" s="373"/>
      <c r="G66" s="373"/>
      <c r="H66" s="149"/>
      <c r="I66" s="148">
        <f>SUM($I$22:$I$65)</f>
        <v>322</v>
      </c>
      <c r="J66" s="150">
        <f>SUM($J$22:$J$65)</f>
        <v>94.5</v>
      </c>
      <c r="K66" s="151">
        <f>SUM($K$22:$K$65)</f>
        <v>95.2</v>
      </c>
      <c r="L66" s="148">
        <f>SUM($L$22:$L$65)</f>
        <v>189.7</v>
      </c>
      <c r="M66" s="178">
        <f t="shared" si="1"/>
        <v>0.58913043478260863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/>
      <c r="I71" s="119"/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/>
      <c r="I72" s="119"/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/>
      <c r="I73" s="119"/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/>
      <c r="I74" s="119"/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/>
      <c r="I75" s="119"/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/>
      <c r="I76" s="119"/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/>
      <c r="I77" s="119"/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/>
      <c r="I78" s="119"/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/>
      <c r="I79" s="119"/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/>
      <c r="I80" s="119"/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/>
      <c r="I81" s="119"/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/>
      <c r="I82" s="119"/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/>
      <c r="I83" s="119"/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0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1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44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A70" zoomScale="90" zoomScaleNormal="90" workbookViewId="0">
      <selection activeCell="H74" sqref="H74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0.56386818360141233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179.66249999999999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986</v>
      </c>
      <c r="F8" s="344"/>
      <c r="G8" s="344"/>
      <c r="H8" s="345"/>
      <c r="I8" s="146" t="s">
        <v>487</v>
      </c>
      <c r="J8" s="346" t="s">
        <v>748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28012</v>
      </c>
      <c r="F9" s="344"/>
      <c r="G9" s="344"/>
      <c r="H9" s="345"/>
      <c r="I9" s="146" t="s">
        <v>88</v>
      </c>
      <c r="J9" s="209" t="s">
        <v>1297</v>
      </c>
      <c r="K9" s="289" t="s">
        <v>490</v>
      </c>
      <c r="L9" s="369">
        <v>418828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87" t="s">
        <v>569</v>
      </c>
      <c r="E12" s="384">
        <v>46062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63</v>
      </c>
      <c r="F13" s="349"/>
      <c r="H13" s="117"/>
      <c r="I13" s="123"/>
      <c r="J13" s="215" t="s">
        <v>483</v>
      </c>
      <c r="K13" s="288">
        <f>+COUNTIF($G$22:$G$66,"VQ")*2</f>
        <v>0</v>
      </c>
      <c r="L13" s="288">
        <f>+SUMIF($G$23:$G$65,"VQ",$L$23:$L$65)</f>
        <v>0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8</v>
      </c>
      <c r="F14" s="350"/>
      <c r="H14" s="117"/>
      <c r="I14" s="123"/>
      <c r="J14" s="215" t="s">
        <v>42</v>
      </c>
      <c r="K14" s="288">
        <f>+COUNTIF($G$22:$G$66,"NT")*2</f>
        <v>10</v>
      </c>
      <c r="L14" s="288">
        <f>+SUMIF($G$23:$G$65,"NT",$L$23:$L$65)</f>
        <v>900.09999999999991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2549</v>
      </c>
      <c r="F15" s="350"/>
      <c r="H15" s="117"/>
      <c r="I15" s="123"/>
      <c r="J15" s="215" t="s">
        <v>484</v>
      </c>
      <c r="K15" s="288">
        <f>+COUNTIF($G$22:$G$66,"NO")*2</f>
        <v>0</v>
      </c>
      <c r="L15" s="288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1437.3</v>
      </c>
      <c r="F16" s="350"/>
      <c r="H16" s="117"/>
      <c r="I16" s="123"/>
      <c r="J16" s="215" t="s">
        <v>485</v>
      </c>
      <c r="K16" s="288">
        <f>+COUNTIF($G$22:$G$66,"TO")*2</f>
        <v>0</v>
      </c>
      <c r="L16" s="288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0.56386818360141233</v>
      </c>
      <c r="F17" s="350"/>
      <c r="G17" s="124"/>
      <c r="H17" s="125"/>
      <c r="I17" s="123"/>
      <c r="J17" s="215" t="s">
        <v>486</v>
      </c>
      <c r="K17" s="288">
        <f>+COUNTIF($G$22:$G$66,"VA")*2</f>
        <v>0</v>
      </c>
      <c r="L17" s="288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179.66249999999999</v>
      </c>
      <c r="F18" s="353"/>
      <c r="G18" s="124"/>
      <c r="H18" s="125"/>
      <c r="I18" s="123"/>
      <c r="J18" s="215" t="s">
        <v>44</v>
      </c>
      <c r="K18" s="288">
        <f>+COUNTIF($G$22:$G$66,"MEJ")*2</f>
        <v>6</v>
      </c>
      <c r="L18" s="288">
        <f>+SUMIF($G$23:$G$65,"MEJ",$L$23:$L$65)</f>
        <v>537.20000000000005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</v>
      </c>
      <c r="D23" s="152">
        <v>2</v>
      </c>
      <c r="E23" s="152" t="s">
        <v>75</v>
      </c>
      <c r="F23" s="152" t="s">
        <v>526</v>
      </c>
      <c r="G23" s="153" t="s">
        <v>42</v>
      </c>
      <c r="H23" s="154" t="s">
        <v>1291</v>
      </c>
      <c r="I23" s="155">
        <v>443</v>
      </c>
      <c r="J23" s="152">
        <v>125.3</v>
      </c>
      <c r="K23" s="156">
        <v>123.6</v>
      </c>
      <c r="L23" s="157">
        <f t="shared" ref="L23:L65" si="0">+J23+K23</f>
        <v>248.89999999999998</v>
      </c>
      <c r="M23" s="158">
        <f t="shared" ref="M23:M66" si="1">+L23/I23</f>
        <v>0.56185101580135433</v>
      </c>
      <c r="N23" s="122"/>
    </row>
    <row r="24" spans="2:14" x14ac:dyDescent="0.25">
      <c r="B24" s="121"/>
      <c r="C24" s="159">
        <v>2</v>
      </c>
      <c r="D24" s="159">
        <v>1</v>
      </c>
      <c r="E24" s="159" t="s">
        <v>75</v>
      </c>
      <c r="F24" s="159" t="s">
        <v>526</v>
      </c>
      <c r="G24" s="160" t="s">
        <v>44</v>
      </c>
      <c r="H24" s="161" t="s">
        <v>1292</v>
      </c>
      <c r="I24" s="162">
        <v>303</v>
      </c>
      <c r="J24" s="159">
        <v>85.5</v>
      </c>
      <c r="K24" s="163">
        <v>84.1</v>
      </c>
      <c r="L24" s="164">
        <f t="shared" si="0"/>
        <v>169.6</v>
      </c>
      <c r="M24" s="165">
        <f t="shared" si="1"/>
        <v>0.55973597359735972</v>
      </c>
      <c r="N24" s="122"/>
    </row>
    <row r="25" spans="2:14" x14ac:dyDescent="0.25">
      <c r="B25" s="121"/>
      <c r="C25" s="159">
        <v>3</v>
      </c>
      <c r="D25" s="159">
        <v>4</v>
      </c>
      <c r="E25" s="159" t="s">
        <v>67</v>
      </c>
      <c r="F25" s="159" t="s">
        <v>526</v>
      </c>
      <c r="G25" s="160" t="s">
        <v>44</v>
      </c>
      <c r="H25" s="161" t="s">
        <v>41</v>
      </c>
      <c r="I25" s="162">
        <v>320</v>
      </c>
      <c r="J25" s="159">
        <v>90.5</v>
      </c>
      <c r="K25" s="163">
        <v>91.5</v>
      </c>
      <c r="L25" s="164">
        <f t="shared" si="0"/>
        <v>182</v>
      </c>
      <c r="M25" s="165">
        <f t="shared" si="1"/>
        <v>0.56874999999999998</v>
      </c>
      <c r="N25" s="122"/>
    </row>
    <row r="26" spans="2:14" x14ac:dyDescent="0.25">
      <c r="B26" s="121"/>
      <c r="C26" s="159">
        <v>4</v>
      </c>
      <c r="D26" s="159">
        <v>6</v>
      </c>
      <c r="E26" s="159" t="s">
        <v>67</v>
      </c>
      <c r="F26" s="159" t="s">
        <v>526</v>
      </c>
      <c r="G26" s="160" t="s">
        <v>44</v>
      </c>
      <c r="H26" s="161" t="s">
        <v>1293</v>
      </c>
      <c r="I26" s="162">
        <v>323</v>
      </c>
      <c r="J26" s="159">
        <v>93.2</v>
      </c>
      <c r="K26" s="163">
        <v>92.4</v>
      </c>
      <c r="L26" s="164">
        <f t="shared" si="0"/>
        <v>185.60000000000002</v>
      </c>
      <c r="M26" s="165">
        <f t="shared" si="1"/>
        <v>0.57461300309597529</v>
      </c>
      <c r="N26" s="122"/>
    </row>
    <row r="27" spans="2:14" x14ac:dyDescent="0.25">
      <c r="B27" s="121"/>
      <c r="C27" s="159">
        <v>5</v>
      </c>
      <c r="D27" s="159">
        <v>8</v>
      </c>
      <c r="E27" s="159" t="s">
        <v>75</v>
      </c>
      <c r="F27" s="159" t="s">
        <v>526</v>
      </c>
      <c r="G27" s="160" t="s">
        <v>42</v>
      </c>
      <c r="H27" s="161" t="s">
        <v>1294</v>
      </c>
      <c r="I27" s="162">
        <v>313</v>
      </c>
      <c r="J27" s="159">
        <v>89.3</v>
      </c>
      <c r="K27" s="163">
        <v>89.7</v>
      </c>
      <c r="L27" s="164">
        <f t="shared" si="0"/>
        <v>179</v>
      </c>
      <c r="M27" s="165">
        <f t="shared" si="1"/>
        <v>0.5718849840255591</v>
      </c>
      <c r="N27" s="122"/>
    </row>
    <row r="28" spans="2:14" x14ac:dyDescent="0.25">
      <c r="B28" s="121"/>
      <c r="C28" s="159">
        <v>6</v>
      </c>
      <c r="D28" s="159">
        <v>3</v>
      </c>
      <c r="E28" s="159" t="s">
        <v>67</v>
      </c>
      <c r="F28" s="159" t="s">
        <v>526</v>
      </c>
      <c r="G28" s="160" t="s">
        <v>42</v>
      </c>
      <c r="H28" s="161" t="s">
        <v>1295</v>
      </c>
      <c r="I28" s="162">
        <v>280</v>
      </c>
      <c r="J28" s="159">
        <v>78.7</v>
      </c>
      <c r="K28" s="163">
        <v>79.2</v>
      </c>
      <c r="L28" s="164">
        <f t="shared" si="0"/>
        <v>157.9</v>
      </c>
      <c r="M28" s="165">
        <f t="shared" si="1"/>
        <v>0.56392857142857145</v>
      </c>
      <c r="N28" s="122"/>
    </row>
    <row r="29" spans="2:14" x14ac:dyDescent="0.25">
      <c r="B29" s="121"/>
      <c r="C29" s="160">
        <v>7</v>
      </c>
      <c r="D29" s="160">
        <v>5</v>
      </c>
      <c r="E29" s="160" t="s">
        <v>75</v>
      </c>
      <c r="F29" s="160" t="s">
        <v>526</v>
      </c>
      <c r="G29" s="160" t="s">
        <v>42</v>
      </c>
      <c r="H29" s="161" t="s">
        <v>883</v>
      </c>
      <c r="I29" s="162">
        <v>267</v>
      </c>
      <c r="J29" s="159">
        <v>74.400000000000006</v>
      </c>
      <c r="K29" s="163">
        <v>74.2</v>
      </c>
      <c r="L29" s="164">
        <f t="shared" si="0"/>
        <v>148.60000000000002</v>
      </c>
      <c r="M29" s="165">
        <f t="shared" si="1"/>
        <v>0.55655430711610498</v>
      </c>
      <c r="N29" s="122"/>
    </row>
    <row r="30" spans="2:14" x14ac:dyDescent="0.25">
      <c r="B30" s="121"/>
      <c r="C30" s="160">
        <v>8</v>
      </c>
      <c r="D30" s="160">
        <v>7</v>
      </c>
      <c r="E30" s="160" t="s">
        <v>68</v>
      </c>
      <c r="F30" s="160" t="s">
        <v>526</v>
      </c>
      <c r="G30" s="160" t="s">
        <v>42</v>
      </c>
      <c r="H30" s="161" t="s">
        <v>1296</v>
      </c>
      <c r="I30" s="162">
        <v>300</v>
      </c>
      <c r="J30" s="159">
        <v>82.5</v>
      </c>
      <c r="K30" s="163">
        <v>83.2</v>
      </c>
      <c r="L30" s="164">
        <f t="shared" si="0"/>
        <v>165.7</v>
      </c>
      <c r="M30" s="165">
        <f t="shared" si="1"/>
        <v>0.55233333333333334</v>
      </c>
      <c r="N30" s="122"/>
    </row>
    <row r="31" spans="2:14" x14ac:dyDescent="0.25">
      <c r="B31" s="121"/>
      <c r="C31" s="159"/>
      <c r="D31" s="159"/>
      <c r="E31" s="159"/>
      <c r="F31" s="159"/>
      <c r="G31" s="160"/>
      <c r="H31" s="161"/>
      <c r="I31" s="162"/>
      <c r="J31" s="159"/>
      <c r="K31" s="163"/>
      <c r="L31" s="164">
        <f t="shared" si="0"/>
        <v>0</v>
      </c>
      <c r="M31" s="165" t="e">
        <f t="shared" si="1"/>
        <v>#DIV/0!</v>
      </c>
      <c r="N31" s="122"/>
    </row>
    <row r="32" spans="2:14" x14ac:dyDescent="0.25">
      <c r="B32" s="121"/>
      <c r="C32" s="159"/>
      <c r="D32" s="159"/>
      <c r="E32" s="159"/>
      <c r="F32" s="159"/>
      <c r="G32" s="160"/>
      <c r="H32" s="161"/>
      <c r="I32" s="162"/>
      <c r="J32" s="159"/>
      <c r="K32" s="163"/>
      <c r="L32" s="164">
        <f t="shared" si="0"/>
        <v>0</v>
      </c>
      <c r="M32" s="165" t="e">
        <f t="shared" si="1"/>
        <v>#DIV/0!</v>
      </c>
      <c r="N32" s="122"/>
    </row>
    <row r="33" spans="2:14" x14ac:dyDescent="0.25">
      <c r="B33" s="121"/>
      <c r="C33" s="160"/>
      <c r="D33" s="160"/>
      <c r="E33" s="160"/>
      <c r="F33" s="160"/>
      <c r="G33" s="160"/>
      <c r="H33" s="161"/>
      <c r="I33" s="162"/>
      <c r="J33" s="159"/>
      <c r="K33" s="163"/>
      <c r="L33" s="164">
        <f t="shared" si="0"/>
        <v>0</v>
      </c>
      <c r="M33" s="165" t="e">
        <f t="shared" si="1"/>
        <v>#DIV/0!</v>
      </c>
      <c r="N33" s="122"/>
    </row>
    <row r="34" spans="2:14" x14ac:dyDescent="0.25">
      <c r="B34" s="121"/>
      <c r="C34" s="159"/>
      <c r="D34" s="159"/>
      <c r="E34" s="159"/>
      <c r="F34" s="159"/>
      <c r="G34" s="160"/>
      <c r="H34" s="161"/>
      <c r="I34" s="162"/>
      <c r="J34" s="159"/>
      <c r="K34" s="166"/>
      <c r="L34" s="164">
        <f t="shared" si="0"/>
        <v>0</v>
      </c>
      <c r="M34" s="167" t="e">
        <f t="shared" si="1"/>
        <v>#DIV/0!</v>
      </c>
      <c r="N34" s="122"/>
    </row>
    <row r="35" spans="2:14" x14ac:dyDescent="0.25">
      <c r="B35" s="121"/>
      <c r="C35" s="159"/>
      <c r="D35" s="159"/>
      <c r="E35" s="159"/>
      <c r="F35" s="159"/>
      <c r="G35" s="160"/>
      <c r="H35" s="161"/>
      <c r="I35" s="162"/>
      <c r="J35" s="159"/>
      <c r="K35" s="163"/>
      <c r="L35" s="164">
        <f t="shared" si="0"/>
        <v>0</v>
      </c>
      <c r="M35" s="165" t="e">
        <f t="shared" si="1"/>
        <v>#DIV/0!</v>
      </c>
      <c r="N35" s="122"/>
    </row>
    <row r="36" spans="2:14" x14ac:dyDescent="0.25">
      <c r="B36" s="121"/>
      <c r="C36" s="159"/>
      <c r="D36" s="159"/>
      <c r="E36" s="159"/>
      <c r="F36" s="159"/>
      <c r="G36" s="160"/>
      <c r="H36" s="161"/>
      <c r="I36" s="162"/>
      <c r="J36" s="159"/>
      <c r="K36" s="163"/>
      <c r="L36" s="164">
        <f t="shared" si="0"/>
        <v>0</v>
      </c>
      <c r="M36" s="165" t="e">
        <f t="shared" si="1"/>
        <v>#DIV/0!</v>
      </c>
      <c r="N36" s="122"/>
    </row>
    <row r="37" spans="2:14" x14ac:dyDescent="0.25">
      <c r="B37" s="121"/>
      <c r="C37" s="159"/>
      <c r="D37" s="159"/>
      <c r="E37" s="159"/>
      <c r="F37" s="159"/>
      <c r="G37" s="160"/>
      <c r="H37" s="161"/>
      <c r="I37" s="162"/>
      <c r="J37" s="159"/>
      <c r="K37" s="163"/>
      <c r="L37" s="164">
        <f t="shared" si="0"/>
        <v>0</v>
      </c>
      <c r="M37" s="165" t="e">
        <f t="shared" si="1"/>
        <v>#DIV/0!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86"/>
      <c r="D66" s="286">
        <f>+COUNT($D$22:$D$65)</f>
        <v>8</v>
      </c>
      <c r="E66" s="286"/>
      <c r="F66" s="373"/>
      <c r="G66" s="373"/>
      <c r="H66" s="149"/>
      <c r="I66" s="148">
        <f>SUM($I$22:$I$65)</f>
        <v>2549</v>
      </c>
      <c r="J66" s="150">
        <f>SUM($J$22:$J$65)</f>
        <v>719.4</v>
      </c>
      <c r="K66" s="151">
        <f>SUM($K$22:$K$65)</f>
        <v>717.90000000000009</v>
      </c>
      <c r="L66" s="148">
        <f>SUM($L$22:$L$65)</f>
        <v>1437.3</v>
      </c>
      <c r="M66" s="178">
        <f t="shared" si="1"/>
        <v>0.56386818360141233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34.56</v>
      </c>
      <c r="I71" s="119">
        <v>32.96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15</v>
      </c>
      <c r="I72" s="119">
        <v>20.8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14</v>
      </c>
      <c r="I73" s="119">
        <v>59.459999999999994</v>
      </c>
      <c r="J73" s="181">
        <v>1</v>
      </c>
      <c r="K73" s="185">
        <v>4.2</v>
      </c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15</v>
      </c>
      <c r="I74" s="119">
        <v>14.48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11.8</v>
      </c>
      <c r="I75" s="119">
        <v>11.46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29</v>
      </c>
      <c r="I76" s="119">
        <v>11.14</v>
      </c>
      <c r="J76" s="181">
        <v>1</v>
      </c>
      <c r="K76" s="185">
        <v>0.88</v>
      </c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60</v>
      </c>
      <c r="I77" s="119">
        <v>8.3800000000000008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15</v>
      </c>
      <c r="I78" s="119">
        <v>11.38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15</v>
      </c>
      <c r="I79" s="119">
        <v>10.16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17.739999999999998</v>
      </c>
      <c r="I80" s="119">
        <v>16.86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15</v>
      </c>
      <c r="I81" s="119">
        <v>13.14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15</v>
      </c>
      <c r="I82" s="119">
        <v>4.74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9.42</v>
      </c>
      <c r="I83" s="119">
        <v>8.7200000000000006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223.67999999999998</v>
      </c>
      <c r="J84" s="187">
        <f>SUM(J71:J83)</f>
        <v>2</v>
      </c>
      <c r="K84" s="186">
        <f>SUM(K71:K83)</f>
        <v>5.08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8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43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B1" zoomScale="90" zoomScaleNormal="90" workbookViewId="0">
      <selection activeCell="F26" sqref="F26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0.57715231788079469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232.4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986</v>
      </c>
      <c r="F8" s="344"/>
      <c r="G8" s="344"/>
      <c r="H8" s="345"/>
      <c r="I8" s="146" t="s">
        <v>487</v>
      </c>
      <c r="J8" s="346" t="s">
        <v>1298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28012</v>
      </c>
      <c r="F9" s="344"/>
      <c r="G9" s="344"/>
      <c r="H9" s="345"/>
      <c r="I9" s="146" t="s">
        <v>88</v>
      </c>
      <c r="J9" s="209" t="s">
        <v>1299</v>
      </c>
      <c r="K9" s="289" t="s">
        <v>490</v>
      </c>
      <c r="L9" s="369">
        <v>418829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87" t="s">
        <v>569</v>
      </c>
      <c r="E12" s="384">
        <v>46062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64</v>
      </c>
      <c r="F13" s="349"/>
      <c r="H13" s="117"/>
      <c r="I13" s="123"/>
      <c r="J13" s="215" t="s">
        <v>483</v>
      </c>
      <c r="K13" s="288">
        <f>+COUNTIF($G$22:$G$66,"VQ")*2</f>
        <v>2</v>
      </c>
      <c r="L13" s="288">
        <f>+SUMIF($G$23:$G$65,"VQ",$L$23:$L$65)</f>
        <v>173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3</v>
      </c>
      <c r="F14" s="350"/>
      <c r="H14" s="117"/>
      <c r="I14" s="123"/>
      <c r="J14" s="215" t="s">
        <v>42</v>
      </c>
      <c r="K14" s="288">
        <f>+COUNTIF($G$22:$G$66,"NT")*2</f>
        <v>0</v>
      </c>
      <c r="L14" s="288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1208</v>
      </c>
      <c r="F15" s="350"/>
      <c r="H15" s="117"/>
      <c r="I15" s="123"/>
      <c r="J15" s="215" t="s">
        <v>484</v>
      </c>
      <c r="K15" s="288">
        <f>+COUNTIF($G$22:$G$66,"NO")*2</f>
        <v>0</v>
      </c>
      <c r="L15" s="288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697.2</v>
      </c>
      <c r="F16" s="350"/>
      <c r="H16" s="117"/>
      <c r="I16" s="123"/>
      <c r="J16" s="215" t="s">
        <v>485</v>
      </c>
      <c r="K16" s="288">
        <f>+COUNTIF($G$22:$G$66,"TO")*2</f>
        <v>0</v>
      </c>
      <c r="L16" s="288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0.57715231788079469</v>
      </c>
      <c r="F17" s="350"/>
      <c r="G17" s="124"/>
      <c r="H17" s="125"/>
      <c r="I17" s="123"/>
      <c r="J17" s="215" t="s">
        <v>486</v>
      </c>
      <c r="K17" s="288">
        <f>+COUNTIF($G$22:$G$66,"VA")*2</f>
        <v>4</v>
      </c>
      <c r="L17" s="288">
        <f>+SUMIF($G$23:$G$65,"VA",$L$23:$L$65)</f>
        <v>524.20000000000005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232.4</v>
      </c>
      <c r="F18" s="353"/>
      <c r="G18" s="124"/>
      <c r="H18" s="125"/>
      <c r="I18" s="123"/>
      <c r="J18" s="215" t="s">
        <v>44</v>
      </c>
      <c r="K18" s="288">
        <f>+COUNTIF($G$22:$G$66,"MEJ")*2</f>
        <v>0</v>
      </c>
      <c r="L18" s="288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9</v>
      </c>
      <c r="D23" s="152">
        <v>1</v>
      </c>
      <c r="E23" s="152" t="s">
        <v>75</v>
      </c>
      <c r="F23" s="152" t="s">
        <v>527</v>
      </c>
      <c r="G23" s="153" t="s">
        <v>486</v>
      </c>
      <c r="H23" s="154" t="s">
        <v>1300</v>
      </c>
      <c r="I23" s="155">
        <v>458</v>
      </c>
      <c r="J23" s="152">
        <v>135.9</v>
      </c>
      <c r="K23" s="156">
        <v>135</v>
      </c>
      <c r="L23" s="157">
        <f t="shared" ref="L23:L65" si="0">+J23+K23</f>
        <v>270.89999999999998</v>
      </c>
      <c r="M23" s="158">
        <f t="shared" ref="M23:M66" si="1">+L23/I23</f>
        <v>0.59148471615720521</v>
      </c>
      <c r="N23" s="122"/>
    </row>
    <row r="24" spans="2:14" x14ac:dyDescent="0.25">
      <c r="B24" s="121"/>
      <c r="C24" s="159">
        <v>10</v>
      </c>
      <c r="D24" s="159">
        <v>2</v>
      </c>
      <c r="E24" s="159" t="s">
        <v>67</v>
      </c>
      <c r="F24" s="159" t="s">
        <v>527</v>
      </c>
      <c r="G24" s="160" t="s">
        <v>486</v>
      </c>
      <c r="H24" s="161" t="s">
        <v>1301</v>
      </c>
      <c r="I24" s="162">
        <v>451</v>
      </c>
      <c r="J24" s="159">
        <v>125.7</v>
      </c>
      <c r="K24" s="163">
        <v>127.6</v>
      </c>
      <c r="L24" s="164">
        <f t="shared" si="0"/>
        <v>253.3</v>
      </c>
      <c r="M24" s="165">
        <f t="shared" si="1"/>
        <v>0.56164079822616408</v>
      </c>
      <c r="N24" s="122"/>
    </row>
    <row r="25" spans="2:14" x14ac:dyDescent="0.25">
      <c r="B25" s="121"/>
      <c r="C25" s="159">
        <v>11</v>
      </c>
      <c r="D25" s="159">
        <v>3</v>
      </c>
      <c r="E25" s="159" t="s">
        <v>67</v>
      </c>
      <c r="F25" s="159" t="s">
        <v>526</v>
      </c>
      <c r="G25" s="160" t="s">
        <v>483</v>
      </c>
      <c r="H25" s="161" t="s">
        <v>1088</v>
      </c>
      <c r="I25" s="162">
        <v>299</v>
      </c>
      <c r="J25" s="159">
        <v>86.1</v>
      </c>
      <c r="K25" s="163">
        <v>86.9</v>
      </c>
      <c r="L25" s="164">
        <f t="shared" si="0"/>
        <v>173</v>
      </c>
      <c r="M25" s="165">
        <f t="shared" si="1"/>
        <v>0.57859531772575246</v>
      </c>
      <c r="N25" s="122"/>
    </row>
    <row r="26" spans="2:14" x14ac:dyDescent="0.25">
      <c r="B26" s="121"/>
      <c r="C26" s="159"/>
      <c r="D26" s="159"/>
      <c r="E26" s="159"/>
      <c r="F26" s="159"/>
      <c r="G26" s="160"/>
      <c r="H26" s="161"/>
      <c r="I26" s="162"/>
      <c r="J26" s="159"/>
      <c r="K26" s="163"/>
      <c r="L26" s="164">
        <f t="shared" si="0"/>
        <v>0</v>
      </c>
      <c r="M26" s="165" t="e">
        <f t="shared" si="1"/>
        <v>#DIV/0!</v>
      </c>
      <c r="N26" s="122"/>
    </row>
    <row r="27" spans="2:14" x14ac:dyDescent="0.25">
      <c r="B27" s="121"/>
      <c r="C27" s="159"/>
      <c r="D27" s="159"/>
      <c r="E27" s="159"/>
      <c r="F27" s="159"/>
      <c r="G27" s="160"/>
      <c r="H27" s="161"/>
      <c r="I27" s="162"/>
      <c r="J27" s="159"/>
      <c r="K27" s="163"/>
      <c r="L27" s="164">
        <f t="shared" si="0"/>
        <v>0</v>
      </c>
      <c r="M27" s="165" t="e">
        <f t="shared" si="1"/>
        <v>#DIV/0!</v>
      </c>
      <c r="N27" s="122"/>
    </row>
    <row r="28" spans="2:14" x14ac:dyDescent="0.25">
      <c r="B28" s="121"/>
      <c r="C28" s="159"/>
      <c r="D28" s="159"/>
      <c r="E28" s="159"/>
      <c r="F28" s="159"/>
      <c r="G28" s="160"/>
      <c r="H28" s="161"/>
      <c r="I28" s="162"/>
      <c r="J28" s="159"/>
      <c r="K28" s="163"/>
      <c r="L28" s="164">
        <f t="shared" si="0"/>
        <v>0</v>
      </c>
      <c r="M28" s="165" t="e">
        <f t="shared" si="1"/>
        <v>#DIV/0!</v>
      </c>
      <c r="N28" s="122"/>
    </row>
    <row r="29" spans="2:14" x14ac:dyDescent="0.25">
      <c r="B29" s="121"/>
      <c r="C29" s="160"/>
      <c r="D29" s="160"/>
      <c r="E29" s="160"/>
      <c r="F29" s="160"/>
      <c r="G29" s="160"/>
      <c r="H29" s="161"/>
      <c r="I29" s="162"/>
      <c r="J29" s="159"/>
      <c r="K29" s="163"/>
      <c r="L29" s="164">
        <f t="shared" si="0"/>
        <v>0</v>
      </c>
      <c r="M29" s="165" t="e">
        <f t="shared" si="1"/>
        <v>#DIV/0!</v>
      </c>
      <c r="N29" s="122"/>
    </row>
    <row r="30" spans="2:14" x14ac:dyDescent="0.25">
      <c r="B30" s="121"/>
      <c r="C30" s="160"/>
      <c r="D30" s="160"/>
      <c r="E30" s="160"/>
      <c r="F30" s="160"/>
      <c r="G30" s="160"/>
      <c r="H30" s="161"/>
      <c r="I30" s="162"/>
      <c r="J30" s="159"/>
      <c r="K30" s="163"/>
      <c r="L30" s="164">
        <f t="shared" si="0"/>
        <v>0</v>
      </c>
      <c r="M30" s="165" t="e">
        <f t="shared" si="1"/>
        <v>#DIV/0!</v>
      </c>
      <c r="N30" s="122"/>
    </row>
    <row r="31" spans="2:14" x14ac:dyDescent="0.25">
      <c r="B31" s="121"/>
      <c r="C31" s="159"/>
      <c r="D31" s="159"/>
      <c r="E31" s="159"/>
      <c r="F31" s="159"/>
      <c r="G31" s="160"/>
      <c r="H31" s="161"/>
      <c r="I31" s="162"/>
      <c r="J31" s="159"/>
      <c r="K31" s="163"/>
      <c r="L31" s="164">
        <f t="shared" si="0"/>
        <v>0</v>
      </c>
      <c r="M31" s="165" t="e">
        <f t="shared" si="1"/>
        <v>#DIV/0!</v>
      </c>
      <c r="N31" s="122"/>
    </row>
    <row r="32" spans="2:14" x14ac:dyDescent="0.25">
      <c r="B32" s="121"/>
      <c r="C32" s="159"/>
      <c r="D32" s="159"/>
      <c r="E32" s="159"/>
      <c r="F32" s="159"/>
      <c r="G32" s="160"/>
      <c r="H32" s="161"/>
      <c r="I32" s="162"/>
      <c r="J32" s="159"/>
      <c r="K32" s="163"/>
      <c r="L32" s="164">
        <f t="shared" si="0"/>
        <v>0</v>
      </c>
      <c r="M32" s="165" t="e">
        <f t="shared" si="1"/>
        <v>#DIV/0!</v>
      </c>
      <c r="N32" s="122"/>
    </row>
    <row r="33" spans="2:14" x14ac:dyDescent="0.25">
      <c r="B33" s="121"/>
      <c r="C33" s="160"/>
      <c r="D33" s="160"/>
      <c r="E33" s="160"/>
      <c r="F33" s="160"/>
      <c r="G33" s="160"/>
      <c r="H33" s="161"/>
      <c r="I33" s="162"/>
      <c r="J33" s="159"/>
      <c r="K33" s="163"/>
      <c r="L33" s="164">
        <f t="shared" si="0"/>
        <v>0</v>
      </c>
      <c r="M33" s="165" t="e">
        <f t="shared" si="1"/>
        <v>#DIV/0!</v>
      </c>
      <c r="N33" s="122"/>
    </row>
    <row r="34" spans="2:14" x14ac:dyDescent="0.25">
      <c r="B34" s="121"/>
      <c r="C34" s="159"/>
      <c r="D34" s="159"/>
      <c r="E34" s="159"/>
      <c r="F34" s="159"/>
      <c r="G34" s="160"/>
      <c r="H34" s="161"/>
      <c r="I34" s="162"/>
      <c r="J34" s="159"/>
      <c r="K34" s="166"/>
      <c r="L34" s="164">
        <f t="shared" si="0"/>
        <v>0</v>
      </c>
      <c r="M34" s="167" t="e">
        <f t="shared" si="1"/>
        <v>#DIV/0!</v>
      </c>
      <c r="N34" s="122"/>
    </row>
    <row r="35" spans="2:14" x14ac:dyDescent="0.25">
      <c r="B35" s="121"/>
      <c r="C35" s="159"/>
      <c r="D35" s="159"/>
      <c r="E35" s="159"/>
      <c r="F35" s="159"/>
      <c r="G35" s="160"/>
      <c r="H35" s="161"/>
      <c r="I35" s="162"/>
      <c r="J35" s="159"/>
      <c r="K35" s="163"/>
      <c r="L35" s="164">
        <f t="shared" si="0"/>
        <v>0</v>
      </c>
      <c r="M35" s="165" t="e">
        <f t="shared" si="1"/>
        <v>#DIV/0!</v>
      </c>
      <c r="N35" s="122"/>
    </row>
    <row r="36" spans="2:14" x14ac:dyDescent="0.25">
      <c r="B36" s="121"/>
      <c r="C36" s="159"/>
      <c r="D36" s="159"/>
      <c r="E36" s="159"/>
      <c r="F36" s="159"/>
      <c r="G36" s="160"/>
      <c r="H36" s="161"/>
      <c r="I36" s="162"/>
      <c r="J36" s="159"/>
      <c r="K36" s="163"/>
      <c r="L36" s="164">
        <f t="shared" si="0"/>
        <v>0</v>
      </c>
      <c r="M36" s="165" t="e">
        <f t="shared" si="1"/>
        <v>#DIV/0!</v>
      </c>
      <c r="N36" s="122"/>
    </row>
    <row r="37" spans="2:14" x14ac:dyDescent="0.25">
      <c r="B37" s="121"/>
      <c r="C37" s="159"/>
      <c r="D37" s="159"/>
      <c r="E37" s="159"/>
      <c r="F37" s="159"/>
      <c r="G37" s="160"/>
      <c r="H37" s="161"/>
      <c r="I37" s="162"/>
      <c r="J37" s="159"/>
      <c r="K37" s="163"/>
      <c r="L37" s="164">
        <f t="shared" si="0"/>
        <v>0</v>
      </c>
      <c r="M37" s="165" t="e">
        <f t="shared" si="1"/>
        <v>#DIV/0!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86"/>
      <c r="D66" s="286">
        <f>+COUNT($D$22:$D$65)</f>
        <v>3</v>
      </c>
      <c r="E66" s="286"/>
      <c r="F66" s="373"/>
      <c r="G66" s="373"/>
      <c r="H66" s="149"/>
      <c r="I66" s="148">
        <f>SUM($I$22:$I$65)</f>
        <v>1208</v>
      </c>
      <c r="J66" s="150">
        <f>SUM($J$22:$J$65)</f>
        <v>347.70000000000005</v>
      </c>
      <c r="K66" s="151">
        <f>SUM($K$22:$K$65)</f>
        <v>349.5</v>
      </c>
      <c r="L66" s="148">
        <f>SUM($L$22:$L$65)</f>
        <v>697.2</v>
      </c>
      <c r="M66" s="178">
        <f t="shared" si="1"/>
        <v>0.57715231788079469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/>
      <c r="I71" s="119"/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/>
      <c r="I72" s="119"/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/>
      <c r="I73" s="119"/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/>
      <c r="I74" s="119"/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/>
      <c r="I75" s="119"/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/>
      <c r="I76" s="119"/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/>
      <c r="I77" s="119"/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/>
      <c r="I78" s="119"/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/>
      <c r="I79" s="119"/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/>
      <c r="I80" s="119"/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/>
      <c r="I81" s="119"/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/>
      <c r="I82" s="119"/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/>
      <c r="I83" s="119"/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0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3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42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F27" sqref="F27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0.54689709347996851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174.04999999999998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986</v>
      </c>
      <c r="F8" s="344"/>
      <c r="G8" s="344"/>
      <c r="H8" s="345"/>
      <c r="I8" s="146" t="s">
        <v>487</v>
      </c>
      <c r="J8" s="346" t="s">
        <v>748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28012</v>
      </c>
      <c r="F9" s="344"/>
      <c r="G9" s="344"/>
      <c r="H9" s="345"/>
      <c r="I9" s="146" t="s">
        <v>88</v>
      </c>
      <c r="J9" s="209" t="s">
        <v>1302</v>
      </c>
      <c r="K9" s="289" t="s">
        <v>490</v>
      </c>
      <c r="L9" s="369">
        <v>418827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87" t="s">
        <v>569</v>
      </c>
      <c r="E12" s="384">
        <v>46062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65</v>
      </c>
      <c r="F13" s="349"/>
      <c r="H13" s="117"/>
      <c r="I13" s="123"/>
      <c r="J13" s="215" t="s">
        <v>483</v>
      </c>
      <c r="K13" s="288">
        <f>+COUNTIF($G$22:$G$66,"VQ")*2</f>
        <v>8</v>
      </c>
      <c r="L13" s="288">
        <f>+SUMIF($G$23:$G$65,"VQ",$L$23:$L$65)</f>
        <v>696.19999999999993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4</v>
      </c>
      <c r="F14" s="350"/>
      <c r="H14" s="117"/>
      <c r="I14" s="123"/>
      <c r="J14" s="215" t="s">
        <v>42</v>
      </c>
      <c r="K14" s="288">
        <f>+COUNTIF($G$22:$G$66,"NT")*2</f>
        <v>0</v>
      </c>
      <c r="L14" s="288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1273</v>
      </c>
      <c r="F15" s="350"/>
      <c r="H15" s="117"/>
      <c r="I15" s="123"/>
      <c r="J15" s="215" t="s">
        <v>484</v>
      </c>
      <c r="K15" s="288">
        <f>+COUNTIF($G$22:$G$66,"NO")*2</f>
        <v>0</v>
      </c>
      <c r="L15" s="288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696.19999999999993</v>
      </c>
      <c r="F16" s="350"/>
      <c r="H16" s="117"/>
      <c r="I16" s="123"/>
      <c r="J16" s="215" t="s">
        <v>485</v>
      </c>
      <c r="K16" s="288">
        <f>+COUNTIF($G$22:$G$66,"TO")*2</f>
        <v>0</v>
      </c>
      <c r="L16" s="288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0.54689709347996851</v>
      </c>
      <c r="F17" s="350"/>
      <c r="G17" s="124"/>
      <c r="H17" s="125"/>
      <c r="I17" s="123"/>
      <c r="J17" s="215" t="s">
        <v>486</v>
      </c>
      <c r="K17" s="288">
        <f>+COUNTIF($G$22:$G$66,"VA")*2</f>
        <v>0</v>
      </c>
      <c r="L17" s="288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174.04999999999998</v>
      </c>
      <c r="F18" s="353"/>
      <c r="G18" s="124"/>
      <c r="H18" s="125"/>
      <c r="I18" s="123"/>
      <c r="J18" s="215" t="s">
        <v>44</v>
      </c>
      <c r="K18" s="288">
        <f>+COUNTIF($G$22:$G$66,"MEJ")*2</f>
        <v>0</v>
      </c>
      <c r="L18" s="288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12</v>
      </c>
      <c r="D23" s="152">
        <v>1</v>
      </c>
      <c r="E23" s="152" t="s">
        <v>67</v>
      </c>
      <c r="F23" s="152" t="s">
        <v>526</v>
      </c>
      <c r="G23" s="153" t="s">
        <v>483</v>
      </c>
      <c r="H23" s="154" t="s">
        <v>310</v>
      </c>
      <c r="I23" s="155">
        <v>304</v>
      </c>
      <c r="J23" s="152">
        <v>84.1</v>
      </c>
      <c r="K23" s="156">
        <v>84.9</v>
      </c>
      <c r="L23" s="157">
        <f t="shared" ref="L23:L65" si="0">+J23+K23</f>
        <v>169</v>
      </c>
      <c r="M23" s="158">
        <f t="shared" ref="M23:M66" si="1">+L23/I23</f>
        <v>0.55592105263157898</v>
      </c>
      <c r="N23" s="122"/>
    </row>
    <row r="24" spans="2:14" x14ac:dyDescent="0.25">
      <c r="B24" s="121"/>
      <c r="C24" s="159">
        <v>13</v>
      </c>
      <c r="D24" s="159">
        <v>2</v>
      </c>
      <c r="E24" s="159" t="s">
        <v>68</v>
      </c>
      <c r="F24" s="159" t="s">
        <v>526</v>
      </c>
      <c r="G24" s="160" t="s">
        <v>483</v>
      </c>
      <c r="H24" s="161" t="s">
        <v>1303</v>
      </c>
      <c r="I24" s="162">
        <v>331</v>
      </c>
      <c r="J24" s="159">
        <v>90</v>
      </c>
      <c r="K24" s="163">
        <v>90.1</v>
      </c>
      <c r="L24" s="164">
        <f t="shared" si="0"/>
        <v>180.1</v>
      </c>
      <c r="M24" s="165">
        <f t="shared" si="1"/>
        <v>0.54410876132930508</v>
      </c>
      <c r="N24" s="122"/>
    </row>
    <row r="25" spans="2:14" x14ac:dyDescent="0.25">
      <c r="B25" s="121"/>
      <c r="C25" s="159">
        <v>14</v>
      </c>
      <c r="D25" s="159">
        <v>4</v>
      </c>
      <c r="E25" s="159" t="s">
        <v>68</v>
      </c>
      <c r="F25" s="159" t="s">
        <v>526</v>
      </c>
      <c r="G25" s="160" t="s">
        <v>483</v>
      </c>
      <c r="H25" s="161" t="s">
        <v>1304</v>
      </c>
      <c r="I25" s="162">
        <v>316</v>
      </c>
      <c r="J25" s="159">
        <v>86.8</v>
      </c>
      <c r="K25" s="163">
        <v>85.4</v>
      </c>
      <c r="L25" s="164">
        <f t="shared" si="0"/>
        <v>172.2</v>
      </c>
      <c r="M25" s="165">
        <f t="shared" si="1"/>
        <v>0.54493670886075951</v>
      </c>
      <c r="N25" s="122"/>
    </row>
    <row r="26" spans="2:14" x14ac:dyDescent="0.25">
      <c r="B26" s="121"/>
      <c r="C26" s="159">
        <v>15</v>
      </c>
      <c r="D26" s="159">
        <v>3</v>
      </c>
      <c r="E26" s="159" t="s">
        <v>68</v>
      </c>
      <c r="F26" s="159" t="s">
        <v>526</v>
      </c>
      <c r="G26" s="160" t="s">
        <v>483</v>
      </c>
      <c r="H26" s="161" t="s">
        <v>1305</v>
      </c>
      <c r="I26" s="162">
        <v>322</v>
      </c>
      <c r="J26" s="159">
        <v>87</v>
      </c>
      <c r="K26" s="163">
        <v>87.9</v>
      </c>
      <c r="L26" s="164">
        <f t="shared" si="0"/>
        <v>174.9</v>
      </c>
      <c r="M26" s="165">
        <f t="shared" si="1"/>
        <v>0.54316770186335406</v>
      </c>
      <c r="N26" s="122"/>
    </row>
    <row r="27" spans="2:14" x14ac:dyDescent="0.25">
      <c r="B27" s="121"/>
      <c r="C27" s="159"/>
      <c r="D27" s="159"/>
      <c r="E27" s="159"/>
      <c r="F27" s="159"/>
      <c r="G27" s="160"/>
      <c r="H27" s="161"/>
      <c r="I27" s="162"/>
      <c r="J27" s="159"/>
      <c r="K27" s="163"/>
      <c r="L27" s="164">
        <f t="shared" si="0"/>
        <v>0</v>
      </c>
      <c r="M27" s="165" t="e">
        <f t="shared" si="1"/>
        <v>#DIV/0!</v>
      </c>
      <c r="N27" s="122"/>
    </row>
    <row r="28" spans="2:14" x14ac:dyDescent="0.25">
      <c r="B28" s="121"/>
      <c r="C28" s="159"/>
      <c r="D28" s="159"/>
      <c r="E28" s="159"/>
      <c r="F28" s="159"/>
      <c r="G28" s="160"/>
      <c r="H28" s="161"/>
      <c r="I28" s="162"/>
      <c r="J28" s="159"/>
      <c r="K28" s="163"/>
      <c r="L28" s="164">
        <f t="shared" si="0"/>
        <v>0</v>
      </c>
      <c r="M28" s="165" t="e">
        <f t="shared" si="1"/>
        <v>#DIV/0!</v>
      </c>
      <c r="N28" s="122"/>
    </row>
    <row r="29" spans="2:14" x14ac:dyDescent="0.25">
      <c r="B29" s="121"/>
      <c r="C29" s="160"/>
      <c r="D29" s="160"/>
      <c r="E29" s="160"/>
      <c r="F29" s="160"/>
      <c r="G29" s="160"/>
      <c r="H29" s="161"/>
      <c r="I29" s="162"/>
      <c r="J29" s="159"/>
      <c r="K29" s="163"/>
      <c r="L29" s="164">
        <f t="shared" si="0"/>
        <v>0</v>
      </c>
      <c r="M29" s="165" t="e">
        <f t="shared" si="1"/>
        <v>#DIV/0!</v>
      </c>
      <c r="N29" s="122"/>
    </row>
    <row r="30" spans="2:14" x14ac:dyDescent="0.25">
      <c r="B30" s="121"/>
      <c r="C30" s="160"/>
      <c r="D30" s="160"/>
      <c r="E30" s="160"/>
      <c r="F30" s="160"/>
      <c r="G30" s="160"/>
      <c r="H30" s="161"/>
      <c r="I30" s="162"/>
      <c r="J30" s="159"/>
      <c r="K30" s="163"/>
      <c r="L30" s="164">
        <f t="shared" si="0"/>
        <v>0</v>
      </c>
      <c r="M30" s="165" t="e">
        <f t="shared" si="1"/>
        <v>#DIV/0!</v>
      </c>
      <c r="N30" s="122"/>
    </row>
    <row r="31" spans="2:14" x14ac:dyDescent="0.25">
      <c r="B31" s="121"/>
      <c r="C31" s="159"/>
      <c r="D31" s="159"/>
      <c r="E31" s="159"/>
      <c r="F31" s="159"/>
      <c r="G31" s="160"/>
      <c r="H31" s="161"/>
      <c r="I31" s="162"/>
      <c r="J31" s="159"/>
      <c r="K31" s="163"/>
      <c r="L31" s="164">
        <f t="shared" si="0"/>
        <v>0</v>
      </c>
      <c r="M31" s="165" t="e">
        <f t="shared" si="1"/>
        <v>#DIV/0!</v>
      </c>
      <c r="N31" s="122"/>
    </row>
    <row r="32" spans="2:14" x14ac:dyDescent="0.25">
      <c r="B32" s="121"/>
      <c r="C32" s="159"/>
      <c r="D32" s="159"/>
      <c r="E32" s="159"/>
      <c r="F32" s="159"/>
      <c r="G32" s="160"/>
      <c r="H32" s="161"/>
      <c r="I32" s="162"/>
      <c r="J32" s="159"/>
      <c r="K32" s="163"/>
      <c r="L32" s="164">
        <f t="shared" si="0"/>
        <v>0</v>
      </c>
      <c r="M32" s="165" t="e">
        <f t="shared" si="1"/>
        <v>#DIV/0!</v>
      </c>
      <c r="N32" s="122"/>
    </row>
    <row r="33" spans="2:14" x14ac:dyDescent="0.25">
      <c r="B33" s="121"/>
      <c r="C33" s="160"/>
      <c r="D33" s="160"/>
      <c r="E33" s="160"/>
      <c r="F33" s="160"/>
      <c r="G33" s="160"/>
      <c r="H33" s="161"/>
      <c r="I33" s="162"/>
      <c r="J33" s="159"/>
      <c r="K33" s="163"/>
      <c r="L33" s="164">
        <f t="shared" si="0"/>
        <v>0</v>
      </c>
      <c r="M33" s="165" t="e">
        <f t="shared" si="1"/>
        <v>#DIV/0!</v>
      </c>
      <c r="N33" s="122"/>
    </row>
    <row r="34" spans="2:14" x14ac:dyDescent="0.25">
      <c r="B34" s="121"/>
      <c r="C34" s="159"/>
      <c r="D34" s="159"/>
      <c r="E34" s="159"/>
      <c r="F34" s="159"/>
      <c r="G34" s="160"/>
      <c r="H34" s="161"/>
      <c r="I34" s="162"/>
      <c r="J34" s="159"/>
      <c r="K34" s="166"/>
      <c r="L34" s="164">
        <f t="shared" si="0"/>
        <v>0</v>
      </c>
      <c r="M34" s="167" t="e">
        <f t="shared" si="1"/>
        <v>#DIV/0!</v>
      </c>
      <c r="N34" s="122"/>
    </row>
    <row r="35" spans="2:14" x14ac:dyDescent="0.25">
      <c r="B35" s="121"/>
      <c r="C35" s="159"/>
      <c r="D35" s="159"/>
      <c r="E35" s="159"/>
      <c r="F35" s="159"/>
      <c r="G35" s="160"/>
      <c r="H35" s="161"/>
      <c r="I35" s="162"/>
      <c r="J35" s="159"/>
      <c r="K35" s="163"/>
      <c r="L35" s="164">
        <f t="shared" si="0"/>
        <v>0</v>
      </c>
      <c r="M35" s="165" t="e">
        <f t="shared" si="1"/>
        <v>#DIV/0!</v>
      </c>
      <c r="N35" s="122"/>
    </row>
    <row r="36" spans="2:14" x14ac:dyDescent="0.25">
      <c r="B36" s="121"/>
      <c r="C36" s="159"/>
      <c r="D36" s="159"/>
      <c r="E36" s="159"/>
      <c r="F36" s="159"/>
      <c r="G36" s="160"/>
      <c r="H36" s="161"/>
      <c r="I36" s="162"/>
      <c r="J36" s="159"/>
      <c r="K36" s="163"/>
      <c r="L36" s="164">
        <f t="shared" si="0"/>
        <v>0</v>
      </c>
      <c r="M36" s="165" t="e">
        <f t="shared" si="1"/>
        <v>#DIV/0!</v>
      </c>
      <c r="N36" s="122"/>
    </row>
    <row r="37" spans="2:14" x14ac:dyDescent="0.25">
      <c r="B37" s="121"/>
      <c r="C37" s="159"/>
      <c r="D37" s="159"/>
      <c r="E37" s="159"/>
      <c r="F37" s="159"/>
      <c r="G37" s="160"/>
      <c r="H37" s="161"/>
      <c r="I37" s="162"/>
      <c r="J37" s="159"/>
      <c r="K37" s="163"/>
      <c r="L37" s="164">
        <f t="shared" si="0"/>
        <v>0</v>
      </c>
      <c r="M37" s="165" t="e">
        <f t="shared" si="1"/>
        <v>#DIV/0!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86"/>
      <c r="D66" s="286">
        <f>+COUNT($D$22:$D$65)</f>
        <v>4</v>
      </c>
      <c r="E66" s="286"/>
      <c r="F66" s="373"/>
      <c r="G66" s="373"/>
      <c r="H66" s="149"/>
      <c r="I66" s="148">
        <f>SUM($I$22:$I$65)</f>
        <v>1273</v>
      </c>
      <c r="J66" s="150">
        <f>SUM($J$22:$J$65)</f>
        <v>347.9</v>
      </c>
      <c r="K66" s="151">
        <f>SUM($K$22:$K$65)</f>
        <v>348.29999999999995</v>
      </c>
      <c r="L66" s="148">
        <f>SUM($L$22:$L$65)</f>
        <v>696.19999999999993</v>
      </c>
      <c r="M66" s="178">
        <f t="shared" si="1"/>
        <v>0.54689709347996851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/>
      <c r="I71" s="119"/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/>
      <c r="I72" s="119"/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/>
      <c r="I73" s="119"/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/>
      <c r="I74" s="119"/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/>
      <c r="I75" s="119"/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/>
      <c r="I76" s="119"/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/>
      <c r="I77" s="119"/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/>
      <c r="I78" s="119"/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/>
      <c r="I79" s="119"/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/>
      <c r="I80" s="119"/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/>
      <c r="I81" s="119"/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/>
      <c r="I82" s="119"/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/>
      <c r="I83" s="119"/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0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4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41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D67" zoomScale="90" zoomScaleNormal="90" workbookViewId="0">
      <selection activeCell="J28" sqref="J28:K43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0.56059274142910964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212.57142857142858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1308</v>
      </c>
      <c r="F8" s="344"/>
      <c r="G8" s="344"/>
      <c r="H8" s="345"/>
      <c r="I8" s="146" t="s">
        <v>487</v>
      </c>
      <c r="J8" s="346" t="s">
        <v>563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27345</v>
      </c>
      <c r="F9" s="344"/>
      <c r="G9" s="344"/>
      <c r="H9" s="345"/>
      <c r="I9" s="146" t="s">
        <v>88</v>
      </c>
      <c r="J9" s="209" t="s">
        <v>1306</v>
      </c>
      <c r="K9" s="289" t="s">
        <v>490</v>
      </c>
      <c r="L9" s="369" t="s">
        <v>1307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87" t="s">
        <v>569</v>
      </c>
      <c r="E12" s="384">
        <v>46062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66</v>
      </c>
      <c r="F13" s="349"/>
      <c r="H13" s="117"/>
      <c r="I13" s="123"/>
      <c r="J13" s="215" t="s">
        <v>483</v>
      </c>
      <c r="K13" s="288">
        <f>+COUNTIF($G$22:$G$66,"VQ")*2</f>
        <v>0</v>
      </c>
      <c r="L13" s="288">
        <f>+SUMIF($G$23:$G$65,"VQ",$L$23:$L$65)</f>
        <v>0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21</v>
      </c>
      <c r="F14" s="350"/>
      <c r="H14" s="117"/>
      <c r="I14" s="123"/>
      <c r="J14" s="215" t="s">
        <v>42</v>
      </c>
      <c r="K14" s="288">
        <f>+COUNTIF($G$22:$G$66,"NT")*2</f>
        <v>0</v>
      </c>
      <c r="L14" s="288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7963</v>
      </c>
      <c r="F15" s="350"/>
      <c r="H15" s="117"/>
      <c r="I15" s="123"/>
      <c r="J15" s="215" t="s">
        <v>484</v>
      </c>
      <c r="K15" s="288">
        <f>+COUNTIF($G$22:$G$66,"NO")*2</f>
        <v>40</v>
      </c>
      <c r="L15" s="288">
        <f>+SUMIF($G$23:$G$65,"NO",$L$23:$L$65)</f>
        <v>4212.2999999999993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4464</v>
      </c>
      <c r="F16" s="350"/>
      <c r="H16" s="117"/>
      <c r="I16" s="123"/>
      <c r="J16" s="215" t="s">
        <v>485</v>
      </c>
      <c r="K16" s="288">
        <f>+COUNTIF($G$22:$G$66,"TO")*2</f>
        <v>0</v>
      </c>
      <c r="L16" s="288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0.56059274142910964</v>
      </c>
      <c r="F17" s="350"/>
      <c r="G17" s="124"/>
      <c r="H17" s="125"/>
      <c r="I17" s="123"/>
      <c r="J17" s="215" t="s">
        <v>486</v>
      </c>
      <c r="K17" s="288">
        <f>+COUNTIF($G$22:$G$66,"VA")*2</f>
        <v>2</v>
      </c>
      <c r="L17" s="288">
        <f>+SUMIF($G$23:$G$65,"VA",$L$23:$L$65)</f>
        <v>251.7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212.57142857142858</v>
      </c>
      <c r="F18" s="353"/>
      <c r="G18" s="124"/>
      <c r="H18" s="125"/>
      <c r="I18" s="123"/>
      <c r="J18" s="215" t="s">
        <v>44</v>
      </c>
      <c r="K18" s="288">
        <f>+COUNTIF($G$22:$G$66,"MEJ")*2</f>
        <v>0</v>
      </c>
      <c r="L18" s="288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16</v>
      </c>
      <c r="D23" s="152">
        <v>4</v>
      </c>
      <c r="E23" s="152" t="s">
        <v>75</v>
      </c>
      <c r="F23" s="152" t="s">
        <v>750</v>
      </c>
      <c r="G23" s="153" t="s">
        <v>484</v>
      </c>
      <c r="H23" s="154" t="s">
        <v>1309</v>
      </c>
      <c r="I23" s="155">
        <v>392</v>
      </c>
      <c r="J23" s="152">
        <v>104.9</v>
      </c>
      <c r="K23" s="156">
        <v>104.1</v>
      </c>
      <c r="L23" s="157">
        <f t="shared" ref="L23:L65" si="0">+J23+K23</f>
        <v>209</v>
      </c>
      <c r="M23" s="158">
        <f t="shared" ref="M23:M28" si="1">+L23/I23</f>
        <v>0.53316326530612246</v>
      </c>
      <c r="N23" s="122"/>
    </row>
    <row r="24" spans="2:14" x14ac:dyDescent="0.25">
      <c r="B24" s="121"/>
      <c r="C24" s="159">
        <v>17</v>
      </c>
      <c r="D24" s="159">
        <v>15</v>
      </c>
      <c r="E24" s="159" t="s">
        <v>75</v>
      </c>
      <c r="F24" s="159" t="s">
        <v>750</v>
      </c>
      <c r="G24" s="160" t="s">
        <v>484</v>
      </c>
      <c r="H24" s="161" t="s">
        <v>1310</v>
      </c>
      <c r="I24" s="162">
        <v>366</v>
      </c>
      <c r="J24" s="159">
        <v>105.6</v>
      </c>
      <c r="K24" s="163">
        <v>105.8</v>
      </c>
      <c r="L24" s="164">
        <f t="shared" si="0"/>
        <v>211.39999999999998</v>
      </c>
      <c r="M24" s="165">
        <f t="shared" si="1"/>
        <v>0.57759562841530043</v>
      </c>
      <c r="N24" s="122"/>
    </row>
    <row r="25" spans="2:14" x14ac:dyDescent="0.25">
      <c r="B25" s="121"/>
      <c r="C25" s="159">
        <v>18</v>
      </c>
      <c r="D25" s="159">
        <v>19</v>
      </c>
      <c r="E25" s="159" t="s">
        <v>67</v>
      </c>
      <c r="F25" s="159" t="s">
        <v>750</v>
      </c>
      <c r="G25" s="160" t="s">
        <v>484</v>
      </c>
      <c r="H25" s="161" t="s">
        <v>1311</v>
      </c>
      <c r="I25" s="162">
        <v>366</v>
      </c>
      <c r="J25" s="159">
        <v>102.2</v>
      </c>
      <c r="K25" s="163">
        <v>102</v>
      </c>
      <c r="L25" s="164">
        <f t="shared" si="0"/>
        <v>204.2</v>
      </c>
      <c r="M25" s="165">
        <f t="shared" si="1"/>
        <v>0.55792349726775958</v>
      </c>
      <c r="N25" s="122"/>
    </row>
    <row r="26" spans="2:14" x14ac:dyDescent="0.25">
      <c r="B26" s="121"/>
      <c r="C26" s="159">
        <v>19</v>
      </c>
      <c r="D26" s="159">
        <v>2</v>
      </c>
      <c r="E26" s="159" t="s">
        <v>75</v>
      </c>
      <c r="F26" s="159" t="s">
        <v>750</v>
      </c>
      <c r="G26" s="160" t="s">
        <v>484</v>
      </c>
      <c r="H26" s="161" t="s">
        <v>1312</v>
      </c>
      <c r="I26" s="162">
        <v>367</v>
      </c>
      <c r="J26" s="159">
        <v>104.1</v>
      </c>
      <c r="K26" s="163">
        <v>104.5</v>
      </c>
      <c r="L26" s="164">
        <f t="shared" si="0"/>
        <v>208.6</v>
      </c>
      <c r="M26" s="165">
        <f t="shared" si="1"/>
        <v>0.56839237057220704</v>
      </c>
      <c r="N26" s="122"/>
    </row>
    <row r="27" spans="2:14" x14ac:dyDescent="0.25">
      <c r="B27" s="121"/>
      <c r="C27" s="159">
        <v>20</v>
      </c>
      <c r="D27" s="159">
        <v>17</v>
      </c>
      <c r="E27" s="159" t="s">
        <v>68</v>
      </c>
      <c r="F27" s="159" t="s">
        <v>750</v>
      </c>
      <c r="G27" s="160" t="s">
        <v>484</v>
      </c>
      <c r="H27" s="161" t="s">
        <v>1313</v>
      </c>
      <c r="I27" s="162">
        <v>384</v>
      </c>
      <c r="J27" s="159">
        <v>112.2</v>
      </c>
      <c r="K27" s="163">
        <v>111.5</v>
      </c>
      <c r="L27" s="164">
        <f t="shared" si="0"/>
        <v>223.7</v>
      </c>
      <c r="M27" s="165">
        <f t="shared" si="1"/>
        <v>0.5825520833333333</v>
      </c>
      <c r="N27" s="122"/>
    </row>
    <row r="28" spans="2:14" x14ac:dyDescent="0.25">
      <c r="B28" s="121"/>
      <c r="C28" s="159">
        <v>21</v>
      </c>
      <c r="D28" s="159">
        <v>12</v>
      </c>
      <c r="E28" s="159" t="s">
        <v>75</v>
      </c>
      <c r="F28" s="159" t="s">
        <v>750</v>
      </c>
      <c r="G28" s="160" t="s">
        <v>484</v>
      </c>
      <c r="H28" s="161" t="s">
        <v>1314</v>
      </c>
      <c r="I28" s="162">
        <v>416</v>
      </c>
      <c r="J28" s="159">
        <v>116.8</v>
      </c>
      <c r="K28" s="163">
        <v>114.5</v>
      </c>
      <c r="L28" s="164">
        <f t="shared" si="0"/>
        <v>231.3</v>
      </c>
      <c r="M28" s="165">
        <f t="shared" si="1"/>
        <v>0.55600961538461546</v>
      </c>
      <c r="N28" s="122"/>
    </row>
    <row r="29" spans="2:14" x14ac:dyDescent="0.25">
      <c r="B29" s="121"/>
      <c r="C29" s="160">
        <v>22</v>
      </c>
      <c r="D29" s="160">
        <v>1</v>
      </c>
      <c r="E29" s="160" t="s">
        <v>75</v>
      </c>
      <c r="F29" s="159" t="s">
        <v>750</v>
      </c>
      <c r="G29" s="160" t="s">
        <v>484</v>
      </c>
      <c r="H29" s="161" t="s">
        <v>1315</v>
      </c>
      <c r="I29" s="162">
        <v>437</v>
      </c>
      <c r="J29" s="159">
        <v>128.6</v>
      </c>
      <c r="K29" s="163">
        <v>125.7</v>
      </c>
      <c r="L29" s="164">
        <f t="shared" si="0"/>
        <v>254.3</v>
      </c>
      <c r="M29" s="165">
        <f t="shared" ref="M29:M66" si="2">+L29/I29</f>
        <v>0.58192219679633872</v>
      </c>
      <c r="N29" s="122"/>
    </row>
    <row r="30" spans="2:14" x14ac:dyDescent="0.25">
      <c r="B30" s="121"/>
      <c r="C30" s="160">
        <v>23</v>
      </c>
      <c r="D30" s="160">
        <v>11</v>
      </c>
      <c r="E30" s="160" t="s">
        <v>75</v>
      </c>
      <c r="F30" s="159" t="s">
        <v>750</v>
      </c>
      <c r="G30" s="160" t="s">
        <v>484</v>
      </c>
      <c r="H30" s="161" t="s">
        <v>90</v>
      </c>
      <c r="I30" s="162">
        <v>388</v>
      </c>
      <c r="J30" s="159">
        <v>105.2</v>
      </c>
      <c r="K30" s="163">
        <v>105.8</v>
      </c>
      <c r="L30" s="164">
        <f t="shared" si="0"/>
        <v>211</v>
      </c>
      <c r="M30" s="165">
        <f t="shared" si="2"/>
        <v>0.54381443298969068</v>
      </c>
      <c r="N30" s="122"/>
    </row>
    <row r="31" spans="2:14" x14ac:dyDescent="0.25">
      <c r="B31" s="121"/>
      <c r="C31" s="159">
        <v>24</v>
      </c>
      <c r="D31" s="159">
        <v>10</v>
      </c>
      <c r="E31" s="159" t="s">
        <v>75</v>
      </c>
      <c r="F31" s="159" t="s">
        <v>750</v>
      </c>
      <c r="G31" s="160" t="s">
        <v>486</v>
      </c>
      <c r="H31" s="161" t="s">
        <v>1316</v>
      </c>
      <c r="I31" s="162">
        <v>459</v>
      </c>
      <c r="J31" s="159">
        <v>126.3</v>
      </c>
      <c r="K31" s="163">
        <v>125.4</v>
      </c>
      <c r="L31" s="164">
        <f t="shared" si="0"/>
        <v>251.7</v>
      </c>
      <c r="M31" s="165">
        <f t="shared" si="2"/>
        <v>0.54836601307189536</v>
      </c>
      <c r="N31" s="122"/>
    </row>
    <row r="32" spans="2:14" x14ac:dyDescent="0.25">
      <c r="B32" s="121"/>
      <c r="C32" s="159">
        <v>25</v>
      </c>
      <c r="D32" s="159">
        <v>14</v>
      </c>
      <c r="E32" s="159" t="s">
        <v>75</v>
      </c>
      <c r="F32" s="159" t="s">
        <v>750</v>
      </c>
      <c r="G32" s="160" t="s">
        <v>484</v>
      </c>
      <c r="H32" s="161" t="s">
        <v>1317</v>
      </c>
      <c r="I32" s="162">
        <v>373</v>
      </c>
      <c r="J32" s="159">
        <v>109</v>
      </c>
      <c r="K32" s="163">
        <v>107.8</v>
      </c>
      <c r="L32" s="164">
        <f t="shared" si="0"/>
        <v>216.8</v>
      </c>
      <c r="M32" s="165">
        <f t="shared" si="2"/>
        <v>0.58123324396782849</v>
      </c>
      <c r="N32" s="122"/>
    </row>
    <row r="33" spans="2:14" x14ac:dyDescent="0.25">
      <c r="B33" s="121"/>
      <c r="C33" s="160">
        <v>26</v>
      </c>
      <c r="D33" s="160">
        <v>9</v>
      </c>
      <c r="E33" s="160" t="s">
        <v>68</v>
      </c>
      <c r="F33" s="159" t="s">
        <v>750</v>
      </c>
      <c r="G33" s="160" t="s">
        <v>484</v>
      </c>
      <c r="H33" s="161" t="s">
        <v>1318</v>
      </c>
      <c r="I33" s="162">
        <v>351</v>
      </c>
      <c r="J33" s="159">
        <v>98.1</v>
      </c>
      <c r="K33" s="163">
        <v>99.1</v>
      </c>
      <c r="L33" s="164">
        <f t="shared" si="0"/>
        <v>197.2</v>
      </c>
      <c r="M33" s="165">
        <f t="shared" si="2"/>
        <v>0.56182336182336179</v>
      </c>
      <c r="N33" s="122"/>
    </row>
    <row r="34" spans="2:14" x14ac:dyDescent="0.25">
      <c r="B34" s="121"/>
      <c r="C34" s="159">
        <v>27</v>
      </c>
      <c r="D34" s="159">
        <v>18</v>
      </c>
      <c r="E34" s="159" t="s">
        <v>75</v>
      </c>
      <c r="F34" s="159" t="s">
        <v>750</v>
      </c>
      <c r="G34" s="160" t="s">
        <v>484</v>
      </c>
      <c r="H34" s="161" t="s">
        <v>1319</v>
      </c>
      <c r="I34" s="162">
        <v>372</v>
      </c>
      <c r="J34" s="159">
        <v>108.2</v>
      </c>
      <c r="K34" s="166">
        <v>106.5</v>
      </c>
      <c r="L34" s="164">
        <f t="shared" si="0"/>
        <v>214.7</v>
      </c>
      <c r="M34" s="167">
        <f t="shared" si="2"/>
        <v>0.5771505376344086</v>
      </c>
      <c r="N34" s="122"/>
    </row>
    <row r="35" spans="2:14" x14ac:dyDescent="0.25">
      <c r="B35" s="121"/>
      <c r="C35" s="159">
        <v>28</v>
      </c>
      <c r="D35" s="159">
        <v>8</v>
      </c>
      <c r="E35" s="159" t="s">
        <v>75</v>
      </c>
      <c r="F35" s="159" t="s">
        <v>750</v>
      </c>
      <c r="G35" s="160" t="s">
        <v>484</v>
      </c>
      <c r="H35" s="161" t="s">
        <v>1320</v>
      </c>
      <c r="I35" s="162">
        <v>346</v>
      </c>
      <c r="J35" s="159">
        <v>90.4</v>
      </c>
      <c r="K35" s="163">
        <v>92.1</v>
      </c>
      <c r="L35" s="164">
        <f t="shared" si="0"/>
        <v>182.5</v>
      </c>
      <c r="M35" s="165">
        <f t="shared" si="2"/>
        <v>0.5274566473988439</v>
      </c>
      <c r="N35" s="122"/>
    </row>
    <row r="36" spans="2:14" x14ac:dyDescent="0.25">
      <c r="B36" s="121"/>
      <c r="C36" s="159">
        <v>29</v>
      </c>
      <c r="D36" s="159">
        <v>3</v>
      </c>
      <c r="E36" s="159" t="s">
        <v>68</v>
      </c>
      <c r="F36" s="159" t="s">
        <v>750</v>
      </c>
      <c r="G36" s="160" t="s">
        <v>484</v>
      </c>
      <c r="H36" s="161" t="s">
        <v>1321</v>
      </c>
      <c r="I36" s="162">
        <v>352</v>
      </c>
      <c r="J36" s="159">
        <v>97.1</v>
      </c>
      <c r="K36" s="163">
        <v>96.1</v>
      </c>
      <c r="L36" s="164">
        <f t="shared" si="0"/>
        <v>193.2</v>
      </c>
      <c r="M36" s="165">
        <f t="shared" si="2"/>
        <v>0.54886363636363633</v>
      </c>
      <c r="N36" s="122"/>
    </row>
    <row r="37" spans="2:14" x14ac:dyDescent="0.25">
      <c r="B37" s="121"/>
      <c r="C37" s="159">
        <v>30</v>
      </c>
      <c r="D37" s="159">
        <v>16</v>
      </c>
      <c r="E37" s="159" t="s">
        <v>68</v>
      </c>
      <c r="F37" s="159" t="s">
        <v>750</v>
      </c>
      <c r="G37" s="160" t="s">
        <v>484</v>
      </c>
      <c r="H37" s="161" t="s">
        <v>1322</v>
      </c>
      <c r="I37" s="162">
        <v>336</v>
      </c>
      <c r="J37" s="159">
        <v>91.1</v>
      </c>
      <c r="K37" s="163">
        <v>90.2</v>
      </c>
      <c r="L37" s="164">
        <f t="shared" si="0"/>
        <v>181.3</v>
      </c>
      <c r="M37" s="165">
        <f t="shared" si="2"/>
        <v>0.53958333333333341</v>
      </c>
      <c r="N37" s="122"/>
    </row>
    <row r="38" spans="2:14" x14ac:dyDescent="0.25">
      <c r="B38" s="121"/>
      <c r="C38" s="159">
        <v>31</v>
      </c>
      <c r="D38" s="159">
        <v>21</v>
      </c>
      <c r="E38" s="159" t="s">
        <v>75</v>
      </c>
      <c r="F38" s="159" t="s">
        <v>750</v>
      </c>
      <c r="G38" s="159" t="s">
        <v>484</v>
      </c>
      <c r="H38" s="168" t="s">
        <v>1323</v>
      </c>
      <c r="I38" s="169">
        <v>405</v>
      </c>
      <c r="J38" s="159">
        <v>117.3</v>
      </c>
      <c r="K38" s="163">
        <v>117</v>
      </c>
      <c r="L38" s="164">
        <f t="shared" si="0"/>
        <v>234.3</v>
      </c>
      <c r="M38" s="165">
        <f t="shared" si="2"/>
        <v>0.57851851851851854</v>
      </c>
      <c r="N38" s="122"/>
    </row>
    <row r="39" spans="2:14" x14ac:dyDescent="0.25">
      <c r="B39" s="121"/>
      <c r="C39" s="159">
        <v>32</v>
      </c>
      <c r="D39" s="159">
        <v>6</v>
      </c>
      <c r="E39" s="159" t="s">
        <v>75</v>
      </c>
      <c r="F39" s="159" t="s">
        <v>750</v>
      </c>
      <c r="G39" s="160" t="s">
        <v>484</v>
      </c>
      <c r="H39" s="161" t="s">
        <v>41</v>
      </c>
      <c r="I39" s="162">
        <v>304</v>
      </c>
      <c r="J39" s="159">
        <v>81.400000000000006</v>
      </c>
      <c r="K39" s="163">
        <v>80.900000000000006</v>
      </c>
      <c r="L39" s="164">
        <f t="shared" si="0"/>
        <v>162.30000000000001</v>
      </c>
      <c r="M39" s="165">
        <f t="shared" si="2"/>
        <v>0.53388157894736843</v>
      </c>
      <c r="N39" s="122"/>
    </row>
    <row r="40" spans="2:14" x14ac:dyDescent="0.25">
      <c r="B40" s="121"/>
      <c r="C40" s="159">
        <v>33</v>
      </c>
      <c r="D40" s="159">
        <v>7</v>
      </c>
      <c r="E40" s="159" t="s">
        <v>75</v>
      </c>
      <c r="F40" s="159" t="s">
        <v>750</v>
      </c>
      <c r="G40" s="160" t="s">
        <v>484</v>
      </c>
      <c r="H40" s="161" t="s">
        <v>1324</v>
      </c>
      <c r="I40" s="162">
        <v>400</v>
      </c>
      <c r="J40" s="159">
        <v>114.5</v>
      </c>
      <c r="K40" s="163">
        <v>114.2</v>
      </c>
      <c r="L40" s="164">
        <f t="shared" si="0"/>
        <v>228.7</v>
      </c>
      <c r="M40" s="165">
        <f t="shared" si="2"/>
        <v>0.57174999999999998</v>
      </c>
      <c r="N40" s="122"/>
    </row>
    <row r="41" spans="2:14" x14ac:dyDescent="0.25">
      <c r="B41" s="121"/>
      <c r="C41" s="159">
        <v>34</v>
      </c>
      <c r="D41" s="159">
        <v>20</v>
      </c>
      <c r="E41" s="159" t="s">
        <v>67</v>
      </c>
      <c r="F41" s="159" t="s">
        <v>750</v>
      </c>
      <c r="G41" s="160" t="s">
        <v>484</v>
      </c>
      <c r="H41" s="161" t="s">
        <v>1325</v>
      </c>
      <c r="I41" s="162">
        <v>401</v>
      </c>
      <c r="J41" s="159">
        <v>113.8</v>
      </c>
      <c r="K41" s="163">
        <v>111.7</v>
      </c>
      <c r="L41" s="164">
        <f t="shared" si="0"/>
        <v>225.5</v>
      </c>
      <c r="M41" s="165">
        <f t="shared" si="2"/>
        <v>0.56234413965087282</v>
      </c>
      <c r="N41" s="122"/>
    </row>
    <row r="42" spans="2:14" x14ac:dyDescent="0.25">
      <c r="B42" s="121"/>
      <c r="C42" s="160">
        <v>35</v>
      </c>
      <c r="D42" s="160">
        <v>5</v>
      </c>
      <c r="E42" s="160" t="s">
        <v>75</v>
      </c>
      <c r="F42" s="159" t="s">
        <v>750</v>
      </c>
      <c r="G42" s="160" t="s">
        <v>484</v>
      </c>
      <c r="H42" s="161" t="s">
        <v>1326</v>
      </c>
      <c r="I42" s="162">
        <v>361</v>
      </c>
      <c r="J42" s="159">
        <v>103.7</v>
      </c>
      <c r="K42" s="163">
        <v>102.6</v>
      </c>
      <c r="L42" s="164">
        <f t="shared" si="0"/>
        <v>206.3</v>
      </c>
      <c r="M42" s="165">
        <f t="shared" si="2"/>
        <v>0.57146814404432134</v>
      </c>
      <c r="N42" s="122"/>
    </row>
    <row r="43" spans="2:14" x14ac:dyDescent="0.25">
      <c r="B43" s="121"/>
      <c r="C43" s="159">
        <v>36</v>
      </c>
      <c r="D43" s="159">
        <v>13</v>
      </c>
      <c r="E43" s="159" t="s">
        <v>75</v>
      </c>
      <c r="F43" s="159" t="s">
        <v>750</v>
      </c>
      <c r="G43" s="160" t="s">
        <v>484</v>
      </c>
      <c r="H43" s="161" t="s">
        <v>1327</v>
      </c>
      <c r="I43" s="162">
        <v>387</v>
      </c>
      <c r="J43" s="159">
        <v>108.5</v>
      </c>
      <c r="K43" s="163">
        <v>107.5</v>
      </c>
      <c r="L43" s="164">
        <f t="shared" si="0"/>
        <v>216</v>
      </c>
      <c r="M43" s="165">
        <f t="shared" si="2"/>
        <v>0.55813953488372092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2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2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2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2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2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2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2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2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2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2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2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2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2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2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2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2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2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2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2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2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2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2"/>
        <v>#DIV/0!</v>
      </c>
      <c r="N65" s="122"/>
    </row>
    <row r="66" spans="2:14" x14ac:dyDescent="0.25">
      <c r="B66" s="121"/>
      <c r="C66" s="286"/>
      <c r="D66" s="286">
        <f>+COUNT($D$22:$D$65)</f>
        <v>21</v>
      </c>
      <c r="E66" s="286"/>
      <c r="F66" s="373"/>
      <c r="G66" s="373"/>
      <c r="H66" s="149"/>
      <c r="I66" s="148">
        <f>SUM($I$22:$I$65)</f>
        <v>7963</v>
      </c>
      <c r="J66" s="150">
        <f>SUM($J$22:$J$65)</f>
        <v>2239</v>
      </c>
      <c r="K66" s="151">
        <f>SUM($K$22:$K$65)</f>
        <v>2225</v>
      </c>
      <c r="L66" s="148">
        <f>SUM($L$22:$L$65)</f>
        <v>4464</v>
      </c>
      <c r="M66" s="178">
        <f t="shared" si="2"/>
        <v>0.56059274142910964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43.9</v>
      </c>
      <c r="I71" s="119">
        <v>42.58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21</v>
      </c>
      <c r="I72" s="119">
        <v>100.39999999999999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21</v>
      </c>
      <c r="I73" s="119">
        <v>23.44</v>
      </c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21</v>
      </c>
      <c r="I74" s="119">
        <v>22.58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15.32</v>
      </c>
      <c r="I75" s="119">
        <v>14.84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42</v>
      </c>
      <c r="I76" s="119">
        <v>17.579999999999998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84</v>
      </c>
      <c r="I77" s="119">
        <v>13.16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21</v>
      </c>
      <c r="I78" s="119">
        <v>15.3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21</v>
      </c>
      <c r="I79" s="119">
        <v>15.82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28.62</v>
      </c>
      <c r="I80" s="119">
        <v>27.12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21</v>
      </c>
      <c r="I81" s="119">
        <v>24.82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21</v>
      </c>
      <c r="I82" s="119">
        <v>7.06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10.98</v>
      </c>
      <c r="I83" s="119">
        <v>10.199999999999999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334.90000000000003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21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40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7"/>
  <sheetViews>
    <sheetView topLeftCell="D69" zoomScale="90" zoomScaleNormal="90" workbookViewId="0">
      <selection activeCell="K18" sqref="K13:K18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+M68</f>
        <v>0.56609750781079693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+L68/D68</f>
        <v>173.13777777777773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85</v>
      </c>
      <c r="F8" s="344"/>
      <c r="G8" s="344"/>
      <c r="H8" s="345"/>
      <c r="I8" s="146" t="s">
        <v>487</v>
      </c>
      <c r="J8" s="346" t="s">
        <v>1328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52591</v>
      </c>
      <c r="F9" s="344"/>
      <c r="G9" s="344"/>
      <c r="H9" s="345"/>
      <c r="I9" s="146" t="s">
        <v>88</v>
      </c>
      <c r="J9" s="209" t="s">
        <v>1329</v>
      </c>
      <c r="K9" s="289" t="s">
        <v>490</v>
      </c>
      <c r="L9" s="369" t="s">
        <v>1330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87" t="s">
        <v>569</v>
      </c>
      <c r="E12" s="384">
        <v>46062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67</v>
      </c>
      <c r="F13" s="349"/>
      <c r="H13" s="117"/>
      <c r="I13" s="123"/>
      <c r="J13" s="215" t="s">
        <v>483</v>
      </c>
      <c r="K13" s="288">
        <f>+COUNTIF($G$22:$G$68,"VQ")*2</f>
        <v>54</v>
      </c>
      <c r="L13" s="288">
        <f>+SUMIF($G$23:$G$67,"VQ",$L$23:$L$67)</f>
        <v>4050.3</v>
      </c>
      <c r="N13" s="122"/>
    </row>
    <row r="14" spans="2:14" x14ac:dyDescent="0.25">
      <c r="B14" s="121"/>
      <c r="C14" s="348" t="s">
        <v>478</v>
      </c>
      <c r="D14" s="348"/>
      <c r="E14" s="350">
        <f>+D68</f>
        <v>45</v>
      </c>
      <c r="F14" s="350"/>
      <c r="H14" s="117"/>
      <c r="I14" s="123"/>
      <c r="J14" s="215" t="s">
        <v>42</v>
      </c>
      <c r="K14" s="288">
        <f>+COUNTIF($G$22:$G$68,"NT")*2</f>
        <v>0</v>
      </c>
      <c r="L14" s="288">
        <f>+SUMIF($G$23:$G$67,"NT",$L$23:$L$67)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+I68</f>
        <v>13763</v>
      </c>
      <c r="F15" s="350"/>
      <c r="H15" s="117"/>
      <c r="I15" s="123"/>
      <c r="J15" s="215" t="s">
        <v>484</v>
      </c>
      <c r="K15" s="288">
        <f>+COUNTIF($G$22:$G$68,"NO")*2</f>
        <v>0</v>
      </c>
      <c r="L15" s="288">
        <f>+SUMIF($G$23:$G$67,"NO",$L$23:$L$67)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+L68</f>
        <v>7791.199999999998</v>
      </c>
      <c r="F16" s="350"/>
      <c r="H16" s="117"/>
      <c r="I16" s="123"/>
      <c r="J16" s="215" t="s">
        <v>485</v>
      </c>
      <c r="K16" s="288">
        <f>+COUNTIF($G$22:$G$68,"TO")*2</f>
        <v>0</v>
      </c>
      <c r="L16" s="288">
        <f>+SUMIF($G$23:$G$67,"TO",$L$23:$L$67)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+M68</f>
        <v>0.56609750781079693</v>
      </c>
      <c r="F17" s="350"/>
      <c r="G17" s="124"/>
      <c r="H17" s="125"/>
      <c r="I17" s="123"/>
      <c r="J17" s="215" t="s">
        <v>486</v>
      </c>
      <c r="K17" s="288">
        <f>+COUNTIF($G$22:$G$68,"VA")*2</f>
        <v>0</v>
      </c>
      <c r="L17" s="288">
        <f>+SUMIF($G$23:$G$67,"VA",$L$23:$L$67)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+L68/D68</f>
        <v>173.13777777777773</v>
      </c>
      <c r="F18" s="353"/>
      <c r="G18" s="124"/>
      <c r="H18" s="125"/>
      <c r="I18" s="123"/>
      <c r="J18" s="215" t="s">
        <v>44</v>
      </c>
      <c r="K18" s="288">
        <f>+COUNTIF($G$22:$G$68,"MEJ")*2</f>
        <v>36</v>
      </c>
      <c r="L18" s="288">
        <f>+SUMIF($G$23:$G$67,"MEJ",$L$23:$L$67)</f>
        <v>3740.8999999999996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37</v>
      </c>
      <c r="D23" s="152">
        <v>39</v>
      </c>
      <c r="E23" s="152" t="s">
        <v>67</v>
      </c>
      <c r="F23" s="152" t="s">
        <v>526</v>
      </c>
      <c r="G23" s="153" t="s">
        <v>44</v>
      </c>
      <c r="H23" s="154" t="s">
        <v>1331</v>
      </c>
      <c r="I23" s="155">
        <v>365</v>
      </c>
      <c r="J23" s="152">
        <v>104.8</v>
      </c>
      <c r="K23" s="156">
        <v>104.2</v>
      </c>
      <c r="L23" s="157">
        <f t="shared" ref="L23:L67" si="0">+J23+K23</f>
        <v>209</v>
      </c>
      <c r="M23" s="158">
        <f t="shared" ref="M23:M68" si="1">+L23/I23</f>
        <v>0.57260273972602738</v>
      </c>
      <c r="N23" s="122"/>
    </row>
    <row r="24" spans="2:14" x14ac:dyDescent="0.25">
      <c r="B24" s="121"/>
      <c r="C24" s="159">
        <v>38</v>
      </c>
      <c r="D24" s="159">
        <v>38</v>
      </c>
      <c r="E24" s="159" t="s">
        <v>67</v>
      </c>
      <c r="F24" s="159" t="s">
        <v>526</v>
      </c>
      <c r="G24" s="160" t="s">
        <v>44</v>
      </c>
      <c r="H24" s="161" t="s">
        <v>1332</v>
      </c>
      <c r="I24" s="162">
        <v>504</v>
      </c>
      <c r="J24" s="159">
        <v>148.19999999999999</v>
      </c>
      <c r="K24" s="163">
        <v>148.1</v>
      </c>
      <c r="L24" s="164">
        <f t="shared" ref="L24:L25" si="2">+J24+K24</f>
        <v>296.29999999999995</v>
      </c>
      <c r="M24" s="165">
        <f t="shared" ref="M24:M25" si="3">+L24/I24</f>
        <v>0.58789682539682531</v>
      </c>
      <c r="N24" s="122"/>
    </row>
    <row r="25" spans="2:14" x14ac:dyDescent="0.25">
      <c r="B25" s="121"/>
      <c r="C25" s="159">
        <v>39</v>
      </c>
      <c r="D25" s="159">
        <v>30</v>
      </c>
      <c r="E25" s="159" t="s">
        <v>67</v>
      </c>
      <c r="F25" s="159" t="s">
        <v>526</v>
      </c>
      <c r="G25" s="160" t="s">
        <v>44</v>
      </c>
      <c r="H25" s="161" t="s">
        <v>1333</v>
      </c>
      <c r="I25" s="162">
        <v>435</v>
      </c>
      <c r="J25" s="159">
        <v>114.6</v>
      </c>
      <c r="K25" s="163">
        <v>114.6</v>
      </c>
      <c r="L25" s="164">
        <f t="shared" si="2"/>
        <v>229.2</v>
      </c>
      <c r="M25" s="165">
        <f t="shared" si="3"/>
        <v>0.52689655172413785</v>
      </c>
      <c r="N25" s="122"/>
    </row>
    <row r="26" spans="2:14" x14ac:dyDescent="0.25">
      <c r="B26" s="121"/>
      <c r="C26" s="159">
        <v>40</v>
      </c>
      <c r="D26" s="159">
        <v>33</v>
      </c>
      <c r="E26" s="159" t="s">
        <v>67</v>
      </c>
      <c r="F26" s="159" t="s">
        <v>526</v>
      </c>
      <c r="G26" s="160" t="s">
        <v>44</v>
      </c>
      <c r="H26" s="161" t="s">
        <v>1334</v>
      </c>
      <c r="I26" s="162">
        <v>377</v>
      </c>
      <c r="J26" s="159">
        <v>107.5</v>
      </c>
      <c r="K26" s="163">
        <v>105.9</v>
      </c>
      <c r="L26" s="164">
        <f t="shared" si="0"/>
        <v>213.4</v>
      </c>
      <c r="M26" s="165">
        <f t="shared" si="1"/>
        <v>0.56604774535809022</v>
      </c>
      <c r="N26" s="122"/>
    </row>
    <row r="27" spans="2:14" x14ac:dyDescent="0.25">
      <c r="B27" s="121"/>
      <c r="C27" s="159">
        <v>41</v>
      </c>
      <c r="D27" s="159">
        <v>37</v>
      </c>
      <c r="E27" s="159" t="s">
        <v>67</v>
      </c>
      <c r="F27" s="159" t="s">
        <v>526</v>
      </c>
      <c r="G27" s="160" t="s">
        <v>44</v>
      </c>
      <c r="H27" s="161" t="s">
        <v>1334</v>
      </c>
      <c r="I27" s="162">
        <v>376</v>
      </c>
      <c r="J27" s="159">
        <v>105.2</v>
      </c>
      <c r="K27" s="163">
        <v>104.4</v>
      </c>
      <c r="L27" s="164">
        <f t="shared" si="0"/>
        <v>209.60000000000002</v>
      </c>
      <c r="M27" s="165">
        <f t="shared" si="1"/>
        <v>0.55744680851063833</v>
      </c>
      <c r="N27" s="122"/>
    </row>
    <row r="28" spans="2:14" x14ac:dyDescent="0.25">
      <c r="B28" s="121"/>
      <c r="C28" s="159">
        <v>42</v>
      </c>
      <c r="D28" s="159">
        <v>28</v>
      </c>
      <c r="E28" s="159" t="s">
        <v>67</v>
      </c>
      <c r="F28" s="159" t="s">
        <v>526</v>
      </c>
      <c r="G28" s="160" t="s">
        <v>44</v>
      </c>
      <c r="H28" s="161" t="s">
        <v>1335</v>
      </c>
      <c r="I28" s="162">
        <v>327</v>
      </c>
      <c r="J28" s="159">
        <v>89.6</v>
      </c>
      <c r="K28" s="163">
        <v>89.3</v>
      </c>
      <c r="L28" s="164">
        <f t="shared" si="0"/>
        <v>178.89999999999998</v>
      </c>
      <c r="M28" s="165">
        <f t="shared" si="1"/>
        <v>0.5470948012232415</v>
      </c>
      <c r="N28" s="122"/>
    </row>
    <row r="29" spans="2:14" x14ac:dyDescent="0.25">
      <c r="B29" s="121"/>
      <c r="C29" s="159">
        <v>43</v>
      </c>
      <c r="D29" s="159">
        <v>44</v>
      </c>
      <c r="E29" s="159" t="s">
        <v>68</v>
      </c>
      <c r="F29" s="159" t="s">
        <v>526</v>
      </c>
      <c r="G29" s="160" t="s">
        <v>44</v>
      </c>
      <c r="H29" s="161" t="s">
        <v>1336</v>
      </c>
      <c r="I29" s="162">
        <v>424</v>
      </c>
      <c r="J29" s="159">
        <v>120.2</v>
      </c>
      <c r="K29" s="163">
        <v>119.5</v>
      </c>
      <c r="L29" s="164">
        <f t="shared" si="0"/>
        <v>239.7</v>
      </c>
      <c r="M29" s="165">
        <f t="shared" si="1"/>
        <v>0.56533018867924523</v>
      </c>
      <c r="N29" s="122"/>
    </row>
    <row r="30" spans="2:14" x14ac:dyDescent="0.25">
      <c r="B30" s="121"/>
      <c r="C30" s="159">
        <v>44</v>
      </c>
      <c r="D30" s="159">
        <v>36</v>
      </c>
      <c r="E30" s="159" t="s">
        <v>67</v>
      </c>
      <c r="F30" s="159" t="s">
        <v>526</v>
      </c>
      <c r="G30" s="160" t="s">
        <v>44</v>
      </c>
      <c r="H30" s="161" t="s">
        <v>1337</v>
      </c>
      <c r="I30" s="162">
        <v>472</v>
      </c>
      <c r="J30" s="159">
        <v>137.19999999999999</v>
      </c>
      <c r="K30" s="163">
        <v>135.9</v>
      </c>
      <c r="L30" s="164">
        <f t="shared" si="0"/>
        <v>273.10000000000002</v>
      </c>
      <c r="M30" s="165">
        <f t="shared" si="1"/>
        <v>0.57860169491525426</v>
      </c>
      <c r="N30" s="122"/>
    </row>
    <row r="31" spans="2:14" x14ac:dyDescent="0.25">
      <c r="B31" s="121"/>
      <c r="C31" s="160">
        <v>45</v>
      </c>
      <c r="D31" s="160">
        <v>40</v>
      </c>
      <c r="E31" s="160" t="s">
        <v>68</v>
      </c>
      <c r="F31" s="159" t="s">
        <v>526</v>
      </c>
      <c r="G31" s="160" t="s">
        <v>44</v>
      </c>
      <c r="H31" s="161" t="s">
        <v>965</v>
      </c>
      <c r="I31" s="162">
        <v>350</v>
      </c>
      <c r="J31" s="159">
        <v>100.2</v>
      </c>
      <c r="K31" s="163">
        <v>100.5</v>
      </c>
      <c r="L31" s="164">
        <f t="shared" si="0"/>
        <v>200.7</v>
      </c>
      <c r="M31" s="165">
        <f t="shared" si="1"/>
        <v>0.5734285714285714</v>
      </c>
      <c r="N31" s="122"/>
    </row>
    <row r="32" spans="2:14" x14ac:dyDescent="0.25">
      <c r="B32" s="121"/>
      <c r="C32" s="160">
        <v>46</v>
      </c>
      <c r="D32" s="160">
        <v>42</v>
      </c>
      <c r="E32" s="160" t="s">
        <v>67</v>
      </c>
      <c r="F32" s="159" t="s">
        <v>526</v>
      </c>
      <c r="G32" s="160" t="s">
        <v>44</v>
      </c>
      <c r="H32" s="161" t="s">
        <v>1338</v>
      </c>
      <c r="I32" s="162">
        <v>371</v>
      </c>
      <c r="J32" s="159">
        <v>101.5</v>
      </c>
      <c r="K32" s="163">
        <v>101.3</v>
      </c>
      <c r="L32" s="164">
        <f t="shared" si="0"/>
        <v>202.8</v>
      </c>
      <c r="M32" s="165">
        <f t="shared" si="1"/>
        <v>0.5466307277628033</v>
      </c>
      <c r="N32" s="122"/>
    </row>
    <row r="33" spans="2:14" x14ac:dyDescent="0.25">
      <c r="B33" s="121"/>
      <c r="C33" s="159">
        <v>47</v>
      </c>
      <c r="D33" s="159">
        <v>32</v>
      </c>
      <c r="E33" s="159" t="s">
        <v>67</v>
      </c>
      <c r="F33" s="159" t="s">
        <v>526</v>
      </c>
      <c r="G33" s="160" t="s">
        <v>44</v>
      </c>
      <c r="H33" s="161" t="s">
        <v>1339</v>
      </c>
      <c r="I33" s="162">
        <v>300</v>
      </c>
      <c r="J33" s="159">
        <v>89.5</v>
      </c>
      <c r="K33" s="163">
        <v>88.2</v>
      </c>
      <c r="L33" s="164">
        <f t="shared" si="0"/>
        <v>177.7</v>
      </c>
      <c r="M33" s="165">
        <f t="shared" si="1"/>
        <v>0.59233333333333327</v>
      </c>
      <c r="N33" s="122"/>
    </row>
    <row r="34" spans="2:14" x14ac:dyDescent="0.25">
      <c r="B34" s="121"/>
      <c r="C34" s="159">
        <v>48</v>
      </c>
      <c r="D34" s="159">
        <v>41</v>
      </c>
      <c r="E34" s="159" t="s">
        <v>68</v>
      </c>
      <c r="F34" s="159" t="s">
        <v>526</v>
      </c>
      <c r="G34" s="160" t="s">
        <v>44</v>
      </c>
      <c r="H34" s="161" t="s">
        <v>41</v>
      </c>
      <c r="I34" s="162">
        <v>340</v>
      </c>
      <c r="J34" s="159">
        <v>100.9</v>
      </c>
      <c r="K34" s="163">
        <v>100.2</v>
      </c>
      <c r="L34" s="164">
        <f t="shared" si="0"/>
        <v>201.10000000000002</v>
      </c>
      <c r="M34" s="165">
        <f t="shared" si="1"/>
        <v>0.59147058823529419</v>
      </c>
      <c r="N34" s="122"/>
    </row>
    <row r="35" spans="2:14" x14ac:dyDescent="0.25">
      <c r="B35" s="121"/>
      <c r="C35" s="160">
        <v>49</v>
      </c>
      <c r="D35" s="160">
        <v>45</v>
      </c>
      <c r="E35" s="160" t="s">
        <v>68</v>
      </c>
      <c r="F35" s="159" t="s">
        <v>526</v>
      </c>
      <c r="G35" s="160" t="s">
        <v>44</v>
      </c>
      <c r="H35" s="161" t="s">
        <v>1340</v>
      </c>
      <c r="I35" s="162">
        <v>386</v>
      </c>
      <c r="J35" s="159">
        <v>113.3</v>
      </c>
      <c r="K35" s="163">
        <v>113.9</v>
      </c>
      <c r="L35" s="164">
        <f t="shared" si="0"/>
        <v>227.2</v>
      </c>
      <c r="M35" s="165">
        <f t="shared" si="1"/>
        <v>0.58860103626943006</v>
      </c>
      <c r="N35" s="122"/>
    </row>
    <row r="36" spans="2:14" x14ac:dyDescent="0.25">
      <c r="B36" s="121"/>
      <c r="C36" s="159">
        <v>50</v>
      </c>
      <c r="D36" s="159">
        <v>34</v>
      </c>
      <c r="E36" s="159" t="s">
        <v>67</v>
      </c>
      <c r="F36" s="159" t="s">
        <v>526</v>
      </c>
      <c r="G36" s="160" t="s">
        <v>44</v>
      </c>
      <c r="H36" s="161" t="s">
        <v>1093</v>
      </c>
      <c r="I36" s="162">
        <v>306</v>
      </c>
      <c r="J36" s="159">
        <v>87</v>
      </c>
      <c r="K36" s="166">
        <v>86.7</v>
      </c>
      <c r="L36" s="164">
        <f t="shared" si="0"/>
        <v>173.7</v>
      </c>
      <c r="M36" s="167">
        <f t="shared" si="1"/>
        <v>0.56764705882352939</v>
      </c>
      <c r="N36" s="122"/>
    </row>
    <row r="37" spans="2:14" x14ac:dyDescent="0.25">
      <c r="B37" s="121"/>
      <c r="C37" s="159">
        <v>51</v>
      </c>
      <c r="D37" s="159">
        <v>31</v>
      </c>
      <c r="E37" s="159" t="s">
        <v>67</v>
      </c>
      <c r="F37" s="159" t="s">
        <v>526</v>
      </c>
      <c r="G37" s="160" t="s">
        <v>44</v>
      </c>
      <c r="H37" s="161" t="s">
        <v>1341</v>
      </c>
      <c r="I37" s="162">
        <v>336</v>
      </c>
      <c r="J37" s="159">
        <v>91.9</v>
      </c>
      <c r="K37" s="163">
        <v>92.7</v>
      </c>
      <c r="L37" s="164">
        <f t="shared" si="0"/>
        <v>184.60000000000002</v>
      </c>
      <c r="M37" s="165">
        <f>+L37/I37</f>
        <v>0.54940476190476195</v>
      </c>
      <c r="N37" s="122"/>
    </row>
    <row r="38" spans="2:14" x14ac:dyDescent="0.25">
      <c r="B38" s="121"/>
      <c r="C38" s="159">
        <v>52</v>
      </c>
      <c r="D38" s="159">
        <v>35</v>
      </c>
      <c r="E38" s="159" t="s">
        <v>68</v>
      </c>
      <c r="F38" s="159" t="s">
        <v>526</v>
      </c>
      <c r="G38" s="160" t="s">
        <v>44</v>
      </c>
      <c r="H38" s="161" t="s">
        <v>1342</v>
      </c>
      <c r="I38" s="162">
        <v>358</v>
      </c>
      <c r="J38" s="159">
        <v>103.2</v>
      </c>
      <c r="K38" s="163">
        <v>102.1</v>
      </c>
      <c r="L38" s="164">
        <f t="shared" si="0"/>
        <v>205.3</v>
      </c>
      <c r="M38" s="165">
        <f>+L38/I38</f>
        <v>0.57346368715083806</v>
      </c>
      <c r="N38" s="122"/>
    </row>
    <row r="39" spans="2:14" x14ac:dyDescent="0.25">
      <c r="B39" s="121"/>
      <c r="C39" s="159">
        <v>53</v>
      </c>
      <c r="D39" s="159">
        <v>29</v>
      </c>
      <c r="E39" s="159" t="s">
        <v>68</v>
      </c>
      <c r="F39" s="159" t="s">
        <v>526</v>
      </c>
      <c r="G39" s="160" t="s">
        <v>44</v>
      </c>
      <c r="H39" s="161" t="s">
        <v>1343</v>
      </c>
      <c r="I39" s="162">
        <v>300</v>
      </c>
      <c r="J39" s="159">
        <v>84.5</v>
      </c>
      <c r="K39" s="163">
        <v>85.4</v>
      </c>
      <c r="L39" s="164">
        <f t="shared" si="0"/>
        <v>169.9</v>
      </c>
      <c r="M39" s="165">
        <f t="shared" si="1"/>
        <v>0.56633333333333336</v>
      </c>
      <c r="N39" s="122"/>
    </row>
    <row r="40" spans="2:14" x14ac:dyDescent="0.25">
      <c r="B40" s="121"/>
      <c r="C40" s="159">
        <v>54</v>
      </c>
      <c r="D40" s="159">
        <v>43</v>
      </c>
      <c r="E40" s="159" t="s">
        <v>68</v>
      </c>
      <c r="F40" s="159" t="s">
        <v>526</v>
      </c>
      <c r="G40" s="159" t="s">
        <v>44</v>
      </c>
      <c r="H40" s="168" t="s">
        <v>1344</v>
      </c>
      <c r="I40" s="169">
        <v>259</v>
      </c>
      <c r="J40" s="159">
        <v>74.599999999999994</v>
      </c>
      <c r="K40" s="163">
        <v>74.099999999999994</v>
      </c>
      <c r="L40" s="164">
        <f t="shared" si="0"/>
        <v>148.69999999999999</v>
      </c>
      <c r="M40" s="165">
        <f t="shared" si="1"/>
        <v>0.57413127413127407</v>
      </c>
      <c r="N40" s="122"/>
    </row>
    <row r="41" spans="2:14" x14ac:dyDescent="0.25">
      <c r="B41" s="121"/>
      <c r="C41" s="159">
        <v>55</v>
      </c>
      <c r="D41" s="159">
        <v>7</v>
      </c>
      <c r="E41" s="159" t="s">
        <v>67</v>
      </c>
      <c r="F41" s="159" t="s">
        <v>526</v>
      </c>
      <c r="G41" s="160" t="s">
        <v>483</v>
      </c>
      <c r="H41" s="161" t="s">
        <v>1345</v>
      </c>
      <c r="I41" s="162">
        <v>237</v>
      </c>
      <c r="J41" s="159">
        <v>67.8</v>
      </c>
      <c r="K41" s="163">
        <v>69.5</v>
      </c>
      <c r="L41" s="164">
        <f t="shared" si="0"/>
        <v>137.30000000000001</v>
      </c>
      <c r="M41" s="165">
        <f t="shared" si="1"/>
        <v>0.57932489451476799</v>
      </c>
      <c r="N41" s="122"/>
    </row>
    <row r="42" spans="2:14" x14ac:dyDescent="0.25">
      <c r="B42" s="121"/>
      <c r="C42" s="159">
        <v>56</v>
      </c>
      <c r="D42" s="159">
        <v>24</v>
      </c>
      <c r="E42" s="159" t="s">
        <v>67</v>
      </c>
      <c r="F42" s="159" t="s">
        <v>526</v>
      </c>
      <c r="G42" s="160" t="s">
        <v>483</v>
      </c>
      <c r="H42" s="161" t="s">
        <v>1346</v>
      </c>
      <c r="I42" s="162">
        <v>267</v>
      </c>
      <c r="J42" s="159">
        <v>73.599999999999994</v>
      </c>
      <c r="K42" s="163">
        <v>74.400000000000006</v>
      </c>
      <c r="L42" s="164">
        <f t="shared" si="0"/>
        <v>148</v>
      </c>
      <c r="M42" s="165">
        <f t="shared" si="1"/>
        <v>0.55430711610486894</v>
      </c>
      <c r="N42" s="122"/>
    </row>
    <row r="43" spans="2:14" x14ac:dyDescent="0.25">
      <c r="B43" s="121"/>
      <c r="C43" s="159">
        <v>57</v>
      </c>
      <c r="D43" s="159">
        <v>13</v>
      </c>
      <c r="E43" s="159" t="s">
        <v>68</v>
      </c>
      <c r="F43" s="159" t="s">
        <v>526</v>
      </c>
      <c r="G43" s="160" t="s">
        <v>483</v>
      </c>
      <c r="H43" s="161" t="s">
        <v>41</v>
      </c>
      <c r="I43" s="162">
        <v>249</v>
      </c>
      <c r="J43" s="159">
        <v>69.7</v>
      </c>
      <c r="K43" s="163">
        <v>71.099999999999994</v>
      </c>
      <c r="L43" s="164">
        <f t="shared" si="0"/>
        <v>140.80000000000001</v>
      </c>
      <c r="M43" s="165">
        <f t="shared" si="1"/>
        <v>0.56546184738955829</v>
      </c>
      <c r="N43" s="122"/>
    </row>
    <row r="44" spans="2:14" x14ac:dyDescent="0.25">
      <c r="B44" s="121"/>
      <c r="C44" s="160">
        <v>58</v>
      </c>
      <c r="D44" s="160">
        <v>2</v>
      </c>
      <c r="E44" s="160" t="s">
        <v>68</v>
      </c>
      <c r="F44" s="159" t="s">
        <v>526</v>
      </c>
      <c r="G44" s="160" t="s">
        <v>483</v>
      </c>
      <c r="H44" s="161" t="s">
        <v>1347</v>
      </c>
      <c r="I44" s="162">
        <v>285</v>
      </c>
      <c r="J44" s="159">
        <v>79.3</v>
      </c>
      <c r="K44" s="163">
        <v>80</v>
      </c>
      <c r="L44" s="164">
        <f t="shared" si="0"/>
        <v>159.30000000000001</v>
      </c>
      <c r="M44" s="165">
        <f t="shared" si="1"/>
        <v>0.55894736842105264</v>
      </c>
      <c r="N44" s="122"/>
    </row>
    <row r="45" spans="2:14" x14ac:dyDescent="0.25">
      <c r="B45" s="121"/>
      <c r="C45" s="159">
        <v>59</v>
      </c>
      <c r="D45" s="159">
        <v>8</v>
      </c>
      <c r="E45" s="159" t="s">
        <v>68</v>
      </c>
      <c r="F45" s="159" t="s">
        <v>526</v>
      </c>
      <c r="G45" s="160" t="s">
        <v>483</v>
      </c>
      <c r="H45" s="161" t="s">
        <v>1348</v>
      </c>
      <c r="I45" s="162">
        <v>402</v>
      </c>
      <c r="J45" s="159">
        <v>113.8</v>
      </c>
      <c r="K45" s="163">
        <v>110.4</v>
      </c>
      <c r="L45" s="164">
        <f t="shared" si="0"/>
        <v>224.2</v>
      </c>
      <c r="M45" s="165">
        <f t="shared" si="1"/>
        <v>0.55771144278606966</v>
      </c>
      <c r="N45" s="122"/>
    </row>
    <row r="46" spans="2:14" x14ac:dyDescent="0.25">
      <c r="B46" s="121"/>
      <c r="C46" s="160">
        <v>60</v>
      </c>
      <c r="D46" s="160">
        <v>1</v>
      </c>
      <c r="E46" s="160" t="s">
        <v>75</v>
      </c>
      <c r="F46" s="159" t="s">
        <v>526</v>
      </c>
      <c r="G46" s="160" t="s">
        <v>483</v>
      </c>
      <c r="H46" s="161" t="s">
        <v>1349</v>
      </c>
      <c r="I46" s="162">
        <v>292</v>
      </c>
      <c r="J46" s="159">
        <v>83.4</v>
      </c>
      <c r="K46" s="163">
        <v>82.8</v>
      </c>
      <c r="L46" s="164">
        <f t="shared" si="0"/>
        <v>166.2</v>
      </c>
      <c r="M46" s="165">
        <f t="shared" si="1"/>
        <v>0.56917808219178079</v>
      </c>
      <c r="N46" s="122"/>
    </row>
    <row r="47" spans="2:14" x14ac:dyDescent="0.25">
      <c r="B47" s="121"/>
      <c r="C47" s="160">
        <v>61</v>
      </c>
      <c r="D47" s="160">
        <v>16</v>
      </c>
      <c r="E47" s="160" t="s">
        <v>67</v>
      </c>
      <c r="F47" s="159" t="s">
        <v>526</v>
      </c>
      <c r="G47" s="160" t="s">
        <v>483</v>
      </c>
      <c r="H47" s="161" t="s">
        <v>41</v>
      </c>
      <c r="I47" s="162">
        <v>285</v>
      </c>
      <c r="J47" s="159">
        <v>82.4</v>
      </c>
      <c r="K47" s="163">
        <v>81.5</v>
      </c>
      <c r="L47" s="164">
        <f t="shared" si="0"/>
        <v>163.9</v>
      </c>
      <c r="M47" s="165">
        <f t="shared" si="1"/>
        <v>0.57508771929824565</v>
      </c>
      <c r="N47" s="122"/>
    </row>
    <row r="48" spans="2:14" x14ac:dyDescent="0.25">
      <c r="B48" s="121"/>
      <c r="C48" s="160">
        <v>62</v>
      </c>
      <c r="D48" s="160">
        <v>3</v>
      </c>
      <c r="E48" s="160" t="s">
        <v>68</v>
      </c>
      <c r="F48" s="159" t="s">
        <v>526</v>
      </c>
      <c r="G48" s="160" t="s">
        <v>483</v>
      </c>
      <c r="H48" s="161" t="s">
        <v>1350</v>
      </c>
      <c r="I48" s="162">
        <v>246</v>
      </c>
      <c r="J48" s="159">
        <v>65.5</v>
      </c>
      <c r="K48" s="163">
        <v>65.8</v>
      </c>
      <c r="L48" s="164">
        <f t="shared" si="0"/>
        <v>131.30000000000001</v>
      </c>
      <c r="M48" s="165">
        <f t="shared" si="1"/>
        <v>0.53373983739837405</v>
      </c>
      <c r="N48" s="122"/>
    </row>
    <row r="49" spans="2:14" x14ac:dyDescent="0.25">
      <c r="B49" s="121"/>
      <c r="C49" s="160">
        <v>63</v>
      </c>
      <c r="D49" s="160">
        <v>11</v>
      </c>
      <c r="E49" s="160" t="s">
        <v>68</v>
      </c>
      <c r="F49" s="159" t="s">
        <v>526</v>
      </c>
      <c r="G49" s="160" t="s">
        <v>483</v>
      </c>
      <c r="H49" s="161" t="s">
        <v>1335</v>
      </c>
      <c r="I49" s="162">
        <v>255</v>
      </c>
      <c r="J49" s="159">
        <v>72.3</v>
      </c>
      <c r="K49" s="163">
        <v>72.8</v>
      </c>
      <c r="L49" s="164">
        <f t="shared" si="0"/>
        <v>145.1</v>
      </c>
      <c r="M49" s="165">
        <f t="shared" si="1"/>
        <v>0.56901960784313721</v>
      </c>
      <c r="N49" s="122"/>
    </row>
    <row r="50" spans="2:14" x14ac:dyDescent="0.25">
      <c r="B50" s="121"/>
      <c r="C50" s="160">
        <v>64</v>
      </c>
      <c r="D50" s="160">
        <v>14</v>
      </c>
      <c r="E50" s="160" t="s">
        <v>67</v>
      </c>
      <c r="F50" s="159" t="s">
        <v>526</v>
      </c>
      <c r="G50" s="160" t="s">
        <v>483</v>
      </c>
      <c r="H50" s="161" t="s">
        <v>41</v>
      </c>
      <c r="I50" s="162">
        <v>203</v>
      </c>
      <c r="J50" s="159">
        <v>56.6</v>
      </c>
      <c r="K50" s="163">
        <v>57.1</v>
      </c>
      <c r="L50" s="164">
        <f t="shared" si="0"/>
        <v>113.7</v>
      </c>
      <c r="M50" s="165">
        <f t="shared" si="1"/>
        <v>0.56009852216748768</v>
      </c>
      <c r="N50" s="122"/>
    </row>
    <row r="51" spans="2:14" x14ac:dyDescent="0.25">
      <c r="B51" s="121"/>
      <c r="C51" s="160">
        <v>65</v>
      </c>
      <c r="D51" s="160">
        <v>6</v>
      </c>
      <c r="E51" s="160" t="s">
        <v>67</v>
      </c>
      <c r="F51" s="159" t="s">
        <v>526</v>
      </c>
      <c r="G51" s="160" t="s">
        <v>483</v>
      </c>
      <c r="H51" s="161" t="s">
        <v>41</v>
      </c>
      <c r="I51" s="162">
        <v>259</v>
      </c>
      <c r="J51" s="159">
        <v>74</v>
      </c>
      <c r="K51" s="163">
        <v>73</v>
      </c>
      <c r="L51" s="164">
        <f t="shared" si="0"/>
        <v>147</v>
      </c>
      <c r="M51" s="165">
        <f t="shared" si="1"/>
        <v>0.56756756756756754</v>
      </c>
      <c r="N51" s="122"/>
    </row>
    <row r="52" spans="2:14" x14ac:dyDescent="0.25">
      <c r="B52" s="121"/>
      <c r="C52" s="159">
        <v>66</v>
      </c>
      <c r="D52" s="159">
        <v>27</v>
      </c>
      <c r="E52" s="159" t="s">
        <v>67</v>
      </c>
      <c r="F52" s="159" t="s">
        <v>526</v>
      </c>
      <c r="G52" s="160" t="s">
        <v>483</v>
      </c>
      <c r="H52" s="161" t="s">
        <v>41</v>
      </c>
      <c r="I52" s="162">
        <v>263</v>
      </c>
      <c r="J52" s="159">
        <v>72.8</v>
      </c>
      <c r="K52" s="163">
        <v>73.099999999999994</v>
      </c>
      <c r="L52" s="164">
        <f t="shared" si="0"/>
        <v>145.89999999999998</v>
      </c>
      <c r="M52" s="165">
        <f t="shared" si="1"/>
        <v>0.55475285171102651</v>
      </c>
      <c r="N52" s="122"/>
    </row>
    <row r="53" spans="2:14" x14ac:dyDescent="0.25">
      <c r="B53" s="121"/>
      <c r="C53" s="159">
        <v>67</v>
      </c>
      <c r="D53" s="159">
        <v>18</v>
      </c>
      <c r="E53" s="159" t="s">
        <v>68</v>
      </c>
      <c r="F53" s="159" t="s">
        <v>526</v>
      </c>
      <c r="G53" s="160" t="s">
        <v>483</v>
      </c>
      <c r="H53" s="168" t="s">
        <v>1351</v>
      </c>
      <c r="I53" s="169">
        <v>281</v>
      </c>
      <c r="J53" s="159">
        <v>81.099999999999994</v>
      </c>
      <c r="K53" s="163">
        <v>81.5</v>
      </c>
      <c r="L53" s="164">
        <f t="shared" si="0"/>
        <v>162.6</v>
      </c>
      <c r="M53" s="165">
        <f t="shared" si="1"/>
        <v>0.57864768683274015</v>
      </c>
      <c r="N53" s="122"/>
    </row>
    <row r="54" spans="2:14" x14ac:dyDescent="0.25">
      <c r="B54" s="121"/>
      <c r="C54" s="159">
        <v>68</v>
      </c>
      <c r="D54" s="160">
        <v>15</v>
      </c>
      <c r="E54" s="160" t="s">
        <v>67</v>
      </c>
      <c r="F54" s="159" t="s">
        <v>526</v>
      </c>
      <c r="G54" s="160" t="s">
        <v>483</v>
      </c>
      <c r="H54" s="168" t="s">
        <v>963</v>
      </c>
      <c r="I54" s="169">
        <v>257</v>
      </c>
      <c r="J54" s="159">
        <v>73.099999999999994</v>
      </c>
      <c r="K54" s="163">
        <v>72.599999999999994</v>
      </c>
      <c r="L54" s="164">
        <f t="shared" si="0"/>
        <v>145.69999999999999</v>
      </c>
      <c r="M54" s="165">
        <f t="shared" si="1"/>
        <v>0.56692607003891049</v>
      </c>
      <c r="N54" s="122"/>
    </row>
    <row r="55" spans="2:14" x14ac:dyDescent="0.25">
      <c r="B55" s="121"/>
      <c r="C55" s="159">
        <v>69</v>
      </c>
      <c r="D55" s="160">
        <v>17</v>
      </c>
      <c r="E55" s="160" t="s">
        <v>68</v>
      </c>
      <c r="F55" s="159" t="s">
        <v>526</v>
      </c>
      <c r="G55" s="160" t="s">
        <v>483</v>
      </c>
      <c r="H55" s="168" t="s">
        <v>1352</v>
      </c>
      <c r="I55" s="169">
        <v>278</v>
      </c>
      <c r="J55" s="159">
        <v>76.599999999999994</v>
      </c>
      <c r="K55" s="163">
        <v>76.8</v>
      </c>
      <c r="L55" s="164">
        <f t="shared" si="0"/>
        <v>153.39999999999998</v>
      </c>
      <c r="M55" s="165">
        <f t="shared" si="1"/>
        <v>0.55179856115107906</v>
      </c>
      <c r="N55" s="122"/>
    </row>
    <row r="56" spans="2:14" x14ac:dyDescent="0.25">
      <c r="B56" s="121"/>
      <c r="C56" s="159">
        <v>70</v>
      </c>
      <c r="D56" s="160">
        <v>4</v>
      </c>
      <c r="E56" s="160" t="s">
        <v>67</v>
      </c>
      <c r="F56" s="159" t="s">
        <v>526</v>
      </c>
      <c r="G56" s="160" t="s">
        <v>483</v>
      </c>
      <c r="H56" s="168" t="s">
        <v>1353</v>
      </c>
      <c r="I56" s="169">
        <v>259</v>
      </c>
      <c r="J56" s="159">
        <v>75.8</v>
      </c>
      <c r="K56" s="163">
        <v>76.2</v>
      </c>
      <c r="L56" s="164">
        <f t="shared" si="0"/>
        <v>152</v>
      </c>
      <c r="M56" s="165">
        <f t="shared" si="1"/>
        <v>0.58687258687258692</v>
      </c>
      <c r="N56" s="122"/>
    </row>
    <row r="57" spans="2:14" x14ac:dyDescent="0.25">
      <c r="B57" s="121"/>
      <c r="C57" s="159">
        <v>71</v>
      </c>
      <c r="D57" s="160">
        <v>25</v>
      </c>
      <c r="E57" s="160" t="s">
        <v>67</v>
      </c>
      <c r="F57" s="159" t="s">
        <v>526</v>
      </c>
      <c r="G57" s="160" t="s">
        <v>483</v>
      </c>
      <c r="H57" s="168" t="s">
        <v>1354</v>
      </c>
      <c r="I57" s="169">
        <v>239</v>
      </c>
      <c r="J57" s="159">
        <v>66.8</v>
      </c>
      <c r="K57" s="163">
        <v>66.599999999999994</v>
      </c>
      <c r="L57" s="164">
        <f t="shared" si="0"/>
        <v>133.39999999999998</v>
      </c>
      <c r="M57" s="165">
        <f t="shared" si="1"/>
        <v>0.55815899581589945</v>
      </c>
      <c r="N57" s="122"/>
    </row>
    <row r="58" spans="2:14" x14ac:dyDescent="0.25">
      <c r="B58" s="121"/>
      <c r="C58" s="159">
        <v>72</v>
      </c>
      <c r="D58" s="160">
        <v>9</v>
      </c>
      <c r="E58" s="160" t="s">
        <v>68</v>
      </c>
      <c r="F58" s="159" t="s">
        <v>526</v>
      </c>
      <c r="G58" s="160" t="s">
        <v>483</v>
      </c>
      <c r="H58" s="168" t="s">
        <v>41</v>
      </c>
      <c r="I58" s="169">
        <v>251</v>
      </c>
      <c r="J58" s="159">
        <v>72.599999999999994</v>
      </c>
      <c r="K58" s="163">
        <v>72.8</v>
      </c>
      <c r="L58" s="164">
        <f t="shared" si="0"/>
        <v>145.39999999999998</v>
      </c>
      <c r="M58" s="165">
        <f t="shared" si="1"/>
        <v>0.57928286852589628</v>
      </c>
      <c r="N58" s="122"/>
    </row>
    <row r="59" spans="2:14" x14ac:dyDescent="0.25">
      <c r="B59" s="121"/>
      <c r="C59" s="159">
        <v>73</v>
      </c>
      <c r="D59" s="159">
        <v>5</v>
      </c>
      <c r="E59" s="159" t="s">
        <v>67</v>
      </c>
      <c r="F59" s="159" t="s">
        <v>526</v>
      </c>
      <c r="G59" s="160" t="s">
        <v>483</v>
      </c>
      <c r="H59" s="168" t="s">
        <v>1355</v>
      </c>
      <c r="I59" s="169">
        <v>238</v>
      </c>
      <c r="J59" s="159">
        <v>67</v>
      </c>
      <c r="K59" s="163">
        <v>65.099999999999994</v>
      </c>
      <c r="L59" s="164">
        <f t="shared" si="0"/>
        <v>132.1</v>
      </c>
      <c r="M59" s="165">
        <f t="shared" si="1"/>
        <v>0.55504201680672272</v>
      </c>
      <c r="N59" s="122"/>
    </row>
    <row r="60" spans="2:14" x14ac:dyDescent="0.25">
      <c r="B60" s="121"/>
      <c r="C60" s="159">
        <v>74</v>
      </c>
      <c r="D60" s="159">
        <v>12</v>
      </c>
      <c r="E60" s="159" t="s">
        <v>68</v>
      </c>
      <c r="F60" s="159" t="s">
        <v>526</v>
      </c>
      <c r="G60" s="160" t="s">
        <v>483</v>
      </c>
      <c r="H60" s="168" t="s">
        <v>41</v>
      </c>
      <c r="I60" s="169">
        <v>265</v>
      </c>
      <c r="J60" s="159">
        <v>73</v>
      </c>
      <c r="K60" s="163">
        <v>72.7</v>
      </c>
      <c r="L60" s="164">
        <f t="shared" si="0"/>
        <v>145.69999999999999</v>
      </c>
      <c r="M60" s="165">
        <f t="shared" si="1"/>
        <v>0.54981132075471695</v>
      </c>
      <c r="N60" s="122"/>
    </row>
    <row r="61" spans="2:14" x14ac:dyDescent="0.25">
      <c r="B61" s="121"/>
      <c r="C61" s="159">
        <v>75</v>
      </c>
      <c r="D61" s="170">
        <v>19</v>
      </c>
      <c r="E61" s="170" t="s">
        <v>68</v>
      </c>
      <c r="F61" s="159" t="s">
        <v>526</v>
      </c>
      <c r="G61" s="171" t="s">
        <v>483</v>
      </c>
      <c r="H61" s="168" t="s">
        <v>41</v>
      </c>
      <c r="I61" s="169">
        <v>282</v>
      </c>
      <c r="J61" s="159">
        <v>76.599999999999994</v>
      </c>
      <c r="K61" s="163">
        <v>77.3</v>
      </c>
      <c r="L61" s="164">
        <f t="shared" si="0"/>
        <v>153.89999999999998</v>
      </c>
      <c r="M61" s="165">
        <f t="shared" si="1"/>
        <v>0.54574468085106376</v>
      </c>
      <c r="N61" s="122"/>
    </row>
    <row r="62" spans="2:14" x14ac:dyDescent="0.25">
      <c r="B62" s="121"/>
      <c r="C62" s="159">
        <v>76</v>
      </c>
      <c r="D62" s="170">
        <v>10</v>
      </c>
      <c r="E62" s="170" t="s">
        <v>68</v>
      </c>
      <c r="F62" s="159" t="s">
        <v>526</v>
      </c>
      <c r="G62" s="171" t="s">
        <v>483</v>
      </c>
      <c r="H62" s="168" t="s">
        <v>41</v>
      </c>
      <c r="I62" s="169">
        <v>323</v>
      </c>
      <c r="J62" s="159">
        <v>91.9</v>
      </c>
      <c r="K62" s="163">
        <v>91</v>
      </c>
      <c r="L62" s="164">
        <f t="shared" si="0"/>
        <v>182.9</v>
      </c>
      <c r="M62" s="165">
        <f t="shared" si="1"/>
        <v>0.56625386996904026</v>
      </c>
      <c r="N62" s="122"/>
    </row>
    <row r="63" spans="2:14" x14ac:dyDescent="0.25">
      <c r="B63" s="121"/>
      <c r="C63" s="159">
        <v>77</v>
      </c>
      <c r="D63" s="170">
        <v>20</v>
      </c>
      <c r="E63" s="170" t="s">
        <v>68</v>
      </c>
      <c r="F63" s="159" t="s">
        <v>526</v>
      </c>
      <c r="G63" s="171" t="s">
        <v>483</v>
      </c>
      <c r="H63" s="168" t="s">
        <v>1356</v>
      </c>
      <c r="I63" s="169">
        <v>250</v>
      </c>
      <c r="J63" s="159">
        <v>70.3</v>
      </c>
      <c r="K63" s="163">
        <v>69.3</v>
      </c>
      <c r="L63" s="164">
        <f t="shared" si="0"/>
        <v>139.6</v>
      </c>
      <c r="M63" s="165">
        <f t="shared" si="1"/>
        <v>0.55840000000000001</v>
      </c>
      <c r="N63" s="122"/>
    </row>
    <row r="64" spans="2:14" x14ac:dyDescent="0.25">
      <c r="B64" s="121"/>
      <c r="C64" s="159">
        <v>78</v>
      </c>
      <c r="D64" s="170">
        <v>21</v>
      </c>
      <c r="E64" s="170" t="s">
        <v>68</v>
      </c>
      <c r="F64" s="159" t="s">
        <v>526</v>
      </c>
      <c r="G64" s="170" t="s">
        <v>483</v>
      </c>
      <c r="H64" s="168" t="s">
        <v>1355</v>
      </c>
      <c r="I64" s="169">
        <v>277</v>
      </c>
      <c r="J64" s="159">
        <v>80.3</v>
      </c>
      <c r="K64" s="159">
        <v>80.2</v>
      </c>
      <c r="L64" s="164">
        <f t="shared" si="0"/>
        <v>160.5</v>
      </c>
      <c r="M64" s="165">
        <f t="shared" si="1"/>
        <v>0.57942238267148016</v>
      </c>
      <c r="N64" s="122"/>
    </row>
    <row r="65" spans="2:14" x14ac:dyDescent="0.25">
      <c r="B65" s="121"/>
      <c r="C65" s="159">
        <v>79</v>
      </c>
      <c r="D65" s="170">
        <v>23</v>
      </c>
      <c r="E65" s="170" t="s">
        <v>67</v>
      </c>
      <c r="F65" s="159" t="s">
        <v>526</v>
      </c>
      <c r="G65" s="170" t="s">
        <v>483</v>
      </c>
      <c r="H65" s="205" t="s">
        <v>41</v>
      </c>
      <c r="I65" s="169">
        <v>257</v>
      </c>
      <c r="J65" s="159">
        <v>71.7</v>
      </c>
      <c r="K65" s="159">
        <v>70.599999999999994</v>
      </c>
      <c r="L65" s="164">
        <f t="shared" si="0"/>
        <v>142.30000000000001</v>
      </c>
      <c r="M65" s="165">
        <f t="shared" si="1"/>
        <v>0.55369649805447474</v>
      </c>
      <c r="N65" s="122"/>
    </row>
    <row r="66" spans="2:14" x14ac:dyDescent="0.25">
      <c r="B66" s="121"/>
      <c r="C66" s="159">
        <v>80</v>
      </c>
      <c r="D66" s="170">
        <v>22</v>
      </c>
      <c r="E66" s="170" t="s">
        <v>68</v>
      </c>
      <c r="F66" s="159" t="s">
        <v>526</v>
      </c>
      <c r="G66" s="170" t="s">
        <v>483</v>
      </c>
      <c r="H66" s="168" t="s">
        <v>115</v>
      </c>
      <c r="I66" s="169">
        <v>240</v>
      </c>
      <c r="J66" s="159">
        <v>70.8</v>
      </c>
      <c r="K66" s="163">
        <v>69.900000000000006</v>
      </c>
      <c r="L66" s="164">
        <f t="shared" si="0"/>
        <v>140.69999999999999</v>
      </c>
      <c r="M66" s="165">
        <f t="shared" si="1"/>
        <v>0.58624999999999994</v>
      </c>
      <c r="N66" s="122"/>
    </row>
    <row r="67" spans="2:14" x14ac:dyDescent="0.25">
      <c r="B67" s="121"/>
      <c r="C67" s="172">
        <v>81</v>
      </c>
      <c r="D67" s="173">
        <v>26</v>
      </c>
      <c r="E67" s="173" t="s">
        <v>67</v>
      </c>
      <c r="F67" s="173" t="s">
        <v>526</v>
      </c>
      <c r="G67" s="173" t="s">
        <v>483</v>
      </c>
      <c r="H67" s="174" t="s">
        <v>1357</v>
      </c>
      <c r="I67" s="175">
        <v>237</v>
      </c>
      <c r="J67" s="172">
        <v>68.7</v>
      </c>
      <c r="K67" s="206">
        <v>68.7</v>
      </c>
      <c r="L67" s="176">
        <f t="shared" si="0"/>
        <v>137.4</v>
      </c>
      <c r="M67" s="177">
        <f t="shared" si="1"/>
        <v>0.57974683544303796</v>
      </c>
      <c r="N67" s="122"/>
    </row>
    <row r="68" spans="2:14" x14ac:dyDescent="0.25">
      <c r="B68" s="121"/>
      <c r="C68" s="286"/>
      <c r="D68" s="286">
        <f>+COUNT($D$22:$D$67)</f>
        <v>45</v>
      </c>
      <c r="E68" s="286"/>
      <c r="F68" s="373"/>
      <c r="G68" s="373"/>
      <c r="H68" s="149"/>
      <c r="I68" s="148">
        <f>SUM($I$22:$I$67)</f>
        <v>13763</v>
      </c>
      <c r="J68" s="150">
        <f>SUM($J$22:$J$67)</f>
        <v>3901.400000000001</v>
      </c>
      <c r="K68" s="151">
        <f>SUM($K$22:$K$67)</f>
        <v>3889.8</v>
      </c>
      <c r="L68" s="148">
        <f>SUM($L$22:$L$67)</f>
        <v>7791.199999999998</v>
      </c>
      <c r="M68" s="178">
        <f t="shared" si="1"/>
        <v>0.56609750781079693</v>
      </c>
      <c r="N68" s="122"/>
    </row>
    <row r="69" spans="2:14" ht="16.5" thickBot="1" x14ac:dyDescent="0.3">
      <c r="B69" s="129"/>
      <c r="C69" s="130"/>
      <c r="D69" s="130"/>
      <c r="E69" s="130"/>
      <c r="F69" s="130"/>
      <c r="G69" s="130"/>
      <c r="H69" s="131"/>
      <c r="I69" s="130"/>
      <c r="J69" s="131"/>
      <c r="K69" s="130"/>
      <c r="L69" s="130"/>
      <c r="M69" s="130"/>
      <c r="N69" s="132"/>
    </row>
    <row r="70" spans="2:14" ht="17.25" thickTop="1" thickBot="1" x14ac:dyDescent="0.3">
      <c r="B70" s="133"/>
      <c r="C70" s="133"/>
      <c r="D70" s="133"/>
      <c r="E70" s="133"/>
      <c r="F70" s="133"/>
      <c r="G70" s="133"/>
      <c r="H70" s="134"/>
      <c r="I70" s="133"/>
      <c r="J70" s="134"/>
      <c r="K70" s="133"/>
      <c r="L70" s="133"/>
      <c r="M70" s="133"/>
      <c r="N70" s="133"/>
    </row>
    <row r="71" spans="2:14" ht="16.5" thickTop="1" x14ac:dyDescent="0.25">
      <c r="B71" s="135"/>
      <c r="C71" s="133"/>
      <c r="D71" s="133"/>
      <c r="E71" s="133"/>
      <c r="F71" s="133"/>
      <c r="G71" s="133"/>
      <c r="H71" s="134"/>
      <c r="I71" s="133"/>
      <c r="J71" s="134"/>
      <c r="K71" s="133"/>
      <c r="L71" s="133"/>
      <c r="M71" s="133"/>
      <c r="N71" s="136"/>
    </row>
    <row r="72" spans="2:14" ht="32.25" customHeight="1" x14ac:dyDescent="0.25">
      <c r="B72" s="121"/>
      <c r="D72" s="374" t="s">
        <v>12</v>
      </c>
      <c r="E72" s="375"/>
      <c r="F72" s="375"/>
      <c r="G72" s="375"/>
      <c r="H72" s="180" t="s">
        <v>491</v>
      </c>
      <c r="I72" s="183" t="s">
        <v>489</v>
      </c>
      <c r="J72" s="200" t="s">
        <v>54</v>
      </c>
      <c r="K72" s="201" t="s">
        <v>492</v>
      </c>
      <c r="N72" s="122"/>
    </row>
    <row r="73" spans="2:14" x14ac:dyDescent="0.25">
      <c r="B73" s="121"/>
      <c r="D73" s="367" t="s">
        <v>59</v>
      </c>
      <c r="E73" s="368"/>
      <c r="F73" s="368"/>
      <c r="G73" s="368"/>
      <c r="H73" s="181">
        <v>99.660000000000011</v>
      </c>
      <c r="I73" s="119">
        <v>95.92</v>
      </c>
      <c r="J73" s="181"/>
      <c r="K73" s="185"/>
      <c r="N73" s="122"/>
    </row>
    <row r="74" spans="2:14" x14ac:dyDescent="0.25">
      <c r="B74" s="121"/>
      <c r="D74" s="367" t="s">
        <v>15</v>
      </c>
      <c r="E74" s="368"/>
      <c r="F74" s="368"/>
      <c r="G74" s="368"/>
      <c r="H74" s="181">
        <v>45</v>
      </c>
      <c r="I74" s="119">
        <v>55.660000000000004</v>
      </c>
      <c r="J74" s="181"/>
      <c r="K74" s="185"/>
      <c r="N74" s="122"/>
    </row>
    <row r="75" spans="2:14" x14ac:dyDescent="0.25">
      <c r="B75" s="121"/>
      <c r="D75" s="367" t="s">
        <v>13</v>
      </c>
      <c r="E75" s="368"/>
      <c r="F75" s="368"/>
      <c r="G75" s="368"/>
      <c r="H75" s="181">
        <v>45</v>
      </c>
      <c r="I75" s="119">
        <v>162.06</v>
      </c>
      <c r="J75" s="181"/>
      <c r="K75" s="185"/>
      <c r="N75" s="122"/>
    </row>
    <row r="76" spans="2:14" x14ac:dyDescent="0.25">
      <c r="B76" s="121"/>
      <c r="D76" s="367" t="s">
        <v>16</v>
      </c>
      <c r="E76" s="368"/>
      <c r="F76" s="368"/>
      <c r="G76" s="368"/>
      <c r="H76" s="181">
        <v>45</v>
      </c>
      <c r="I76" s="119">
        <v>19.760000000000002</v>
      </c>
      <c r="J76" s="181"/>
      <c r="K76" s="185"/>
      <c r="N76" s="122"/>
    </row>
    <row r="77" spans="2:14" x14ac:dyDescent="0.25">
      <c r="B77" s="121"/>
      <c r="D77" s="367" t="s">
        <v>60</v>
      </c>
      <c r="E77" s="368"/>
      <c r="F77" s="368"/>
      <c r="G77" s="368"/>
      <c r="H77" s="181">
        <v>24.72</v>
      </c>
      <c r="I77" s="119">
        <v>34.519999999999996</v>
      </c>
      <c r="J77" s="181"/>
      <c r="K77" s="185"/>
      <c r="N77" s="122"/>
    </row>
    <row r="78" spans="2:14" x14ac:dyDescent="0.25">
      <c r="B78" s="121"/>
      <c r="D78" s="367" t="s">
        <v>14</v>
      </c>
      <c r="E78" s="368"/>
      <c r="F78" s="368"/>
      <c r="G78" s="368"/>
      <c r="H78" s="181">
        <v>90</v>
      </c>
      <c r="I78" s="119">
        <v>31.22</v>
      </c>
      <c r="J78" s="181"/>
      <c r="K78" s="185"/>
      <c r="N78" s="122"/>
    </row>
    <row r="79" spans="2:14" x14ac:dyDescent="0.25">
      <c r="B79" s="121"/>
      <c r="D79" s="367" t="s">
        <v>20</v>
      </c>
      <c r="E79" s="368"/>
      <c r="F79" s="368"/>
      <c r="G79" s="368"/>
      <c r="H79" s="181">
        <v>0</v>
      </c>
      <c r="I79" s="119">
        <v>0</v>
      </c>
      <c r="J79" s="181"/>
      <c r="K79" s="185"/>
      <c r="N79" s="122"/>
    </row>
    <row r="80" spans="2:14" x14ac:dyDescent="0.25">
      <c r="B80" s="121"/>
      <c r="D80" s="367" t="s">
        <v>17</v>
      </c>
      <c r="E80" s="368"/>
      <c r="F80" s="368"/>
      <c r="G80" s="368"/>
      <c r="H80" s="181">
        <v>45</v>
      </c>
      <c r="I80" s="119">
        <v>27.18</v>
      </c>
      <c r="J80" s="181"/>
      <c r="K80" s="185"/>
      <c r="N80" s="122"/>
    </row>
    <row r="81" spans="2:14" x14ac:dyDescent="0.25">
      <c r="B81" s="121"/>
      <c r="D81" s="367" t="s">
        <v>61</v>
      </c>
      <c r="E81" s="368"/>
      <c r="F81" s="368"/>
      <c r="G81" s="368"/>
      <c r="H81" s="181">
        <v>45</v>
      </c>
      <c r="I81" s="119">
        <v>26.24</v>
      </c>
      <c r="J81" s="181"/>
      <c r="K81" s="185"/>
      <c r="N81" s="122"/>
    </row>
    <row r="82" spans="2:14" x14ac:dyDescent="0.25">
      <c r="B82" s="121"/>
      <c r="D82" s="367" t="s">
        <v>48</v>
      </c>
      <c r="E82" s="368"/>
      <c r="F82" s="368"/>
      <c r="G82" s="368"/>
      <c r="H82" s="181">
        <v>45.42</v>
      </c>
      <c r="I82" s="119">
        <v>47.02</v>
      </c>
      <c r="J82" s="181"/>
      <c r="K82" s="185"/>
      <c r="N82" s="122"/>
    </row>
    <row r="83" spans="2:14" x14ac:dyDescent="0.25">
      <c r="B83" s="121"/>
      <c r="D83" s="367" t="s">
        <v>19</v>
      </c>
      <c r="E83" s="368"/>
      <c r="F83" s="368"/>
      <c r="G83" s="368"/>
      <c r="H83" s="181">
        <v>45</v>
      </c>
      <c r="I83" s="119">
        <v>40.92</v>
      </c>
      <c r="J83" s="181"/>
      <c r="K83" s="185"/>
      <c r="N83" s="122"/>
    </row>
    <row r="84" spans="2:14" x14ac:dyDescent="0.25">
      <c r="B84" s="121"/>
      <c r="D84" s="367" t="s">
        <v>18</v>
      </c>
      <c r="E84" s="368"/>
      <c r="F84" s="368"/>
      <c r="G84" s="368"/>
      <c r="H84" s="181">
        <v>45</v>
      </c>
      <c r="I84" s="119">
        <v>13.66</v>
      </c>
      <c r="J84" s="181"/>
      <c r="K84" s="185"/>
      <c r="N84" s="122"/>
    </row>
    <row r="85" spans="2:14" x14ac:dyDescent="0.25">
      <c r="B85" s="121"/>
      <c r="D85" s="367" t="s">
        <v>49</v>
      </c>
      <c r="E85" s="368"/>
      <c r="F85" s="368"/>
      <c r="G85" s="368"/>
      <c r="H85" s="181">
        <v>0</v>
      </c>
      <c r="I85" s="119">
        <v>0</v>
      </c>
      <c r="J85" s="181"/>
      <c r="K85" s="185"/>
      <c r="N85" s="122"/>
    </row>
    <row r="86" spans="2:14" x14ac:dyDescent="0.25">
      <c r="B86" s="121"/>
      <c r="D86" s="370" t="s">
        <v>21</v>
      </c>
      <c r="E86" s="371"/>
      <c r="F86" s="371"/>
      <c r="G86" s="372"/>
      <c r="H86" s="182"/>
      <c r="I86" s="184">
        <f>SUM(I73:I85)</f>
        <v>554.16</v>
      </c>
      <c r="J86" s="187">
        <f>SUM(J73:J85)</f>
        <v>0</v>
      </c>
      <c r="K86" s="186">
        <f>SUM(K73:K85)</f>
        <v>0</v>
      </c>
      <c r="N86" s="122"/>
    </row>
    <row r="87" spans="2:14" ht="8.1" customHeight="1" thickBot="1" x14ac:dyDescent="0.3">
      <c r="B87" s="129"/>
      <c r="C87" s="130"/>
      <c r="D87" s="130"/>
      <c r="E87" s="130"/>
      <c r="F87" s="130"/>
      <c r="G87" s="130"/>
      <c r="H87" s="131"/>
      <c r="I87" s="130"/>
      <c r="J87" s="131"/>
      <c r="K87" s="130"/>
      <c r="L87" s="130"/>
      <c r="M87" s="130"/>
      <c r="N87" s="132"/>
    </row>
    <row r="88" spans="2:14" ht="16.5" thickTop="1" x14ac:dyDescent="0.25">
      <c r="B88" s="121"/>
      <c r="G88" s="137"/>
      <c r="H88" s="138"/>
      <c r="I88" s="137"/>
      <c r="J88" s="138"/>
      <c r="N88" s="122"/>
    </row>
    <row r="89" spans="2:14" ht="15.75" customHeight="1" x14ac:dyDescent="0.25">
      <c r="B89" s="121"/>
      <c r="F89" s="365" t="s">
        <v>22</v>
      </c>
      <c r="G89" s="365"/>
      <c r="H89" s="188" t="s">
        <v>33</v>
      </c>
      <c r="I89" s="180" t="s">
        <v>31</v>
      </c>
      <c r="N89" s="122"/>
    </row>
    <row r="90" spans="2:14" x14ac:dyDescent="0.25">
      <c r="B90" s="121"/>
      <c r="F90" s="366" t="s">
        <v>23</v>
      </c>
      <c r="G90" s="366"/>
      <c r="H90" s="190"/>
      <c r="I90" s="191"/>
      <c r="N90" s="122"/>
    </row>
    <row r="91" spans="2:14" x14ac:dyDescent="0.25">
      <c r="B91" s="121"/>
      <c r="F91" s="378" t="s">
        <v>24</v>
      </c>
      <c r="G91" s="378"/>
      <c r="H91" s="192">
        <f>+D68</f>
        <v>45</v>
      </c>
      <c r="I91" s="193"/>
      <c r="N91" s="122"/>
    </row>
    <row r="92" spans="2:14" x14ac:dyDescent="0.25">
      <c r="B92" s="121"/>
      <c r="F92" s="378" t="s">
        <v>34</v>
      </c>
      <c r="G92" s="378"/>
      <c r="H92" s="194"/>
      <c r="I92" s="193"/>
      <c r="N92" s="122"/>
    </row>
    <row r="93" spans="2:14" x14ac:dyDescent="0.25">
      <c r="B93" s="121"/>
      <c r="F93" s="378" t="s">
        <v>35</v>
      </c>
      <c r="G93" s="378"/>
      <c r="H93" s="194"/>
      <c r="I93" s="193"/>
      <c r="N93" s="122"/>
    </row>
    <row r="94" spans="2:14" x14ac:dyDescent="0.25">
      <c r="B94" s="121"/>
      <c r="F94" s="379" t="s">
        <v>29</v>
      </c>
      <c r="G94" s="379"/>
      <c r="H94" s="195"/>
      <c r="I94" s="196"/>
      <c r="N94" s="122"/>
    </row>
    <row r="95" spans="2:14" x14ac:dyDescent="0.25">
      <c r="B95" s="121"/>
      <c r="F95" s="380" t="s">
        <v>21</v>
      </c>
      <c r="G95" s="380"/>
      <c r="H95" s="189"/>
      <c r="I95" s="182">
        <f>SUM(I90:I94)</f>
        <v>0</v>
      </c>
      <c r="N95" s="122"/>
    </row>
    <row r="96" spans="2:14" ht="16.5" thickBot="1" x14ac:dyDescent="0.3">
      <c r="B96" s="129"/>
      <c r="C96" s="130"/>
      <c r="D96" s="130"/>
      <c r="E96" s="130"/>
      <c r="F96" s="130"/>
      <c r="G96" s="130"/>
      <c r="H96" s="131"/>
      <c r="I96" s="130"/>
      <c r="J96" s="131"/>
      <c r="K96" s="130"/>
      <c r="L96" s="130"/>
      <c r="M96" s="130"/>
      <c r="N96" s="132"/>
    </row>
    <row r="97" spans="9:9" ht="16.5" thickTop="1" x14ac:dyDescent="0.25">
      <c r="I97" s="139"/>
    </row>
  </sheetData>
  <mergeCells count="52">
    <mergeCell ref="F93:G93"/>
    <mergeCell ref="F94:G94"/>
    <mergeCell ref="F95:G95"/>
    <mergeCell ref="D85:G85"/>
    <mergeCell ref="D86:G86"/>
    <mergeCell ref="F89:G89"/>
    <mergeCell ref="F90:G90"/>
    <mergeCell ref="F91:G91"/>
    <mergeCell ref="F92:G92"/>
    <mergeCell ref="D84:G84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D82:G82"/>
    <mergeCell ref="D83:G83"/>
    <mergeCell ref="J21:J22"/>
    <mergeCell ref="K21:K22"/>
    <mergeCell ref="L21:L22"/>
    <mergeCell ref="M21:M22"/>
    <mergeCell ref="F68:G68"/>
    <mergeCell ref="H21:H22"/>
    <mergeCell ref="I21:I22"/>
    <mergeCell ref="D72:G72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7">
    <cfRule type="cellIs" dxfId="39" priority="1" operator="greaterThan">
      <formula>0.7</formula>
    </cfRule>
  </conditionalFormatting>
  <pageMargins left="0.59055118110236227" right="0" top="0" bottom="0" header="0.31496062992125984" footer="0.31496062992125984"/>
  <pageSetup paperSize="9" scale="61" orientation="portrait" r:id="rId1"/>
  <drawing r:id="rId2"/>
  <legacyDrawing r:id="rId3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F69" zoomScale="90" zoomScaleNormal="90" workbookViewId="0">
      <selection activeCell="I71" sqref="I71:I83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0.5721186181595842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207.93333333333331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1358</v>
      </c>
      <c r="F8" s="344"/>
      <c r="G8" s="344"/>
      <c r="H8" s="345"/>
      <c r="I8" s="146" t="s">
        <v>487</v>
      </c>
      <c r="J8" s="346" t="s">
        <v>1358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65705</v>
      </c>
      <c r="F9" s="344"/>
      <c r="G9" s="344"/>
      <c r="H9" s="345"/>
      <c r="I9" s="146" t="s">
        <v>88</v>
      </c>
      <c r="J9" s="209" t="s">
        <v>1359</v>
      </c>
      <c r="K9" s="290" t="s">
        <v>490</v>
      </c>
      <c r="L9" s="369" t="s">
        <v>1360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91" t="s">
        <v>569</v>
      </c>
      <c r="E12" s="384">
        <v>46063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68</v>
      </c>
      <c r="F13" s="349"/>
      <c r="H13" s="117"/>
      <c r="I13" s="123"/>
      <c r="J13" s="215" t="s">
        <v>483</v>
      </c>
      <c r="K13" s="292">
        <f>+COUNTIF($G$22:$G$66,"VQ")*2</f>
        <v>0</v>
      </c>
      <c r="L13" s="292">
        <f>+SUMIF($G$23:$G$65,"VQ",$L$23:$L$65)</f>
        <v>0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18</v>
      </c>
      <c r="F14" s="350"/>
      <c r="H14" s="117"/>
      <c r="I14" s="123"/>
      <c r="J14" s="215" t="s">
        <v>42</v>
      </c>
      <c r="K14" s="292">
        <f>+COUNTIF($G$22:$G$66,"NT")*2</f>
        <v>0</v>
      </c>
      <c r="L14" s="292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6542</v>
      </c>
      <c r="F15" s="350"/>
      <c r="H15" s="117"/>
      <c r="I15" s="123"/>
      <c r="J15" s="215" t="s">
        <v>484</v>
      </c>
      <c r="K15" s="292">
        <f>+COUNTIF($G$22:$G$66,"NO")*2</f>
        <v>0</v>
      </c>
      <c r="L15" s="292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3742.7999999999997</v>
      </c>
      <c r="F16" s="350"/>
      <c r="H16" s="117"/>
      <c r="I16" s="123"/>
      <c r="J16" s="215" t="s">
        <v>485</v>
      </c>
      <c r="K16" s="292">
        <f>+COUNTIF($G$22:$G$66,"TO")*2</f>
        <v>0</v>
      </c>
      <c r="L16" s="292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0.5721186181595842</v>
      </c>
      <c r="F17" s="350"/>
      <c r="G17" s="124"/>
      <c r="H17" s="125"/>
      <c r="I17" s="123"/>
      <c r="J17" s="215" t="s">
        <v>486</v>
      </c>
      <c r="K17" s="292">
        <f>+COUNTIF($G$22:$G$66,"VA")*2</f>
        <v>0</v>
      </c>
      <c r="L17" s="292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207.93333333333331</v>
      </c>
      <c r="F18" s="353"/>
      <c r="G18" s="124"/>
      <c r="H18" s="125"/>
      <c r="I18" s="123"/>
      <c r="J18" s="215" t="s">
        <v>44</v>
      </c>
      <c r="K18" s="292">
        <f>+COUNTIF($G$22:$G$66,"MEJ")*2</f>
        <v>36</v>
      </c>
      <c r="L18" s="292">
        <f>+SUMIF($G$23:$G$65,"MEJ",$L$23:$L$65)</f>
        <v>3742.7999999999997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51</v>
      </c>
      <c r="D23" s="152">
        <v>5</v>
      </c>
      <c r="E23" s="152" t="s">
        <v>68</v>
      </c>
      <c r="F23" s="152" t="s">
        <v>526</v>
      </c>
      <c r="G23" s="153" t="s">
        <v>44</v>
      </c>
      <c r="H23" s="154" t="s">
        <v>1361</v>
      </c>
      <c r="I23" s="155">
        <v>342</v>
      </c>
      <c r="J23" s="152">
        <v>98.1</v>
      </c>
      <c r="K23" s="156">
        <v>97.9</v>
      </c>
      <c r="L23" s="157">
        <f t="shared" ref="L23:L65" si="0">+J23+K23</f>
        <v>196</v>
      </c>
      <c r="M23" s="158">
        <f t="shared" ref="M23:M66" si="1">+L23/I23</f>
        <v>0.57309941520467833</v>
      </c>
      <c r="N23" s="122"/>
    </row>
    <row r="24" spans="2:14" x14ac:dyDescent="0.25">
      <c r="B24" s="121"/>
      <c r="C24" s="159">
        <v>52</v>
      </c>
      <c r="D24" s="159">
        <v>4</v>
      </c>
      <c r="E24" s="159" t="s">
        <v>68</v>
      </c>
      <c r="F24" s="159" t="s">
        <v>526</v>
      </c>
      <c r="G24" s="160" t="s">
        <v>44</v>
      </c>
      <c r="H24" s="161" t="s">
        <v>1362</v>
      </c>
      <c r="I24" s="162">
        <v>372</v>
      </c>
      <c r="J24" s="159">
        <v>107.4</v>
      </c>
      <c r="K24" s="163">
        <v>106</v>
      </c>
      <c r="L24" s="164">
        <f t="shared" si="0"/>
        <v>213.4</v>
      </c>
      <c r="M24" s="165">
        <f t="shared" si="1"/>
        <v>0.57365591397849469</v>
      </c>
      <c r="N24" s="122"/>
    </row>
    <row r="25" spans="2:14" x14ac:dyDescent="0.25">
      <c r="B25" s="121"/>
      <c r="C25" s="159">
        <v>53</v>
      </c>
      <c r="D25" s="159">
        <v>10</v>
      </c>
      <c r="E25" s="159" t="s">
        <v>68</v>
      </c>
      <c r="F25" s="159" t="s">
        <v>526</v>
      </c>
      <c r="G25" s="160" t="s">
        <v>44</v>
      </c>
      <c r="H25" s="161" t="s">
        <v>1363</v>
      </c>
      <c r="I25" s="162">
        <v>383</v>
      </c>
      <c r="J25" s="159">
        <v>114.4</v>
      </c>
      <c r="K25" s="163">
        <v>111.7</v>
      </c>
      <c r="L25" s="164">
        <f t="shared" si="0"/>
        <v>226.10000000000002</v>
      </c>
      <c r="M25" s="165">
        <f t="shared" si="1"/>
        <v>0.59033942558746744</v>
      </c>
      <c r="N25" s="122"/>
    </row>
    <row r="26" spans="2:14" x14ac:dyDescent="0.25">
      <c r="B26" s="121"/>
      <c r="C26" s="159">
        <v>54</v>
      </c>
      <c r="D26" s="159">
        <v>8</v>
      </c>
      <c r="E26" s="159" t="s">
        <v>68</v>
      </c>
      <c r="F26" s="159" t="s">
        <v>526</v>
      </c>
      <c r="G26" s="160" t="s">
        <v>44</v>
      </c>
      <c r="H26" s="161" t="s">
        <v>1364</v>
      </c>
      <c r="I26" s="162">
        <v>372</v>
      </c>
      <c r="J26" s="159">
        <v>102.9</v>
      </c>
      <c r="K26" s="163">
        <v>103.7</v>
      </c>
      <c r="L26" s="164">
        <f t="shared" si="0"/>
        <v>206.60000000000002</v>
      </c>
      <c r="M26" s="165">
        <f t="shared" si="1"/>
        <v>0.55537634408602155</v>
      </c>
      <c r="N26" s="122"/>
    </row>
    <row r="27" spans="2:14" x14ac:dyDescent="0.25">
      <c r="B27" s="121"/>
      <c r="C27" s="159">
        <v>55</v>
      </c>
      <c r="D27" s="159">
        <v>3</v>
      </c>
      <c r="E27" s="159" t="s">
        <v>68</v>
      </c>
      <c r="F27" s="159" t="s">
        <v>526</v>
      </c>
      <c r="G27" s="160" t="s">
        <v>44</v>
      </c>
      <c r="H27" s="161" t="s">
        <v>1365</v>
      </c>
      <c r="I27" s="162">
        <v>325</v>
      </c>
      <c r="J27" s="159">
        <v>86.7</v>
      </c>
      <c r="K27" s="163">
        <v>84.7</v>
      </c>
      <c r="L27" s="164">
        <f t="shared" si="0"/>
        <v>171.4</v>
      </c>
      <c r="M27" s="165">
        <f t="shared" si="1"/>
        <v>0.52738461538461545</v>
      </c>
      <c r="N27" s="122"/>
    </row>
    <row r="28" spans="2:14" x14ac:dyDescent="0.25">
      <c r="B28" s="121"/>
      <c r="C28" s="159">
        <v>56</v>
      </c>
      <c r="D28" s="159">
        <v>9</v>
      </c>
      <c r="E28" s="159" t="s">
        <v>68</v>
      </c>
      <c r="F28" s="159" t="s">
        <v>526</v>
      </c>
      <c r="G28" s="160" t="s">
        <v>44</v>
      </c>
      <c r="H28" s="161" t="s">
        <v>1366</v>
      </c>
      <c r="I28" s="162">
        <v>381</v>
      </c>
      <c r="J28" s="159">
        <v>110.7</v>
      </c>
      <c r="K28" s="163">
        <v>111.5</v>
      </c>
      <c r="L28" s="164">
        <f t="shared" si="0"/>
        <v>222.2</v>
      </c>
      <c r="M28" s="165">
        <f t="shared" si="1"/>
        <v>0.58320209973753279</v>
      </c>
      <c r="N28" s="122"/>
    </row>
    <row r="29" spans="2:14" x14ac:dyDescent="0.25">
      <c r="B29" s="121"/>
      <c r="C29" s="160">
        <v>57</v>
      </c>
      <c r="D29" s="160">
        <v>13</v>
      </c>
      <c r="E29" s="160" t="s">
        <v>68</v>
      </c>
      <c r="F29" s="160" t="s">
        <v>526</v>
      </c>
      <c r="G29" s="160" t="s">
        <v>44</v>
      </c>
      <c r="H29" s="161" t="s">
        <v>1367</v>
      </c>
      <c r="I29" s="162">
        <v>373</v>
      </c>
      <c r="J29" s="159">
        <v>105.2</v>
      </c>
      <c r="K29" s="163">
        <v>104.3</v>
      </c>
      <c r="L29" s="164">
        <f t="shared" si="0"/>
        <v>209.5</v>
      </c>
      <c r="M29" s="165">
        <f t="shared" si="1"/>
        <v>0.56166219839142095</v>
      </c>
      <c r="N29" s="122"/>
    </row>
    <row r="30" spans="2:14" x14ac:dyDescent="0.25">
      <c r="B30" s="121"/>
      <c r="C30" s="160">
        <v>58</v>
      </c>
      <c r="D30" s="160">
        <v>6</v>
      </c>
      <c r="E30" s="160" t="s">
        <v>68</v>
      </c>
      <c r="F30" s="160" t="s">
        <v>526</v>
      </c>
      <c r="G30" s="160" t="s">
        <v>44</v>
      </c>
      <c r="H30" s="161" t="s">
        <v>1368</v>
      </c>
      <c r="I30" s="162">
        <v>399</v>
      </c>
      <c r="J30" s="159">
        <v>116.2</v>
      </c>
      <c r="K30" s="163">
        <v>114.7</v>
      </c>
      <c r="L30" s="164">
        <f t="shared" si="0"/>
        <v>230.9</v>
      </c>
      <c r="M30" s="165">
        <f t="shared" si="1"/>
        <v>0.5786967418546366</v>
      </c>
      <c r="N30" s="122"/>
    </row>
    <row r="31" spans="2:14" x14ac:dyDescent="0.25">
      <c r="B31" s="121"/>
      <c r="C31" s="159">
        <v>59</v>
      </c>
      <c r="D31" s="159">
        <v>15</v>
      </c>
      <c r="E31" s="159" t="s">
        <v>68</v>
      </c>
      <c r="F31" s="159" t="s">
        <v>526</v>
      </c>
      <c r="G31" s="160" t="s">
        <v>44</v>
      </c>
      <c r="H31" s="161" t="s">
        <v>1369</v>
      </c>
      <c r="I31" s="162">
        <v>385</v>
      </c>
      <c r="J31" s="159">
        <v>112.6</v>
      </c>
      <c r="K31" s="163">
        <v>113.8</v>
      </c>
      <c r="L31" s="164">
        <f t="shared" si="0"/>
        <v>226.39999999999998</v>
      </c>
      <c r="M31" s="165">
        <f t="shared" si="1"/>
        <v>0.58805194805194805</v>
      </c>
      <c r="N31" s="122"/>
    </row>
    <row r="32" spans="2:14" x14ac:dyDescent="0.25">
      <c r="B32" s="121"/>
      <c r="C32" s="159">
        <v>60</v>
      </c>
      <c r="D32" s="159">
        <v>16</v>
      </c>
      <c r="E32" s="159" t="s">
        <v>67</v>
      </c>
      <c r="F32" s="159" t="s">
        <v>526</v>
      </c>
      <c r="G32" s="160" t="s">
        <v>44</v>
      </c>
      <c r="H32" s="161" t="s">
        <v>1370</v>
      </c>
      <c r="I32" s="162">
        <v>359</v>
      </c>
      <c r="J32" s="159">
        <v>101.5</v>
      </c>
      <c r="K32" s="163">
        <v>100.2</v>
      </c>
      <c r="L32" s="164">
        <f t="shared" si="0"/>
        <v>201.7</v>
      </c>
      <c r="M32" s="165">
        <f t="shared" si="1"/>
        <v>0.56183844011142059</v>
      </c>
      <c r="N32" s="122"/>
    </row>
    <row r="33" spans="2:14" x14ac:dyDescent="0.25">
      <c r="B33" s="121"/>
      <c r="C33" s="160">
        <v>61</v>
      </c>
      <c r="D33" s="160">
        <v>11</v>
      </c>
      <c r="E33" s="160" t="s">
        <v>68</v>
      </c>
      <c r="F33" s="160" t="s">
        <v>526</v>
      </c>
      <c r="G33" s="160" t="s">
        <v>44</v>
      </c>
      <c r="H33" s="161" t="s">
        <v>1371</v>
      </c>
      <c r="I33" s="162">
        <v>371</v>
      </c>
      <c r="J33" s="159">
        <v>106.2</v>
      </c>
      <c r="K33" s="163">
        <v>107.4</v>
      </c>
      <c r="L33" s="164">
        <f t="shared" si="0"/>
        <v>213.60000000000002</v>
      </c>
      <c r="M33" s="165">
        <f t="shared" si="1"/>
        <v>0.5757412398921834</v>
      </c>
      <c r="N33" s="122"/>
    </row>
    <row r="34" spans="2:14" x14ac:dyDescent="0.25">
      <c r="B34" s="121"/>
      <c r="C34" s="159">
        <v>62</v>
      </c>
      <c r="D34" s="159">
        <v>7</v>
      </c>
      <c r="E34" s="159" t="s">
        <v>68</v>
      </c>
      <c r="F34" s="159" t="s">
        <v>526</v>
      </c>
      <c r="G34" s="160" t="s">
        <v>44</v>
      </c>
      <c r="H34" s="161" t="s">
        <v>1372</v>
      </c>
      <c r="I34" s="162">
        <v>334</v>
      </c>
      <c r="J34" s="159">
        <v>91</v>
      </c>
      <c r="K34" s="166">
        <v>88.9</v>
      </c>
      <c r="L34" s="164">
        <f t="shared" si="0"/>
        <v>179.9</v>
      </c>
      <c r="M34" s="167">
        <f t="shared" si="1"/>
        <v>0.53862275449101793</v>
      </c>
      <c r="N34" s="122"/>
    </row>
    <row r="35" spans="2:14" x14ac:dyDescent="0.25">
      <c r="B35" s="121"/>
      <c r="C35" s="159">
        <v>63</v>
      </c>
      <c r="D35" s="159">
        <v>2</v>
      </c>
      <c r="E35" s="159" t="s">
        <v>75</v>
      </c>
      <c r="F35" s="159" t="s">
        <v>526</v>
      </c>
      <c r="G35" s="160" t="s">
        <v>44</v>
      </c>
      <c r="H35" s="161" t="s">
        <v>1373</v>
      </c>
      <c r="I35" s="162">
        <v>341</v>
      </c>
      <c r="J35" s="159">
        <v>97</v>
      </c>
      <c r="K35" s="163">
        <v>96.2</v>
      </c>
      <c r="L35" s="164">
        <f t="shared" si="0"/>
        <v>193.2</v>
      </c>
      <c r="M35" s="165">
        <f t="shared" si="1"/>
        <v>0.56656891495601169</v>
      </c>
      <c r="N35" s="122"/>
    </row>
    <row r="36" spans="2:14" x14ac:dyDescent="0.25">
      <c r="B36" s="121"/>
      <c r="C36" s="159">
        <v>64</v>
      </c>
      <c r="D36" s="159">
        <v>1</v>
      </c>
      <c r="E36" s="159" t="s">
        <v>67</v>
      </c>
      <c r="F36" s="159" t="s">
        <v>526</v>
      </c>
      <c r="G36" s="160" t="s">
        <v>44</v>
      </c>
      <c r="H36" s="161" t="s">
        <v>1374</v>
      </c>
      <c r="I36" s="162">
        <v>370</v>
      </c>
      <c r="J36" s="159">
        <v>107.4</v>
      </c>
      <c r="K36" s="163">
        <v>106.1</v>
      </c>
      <c r="L36" s="164">
        <f t="shared" si="0"/>
        <v>213.5</v>
      </c>
      <c r="M36" s="165">
        <f t="shared" si="1"/>
        <v>0.57702702702702702</v>
      </c>
      <c r="N36" s="122"/>
    </row>
    <row r="37" spans="2:14" x14ac:dyDescent="0.25">
      <c r="B37" s="121"/>
      <c r="C37" s="159">
        <v>65</v>
      </c>
      <c r="D37" s="159">
        <v>12</v>
      </c>
      <c r="E37" s="159" t="s">
        <v>68</v>
      </c>
      <c r="F37" s="159" t="s">
        <v>526</v>
      </c>
      <c r="G37" s="160" t="s">
        <v>44</v>
      </c>
      <c r="H37" s="161">
        <v>499</v>
      </c>
      <c r="I37" s="162">
        <v>355</v>
      </c>
      <c r="J37" s="159">
        <v>102.8</v>
      </c>
      <c r="K37" s="163">
        <v>101.2</v>
      </c>
      <c r="L37" s="164">
        <f t="shared" si="0"/>
        <v>204</v>
      </c>
      <c r="M37" s="165">
        <f t="shared" si="1"/>
        <v>0.57464788732394367</v>
      </c>
      <c r="N37" s="122"/>
    </row>
    <row r="38" spans="2:14" x14ac:dyDescent="0.25">
      <c r="B38" s="121"/>
      <c r="C38" s="159">
        <v>66</v>
      </c>
      <c r="D38" s="159">
        <v>18</v>
      </c>
      <c r="E38" s="159" t="s">
        <v>68</v>
      </c>
      <c r="F38" s="159" t="s">
        <v>526</v>
      </c>
      <c r="G38" s="159" t="s">
        <v>44</v>
      </c>
      <c r="H38" s="168" t="s">
        <v>1375</v>
      </c>
      <c r="I38" s="169">
        <v>378</v>
      </c>
      <c r="J38" s="159">
        <v>113.9</v>
      </c>
      <c r="K38" s="163">
        <v>112.9</v>
      </c>
      <c r="L38" s="164">
        <f t="shared" si="0"/>
        <v>226.8</v>
      </c>
      <c r="M38" s="165">
        <f t="shared" si="1"/>
        <v>0.6</v>
      </c>
      <c r="N38" s="122"/>
    </row>
    <row r="39" spans="2:14" x14ac:dyDescent="0.25">
      <c r="B39" s="121"/>
      <c r="C39" s="159">
        <v>67</v>
      </c>
      <c r="D39" s="159">
        <v>17</v>
      </c>
      <c r="E39" s="159" t="s">
        <v>67</v>
      </c>
      <c r="F39" s="159" t="s">
        <v>526</v>
      </c>
      <c r="G39" s="160" t="s">
        <v>44</v>
      </c>
      <c r="H39" s="161" t="s">
        <v>1376</v>
      </c>
      <c r="I39" s="162">
        <v>348</v>
      </c>
      <c r="J39" s="159">
        <v>98.6</v>
      </c>
      <c r="K39" s="163">
        <v>99.8</v>
      </c>
      <c r="L39" s="164">
        <f t="shared" si="0"/>
        <v>198.39999999999998</v>
      </c>
      <c r="M39" s="165">
        <f t="shared" si="1"/>
        <v>0.57011494252873551</v>
      </c>
      <c r="N39" s="122"/>
    </row>
    <row r="40" spans="2:14" x14ac:dyDescent="0.25">
      <c r="B40" s="121"/>
      <c r="C40" s="159">
        <v>68</v>
      </c>
      <c r="D40" s="159">
        <v>14</v>
      </c>
      <c r="E40" s="159" t="s">
        <v>67</v>
      </c>
      <c r="F40" s="159" t="s">
        <v>526</v>
      </c>
      <c r="G40" s="160" t="s">
        <v>44</v>
      </c>
      <c r="H40" s="161" t="s">
        <v>1377</v>
      </c>
      <c r="I40" s="162">
        <v>354</v>
      </c>
      <c r="J40" s="159">
        <v>104.5</v>
      </c>
      <c r="K40" s="163">
        <v>104.7</v>
      </c>
      <c r="L40" s="164">
        <f t="shared" si="0"/>
        <v>209.2</v>
      </c>
      <c r="M40" s="165">
        <f t="shared" si="1"/>
        <v>0.5909604519774011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93"/>
      <c r="D66" s="293">
        <f>+COUNT($D$22:$D$65)</f>
        <v>18</v>
      </c>
      <c r="E66" s="293"/>
      <c r="F66" s="373"/>
      <c r="G66" s="373"/>
      <c r="H66" s="149"/>
      <c r="I66" s="148">
        <f>SUM($I$22:$I$65)</f>
        <v>6542</v>
      </c>
      <c r="J66" s="150">
        <f>SUM($J$22:$J$65)</f>
        <v>1877.1000000000001</v>
      </c>
      <c r="K66" s="151">
        <f>SUM($K$22:$K$65)</f>
        <v>1865.7000000000003</v>
      </c>
      <c r="L66" s="148">
        <f>SUM($L$22:$L$65)</f>
        <v>3742.7999999999997</v>
      </c>
      <c r="M66" s="178">
        <f t="shared" si="1"/>
        <v>0.5721186181595842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44.8</v>
      </c>
      <c r="I71" s="119">
        <f>21.82+21.2</f>
        <v>43.019999999999996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18</v>
      </c>
      <c r="I72" s="119">
        <f>14.16+13.48</f>
        <v>27.64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18</v>
      </c>
      <c r="I73" s="119">
        <f>20.52+21.28+16.5+17.56</f>
        <v>75.86</v>
      </c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18</v>
      </c>
      <c r="I74" s="119">
        <v>18.5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12.94</v>
      </c>
      <c r="I75" s="119">
        <v>12.56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35</v>
      </c>
      <c r="I76" s="119">
        <v>15.12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18</v>
      </c>
      <c r="I77" s="119">
        <v>11.42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18</v>
      </c>
      <c r="I78" s="119">
        <v>14.92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18</v>
      </c>
      <c r="I79" s="119">
        <v>13.86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20.48</v>
      </c>
      <c r="I80" s="119">
        <v>22.02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18</v>
      </c>
      <c r="I81" s="119">
        <f>9.58+8.36</f>
        <v>17.939999999999998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18</v>
      </c>
      <c r="I82" s="119">
        <v>5.96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4.42</v>
      </c>
      <c r="I83" s="119">
        <v>9.1199999999999992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287.94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18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38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102"/>
  <sheetViews>
    <sheetView view="pageBreakPreview" topLeftCell="A67" zoomScale="60" zoomScaleNormal="90" workbookViewId="0">
      <selection activeCell="I78" sqref="I78:I90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+M73</f>
        <v>0.58624932707836663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+L73/D73</f>
        <v>304.92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296</v>
      </c>
      <c r="F8" s="344"/>
      <c r="G8" s="344"/>
      <c r="H8" s="345"/>
      <c r="I8" s="146" t="s">
        <v>487</v>
      </c>
      <c r="J8" s="346" t="s">
        <v>751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65705</v>
      </c>
      <c r="F9" s="344"/>
      <c r="G9" s="344"/>
      <c r="H9" s="345"/>
      <c r="I9" s="146" t="s">
        <v>88</v>
      </c>
      <c r="J9" s="209" t="s">
        <v>1413</v>
      </c>
      <c r="K9" s="290" t="s">
        <v>490</v>
      </c>
      <c r="L9" s="369">
        <v>9119277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91" t="s">
        <v>569</v>
      </c>
      <c r="E12" s="384">
        <v>46063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69</v>
      </c>
      <c r="F13" s="349"/>
      <c r="H13" s="117"/>
      <c r="I13" s="123"/>
      <c r="J13" s="215" t="s">
        <v>483</v>
      </c>
      <c r="K13" s="292">
        <f>+COUNTIF($G$22:$G$73,"VQ")*2</f>
        <v>16</v>
      </c>
      <c r="L13" s="292">
        <f>+SUMIF($G$23:$G$72,"VQ",$L$23:$L$72)</f>
        <v>2247.4</v>
      </c>
      <c r="N13" s="122"/>
    </row>
    <row r="14" spans="2:14" x14ac:dyDescent="0.25">
      <c r="B14" s="121"/>
      <c r="C14" s="348" t="s">
        <v>478</v>
      </c>
      <c r="D14" s="348"/>
      <c r="E14" s="350">
        <f>+D73</f>
        <v>50</v>
      </c>
      <c r="F14" s="350"/>
      <c r="H14" s="117"/>
      <c r="I14" s="123"/>
      <c r="J14" s="215" t="s">
        <v>42</v>
      </c>
      <c r="K14" s="292">
        <f>+COUNTIF($G$22:$G$73,"NT")*2</f>
        <v>0</v>
      </c>
      <c r="L14" s="292">
        <f>+SUMIF($G$23:$G$72,"NT",$L$23:$L$72)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+I73</f>
        <v>26006</v>
      </c>
      <c r="F15" s="350"/>
      <c r="H15" s="117"/>
      <c r="I15" s="123"/>
      <c r="J15" s="215" t="s">
        <v>484</v>
      </c>
      <c r="K15" s="292">
        <f>+COUNTIF($G$22:$G$73,"NO")*2</f>
        <v>74</v>
      </c>
      <c r="L15" s="292">
        <f>+SUMIF($G$23:$G$72,"NO",$L$23:$L$72)</f>
        <v>11538.800000000003</v>
      </c>
      <c r="N15" s="122"/>
    </row>
    <row r="16" spans="2:14" x14ac:dyDescent="0.25">
      <c r="B16" s="121"/>
      <c r="C16" s="348" t="s">
        <v>480</v>
      </c>
      <c r="D16" s="348"/>
      <c r="E16" s="351">
        <f>+L73</f>
        <v>15246.000000000002</v>
      </c>
      <c r="F16" s="350"/>
      <c r="H16" s="117"/>
      <c r="I16" s="123"/>
      <c r="J16" s="215" t="s">
        <v>485</v>
      </c>
      <c r="K16" s="292">
        <f>+COUNTIF($G$22:$G$73,"TO")*2</f>
        <v>0</v>
      </c>
      <c r="L16" s="292">
        <f>+SUMIF($G$23:$G$72,"TO",$L$23:$L$72)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+M73</f>
        <v>0.58624932707836663</v>
      </c>
      <c r="F17" s="350"/>
      <c r="G17" s="124"/>
      <c r="H17" s="125"/>
      <c r="I17" s="123"/>
      <c r="J17" s="215" t="s">
        <v>486</v>
      </c>
      <c r="K17" s="292">
        <f>+COUNTIF($G$22:$G$73,"VA")*2</f>
        <v>10</v>
      </c>
      <c r="L17" s="292">
        <f>+SUMIF($G$23:$G$72,"VA",$L$23:$L$72)</f>
        <v>1459.8</v>
      </c>
      <c r="N17" s="122"/>
    </row>
    <row r="18" spans="2:14" x14ac:dyDescent="0.25">
      <c r="B18" s="121"/>
      <c r="C18" s="348" t="s">
        <v>482</v>
      </c>
      <c r="D18" s="348"/>
      <c r="E18" s="353">
        <f>+L73/D73</f>
        <v>304.92</v>
      </c>
      <c r="F18" s="353"/>
      <c r="G18" s="124"/>
      <c r="H18" s="125"/>
      <c r="I18" s="123"/>
      <c r="J18" s="215" t="s">
        <v>44</v>
      </c>
      <c r="K18" s="292">
        <f>+COUNTIF($G$22:$G$73,"MEJ")*2</f>
        <v>0</v>
      </c>
      <c r="L18" s="292">
        <f>+SUMIF($G$23:$G$72,"MEJ",$L$23:$L$72)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</v>
      </c>
      <c r="D23" s="152">
        <v>40</v>
      </c>
      <c r="E23" s="152" t="s">
        <v>67</v>
      </c>
      <c r="F23" s="152" t="s">
        <v>750</v>
      </c>
      <c r="G23" s="153" t="s">
        <v>486</v>
      </c>
      <c r="H23" s="154" t="s">
        <v>1378</v>
      </c>
      <c r="I23" s="155">
        <v>504</v>
      </c>
      <c r="J23" s="152">
        <v>140.9</v>
      </c>
      <c r="K23" s="156">
        <v>137.30000000000001</v>
      </c>
      <c r="L23" s="157">
        <f t="shared" ref="L23:L72" si="0">+J23+K23</f>
        <v>278.20000000000005</v>
      </c>
      <c r="M23" s="158">
        <f t="shared" ref="M23:M73" si="1">+L23/I23</f>
        <v>0.55198412698412702</v>
      </c>
      <c r="N23" s="122"/>
    </row>
    <row r="24" spans="2:14" x14ac:dyDescent="0.25">
      <c r="B24" s="121"/>
      <c r="C24" s="159">
        <v>2</v>
      </c>
      <c r="D24" s="159">
        <v>29</v>
      </c>
      <c r="E24" s="159" t="s">
        <v>68</v>
      </c>
      <c r="F24" s="159" t="s">
        <v>750</v>
      </c>
      <c r="G24" s="160" t="s">
        <v>483</v>
      </c>
      <c r="H24" s="161" t="s">
        <v>1379</v>
      </c>
      <c r="I24" s="162">
        <v>508</v>
      </c>
      <c r="J24" s="159">
        <v>147.4</v>
      </c>
      <c r="K24" s="163">
        <v>147</v>
      </c>
      <c r="L24" s="164">
        <f t="shared" si="0"/>
        <v>294.39999999999998</v>
      </c>
      <c r="M24" s="165">
        <f t="shared" si="1"/>
        <v>0.5795275590551181</v>
      </c>
      <c r="N24" s="122"/>
    </row>
    <row r="25" spans="2:14" x14ac:dyDescent="0.25">
      <c r="B25" s="121"/>
      <c r="C25" s="159">
        <v>3</v>
      </c>
      <c r="D25" s="159">
        <v>42</v>
      </c>
      <c r="E25" s="159" t="s">
        <v>75</v>
      </c>
      <c r="F25" s="159" t="s">
        <v>750</v>
      </c>
      <c r="G25" s="160" t="s">
        <v>484</v>
      </c>
      <c r="H25" s="161" t="s">
        <v>1380</v>
      </c>
      <c r="I25" s="162">
        <v>520</v>
      </c>
      <c r="J25" s="159">
        <v>153.9</v>
      </c>
      <c r="K25" s="163">
        <v>152.30000000000001</v>
      </c>
      <c r="L25" s="164">
        <f t="shared" si="0"/>
        <v>306.20000000000005</v>
      </c>
      <c r="M25" s="165">
        <f t="shared" si="1"/>
        <v>0.58884615384615391</v>
      </c>
      <c r="N25" s="122"/>
    </row>
    <row r="26" spans="2:14" x14ac:dyDescent="0.25">
      <c r="B26" s="121"/>
      <c r="C26" s="159">
        <v>4</v>
      </c>
      <c r="D26" s="159">
        <v>48</v>
      </c>
      <c r="E26" s="159" t="s">
        <v>75</v>
      </c>
      <c r="F26" s="159" t="s">
        <v>750</v>
      </c>
      <c r="G26" s="160" t="s">
        <v>484</v>
      </c>
      <c r="H26" s="161" t="s">
        <v>1381</v>
      </c>
      <c r="I26" s="162">
        <v>514</v>
      </c>
      <c r="J26" s="159">
        <v>154.5</v>
      </c>
      <c r="K26" s="163">
        <v>155.9</v>
      </c>
      <c r="L26" s="164">
        <f t="shared" si="0"/>
        <v>310.39999999999998</v>
      </c>
      <c r="M26" s="165">
        <f t="shared" si="1"/>
        <v>0.60389105058365755</v>
      </c>
      <c r="N26" s="122"/>
    </row>
    <row r="27" spans="2:14" x14ac:dyDescent="0.25">
      <c r="B27" s="121"/>
      <c r="C27" s="159">
        <v>5</v>
      </c>
      <c r="D27" s="159">
        <v>32</v>
      </c>
      <c r="E27" s="159" t="s">
        <v>68</v>
      </c>
      <c r="F27" s="159" t="s">
        <v>750</v>
      </c>
      <c r="G27" s="160" t="s">
        <v>484</v>
      </c>
      <c r="H27" s="161" t="s">
        <v>1382</v>
      </c>
      <c r="I27" s="162">
        <v>526</v>
      </c>
      <c r="J27" s="159">
        <v>153.69999999999999</v>
      </c>
      <c r="K27" s="163">
        <v>152.1</v>
      </c>
      <c r="L27" s="164">
        <f t="shared" si="0"/>
        <v>305.79999999999995</v>
      </c>
      <c r="M27" s="165">
        <f t="shared" si="1"/>
        <v>0.58136882129277556</v>
      </c>
      <c r="N27" s="122"/>
    </row>
    <row r="28" spans="2:14" x14ac:dyDescent="0.25">
      <c r="B28" s="121"/>
      <c r="C28" s="159">
        <v>6</v>
      </c>
      <c r="D28" s="159">
        <v>47</v>
      </c>
      <c r="E28" s="159" t="s">
        <v>75</v>
      </c>
      <c r="F28" s="159" t="s">
        <v>750</v>
      </c>
      <c r="G28" s="160" t="s">
        <v>484</v>
      </c>
      <c r="H28" s="161" t="s">
        <v>1383</v>
      </c>
      <c r="I28" s="162">
        <v>518</v>
      </c>
      <c r="J28" s="159">
        <v>157.4</v>
      </c>
      <c r="K28" s="163">
        <v>155.30000000000001</v>
      </c>
      <c r="L28" s="164">
        <f t="shared" si="0"/>
        <v>312.70000000000005</v>
      </c>
      <c r="M28" s="165">
        <f t="shared" si="1"/>
        <v>0.60366795366795378</v>
      </c>
      <c r="N28" s="122"/>
    </row>
    <row r="29" spans="2:14" x14ac:dyDescent="0.25">
      <c r="B29" s="121"/>
      <c r="C29" s="160">
        <v>7</v>
      </c>
      <c r="D29" s="160">
        <v>24</v>
      </c>
      <c r="E29" s="160" t="s">
        <v>67</v>
      </c>
      <c r="F29" s="160" t="s">
        <v>526</v>
      </c>
      <c r="G29" s="160" t="s">
        <v>483</v>
      </c>
      <c r="H29" s="161" t="s">
        <v>41</v>
      </c>
      <c r="I29" s="162">
        <v>434</v>
      </c>
      <c r="J29" s="159">
        <v>128.6</v>
      </c>
      <c r="K29" s="163">
        <v>125.9</v>
      </c>
      <c r="L29" s="164">
        <f t="shared" si="0"/>
        <v>254.5</v>
      </c>
      <c r="M29" s="165">
        <f t="shared" si="1"/>
        <v>0.58640552995391704</v>
      </c>
      <c r="N29" s="122"/>
    </row>
    <row r="30" spans="2:14" x14ac:dyDescent="0.25">
      <c r="B30" s="121"/>
      <c r="C30" s="160">
        <v>8</v>
      </c>
      <c r="D30" s="160">
        <v>46</v>
      </c>
      <c r="E30" s="160" t="s">
        <v>75</v>
      </c>
      <c r="F30" s="160" t="s">
        <v>526</v>
      </c>
      <c r="G30" s="160" t="s">
        <v>484</v>
      </c>
      <c r="H30" s="161" t="s">
        <v>1384</v>
      </c>
      <c r="I30" s="162">
        <v>430</v>
      </c>
      <c r="J30" s="159">
        <v>134.80000000000001</v>
      </c>
      <c r="K30" s="163">
        <v>132.80000000000001</v>
      </c>
      <c r="L30" s="164">
        <f t="shared" si="0"/>
        <v>267.60000000000002</v>
      </c>
      <c r="M30" s="165">
        <f t="shared" si="1"/>
        <v>0.62232558139534888</v>
      </c>
      <c r="N30" s="122"/>
    </row>
    <row r="31" spans="2:14" x14ac:dyDescent="0.25">
      <c r="B31" s="121"/>
      <c r="C31" s="159">
        <v>9</v>
      </c>
      <c r="D31" s="159">
        <v>23</v>
      </c>
      <c r="E31" s="159" t="s">
        <v>68</v>
      </c>
      <c r="F31" s="159" t="s">
        <v>750</v>
      </c>
      <c r="G31" s="160" t="s">
        <v>486</v>
      </c>
      <c r="H31" s="161" t="s">
        <v>1385</v>
      </c>
      <c r="I31" s="162">
        <v>592</v>
      </c>
      <c r="J31" s="159">
        <v>153.6</v>
      </c>
      <c r="K31" s="163">
        <v>153</v>
      </c>
      <c r="L31" s="164">
        <f t="shared" si="0"/>
        <v>306.60000000000002</v>
      </c>
      <c r="M31" s="165">
        <f t="shared" si="1"/>
        <v>0.51790540540540542</v>
      </c>
      <c r="N31" s="122"/>
    </row>
    <row r="32" spans="2:14" x14ac:dyDescent="0.25">
      <c r="B32" s="121"/>
      <c r="C32" s="159">
        <v>10</v>
      </c>
      <c r="D32" s="159">
        <v>36</v>
      </c>
      <c r="E32" s="159" t="s">
        <v>67</v>
      </c>
      <c r="F32" s="159" t="s">
        <v>526</v>
      </c>
      <c r="G32" s="160" t="s">
        <v>483</v>
      </c>
      <c r="H32" s="161" t="s">
        <v>1386</v>
      </c>
      <c r="I32" s="162">
        <v>488</v>
      </c>
      <c r="J32" s="159">
        <v>145</v>
      </c>
      <c r="K32" s="163">
        <v>144.69999999999999</v>
      </c>
      <c r="L32" s="164">
        <f t="shared" si="0"/>
        <v>289.7</v>
      </c>
      <c r="M32" s="165">
        <f t="shared" si="1"/>
        <v>0.5936475409836065</v>
      </c>
      <c r="N32" s="122"/>
    </row>
    <row r="33" spans="2:14" x14ac:dyDescent="0.25">
      <c r="B33" s="121"/>
      <c r="C33" s="160">
        <v>11</v>
      </c>
      <c r="D33" s="160">
        <v>45</v>
      </c>
      <c r="E33" s="160" t="s">
        <v>75</v>
      </c>
      <c r="F33" s="160" t="s">
        <v>750</v>
      </c>
      <c r="G33" s="160" t="s">
        <v>484</v>
      </c>
      <c r="H33" s="161" t="s">
        <v>1387</v>
      </c>
      <c r="I33" s="162">
        <v>524</v>
      </c>
      <c r="J33" s="159">
        <v>149.30000000000001</v>
      </c>
      <c r="K33" s="163">
        <v>151</v>
      </c>
      <c r="L33" s="164">
        <f t="shared" si="0"/>
        <v>300.3</v>
      </c>
      <c r="M33" s="165">
        <f t="shared" si="1"/>
        <v>0.57309160305343509</v>
      </c>
      <c r="N33" s="122"/>
    </row>
    <row r="34" spans="2:14" x14ac:dyDescent="0.25">
      <c r="B34" s="121"/>
      <c r="C34" s="159">
        <v>12</v>
      </c>
      <c r="D34" s="159">
        <v>49</v>
      </c>
      <c r="E34" s="159" t="s">
        <v>68</v>
      </c>
      <c r="F34" s="159" t="s">
        <v>526</v>
      </c>
      <c r="G34" s="160" t="s">
        <v>483</v>
      </c>
      <c r="H34" s="161" t="s">
        <v>1388</v>
      </c>
      <c r="I34" s="162">
        <v>472</v>
      </c>
      <c r="J34" s="159">
        <v>140.30000000000001</v>
      </c>
      <c r="K34" s="166">
        <v>142.69999999999999</v>
      </c>
      <c r="L34" s="164">
        <f t="shared" si="0"/>
        <v>283</v>
      </c>
      <c r="M34" s="167">
        <f t="shared" si="1"/>
        <v>0.59957627118644063</v>
      </c>
      <c r="N34" s="122"/>
    </row>
    <row r="35" spans="2:14" x14ac:dyDescent="0.25">
      <c r="B35" s="121"/>
      <c r="C35" s="159">
        <v>13</v>
      </c>
      <c r="D35" s="159">
        <v>41</v>
      </c>
      <c r="E35" s="159" t="s">
        <v>68</v>
      </c>
      <c r="F35" s="159" t="s">
        <v>750</v>
      </c>
      <c r="G35" s="160" t="s">
        <v>486</v>
      </c>
      <c r="H35" s="161" t="s">
        <v>1389</v>
      </c>
      <c r="I35" s="162">
        <v>570</v>
      </c>
      <c r="J35" s="159">
        <v>154.30000000000001</v>
      </c>
      <c r="K35" s="163">
        <v>152.5</v>
      </c>
      <c r="L35" s="164">
        <f t="shared" si="0"/>
        <v>306.8</v>
      </c>
      <c r="M35" s="165">
        <f t="shared" si="1"/>
        <v>0.53824561403508775</v>
      </c>
      <c r="N35" s="122"/>
    </row>
    <row r="36" spans="2:14" x14ac:dyDescent="0.25">
      <c r="B36" s="121"/>
      <c r="C36" s="159">
        <v>14</v>
      </c>
      <c r="D36" s="159">
        <v>44</v>
      </c>
      <c r="E36" s="159" t="s">
        <v>68</v>
      </c>
      <c r="F36" s="159" t="s">
        <v>750</v>
      </c>
      <c r="G36" s="160" t="s">
        <v>484</v>
      </c>
      <c r="H36" s="161" t="s">
        <v>1390</v>
      </c>
      <c r="I36" s="162">
        <v>528</v>
      </c>
      <c r="J36" s="159">
        <v>155.6</v>
      </c>
      <c r="K36" s="163">
        <v>154.19999999999999</v>
      </c>
      <c r="L36" s="164">
        <f t="shared" si="0"/>
        <v>309.79999999999995</v>
      </c>
      <c r="M36" s="165">
        <f t="shared" si="1"/>
        <v>0.58674242424242418</v>
      </c>
      <c r="N36" s="122"/>
    </row>
    <row r="37" spans="2:14" x14ac:dyDescent="0.25">
      <c r="B37" s="121"/>
      <c r="C37" s="159">
        <v>15</v>
      </c>
      <c r="D37" s="159">
        <v>31</v>
      </c>
      <c r="E37" s="159" t="s">
        <v>75</v>
      </c>
      <c r="F37" s="159" t="s">
        <v>750</v>
      </c>
      <c r="G37" s="160" t="s">
        <v>484</v>
      </c>
      <c r="H37" s="161" t="s">
        <v>1391</v>
      </c>
      <c r="I37" s="162">
        <v>518</v>
      </c>
      <c r="J37" s="159">
        <v>155.80000000000001</v>
      </c>
      <c r="K37" s="163">
        <v>153.4</v>
      </c>
      <c r="L37" s="164">
        <f t="shared" si="0"/>
        <v>309.20000000000005</v>
      </c>
      <c r="M37" s="165">
        <f t="shared" si="1"/>
        <v>0.59691119691119698</v>
      </c>
      <c r="N37" s="122"/>
    </row>
    <row r="38" spans="2:14" x14ac:dyDescent="0.25">
      <c r="B38" s="121"/>
      <c r="C38" s="159">
        <v>16</v>
      </c>
      <c r="D38" s="159">
        <v>27</v>
      </c>
      <c r="E38" s="159" t="s">
        <v>75</v>
      </c>
      <c r="F38" s="159" t="s">
        <v>750</v>
      </c>
      <c r="G38" s="159" t="s">
        <v>484</v>
      </c>
      <c r="H38" s="168" t="s">
        <v>1392</v>
      </c>
      <c r="I38" s="169">
        <v>542</v>
      </c>
      <c r="J38" s="159">
        <v>164.7</v>
      </c>
      <c r="K38" s="163">
        <v>164.7</v>
      </c>
      <c r="L38" s="164">
        <f t="shared" si="0"/>
        <v>329.4</v>
      </c>
      <c r="M38" s="165">
        <f t="shared" si="1"/>
        <v>0.60774907749077489</v>
      </c>
      <c r="N38" s="122"/>
    </row>
    <row r="39" spans="2:14" x14ac:dyDescent="0.25">
      <c r="B39" s="121"/>
      <c r="C39" s="159">
        <v>17</v>
      </c>
      <c r="D39" s="159">
        <v>33</v>
      </c>
      <c r="E39" s="159" t="s">
        <v>67</v>
      </c>
      <c r="F39" s="159" t="s">
        <v>526</v>
      </c>
      <c r="G39" s="160" t="s">
        <v>483</v>
      </c>
      <c r="H39" s="161" t="s">
        <v>1393</v>
      </c>
      <c r="I39" s="162">
        <v>454</v>
      </c>
      <c r="J39" s="159">
        <v>138.9</v>
      </c>
      <c r="K39" s="163">
        <v>135.9</v>
      </c>
      <c r="L39" s="164">
        <f t="shared" si="0"/>
        <v>274.8</v>
      </c>
      <c r="M39" s="165">
        <f t="shared" si="1"/>
        <v>0.6052863436123348</v>
      </c>
      <c r="N39" s="122"/>
    </row>
    <row r="40" spans="2:14" x14ac:dyDescent="0.25">
      <c r="B40" s="121"/>
      <c r="C40" s="159">
        <v>18</v>
      </c>
      <c r="D40" s="159">
        <v>34</v>
      </c>
      <c r="E40" s="159" t="s">
        <v>75</v>
      </c>
      <c r="F40" s="159" t="s">
        <v>750</v>
      </c>
      <c r="G40" s="160" t="s">
        <v>483</v>
      </c>
      <c r="H40" s="161" t="s">
        <v>499</v>
      </c>
      <c r="I40" s="162">
        <v>489</v>
      </c>
      <c r="J40" s="159">
        <v>144.9</v>
      </c>
      <c r="K40" s="163">
        <v>143.19999999999999</v>
      </c>
      <c r="L40" s="164">
        <f t="shared" si="0"/>
        <v>288.10000000000002</v>
      </c>
      <c r="M40" s="165">
        <f t="shared" si="1"/>
        <v>0.58916155419222904</v>
      </c>
      <c r="N40" s="122"/>
    </row>
    <row r="41" spans="2:14" x14ac:dyDescent="0.25">
      <c r="B41" s="121"/>
      <c r="C41" s="159">
        <v>19</v>
      </c>
      <c r="D41" s="159">
        <v>39</v>
      </c>
      <c r="E41" s="159" t="s">
        <v>75</v>
      </c>
      <c r="F41" s="159" t="s">
        <v>750</v>
      </c>
      <c r="G41" s="160" t="s">
        <v>484</v>
      </c>
      <c r="H41" s="161" t="s">
        <v>1394</v>
      </c>
      <c r="I41" s="162">
        <v>542</v>
      </c>
      <c r="J41" s="159">
        <v>154.9</v>
      </c>
      <c r="K41" s="163">
        <v>153.69999999999999</v>
      </c>
      <c r="L41" s="164">
        <f t="shared" si="0"/>
        <v>308.60000000000002</v>
      </c>
      <c r="M41" s="165">
        <f t="shared" si="1"/>
        <v>0.56937269372693733</v>
      </c>
      <c r="N41" s="122"/>
    </row>
    <row r="42" spans="2:14" x14ac:dyDescent="0.25">
      <c r="B42" s="121"/>
      <c r="C42" s="160">
        <v>20</v>
      </c>
      <c r="D42" s="160">
        <v>35</v>
      </c>
      <c r="E42" s="160" t="s">
        <v>75</v>
      </c>
      <c r="F42" s="160" t="s">
        <v>526</v>
      </c>
      <c r="G42" s="160" t="s">
        <v>483</v>
      </c>
      <c r="H42" s="161" t="s">
        <v>1395</v>
      </c>
      <c r="I42" s="162">
        <v>495</v>
      </c>
      <c r="J42" s="159">
        <v>145.1</v>
      </c>
      <c r="K42" s="163">
        <v>145.6</v>
      </c>
      <c r="L42" s="164">
        <f t="shared" si="0"/>
        <v>290.7</v>
      </c>
      <c r="M42" s="165">
        <f t="shared" si="1"/>
        <v>0.58727272727272728</v>
      </c>
      <c r="N42" s="122"/>
    </row>
    <row r="43" spans="2:14" x14ac:dyDescent="0.25">
      <c r="B43" s="121"/>
      <c r="C43" s="159">
        <v>21</v>
      </c>
      <c r="D43" s="159">
        <v>30</v>
      </c>
      <c r="E43" s="159" t="s">
        <v>67</v>
      </c>
      <c r="F43" s="159" t="s">
        <v>750</v>
      </c>
      <c r="G43" s="160" t="s">
        <v>484</v>
      </c>
      <c r="H43" s="161" t="s">
        <v>384</v>
      </c>
      <c r="I43" s="162">
        <v>520</v>
      </c>
      <c r="J43" s="159">
        <v>154.1</v>
      </c>
      <c r="K43" s="163">
        <v>153.4</v>
      </c>
      <c r="L43" s="164">
        <f t="shared" si="0"/>
        <v>307.5</v>
      </c>
      <c r="M43" s="165">
        <f t="shared" si="1"/>
        <v>0.59134615384615385</v>
      </c>
      <c r="N43" s="122"/>
    </row>
    <row r="44" spans="2:14" x14ac:dyDescent="0.25">
      <c r="B44" s="121"/>
      <c r="C44" s="160">
        <v>22</v>
      </c>
      <c r="D44" s="160">
        <v>26</v>
      </c>
      <c r="E44" s="160" t="s">
        <v>75</v>
      </c>
      <c r="F44" s="159" t="s">
        <v>750</v>
      </c>
      <c r="G44" s="160" t="s">
        <v>484</v>
      </c>
      <c r="H44" s="161" t="s">
        <v>305</v>
      </c>
      <c r="I44" s="162">
        <v>534</v>
      </c>
      <c r="J44" s="159">
        <v>153.69999999999999</v>
      </c>
      <c r="K44" s="163">
        <v>150.5</v>
      </c>
      <c r="L44" s="164">
        <f t="shared" si="0"/>
        <v>304.2</v>
      </c>
      <c r="M44" s="165">
        <f t="shared" si="1"/>
        <v>0.56966292134831453</v>
      </c>
      <c r="N44" s="122"/>
    </row>
    <row r="45" spans="2:14" x14ac:dyDescent="0.25">
      <c r="B45" s="121"/>
      <c r="C45" s="160">
        <v>23</v>
      </c>
      <c r="D45" s="160">
        <v>37</v>
      </c>
      <c r="E45" s="160" t="s">
        <v>75</v>
      </c>
      <c r="F45" s="160" t="s">
        <v>526</v>
      </c>
      <c r="G45" s="160" t="s">
        <v>484</v>
      </c>
      <c r="H45" s="161" t="s">
        <v>603</v>
      </c>
      <c r="I45" s="162">
        <v>480</v>
      </c>
      <c r="J45" s="159">
        <v>143.9</v>
      </c>
      <c r="K45" s="163">
        <v>141.9</v>
      </c>
      <c r="L45" s="164">
        <f t="shared" si="0"/>
        <v>285.8</v>
      </c>
      <c r="M45" s="165">
        <f t="shared" si="1"/>
        <v>0.59541666666666671</v>
      </c>
      <c r="N45" s="122"/>
    </row>
    <row r="46" spans="2:14" x14ac:dyDescent="0.25">
      <c r="B46" s="121"/>
      <c r="C46" s="160">
        <v>24</v>
      </c>
      <c r="D46" s="160">
        <v>38</v>
      </c>
      <c r="E46" s="160" t="s">
        <v>68</v>
      </c>
      <c r="F46" s="160" t="s">
        <v>526</v>
      </c>
      <c r="G46" s="160" t="s">
        <v>483</v>
      </c>
      <c r="H46" s="161" t="s">
        <v>1386</v>
      </c>
      <c r="I46" s="162">
        <v>465</v>
      </c>
      <c r="J46" s="159">
        <v>137</v>
      </c>
      <c r="K46" s="163">
        <v>135.19999999999999</v>
      </c>
      <c r="L46" s="164">
        <f t="shared" si="0"/>
        <v>272.2</v>
      </c>
      <c r="M46" s="165">
        <f t="shared" si="1"/>
        <v>0.58537634408602146</v>
      </c>
      <c r="N46" s="122"/>
    </row>
    <row r="47" spans="2:14" x14ac:dyDescent="0.25">
      <c r="B47" s="121"/>
      <c r="C47" s="160">
        <v>25</v>
      </c>
      <c r="D47" s="160">
        <v>43</v>
      </c>
      <c r="E47" s="160" t="s">
        <v>67</v>
      </c>
      <c r="F47" s="159" t="s">
        <v>750</v>
      </c>
      <c r="G47" s="160" t="s">
        <v>484</v>
      </c>
      <c r="H47" s="161" t="s">
        <v>93</v>
      </c>
      <c r="I47" s="162">
        <v>560</v>
      </c>
      <c r="J47" s="159">
        <v>160.9</v>
      </c>
      <c r="K47" s="163">
        <v>157.5</v>
      </c>
      <c r="L47" s="164">
        <f t="shared" si="0"/>
        <v>318.39999999999998</v>
      </c>
      <c r="M47" s="165">
        <f t="shared" si="1"/>
        <v>0.56857142857142851</v>
      </c>
      <c r="N47" s="122"/>
    </row>
    <row r="48" spans="2:14" x14ac:dyDescent="0.25">
      <c r="B48" s="121"/>
      <c r="C48" s="160">
        <v>26</v>
      </c>
      <c r="D48" s="160">
        <v>25</v>
      </c>
      <c r="E48" s="160" t="s">
        <v>75</v>
      </c>
      <c r="F48" s="159" t="s">
        <v>750</v>
      </c>
      <c r="G48" s="160" t="s">
        <v>484</v>
      </c>
      <c r="H48" s="161" t="s">
        <v>1396</v>
      </c>
      <c r="I48" s="162">
        <v>504</v>
      </c>
      <c r="J48" s="159">
        <v>149.6</v>
      </c>
      <c r="K48" s="163">
        <v>148.5</v>
      </c>
      <c r="L48" s="164">
        <f t="shared" si="0"/>
        <v>298.10000000000002</v>
      </c>
      <c r="M48" s="165">
        <f t="shared" si="1"/>
        <v>0.59146825396825398</v>
      </c>
      <c r="N48" s="122"/>
    </row>
    <row r="49" spans="2:14" x14ac:dyDescent="0.25">
      <c r="B49" s="121"/>
      <c r="C49" s="160">
        <v>27</v>
      </c>
      <c r="D49" s="160">
        <v>28</v>
      </c>
      <c r="E49" s="160" t="s">
        <v>68</v>
      </c>
      <c r="F49" s="159" t="s">
        <v>750</v>
      </c>
      <c r="G49" s="160" t="s">
        <v>486</v>
      </c>
      <c r="H49" s="161" t="s">
        <v>1397</v>
      </c>
      <c r="I49" s="162">
        <v>477</v>
      </c>
      <c r="J49" s="159">
        <v>132.5</v>
      </c>
      <c r="K49" s="163">
        <v>132.4</v>
      </c>
      <c r="L49" s="164">
        <f t="shared" si="0"/>
        <v>264.89999999999998</v>
      </c>
      <c r="M49" s="165">
        <f t="shared" si="1"/>
        <v>0.55534591194968552</v>
      </c>
      <c r="N49" s="122"/>
    </row>
    <row r="50" spans="2:14" x14ac:dyDescent="0.25">
      <c r="B50" s="121"/>
      <c r="C50" s="159">
        <v>28</v>
      </c>
      <c r="D50" s="159">
        <v>50</v>
      </c>
      <c r="E50" s="159" t="s">
        <v>67</v>
      </c>
      <c r="F50" s="159" t="s">
        <v>750</v>
      </c>
      <c r="G50" s="160" t="s">
        <v>486</v>
      </c>
      <c r="H50" s="161" t="s">
        <v>1398</v>
      </c>
      <c r="I50" s="162">
        <v>558</v>
      </c>
      <c r="J50" s="159">
        <v>152</v>
      </c>
      <c r="K50" s="163">
        <v>151.30000000000001</v>
      </c>
      <c r="L50" s="164">
        <f t="shared" si="0"/>
        <v>303.3</v>
      </c>
      <c r="M50" s="165">
        <f t="shared" si="1"/>
        <v>0.54354838709677422</v>
      </c>
      <c r="N50" s="122"/>
    </row>
    <row r="51" spans="2:14" x14ac:dyDescent="0.25">
      <c r="B51" s="121"/>
      <c r="C51" s="159">
        <v>29</v>
      </c>
      <c r="D51" s="159">
        <v>3</v>
      </c>
      <c r="E51" s="159" t="s">
        <v>68</v>
      </c>
      <c r="F51" s="159" t="s">
        <v>750</v>
      </c>
      <c r="G51" s="160" t="s">
        <v>484</v>
      </c>
      <c r="H51" s="168" t="s">
        <v>622</v>
      </c>
      <c r="I51" s="169">
        <v>542</v>
      </c>
      <c r="J51" s="159">
        <v>164.3</v>
      </c>
      <c r="K51" s="163">
        <v>166.6</v>
      </c>
      <c r="L51" s="164">
        <f t="shared" si="0"/>
        <v>330.9</v>
      </c>
      <c r="M51" s="165">
        <f t="shared" si="1"/>
        <v>0.61051660516605166</v>
      </c>
      <c r="N51" s="122"/>
    </row>
    <row r="52" spans="2:14" x14ac:dyDescent="0.25">
      <c r="B52" s="121"/>
      <c r="C52" s="159">
        <v>30</v>
      </c>
      <c r="D52" s="160">
        <v>5</v>
      </c>
      <c r="E52" s="160" t="s">
        <v>67</v>
      </c>
      <c r="F52" s="159" t="s">
        <v>750</v>
      </c>
      <c r="G52" s="160" t="s">
        <v>484</v>
      </c>
      <c r="H52" s="168" t="s">
        <v>41</v>
      </c>
      <c r="I52" s="169">
        <v>524</v>
      </c>
      <c r="J52" s="159">
        <v>156.19999999999999</v>
      </c>
      <c r="K52" s="163">
        <v>157.4</v>
      </c>
      <c r="L52" s="164">
        <f t="shared" si="0"/>
        <v>313.60000000000002</v>
      </c>
      <c r="M52" s="165">
        <f t="shared" si="1"/>
        <v>0.59847328244274811</v>
      </c>
      <c r="N52" s="122"/>
    </row>
    <row r="53" spans="2:14" x14ac:dyDescent="0.25">
      <c r="B53" s="121"/>
      <c r="C53" s="159">
        <v>31</v>
      </c>
      <c r="D53" s="160">
        <v>16</v>
      </c>
      <c r="E53" s="160" t="s">
        <v>75</v>
      </c>
      <c r="F53" s="159" t="s">
        <v>750</v>
      </c>
      <c r="G53" s="160" t="s">
        <v>484</v>
      </c>
      <c r="H53" s="168" t="s">
        <v>1399</v>
      </c>
      <c r="I53" s="169">
        <v>534</v>
      </c>
      <c r="J53" s="159">
        <v>159.4</v>
      </c>
      <c r="K53" s="163">
        <v>157.69999999999999</v>
      </c>
      <c r="L53" s="164">
        <f t="shared" ref="L53:L59" si="2">+J53+K53</f>
        <v>317.10000000000002</v>
      </c>
      <c r="M53" s="165">
        <f t="shared" ref="M53:M59" si="3">+L53/I53</f>
        <v>0.59382022471910112</v>
      </c>
      <c r="N53" s="122"/>
    </row>
    <row r="54" spans="2:14" x14ac:dyDescent="0.25">
      <c r="B54" s="121"/>
      <c r="C54" s="159">
        <v>32</v>
      </c>
      <c r="D54" s="160">
        <v>12</v>
      </c>
      <c r="E54" s="160" t="s">
        <v>75</v>
      </c>
      <c r="F54" s="159" t="s">
        <v>750</v>
      </c>
      <c r="G54" s="160" t="s">
        <v>484</v>
      </c>
      <c r="H54" s="168" t="s">
        <v>208</v>
      </c>
      <c r="I54" s="169">
        <v>516</v>
      </c>
      <c r="J54" s="159">
        <v>152.9</v>
      </c>
      <c r="K54" s="163">
        <v>152.1</v>
      </c>
      <c r="L54" s="164">
        <f t="shared" si="2"/>
        <v>305</v>
      </c>
      <c r="M54" s="165">
        <f t="shared" si="3"/>
        <v>0.59108527131782951</v>
      </c>
      <c r="N54" s="122"/>
    </row>
    <row r="55" spans="2:14" x14ac:dyDescent="0.25">
      <c r="B55" s="121"/>
      <c r="C55" s="159">
        <v>33</v>
      </c>
      <c r="D55" s="160">
        <v>14</v>
      </c>
      <c r="E55" s="160" t="s">
        <v>67</v>
      </c>
      <c r="F55" s="159" t="s">
        <v>750</v>
      </c>
      <c r="G55" s="160" t="s">
        <v>484</v>
      </c>
      <c r="H55" s="168" t="s">
        <v>1400</v>
      </c>
      <c r="I55" s="169">
        <v>552</v>
      </c>
      <c r="J55" s="159">
        <v>163.6</v>
      </c>
      <c r="K55" s="163">
        <v>163.30000000000001</v>
      </c>
      <c r="L55" s="164">
        <f t="shared" si="2"/>
        <v>326.89999999999998</v>
      </c>
      <c r="M55" s="165">
        <f t="shared" si="3"/>
        <v>0.59221014492753621</v>
      </c>
      <c r="N55" s="122"/>
    </row>
    <row r="56" spans="2:14" x14ac:dyDescent="0.25">
      <c r="B56" s="121"/>
      <c r="C56" s="159">
        <v>34</v>
      </c>
      <c r="D56" s="160">
        <v>4</v>
      </c>
      <c r="E56" s="160" t="s">
        <v>75</v>
      </c>
      <c r="F56" s="159" t="s">
        <v>750</v>
      </c>
      <c r="G56" s="160" t="s">
        <v>484</v>
      </c>
      <c r="H56" s="168" t="s">
        <v>1401</v>
      </c>
      <c r="I56" s="169">
        <v>542</v>
      </c>
      <c r="J56" s="159">
        <v>159.80000000000001</v>
      </c>
      <c r="K56" s="163">
        <v>159.4</v>
      </c>
      <c r="L56" s="164">
        <f t="shared" si="2"/>
        <v>319.20000000000005</v>
      </c>
      <c r="M56" s="165">
        <f t="shared" si="3"/>
        <v>0.58892988929889312</v>
      </c>
      <c r="N56" s="122"/>
    </row>
    <row r="57" spans="2:14" x14ac:dyDescent="0.25">
      <c r="B57" s="121"/>
      <c r="C57" s="159">
        <v>35</v>
      </c>
      <c r="D57" s="160">
        <v>10</v>
      </c>
      <c r="E57" s="160" t="s">
        <v>68</v>
      </c>
      <c r="F57" s="159" t="s">
        <v>750</v>
      </c>
      <c r="G57" s="160" t="s">
        <v>484</v>
      </c>
      <c r="H57" s="168" t="s">
        <v>1402</v>
      </c>
      <c r="I57" s="169">
        <v>508</v>
      </c>
      <c r="J57" s="159">
        <v>152.69999999999999</v>
      </c>
      <c r="K57" s="163">
        <v>150.4</v>
      </c>
      <c r="L57" s="164">
        <f t="shared" si="2"/>
        <v>303.10000000000002</v>
      </c>
      <c r="M57" s="165">
        <f t="shared" si="3"/>
        <v>0.59665354330708664</v>
      </c>
      <c r="N57" s="122"/>
    </row>
    <row r="58" spans="2:14" x14ac:dyDescent="0.25">
      <c r="B58" s="121"/>
      <c r="C58" s="159">
        <v>36</v>
      </c>
      <c r="D58" s="160">
        <v>22</v>
      </c>
      <c r="E58" s="160" t="s">
        <v>75</v>
      </c>
      <c r="F58" s="159" t="s">
        <v>750</v>
      </c>
      <c r="G58" s="160" t="s">
        <v>484</v>
      </c>
      <c r="H58" s="168" t="s">
        <v>1403</v>
      </c>
      <c r="I58" s="169">
        <v>538</v>
      </c>
      <c r="J58" s="159">
        <v>159.9</v>
      </c>
      <c r="K58" s="163">
        <v>160.4</v>
      </c>
      <c r="L58" s="164">
        <f t="shared" si="2"/>
        <v>320.3</v>
      </c>
      <c r="M58" s="165">
        <f t="shared" si="3"/>
        <v>0.59535315985130111</v>
      </c>
      <c r="N58" s="122"/>
    </row>
    <row r="59" spans="2:14" x14ac:dyDescent="0.25">
      <c r="B59" s="121"/>
      <c r="C59" s="159">
        <v>37</v>
      </c>
      <c r="D59" s="160">
        <v>15</v>
      </c>
      <c r="E59" s="160" t="s">
        <v>68</v>
      </c>
      <c r="F59" s="159" t="s">
        <v>750</v>
      </c>
      <c r="G59" s="160" t="s">
        <v>484</v>
      </c>
      <c r="H59" s="168" t="s">
        <v>1404</v>
      </c>
      <c r="I59" s="169">
        <v>510</v>
      </c>
      <c r="J59" s="159">
        <v>148.5</v>
      </c>
      <c r="K59" s="163">
        <v>147.80000000000001</v>
      </c>
      <c r="L59" s="164">
        <f t="shared" si="2"/>
        <v>296.3</v>
      </c>
      <c r="M59" s="165">
        <f t="shared" si="3"/>
        <v>0.58098039215686281</v>
      </c>
      <c r="N59" s="122"/>
    </row>
    <row r="60" spans="2:14" x14ac:dyDescent="0.25">
      <c r="B60" s="121"/>
      <c r="C60" s="159">
        <v>38</v>
      </c>
      <c r="D60" s="160">
        <v>11</v>
      </c>
      <c r="E60" s="160" t="s">
        <v>75</v>
      </c>
      <c r="F60" s="159" t="s">
        <v>750</v>
      </c>
      <c r="G60" s="160" t="s">
        <v>484</v>
      </c>
      <c r="H60" s="168" t="s">
        <v>545</v>
      </c>
      <c r="I60" s="169">
        <v>528</v>
      </c>
      <c r="J60" s="159">
        <v>157.30000000000001</v>
      </c>
      <c r="K60" s="163">
        <v>156.9</v>
      </c>
      <c r="L60" s="164">
        <f t="shared" si="0"/>
        <v>314.20000000000005</v>
      </c>
      <c r="M60" s="165">
        <f t="shared" si="1"/>
        <v>0.5950757575757577</v>
      </c>
      <c r="N60" s="122"/>
    </row>
    <row r="61" spans="2:14" x14ac:dyDescent="0.25">
      <c r="B61" s="121"/>
      <c r="C61" s="159">
        <v>39</v>
      </c>
      <c r="D61" s="160">
        <v>13</v>
      </c>
      <c r="E61" s="160" t="s">
        <v>75</v>
      </c>
      <c r="F61" s="159" t="s">
        <v>750</v>
      </c>
      <c r="G61" s="160" t="s">
        <v>484</v>
      </c>
      <c r="H61" s="168" t="s">
        <v>146</v>
      </c>
      <c r="I61" s="169">
        <v>566</v>
      </c>
      <c r="J61" s="159">
        <v>170.9</v>
      </c>
      <c r="K61" s="163">
        <v>172.7</v>
      </c>
      <c r="L61" s="164">
        <f t="shared" si="0"/>
        <v>343.6</v>
      </c>
      <c r="M61" s="165">
        <f t="shared" si="1"/>
        <v>0.60706713780918731</v>
      </c>
      <c r="N61" s="122"/>
    </row>
    <row r="62" spans="2:14" x14ac:dyDescent="0.25">
      <c r="B62" s="121"/>
      <c r="C62" s="159">
        <v>40</v>
      </c>
      <c r="D62" s="160">
        <v>20</v>
      </c>
      <c r="E62" s="160" t="s">
        <v>75</v>
      </c>
      <c r="F62" s="159" t="s">
        <v>750</v>
      </c>
      <c r="G62" s="160" t="s">
        <v>484</v>
      </c>
      <c r="H62" s="168" t="s">
        <v>1405</v>
      </c>
      <c r="I62" s="169">
        <v>514</v>
      </c>
      <c r="J62" s="159">
        <v>148.9</v>
      </c>
      <c r="K62" s="163">
        <v>151.19999999999999</v>
      </c>
      <c r="L62" s="164">
        <f t="shared" si="0"/>
        <v>300.10000000000002</v>
      </c>
      <c r="M62" s="165">
        <f t="shared" si="1"/>
        <v>0.58385214007782105</v>
      </c>
      <c r="N62" s="122"/>
    </row>
    <row r="63" spans="2:14" x14ac:dyDescent="0.25">
      <c r="B63" s="121"/>
      <c r="C63" s="159">
        <v>41</v>
      </c>
      <c r="D63" s="160">
        <v>6</v>
      </c>
      <c r="E63" s="160" t="s">
        <v>68</v>
      </c>
      <c r="F63" s="159" t="s">
        <v>750</v>
      </c>
      <c r="G63" s="160" t="s">
        <v>484</v>
      </c>
      <c r="H63" s="168" t="s">
        <v>1214</v>
      </c>
      <c r="I63" s="169">
        <v>542</v>
      </c>
      <c r="J63" s="159">
        <v>155.4</v>
      </c>
      <c r="K63" s="163">
        <v>155.1</v>
      </c>
      <c r="L63" s="164">
        <f t="shared" si="0"/>
        <v>310.5</v>
      </c>
      <c r="M63" s="165">
        <f t="shared" si="1"/>
        <v>0.57287822878228778</v>
      </c>
      <c r="N63" s="122"/>
    </row>
    <row r="64" spans="2:14" x14ac:dyDescent="0.25">
      <c r="B64" s="121"/>
      <c r="C64" s="159">
        <v>42</v>
      </c>
      <c r="D64" s="159">
        <v>2</v>
      </c>
      <c r="E64" s="159" t="s">
        <v>75</v>
      </c>
      <c r="F64" s="159" t="s">
        <v>750</v>
      </c>
      <c r="G64" s="160" t="s">
        <v>484</v>
      </c>
      <c r="H64" s="168" t="s">
        <v>1406</v>
      </c>
      <c r="I64" s="169">
        <v>530</v>
      </c>
      <c r="J64" s="159">
        <v>153.69999999999999</v>
      </c>
      <c r="K64" s="163">
        <v>153.30000000000001</v>
      </c>
      <c r="L64" s="164">
        <f t="shared" si="0"/>
        <v>307</v>
      </c>
      <c r="M64" s="165">
        <f t="shared" si="1"/>
        <v>0.57924528301886791</v>
      </c>
      <c r="N64" s="122"/>
    </row>
    <row r="65" spans="2:14" x14ac:dyDescent="0.25">
      <c r="B65" s="121"/>
      <c r="C65" s="159">
        <v>43</v>
      </c>
      <c r="D65" s="159">
        <v>9</v>
      </c>
      <c r="E65" s="159" t="s">
        <v>68</v>
      </c>
      <c r="F65" s="159" t="s">
        <v>750</v>
      </c>
      <c r="G65" s="160" t="s">
        <v>484</v>
      </c>
      <c r="H65" s="168" t="s">
        <v>1407</v>
      </c>
      <c r="I65" s="169">
        <v>576</v>
      </c>
      <c r="J65" s="159">
        <v>173.2</v>
      </c>
      <c r="K65" s="163">
        <v>175.3</v>
      </c>
      <c r="L65" s="164">
        <f t="shared" si="0"/>
        <v>348.5</v>
      </c>
      <c r="M65" s="165">
        <f t="shared" si="1"/>
        <v>0.60503472222222221</v>
      </c>
      <c r="N65" s="122"/>
    </row>
    <row r="66" spans="2:14" x14ac:dyDescent="0.25">
      <c r="B66" s="121"/>
      <c r="C66" s="159">
        <v>44</v>
      </c>
      <c r="D66" s="170">
        <v>8</v>
      </c>
      <c r="E66" s="170" t="s">
        <v>68</v>
      </c>
      <c r="F66" s="159" t="s">
        <v>750</v>
      </c>
      <c r="G66" s="171" t="s">
        <v>484</v>
      </c>
      <c r="H66" s="168" t="s">
        <v>1408</v>
      </c>
      <c r="I66" s="169">
        <v>512</v>
      </c>
      <c r="J66" s="159">
        <v>153.19999999999999</v>
      </c>
      <c r="K66" s="163">
        <v>154</v>
      </c>
      <c r="L66" s="164">
        <f t="shared" si="0"/>
        <v>307.2</v>
      </c>
      <c r="M66" s="165">
        <f t="shared" si="1"/>
        <v>0.6</v>
      </c>
      <c r="N66" s="122"/>
    </row>
    <row r="67" spans="2:14" x14ac:dyDescent="0.25">
      <c r="B67" s="121"/>
      <c r="C67" s="159">
        <v>45</v>
      </c>
      <c r="D67" s="170">
        <v>19</v>
      </c>
      <c r="E67" s="170" t="s">
        <v>75</v>
      </c>
      <c r="F67" s="159" t="s">
        <v>750</v>
      </c>
      <c r="G67" s="171" t="s">
        <v>484</v>
      </c>
      <c r="H67" s="168" t="s">
        <v>41</v>
      </c>
      <c r="I67" s="169">
        <v>552</v>
      </c>
      <c r="J67" s="159">
        <v>159.9</v>
      </c>
      <c r="K67" s="163">
        <v>160.30000000000001</v>
      </c>
      <c r="L67" s="164">
        <f t="shared" si="0"/>
        <v>320.20000000000005</v>
      </c>
      <c r="M67" s="165">
        <f t="shared" si="1"/>
        <v>0.58007246376811605</v>
      </c>
      <c r="N67" s="122"/>
    </row>
    <row r="68" spans="2:14" x14ac:dyDescent="0.25">
      <c r="B68" s="121"/>
      <c r="C68" s="159">
        <v>46</v>
      </c>
      <c r="D68" s="170">
        <v>1</v>
      </c>
      <c r="E68" s="170" t="s">
        <v>75</v>
      </c>
      <c r="F68" s="159" t="s">
        <v>750</v>
      </c>
      <c r="G68" s="171" t="s">
        <v>484</v>
      </c>
      <c r="H68" s="168">
        <v>4631</v>
      </c>
      <c r="I68" s="169">
        <v>546</v>
      </c>
      <c r="J68" s="159">
        <v>162</v>
      </c>
      <c r="K68" s="163">
        <v>163.30000000000001</v>
      </c>
      <c r="L68" s="164">
        <f t="shared" si="0"/>
        <v>325.3</v>
      </c>
      <c r="M68" s="165">
        <f t="shared" si="1"/>
        <v>0.59578754578754578</v>
      </c>
      <c r="N68" s="122"/>
    </row>
    <row r="69" spans="2:14" x14ac:dyDescent="0.25">
      <c r="B69" s="121"/>
      <c r="C69" s="159">
        <v>47</v>
      </c>
      <c r="D69" s="170">
        <v>18</v>
      </c>
      <c r="E69" s="170" t="s">
        <v>75</v>
      </c>
      <c r="F69" s="159" t="s">
        <v>750</v>
      </c>
      <c r="G69" s="170" t="s">
        <v>484</v>
      </c>
      <c r="H69" s="168" t="s">
        <v>1409</v>
      </c>
      <c r="I69" s="169">
        <v>536</v>
      </c>
      <c r="J69" s="159">
        <v>163</v>
      </c>
      <c r="K69" s="159">
        <v>162.69999999999999</v>
      </c>
      <c r="L69" s="164">
        <f t="shared" si="0"/>
        <v>325.7</v>
      </c>
      <c r="M69" s="165">
        <f t="shared" si="1"/>
        <v>0.60764925373134326</v>
      </c>
      <c r="N69" s="122"/>
    </row>
    <row r="70" spans="2:14" x14ac:dyDescent="0.25">
      <c r="B70" s="121"/>
      <c r="C70" s="159">
        <v>48</v>
      </c>
      <c r="D70" s="170">
        <v>17</v>
      </c>
      <c r="E70" s="170" t="s">
        <v>75</v>
      </c>
      <c r="F70" s="159" t="s">
        <v>750</v>
      </c>
      <c r="G70" s="170" t="s">
        <v>484</v>
      </c>
      <c r="H70" s="205" t="s">
        <v>1410</v>
      </c>
      <c r="I70" s="169">
        <v>524</v>
      </c>
      <c r="J70" s="159">
        <v>152.4</v>
      </c>
      <c r="K70" s="159">
        <v>151.4</v>
      </c>
      <c r="L70" s="164">
        <f t="shared" si="0"/>
        <v>303.8</v>
      </c>
      <c r="M70" s="165">
        <f t="shared" si="1"/>
        <v>0.57977099236641227</v>
      </c>
      <c r="N70" s="122"/>
    </row>
    <row r="71" spans="2:14" x14ac:dyDescent="0.25">
      <c r="B71" s="121"/>
      <c r="C71" s="159">
        <v>49</v>
      </c>
      <c r="D71" s="170">
        <v>21</v>
      </c>
      <c r="E71" s="170" t="s">
        <v>75</v>
      </c>
      <c r="F71" s="159" t="s">
        <v>750</v>
      </c>
      <c r="G71" s="170" t="s">
        <v>484</v>
      </c>
      <c r="H71" s="168" t="s">
        <v>1411</v>
      </c>
      <c r="I71" s="169">
        <v>522</v>
      </c>
      <c r="J71" s="159">
        <v>156.6</v>
      </c>
      <c r="K71" s="163">
        <v>157</v>
      </c>
      <c r="L71" s="164">
        <f t="shared" si="0"/>
        <v>313.60000000000002</v>
      </c>
      <c r="M71" s="165">
        <f t="shared" si="1"/>
        <v>0.60076628352490424</v>
      </c>
      <c r="N71" s="122"/>
    </row>
    <row r="72" spans="2:14" x14ac:dyDescent="0.25">
      <c r="B72" s="121"/>
      <c r="C72" s="172">
        <v>50</v>
      </c>
      <c r="D72" s="173">
        <v>7</v>
      </c>
      <c r="E72" s="173" t="s">
        <v>75</v>
      </c>
      <c r="F72" s="173" t="s">
        <v>750</v>
      </c>
      <c r="G72" s="173" t="s">
        <v>484</v>
      </c>
      <c r="H72" s="174" t="s">
        <v>1412</v>
      </c>
      <c r="I72" s="175">
        <v>526</v>
      </c>
      <c r="J72" s="172">
        <v>156.5</v>
      </c>
      <c r="K72" s="206">
        <v>156.19999999999999</v>
      </c>
      <c r="L72" s="176">
        <f t="shared" si="0"/>
        <v>312.7</v>
      </c>
      <c r="M72" s="177">
        <f t="shared" si="1"/>
        <v>0.59448669201520909</v>
      </c>
      <c r="N72" s="122"/>
    </row>
    <row r="73" spans="2:14" x14ac:dyDescent="0.25">
      <c r="B73" s="121"/>
      <c r="C73" s="293"/>
      <c r="D73" s="293">
        <f>+COUNT($D$22:$D$72)</f>
        <v>50</v>
      </c>
      <c r="E73" s="293"/>
      <c r="F73" s="373"/>
      <c r="G73" s="373"/>
      <c r="H73" s="149"/>
      <c r="I73" s="148">
        <f>SUM($I$22:$I$72)</f>
        <v>26006</v>
      </c>
      <c r="J73" s="150">
        <f>SUM($J$22:$J$72)</f>
        <v>7637.5999999999967</v>
      </c>
      <c r="K73" s="151">
        <f>SUM($K$22:$K$72)</f>
        <v>7608.3999999999987</v>
      </c>
      <c r="L73" s="148">
        <f>SUM($L$22:$L$72)</f>
        <v>15246.000000000002</v>
      </c>
      <c r="M73" s="178">
        <f t="shared" si="1"/>
        <v>0.58624932707836663</v>
      </c>
      <c r="N73" s="122"/>
    </row>
    <row r="74" spans="2:14" ht="16.5" thickBot="1" x14ac:dyDescent="0.3">
      <c r="B74" s="129"/>
      <c r="C74" s="130"/>
      <c r="D74" s="130"/>
      <c r="E74" s="130"/>
      <c r="F74" s="130"/>
      <c r="G74" s="130"/>
      <c r="H74" s="131"/>
      <c r="I74" s="130"/>
      <c r="J74" s="131"/>
      <c r="K74" s="130"/>
      <c r="L74" s="130"/>
      <c r="M74" s="130"/>
      <c r="N74" s="132"/>
    </row>
    <row r="75" spans="2:14" ht="17.25" thickTop="1" thickBot="1" x14ac:dyDescent="0.3">
      <c r="B75" s="133"/>
      <c r="C75" s="133"/>
      <c r="D75" s="133"/>
      <c r="E75" s="133"/>
      <c r="F75" s="133"/>
      <c r="G75" s="133"/>
      <c r="H75" s="134"/>
      <c r="I75" s="133"/>
      <c r="J75" s="134"/>
      <c r="K75" s="133"/>
      <c r="L75" s="133"/>
      <c r="M75" s="133"/>
      <c r="N75" s="133"/>
    </row>
    <row r="76" spans="2:14" ht="16.5" thickTop="1" x14ac:dyDescent="0.25">
      <c r="B76" s="135"/>
      <c r="C76" s="133"/>
      <c r="D76" s="133"/>
      <c r="E76" s="133"/>
      <c r="F76" s="133"/>
      <c r="G76" s="133"/>
      <c r="H76" s="134"/>
      <c r="I76" s="133"/>
      <c r="J76" s="134"/>
      <c r="K76" s="133"/>
      <c r="L76" s="133"/>
      <c r="M76" s="133"/>
      <c r="N76" s="136"/>
    </row>
    <row r="77" spans="2:14" ht="32.25" customHeight="1" x14ac:dyDescent="0.25">
      <c r="B77" s="121"/>
      <c r="D77" s="374" t="s">
        <v>12</v>
      </c>
      <c r="E77" s="375"/>
      <c r="F77" s="375"/>
      <c r="G77" s="375"/>
      <c r="H77" s="180" t="s">
        <v>491</v>
      </c>
      <c r="I77" s="183" t="s">
        <v>489</v>
      </c>
      <c r="J77" s="200" t="s">
        <v>54</v>
      </c>
      <c r="K77" s="201" t="s">
        <v>492</v>
      </c>
      <c r="N77" s="122"/>
    </row>
    <row r="78" spans="2:14" x14ac:dyDescent="0.25">
      <c r="B78" s="121"/>
      <c r="D78" s="367" t="s">
        <v>59</v>
      </c>
      <c r="E78" s="368"/>
      <c r="F78" s="368"/>
      <c r="G78" s="368"/>
      <c r="H78" s="181">
        <v>117.89999999999999</v>
      </c>
      <c r="I78" s="119">
        <v>113.35999999999999</v>
      </c>
      <c r="J78" s="181"/>
      <c r="K78" s="185"/>
      <c r="N78" s="122"/>
    </row>
    <row r="79" spans="2:14" x14ac:dyDescent="0.25">
      <c r="B79" s="121"/>
      <c r="D79" s="367" t="s">
        <v>15</v>
      </c>
      <c r="E79" s="368"/>
      <c r="F79" s="368"/>
      <c r="G79" s="368"/>
      <c r="H79" s="181">
        <v>50</v>
      </c>
      <c r="I79" s="119">
        <v>101.28</v>
      </c>
      <c r="J79" s="181"/>
      <c r="K79" s="185"/>
      <c r="N79" s="122"/>
    </row>
    <row r="80" spans="2:14" x14ac:dyDescent="0.25">
      <c r="B80" s="121"/>
      <c r="D80" s="367" t="s">
        <v>13</v>
      </c>
      <c r="E80" s="368"/>
      <c r="F80" s="368"/>
      <c r="G80" s="368"/>
      <c r="H80" s="181">
        <v>47</v>
      </c>
      <c r="I80" s="119">
        <v>284.08000000000004</v>
      </c>
      <c r="J80" s="181">
        <v>3</v>
      </c>
      <c r="K80" s="185">
        <v>19.7</v>
      </c>
      <c r="N80" s="122"/>
    </row>
    <row r="81" spans="2:14" x14ac:dyDescent="0.25">
      <c r="B81" s="121"/>
      <c r="D81" s="367" t="s">
        <v>16</v>
      </c>
      <c r="E81" s="368"/>
      <c r="F81" s="368"/>
      <c r="G81" s="368"/>
      <c r="H81" s="181">
        <v>48</v>
      </c>
      <c r="I81" s="119">
        <v>64.98</v>
      </c>
      <c r="J81" s="181"/>
      <c r="K81" s="185"/>
      <c r="N81" s="122"/>
    </row>
    <row r="82" spans="2:14" x14ac:dyDescent="0.25">
      <c r="B82" s="121"/>
      <c r="D82" s="367" t="s">
        <v>60</v>
      </c>
      <c r="E82" s="368"/>
      <c r="F82" s="368"/>
      <c r="G82" s="368"/>
      <c r="H82" s="181">
        <v>39.14</v>
      </c>
      <c r="I82" s="119">
        <v>37.480000000000004</v>
      </c>
      <c r="J82" s="181"/>
      <c r="K82" s="185"/>
      <c r="N82" s="122"/>
    </row>
    <row r="83" spans="2:14" x14ac:dyDescent="0.25">
      <c r="B83" s="121"/>
      <c r="D83" s="367" t="s">
        <v>14</v>
      </c>
      <c r="E83" s="368"/>
      <c r="F83" s="368"/>
      <c r="G83" s="368"/>
      <c r="H83" s="181">
        <v>100</v>
      </c>
      <c r="I83" s="119">
        <v>50.72</v>
      </c>
      <c r="J83" s="181"/>
      <c r="K83" s="185"/>
      <c r="N83" s="122"/>
    </row>
    <row r="84" spans="2:14" x14ac:dyDescent="0.25">
      <c r="B84" s="121"/>
      <c r="D84" s="367" t="s">
        <v>20</v>
      </c>
      <c r="E84" s="368"/>
      <c r="F84" s="368"/>
      <c r="G84" s="368"/>
      <c r="H84" s="181">
        <v>200</v>
      </c>
      <c r="I84" s="119">
        <v>37.659999999999997</v>
      </c>
      <c r="J84" s="181"/>
      <c r="K84" s="185"/>
      <c r="N84" s="122"/>
    </row>
    <row r="85" spans="2:14" x14ac:dyDescent="0.25">
      <c r="B85" s="121"/>
      <c r="D85" s="367" t="s">
        <v>17</v>
      </c>
      <c r="E85" s="368"/>
      <c r="F85" s="368"/>
      <c r="G85" s="368"/>
      <c r="H85" s="181">
        <v>50</v>
      </c>
      <c r="I85" s="119">
        <v>64.42</v>
      </c>
      <c r="J85" s="181"/>
      <c r="K85" s="185"/>
      <c r="N85" s="122"/>
    </row>
    <row r="86" spans="2:14" x14ac:dyDescent="0.25">
      <c r="B86" s="121"/>
      <c r="D86" s="367" t="s">
        <v>61</v>
      </c>
      <c r="E86" s="368"/>
      <c r="F86" s="368"/>
      <c r="G86" s="368"/>
      <c r="H86" s="181">
        <v>50</v>
      </c>
      <c r="I86" s="119">
        <v>43.84</v>
      </c>
      <c r="J86" s="181"/>
      <c r="K86" s="185"/>
      <c r="N86" s="122"/>
    </row>
    <row r="87" spans="2:14" x14ac:dyDescent="0.25">
      <c r="B87" s="121"/>
      <c r="D87" s="367" t="s">
        <v>48</v>
      </c>
      <c r="E87" s="368"/>
      <c r="F87" s="368"/>
      <c r="G87" s="368"/>
      <c r="H87" s="181">
        <v>83.240000000000009</v>
      </c>
      <c r="I87" s="119">
        <v>79.400000000000006</v>
      </c>
      <c r="J87" s="181"/>
      <c r="K87" s="185"/>
      <c r="N87" s="122"/>
    </row>
    <row r="88" spans="2:14" x14ac:dyDescent="0.25">
      <c r="B88" s="121"/>
      <c r="D88" s="367" t="s">
        <v>19</v>
      </c>
      <c r="E88" s="368"/>
      <c r="F88" s="368"/>
      <c r="G88" s="368"/>
      <c r="H88" s="181">
        <v>50</v>
      </c>
      <c r="I88" s="119">
        <v>65.240000000000009</v>
      </c>
      <c r="J88" s="181"/>
      <c r="K88" s="185"/>
      <c r="N88" s="122"/>
    </row>
    <row r="89" spans="2:14" x14ac:dyDescent="0.25">
      <c r="B89" s="121"/>
      <c r="D89" s="367" t="s">
        <v>18</v>
      </c>
      <c r="E89" s="368"/>
      <c r="F89" s="368"/>
      <c r="G89" s="368"/>
      <c r="H89" s="181">
        <v>48</v>
      </c>
      <c r="I89" s="119">
        <v>16.239999999999998</v>
      </c>
      <c r="J89" s="181"/>
      <c r="K89" s="185"/>
      <c r="N89" s="122"/>
    </row>
    <row r="90" spans="2:14" x14ac:dyDescent="0.25">
      <c r="B90" s="121"/>
      <c r="D90" s="367" t="s">
        <v>49</v>
      </c>
      <c r="E90" s="368"/>
      <c r="F90" s="368"/>
      <c r="G90" s="368"/>
      <c r="H90" s="181">
        <v>25.22</v>
      </c>
      <c r="I90" s="119">
        <v>24.16</v>
      </c>
      <c r="J90" s="181"/>
      <c r="K90" s="185"/>
      <c r="N90" s="122"/>
    </row>
    <row r="91" spans="2:14" x14ac:dyDescent="0.25">
      <c r="B91" s="121"/>
      <c r="D91" s="370" t="s">
        <v>21</v>
      </c>
      <c r="E91" s="371"/>
      <c r="F91" s="371"/>
      <c r="G91" s="372"/>
      <c r="H91" s="182"/>
      <c r="I91" s="184">
        <f>SUM(I78:I90)</f>
        <v>982.86</v>
      </c>
      <c r="J91" s="187">
        <f>SUM(J78:J90)</f>
        <v>3</v>
      </c>
      <c r="K91" s="186">
        <f>SUM(K78:K90)</f>
        <v>19.7</v>
      </c>
      <c r="N91" s="122"/>
    </row>
    <row r="92" spans="2:14" ht="16.5" thickBot="1" x14ac:dyDescent="0.3">
      <c r="B92" s="129"/>
      <c r="C92" s="130"/>
      <c r="D92" s="130"/>
      <c r="E92" s="130"/>
      <c r="F92" s="130"/>
      <c r="G92" s="130"/>
      <c r="H92" s="131"/>
      <c r="I92" s="130"/>
      <c r="J92" s="131"/>
      <c r="K92" s="130"/>
      <c r="L92" s="130"/>
      <c r="M92" s="130"/>
      <c r="N92" s="132"/>
    </row>
    <row r="93" spans="2:14" ht="16.5" thickTop="1" x14ac:dyDescent="0.25">
      <c r="B93" s="121"/>
      <c r="G93" s="137"/>
      <c r="H93" s="138"/>
      <c r="I93" s="137"/>
      <c r="J93" s="138"/>
      <c r="N93" s="122"/>
    </row>
    <row r="94" spans="2:14" ht="15.75" customHeight="1" x14ac:dyDescent="0.25">
      <c r="B94" s="121"/>
      <c r="F94" s="365" t="s">
        <v>22</v>
      </c>
      <c r="G94" s="365"/>
      <c r="H94" s="188" t="s">
        <v>33</v>
      </c>
      <c r="I94" s="180" t="s">
        <v>31</v>
      </c>
      <c r="N94" s="122"/>
    </row>
    <row r="95" spans="2:14" x14ac:dyDescent="0.25">
      <c r="B95" s="121"/>
      <c r="F95" s="366" t="s">
        <v>23</v>
      </c>
      <c r="G95" s="366"/>
      <c r="H95" s="190"/>
      <c r="I95" s="191"/>
      <c r="N95" s="122"/>
    </row>
    <row r="96" spans="2:14" x14ac:dyDescent="0.25">
      <c r="B96" s="121"/>
      <c r="F96" s="378" t="s">
        <v>24</v>
      </c>
      <c r="G96" s="378"/>
      <c r="H96" s="192">
        <f>+D73</f>
        <v>50</v>
      </c>
      <c r="I96" s="193"/>
      <c r="N96" s="122"/>
    </row>
    <row r="97" spans="2:14" x14ac:dyDescent="0.25">
      <c r="B97" s="121"/>
      <c r="F97" s="378" t="s">
        <v>34</v>
      </c>
      <c r="G97" s="378"/>
      <c r="H97" s="194"/>
      <c r="I97" s="193"/>
      <c r="N97" s="122"/>
    </row>
    <row r="98" spans="2:14" x14ac:dyDescent="0.25">
      <c r="B98" s="121"/>
      <c r="F98" s="378" t="s">
        <v>35</v>
      </c>
      <c r="G98" s="378"/>
      <c r="H98" s="194"/>
      <c r="I98" s="193"/>
      <c r="N98" s="122"/>
    </row>
    <row r="99" spans="2:14" x14ac:dyDescent="0.25">
      <c r="B99" s="121"/>
      <c r="F99" s="379" t="s">
        <v>29</v>
      </c>
      <c r="G99" s="379"/>
      <c r="H99" s="195"/>
      <c r="I99" s="196"/>
      <c r="N99" s="122"/>
    </row>
    <row r="100" spans="2:14" x14ac:dyDescent="0.25">
      <c r="B100" s="121"/>
      <c r="F100" s="380" t="s">
        <v>21</v>
      </c>
      <c r="G100" s="380"/>
      <c r="H100" s="189"/>
      <c r="I100" s="182">
        <f>SUM(I95:I99)</f>
        <v>0</v>
      </c>
      <c r="N100" s="122"/>
    </row>
    <row r="101" spans="2:14" ht="16.5" thickBot="1" x14ac:dyDescent="0.3">
      <c r="B101" s="129"/>
      <c r="C101" s="130"/>
      <c r="D101" s="130"/>
      <c r="E101" s="130"/>
      <c r="F101" s="130"/>
      <c r="G101" s="130"/>
      <c r="H101" s="131"/>
      <c r="I101" s="130"/>
      <c r="J101" s="131"/>
      <c r="K101" s="130"/>
      <c r="L101" s="130"/>
      <c r="M101" s="130"/>
      <c r="N101" s="132"/>
    </row>
    <row r="102" spans="2:14" ht="16.5" thickTop="1" x14ac:dyDescent="0.25">
      <c r="I102" s="139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7:G77"/>
    <mergeCell ref="C21:C22"/>
    <mergeCell ref="D21:D22"/>
    <mergeCell ref="E21:E22"/>
    <mergeCell ref="F21:G21"/>
    <mergeCell ref="J21:J22"/>
    <mergeCell ref="K21:K22"/>
    <mergeCell ref="L21:L22"/>
    <mergeCell ref="M21:M22"/>
    <mergeCell ref="F73:G73"/>
    <mergeCell ref="H21:H22"/>
    <mergeCell ref="I21:I22"/>
    <mergeCell ref="D89:G89"/>
    <mergeCell ref="D78:G78"/>
    <mergeCell ref="D79:G79"/>
    <mergeCell ref="D80:G80"/>
    <mergeCell ref="D81:G81"/>
    <mergeCell ref="D82:G82"/>
    <mergeCell ref="D83:G83"/>
    <mergeCell ref="D84:G84"/>
    <mergeCell ref="D85:G85"/>
    <mergeCell ref="D86:G86"/>
    <mergeCell ref="D87:G87"/>
    <mergeCell ref="D88:G88"/>
    <mergeCell ref="F98:G98"/>
    <mergeCell ref="F99:G99"/>
    <mergeCell ref="F100:G100"/>
    <mergeCell ref="D90:G90"/>
    <mergeCell ref="D91:G91"/>
    <mergeCell ref="F94:G94"/>
    <mergeCell ref="F95:G95"/>
    <mergeCell ref="F96:G96"/>
    <mergeCell ref="F97:G97"/>
  </mergeCells>
  <conditionalFormatting sqref="M23:M72">
    <cfRule type="cellIs" dxfId="37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rowBreaks count="1" manualBreakCount="1">
    <brk id="75" min="1" max="13" man="1"/>
  </rowBreaks>
  <drawing r:id="rId2"/>
  <legacyDrawing r:id="rId3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E63" zoomScale="90" zoomScaleNormal="90" workbookViewId="0">
      <selection activeCell="O78" sqref="O78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0.55527426160337545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157.91999999999999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625</v>
      </c>
      <c r="F8" s="344"/>
      <c r="G8" s="344"/>
      <c r="H8" s="345"/>
      <c r="I8" s="146" t="s">
        <v>487</v>
      </c>
      <c r="J8" s="346" t="s">
        <v>1416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41927</v>
      </c>
      <c r="F9" s="344"/>
      <c r="G9" s="344"/>
      <c r="H9" s="345"/>
      <c r="I9" s="146" t="s">
        <v>88</v>
      </c>
      <c r="J9" s="209" t="s">
        <v>1417</v>
      </c>
      <c r="K9" s="294" t="s">
        <v>490</v>
      </c>
      <c r="L9" s="369">
        <v>2600759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95" t="s">
        <v>569</v>
      </c>
      <c r="E12" s="384">
        <v>46065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70</v>
      </c>
      <c r="F13" s="349"/>
      <c r="H13" s="117"/>
      <c r="I13" s="123"/>
      <c r="J13" s="215" t="s">
        <v>483</v>
      </c>
      <c r="K13" s="296">
        <f>+COUNTIF($G$22:$G$66,"VQ")*2</f>
        <v>10</v>
      </c>
      <c r="L13" s="296">
        <f>+SUMIF($G$23:$G$65,"VQ",$L$23:$L$65)</f>
        <v>789.59999999999991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5</v>
      </c>
      <c r="F14" s="350"/>
      <c r="H14" s="117"/>
      <c r="I14" s="123"/>
      <c r="J14" s="215" t="s">
        <v>42</v>
      </c>
      <c r="K14" s="296">
        <f>+COUNTIF($G$22:$G$66,"NT")*2</f>
        <v>0</v>
      </c>
      <c r="L14" s="296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1422</v>
      </c>
      <c r="F15" s="350"/>
      <c r="H15" s="117"/>
      <c r="I15" s="123"/>
      <c r="J15" s="215" t="s">
        <v>484</v>
      </c>
      <c r="K15" s="296">
        <f>+COUNTIF($G$22:$G$66,"NO")*2</f>
        <v>0</v>
      </c>
      <c r="L15" s="296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789.59999999999991</v>
      </c>
      <c r="F16" s="350"/>
      <c r="H16" s="117"/>
      <c r="I16" s="123"/>
      <c r="J16" s="215" t="s">
        <v>485</v>
      </c>
      <c r="K16" s="296">
        <f>+COUNTIF($G$22:$G$66,"TO")*2</f>
        <v>0</v>
      </c>
      <c r="L16" s="296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0.55527426160337545</v>
      </c>
      <c r="F17" s="350"/>
      <c r="G17" s="124"/>
      <c r="H17" s="125"/>
      <c r="I17" s="123"/>
      <c r="J17" s="215" t="s">
        <v>486</v>
      </c>
      <c r="K17" s="296">
        <f>+COUNTIF($G$22:$G$66,"VA")*2</f>
        <v>0</v>
      </c>
      <c r="L17" s="296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157.91999999999999</v>
      </c>
      <c r="F18" s="353"/>
      <c r="G18" s="124"/>
      <c r="H18" s="125"/>
      <c r="I18" s="123"/>
      <c r="J18" s="215" t="s">
        <v>44</v>
      </c>
      <c r="K18" s="296">
        <f>+COUNTIF($G$22:$G$66,"MEJ")*2</f>
        <v>0</v>
      </c>
      <c r="L18" s="296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</v>
      </c>
      <c r="D23" s="152">
        <v>3</v>
      </c>
      <c r="E23" s="152" t="s">
        <v>68</v>
      </c>
      <c r="F23" s="152" t="s">
        <v>526</v>
      </c>
      <c r="G23" s="153" t="s">
        <v>483</v>
      </c>
      <c r="H23" s="154" t="s">
        <v>978</v>
      </c>
      <c r="I23" s="155">
        <v>294</v>
      </c>
      <c r="J23" s="152">
        <v>83.1</v>
      </c>
      <c r="K23" s="156">
        <v>83.3</v>
      </c>
      <c r="L23" s="157">
        <f t="shared" ref="L23:L65" si="0">+J23+K23</f>
        <v>166.39999999999998</v>
      </c>
      <c r="M23" s="158">
        <f t="shared" ref="M23:M66" si="1">+L23/I23</f>
        <v>0.56598639455782307</v>
      </c>
      <c r="N23" s="122"/>
    </row>
    <row r="24" spans="2:14" x14ac:dyDescent="0.25">
      <c r="B24" s="121"/>
      <c r="C24" s="159">
        <v>2</v>
      </c>
      <c r="D24" s="159">
        <v>1</v>
      </c>
      <c r="E24" s="159" t="s">
        <v>67</v>
      </c>
      <c r="F24" s="159" t="s">
        <v>526</v>
      </c>
      <c r="G24" s="160" t="s">
        <v>483</v>
      </c>
      <c r="H24" s="161" t="s">
        <v>1047</v>
      </c>
      <c r="I24" s="162">
        <v>297</v>
      </c>
      <c r="J24" s="159">
        <v>79.099999999999994</v>
      </c>
      <c r="K24" s="163">
        <v>78.3</v>
      </c>
      <c r="L24" s="164">
        <f t="shared" si="0"/>
        <v>157.39999999999998</v>
      </c>
      <c r="M24" s="165">
        <f t="shared" si="1"/>
        <v>0.52996632996632986</v>
      </c>
      <c r="N24" s="122"/>
    </row>
    <row r="25" spans="2:14" x14ac:dyDescent="0.25">
      <c r="B25" s="121"/>
      <c r="C25" s="159">
        <v>3</v>
      </c>
      <c r="D25" s="159">
        <v>2</v>
      </c>
      <c r="E25" s="159" t="s">
        <v>68</v>
      </c>
      <c r="F25" s="159" t="s">
        <v>526</v>
      </c>
      <c r="G25" s="160" t="s">
        <v>483</v>
      </c>
      <c r="H25" s="161" t="s">
        <v>1414</v>
      </c>
      <c r="I25" s="162">
        <v>279</v>
      </c>
      <c r="J25" s="159">
        <v>79.2</v>
      </c>
      <c r="K25" s="163">
        <v>77.7</v>
      </c>
      <c r="L25" s="164">
        <f t="shared" si="0"/>
        <v>156.9</v>
      </c>
      <c r="M25" s="165">
        <f t="shared" si="1"/>
        <v>0.56236559139784947</v>
      </c>
      <c r="N25" s="122"/>
    </row>
    <row r="26" spans="2:14" x14ac:dyDescent="0.25">
      <c r="B26" s="121"/>
      <c r="C26" s="159">
        <v>4</v>
      </c>
      <c r="D26" s="159">
        <v>4</v>
      </c>
      <c r="E26" s="159" t="s">
        <v>68</v>
      </c>
      <c r="F26" s="159" t="s">
        <v>526</v>
      </c>
      <c r="G26" s="160" t="s">
        <v>483</v>
      </c>
      <c r="H26" s="161" t="s">
        <v>1415</v>
      </c>
      <c r="I26" s="162">
        <v>264</v>
      </c>
      <c r="J26" s="159">
        <v>75.400000000000006</v>
      </c>
      <c r="K26" s="163">
        <v>75.8</v>
      </c>
      <c r="L26" s="164">
        <f t="shared" si="0"/>
        <v>151.19999999999999</v>
      </c>
      <c r="M26" s="165">
        <f t="shared" si="1"/>
        <v>0.57272727272727264</v>
      </c>
      <c r="N26" s="122"/>
    </row>
    <row r="27" spans="2:14" x14ac:dyDescent="0.25">
      <c r="B27" s="121"/>
      <c r="C27" s="159">
        <v>5</v>
      </c>
      <c r="D27" s="159">
        <v>5</v>
      </c>
      <c r="E27" s="159" t="s">
        <v>68</v>
      </c>
      <c r="F27" s="159" t="s">
        <v>526</v>
      </c>
      <c r="G27" s="160" t="s">
        <v>483</v>
      </c>
      <c r="H27" s="161">
        <v>702</v>
      </c>
      <c r="I27" s="162">
        <v>288</v>
      </c>
      <c r="J27" s="159">
        <v>78.400000000000006</v>
      </c>
      <c r="K27" s="163">
        <v>79.3</v>
      </c>
      <c r="L27" s="164">
        <f t="shared" si="0"/>
        <v>157.69999999999999</v>
      </c>
      <c r="M27" s="165">
        <f t="shared" si="1"/>
        <v>0.54756944444444444</v>
      </c>
      <c r="N27" s="122"/>
    </row>
    <row r="28" spans="2:14" x14ac:dyDescent="0.25">
      <c r="B28" s="121"/>
      <c r="C28" s="159"/>
      <c r="D28" s="159"/>
      <c r="E28" s="159"/>
      <c r="F28" s="159"/>
      <c r="G28" s="160"/>
      <c r="H28" s="161"/>
      <c r="I28" s="162"/>
      <c r="J28" s="159"/>
      <c r="K28" s="163"/>
      <c r="L28" s="164">
        <f t="shared" si="0"/>
        <v>0</v>
      </c>
      <c r="M28" s="165" t="e">
        <f t="shared" si="1"/>
        <v>#DIV/0!</v>
      </c>
      <c r="N28" s="122"/>
    </row>
    <row r="29" spans="2:14" x14ac:dyDescent="0.25">
      <c r="B29" s="121"/>
      <c r="C29" s="160"/>
      <c r="D29" s="160"/>
      <c r="E29" s="160"/>
      <c r="F29" s="160"/>
      <c r="G29" s="160"/>
      <c r="H29" s="161"/>
      <c r="I29" s="162"/>
      <c r="J29" s="159"/>
      <c r="K29" s="163"/>
      <c r="L29" s="164">
        <f t="shared" si="0"/>
        <v>0</v>
      </c>
      <c r="M29" s="165" t="e">
        <f t="shared" si="1"/>
        <v>#DIV/0!</v>
      </c>
      <c r="N29" s="122"/>
    </row>
    <row r="30" spans="2:14" x14ac:dyDescent="0.25">
      <c r="B30" s="121"/>
      <c r="C30" s="160"/>
      <c r="D30" s="160"/>
      <c r="E30" s="160"/>
      <c r="F30" s="160"/>
      <c r="G30" s="160"/>
      <c r="H30" s="161"/>
      <c r="I30" s="162"/>
      <c r="J30" s="159"/>
      <c r="K30" s="163"/>
      <c r="L30" s="164">
        <f t="shared" si="0"/>
        <v>0</v>
      </c>
      <c r="M30" s="165" t="e">
        <f t="shared" si="1"/>
        <v>#DIV/0!</v>
      </c>
      <c r="N30" s="122"/>
    </row>
    <row r="31" spans="2:14" x14ac:dyDescent="0.25">
      <c r="B31" s="121"/>
      <c r="C31" s="159"/>
      <c r="D31" s="159"/>
      <c r="E31" s="159"/>
      <c r="F31" s="159"/>
      <c r="G31" s="160"/>
      <c r="H31" s="161"/>
      <c r="I31" s="162"/>
      <c r="J31" s="159"/>
      <c r="K31" s="163"/>
      <c r="L31" s="164">
        <f t="shared" si="0"/>
        <v>0</v>
      </c>
      <c r="M31" s="165" t="e">
        <f t="shared" si="1"/>
        <v>#DIV/0!</v>
      </c>
      <c r="N31" s="122"/>
    </row>
    <row r="32" spans="2:14" x14ac:dyDescent="0.25">
      <c r="B32" s="121"/>
      <c r="C32" s="159"/>
      <c r="D32" s="159"/>
      <c r="E32" s="159"/>
      <c r="F32" s="159"/>
      <c r="G32" s="160"/>
      <c r="H32" s="161"/>
      <c r="I32" s="162"/>
      <c r="J32" s="159"/>
      <c r="K32" s="163"/>
      <c r="L32" s="164">
        <f t="shared" si="0"/>
        <v>0</v>
      </c>
      <c r="M32" s="165" t="e">
        <f t="shared" si="1"/>
        <v>#DIV/0!</v>
      </c>
      <c r="N32" s="122"/>
    </row>
    <row r="33" spans="2:14" x14ac:dyDescent="0.25">
      <c r="B33" s="121"/>
      <c r="C33" s="160"/>
      <c r="D33" s="160"/>
      <c r="E33" s="160"/>
      <c r="F33" s="160"/>
      <c r="G33" s="160"/>
      <c r="H33" s="161"/>
      <c r="I33" s="162"/>
      <c r="J33" s="159"/>
      <c r="K33" s="163"/>
      <c r="L33" s="164">
        <f t="shared" si="0"/>
        <v>0</v>
      </c>
      <c r="M33" s="165" t="e">
        <f t="shared" si="1"/>
        <v>#DIV/0!</v>
      </c>
      <c r="N33" s="122"/>
    </row>
    <row r="34" spans="2:14" x14ac:dyDescent="0.25">
      <c r="B34" s="121"/>
      <c r="C34" s="159"/>
      <c r="D34" s="159"/>
      <c r="E34" s="159"/>
      <c r="F34" s="159"/>
      <c r="G34" s="160"/>
      <c r="H34" s="161"/>
      <c r="I34" s="162"/>
      <c r="J34" s="159"/>
      <c r="K34" s="166"/>
      <c r="L34" s="164">
        <f t="shared" si="0"/>
        <v>0</v>
      </c>
      <c r="M34" s="167" t="e">
        <f t="shared" si="1"/>
        <v>#DIV/0!</v>
      </c>
      <c r="N34" s="122"/>
    </row>
    <row r="35" spans="2:14" x14ac:dyDescent="0.25">
      <c r="B35" s="121"/>
      <c r="C35" s="159"/>
      <c r="D35" s="159"/>
      <c r="E35" s="159"/>
      <c r="F35" s="159"/>
      <c r="G35" s="160"/>
      <c r="H35" s="161"/>
      <c r="I35" s="162"/>
      <c r="J35" s="159"/>
      <c r="K35" s="163"/>
      <c r="L35" s="164">
        <f t="shared" si="0"/>
        <v>0</v>
      </c>
      <c r="M35" s="165" t="e">
        <f t="shared" si="1"/>
        <v>#DIV/0!</v>
      </c>
      <c r="N35" s="122"/>
    </row>
    <row r="36" spans="2:14" x14ac:dyDescent="0.25">
      <c r="B36" s="121"/>
      <c r="C36" s="159"/>
      <c r="D36" s="159"/>
      <c r="E36" s="159"/>
      <c r="F36" s="159"/>
      <c r="G36" s="160"/>
      <c r="H36" s="161"/>
      <c r="I36" s="162"/>
      <c r="J36" s="159"/>
      <c r="K36" s="163"/>
      <c r="L36" s="164">
        <f t="shared" si="0"/>
        <v>0</v>
      </c>
      <c r="M36" s="165" t="e">
        <f t="shared" si="1"/>
        <v>#DIV/0!</v>
      </c>
      <c r="N36" s="122"/>
    </row>
    <row r="37" spans="2:14" x14ac:dyDescent="0.25">
      <c r="B37" s="121"/>
      <c r="C37" s="159"/>
      <c r="D37" s="159"/>
      <c r="E37" s="159"/>
      <c r="F37" s="159"/>
      <c r="G37" s="160"/>
      <c r="H37" s="161"/>
      <c r="I37" s="162"/>
      <c r="J37" s="159"/>
      <c r="K37" s="163"/>
      <c r="L37" s="164">
        <f t="shared" si="0"/>
        <v>0</v>
      </c>
      <c r="M37" s="165" t="e">
        <f t="shared" si="1"/>
        <v>#DIV/0!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97"/>
      <c r="D66" s="297">
        <f>+COUNT($D$22:$D$65)</f>
        <v>5</v>
      </c>
      <c r="E66" s="297"/>
      <c r="F66" s="373"/>
      <c r="G66" s="373"/>
      <c r="H66" s="149"/>
      <c r="I66" s="148">
        <f>SUM($I$22:$I$65)</f>
        <v>1422</v>
      </c>
      <c r="J66" s="150">
        <f>SUM($J$22:$J$65)</f>
        <v>395.19999999999993</v>
      </c>
      <c r="K66" s="151">
        <f>SUM($K$22:$K$65)</f>
        <v>394.40000000000003</v>
      </c>
      <c r="L66" s="148">
        <f>SUM($L$22:$L$65)</f>
        <v>789.59999999999991</v>
      </c>
      <c r="M66" s="178">
        <f t="shared" si="1"/>
        <v>0.55527426160337545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1.82</v>
      </c>
      <c r="I71" s="119">
        <v>7.38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5</v>
      </c>
      <c r="I72" s="119">
        <v>6.18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5</v>
      </c>
      <c r="I73" s="119">
        <v>19.16</v>
      </c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5</v>
      </c>
      <c r="I74" s="119">
        <v>4.54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3.56</v>
      </c>
      <c r="I75" s="119">
        <v>3.4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10</v>
      </c>
      <c r="I76" s="119">
        <v>4.46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20</v>
      </c>
      <c r="I77" s="119">
        <v>2.48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5</v>
      </c>
      <c r="I78" s="119">
        <v>3.74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5</v>
      </c>
      <c r="I79" s="119">
        <v>2.72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5.8</v>
      </c>
      <c r="I80" s="119">
        <v>4.76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5</v>
      </c>
      <c r="I81" s="119">
        <v>4.84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5</v>
      </c>
      <c r="I82" s="119">
        <v>1.5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3</v>
      </c>
      <c r="I83" s="119">
        <v>2.62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67.78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5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36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E67" zoomScale="90" zoomScaleNormal="90" workbookViewId="0">
      <selection activeCell="K84" sqref="K84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0.54420453324739504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202.64000000000004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396</v>
      </c>
      <c r="F8" s="344"/>
      <c r="G8" s="344"/>
      <c r="H8" s="345"/>
      <c r="I8" s="146" t="s">
        <v>487</v>
      </c>
      <c r="J8" s="346" t="s">
        <v>1009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69057</v>
      </c>
      <c r="F9" s="344"/>
      <c r="G9" s="344"/>
      <c r="H9" s="345"/>
      <c r="I9" s="146" t="s">
        <v>88</v>
      </c>
      <c r="J9" s="209" t="s">
        <v>1418</v>
      </c>
      <c r="K9" s="294" t="s">
        <v>490</v>
      </c>
      <c r="L9" s="369">
        <v>2600780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95" t="s">
        <v>569</v>
      </c>
      <c r="E12" s="384">
        <v>46065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71</v>
      </c>
      <c r="F13" s="349"/>
      <c r="H13" s="117"/>
      <c r="I13" s="123"/>
      <c r="J13" s="215" t="s">
        <v>483</v>
      </c>
      <c r="K13" s="296">
        <f>+COUNTIF($G$22:$G$66,"VQ")*2</f>
        <v>22</v>
      </c>
      <c r="L13" s="296">
        <f>+SUMIF($G$23:$G$65,"VQ",$L$23:$L$65)</f>
        <v>2146.6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25</v>
      </c>
      <c r="F14" s="350"/>
      <c r="H14" s="117"/>
      <c r="I14" s="123"/>
      <c r="J14" s="215" t="s">
        <v>42</v>
      </c>
      <c r="K14" s="296">
        <f>+COUNTIF($G$22:$G$66,"NT")*2</f>
        <v>28</v>
      </c>
      <c r="L14" s="296">
        <f>+SUMIF($G$23:$G$65,"NT",$L$23:$L$65)</f>
        <v>2919.4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9309</v>
      </c>
      <c r="F15" s="350"/>
      <c r="H15" s="117"/>
      <c r="I15" s="123"/>
      <c r="J15" s="215" t="s">
        <v>484</v>
      </c>
      <c r="K15" s="296">
        <f>+COUNTIF($G$22:$G$66,"NO")*2</f>
        <v>0</v>
      </c>
      <c r="L15" s="296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5066.0000000000009</v>
      </c>
      <c r="F16" s="350"/>
      <c r="H16" s="117"/>
      <c r="I16" s="123"/>
      <c r="J16" s="215" t="s">
        <v>485</v>
      </c>
      <c r="K16" s="296">
        <f>+COUNTIF($G$22:$G$66,"TO")*2</f>
        <v>0</v>
      </c>
      <c r="L16" s="296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0.54420453324739504</v>
      </c>
      <c r="F17" s="350"/>
      <c r="G17" s="124"/>
      <c r="H17" s="125"/>
      <c r="I17" s="123"/>
      <c r="J17" s="215" t="s">
        <v>486</v>
      </c>
      <c r="K17" s="296">
        <f>+COUNTIF($G$22:$G$66,"VA")*2</f>
        <v>0</v>
      </c>
      <c r="L17" s="296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202.64000000000004</v>
      </c>
      <c r="F18" s="353"/>
      <c r="G18" s="124"/>
      <c r="H18" s="125"/>
      <c r="I18" s="123"/>
      <c r="J18" s="215" t="s">
        <v>44</v>
      </c>
      <c r="K18" s="296">
        <f>+COUNTIF($G$22:$G$66,"MEJ")*2</f>
        <v>0</v>
      </c>
      <c r="L18" s="296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26</v>
      </c>
      <c r="D23" s="152">
        <v>2</v>
      </c>
      <c r="E23" s="152" t="s">
        <v>75</v>
      </c>
      <c r="F23" s="152" t="s">
        <v>526</v>
      </c>
      <c r="G23" s="153" t="s">
        <v>42</v>
      </c>
      <c r="H23" s="154" t="s">
        <v>1419</v>
      </c>
      <c r="I23" s="155">
        <v>357</v>
      </c>
      <c r="J23" s="152">
        <v>99.7</v>
      </c>
      <c r="K23" s="156">
        <v>99</v>
      </c>
      <c r="L23" s="157">
        <f t="shared" ref="L23:L65" si="0">+J23+K23</f>
        <v>198.7</v>
      </c>
      <c r="M23" s="158">
        <f t="shared" ref="M23:M66" si="1">+L23/I23</f>
        <v>0.55658263305322131</v>
      </c>
      <c r="N23" s="122"/>
    </row>
    <row r="24" spans="2:14" x14ac:dyDescent="0.25">
      <c r="B24" s="121"/>
      <c r="C24" s="159">
        <v>27</v>
      </c>
      <c r="D24" s="159">
        <v>20</v>
      </c>
      <c r="E24" s="159" t="s">
        <v>75</v>
      </c>
      <c r="F24" s="159" t="s">
        <v>526</v>
      </c>
      <c r="G24" s="160" t="s">
        <v>483</v>
      </c>
      <c r="H24" s="161" t="s">
        <v>1420</v>
      </c>
      <c r="I24" s="162">
        <v>369</v>
      </c>
      <c r="J24" s="159">
        <v>94.6</v>
      </c>
      <c r="K24" s="163">
        <v>94.6</v>
      </c>
      <c r="L24" s="164">
        <f t="shared" si="0"/>
        <v>189.2</v>
      </c>
      <c r="M24" s="165">
        <f t="shared" si="1"/>
        <v>0.51273712737127364</v>
      </c>
      <c r="N24" s="122"/>
    </row>
    <row r="25" spans="2:14" x14ac:dyDescent="0.25">
      <c r="B25" s="121"/>
      <c r="C25" s="159">
        <v>28</v>
      </c>
      <c r="D25" s="159">
        <v>25</v>
      </c>
      <c r="E25" s="159" t="s">
        <v>75</v>
      </c>
      <c r="F25" s="159" t="s">
        <v>526</v>
      </c>
      <c r="G25" s="160" t="s">
        <v>483</v>
      </c>
      <c r="H25" s="161" t="s">
        <v>765</v>
      </c>
      <c r="I25" s="162">
        <v>376</v>
      </c>
      <c r="J25" s="159">
        <v>98.7</v>
      </c>
      <c r="K25" s="163">
        <v>100.2</v>
      </c>
      <c r="L25" s="164">
        <f t="shared" si="0"/>
        <v>198.9</v>
      </c>
      <c r="M25" s="165">
        <f t="shared" si="1"/>
        <v>0.52898936170212763</v>
      </c>
      <c r="N25" s="122"/>
    </row>
    <row r="26" spans="2:14" x14ac:dyDescent="0.25">
      <c r="B26" s="121"/>
      <c r="C26" s="159">
        <v>29</v>
      </c>
      <c r="D26" s="159">
        <v>13</v>
      </c>
      <c r="E26" s="159" t="s">
        <v>75</v>
      </c>
      <c r="F26" s="159" t="s">
        <v>526</v>
      </c>
      <c r="G26" s="160" t="s">
        <v>42</v>
      </c>
      <c r="H26" s="161" t="s">
        <v>1421</v>
      </c>
      <c r="I26" s="162">
        <v>384</v>
      </c>
      <c r="J26" s="159">
        <v>108.9</v>
      </c>
      <c r="K26" s="163">
        <v>108.3</v>
      </c>
      <c r="L26" s="164">
        <f t="shared" si="0"/>
        <v>217.2</v>
      </c>
      <c r="M26" s="165">
        <f t="shared" si="1"/>
        <v>0.56562499999999993</v>
      </c>
      <c r="N26" s="122"/>
    </row>
    <row r="27" spans="2:14" x14ac:dyDescent="0.25">
      <c r="B27" s="121"/>
      <c r="C27" s="159">
        <v>30</v>
      </c>
      <c r="D27" s="159">
        <v>21</v>
      </c>
      <c r="E27" s="159" t="s">
        <v>75</v>
      </c>
      <c r="F27" s="159" t="s">
        <v>526</v>
      </c>
      <c r="G27" s="160" t="s">
        <v>483</v>
      </c>
      <c r="H27" s="161" t="s">
        <v>1422</v>
      </c>
      <c r="I27" s="162">
        <v>423</v>
      </c>
      <c r="J27" s="159">
        <v>120.2</v>
      </c>
      <c r="K27" s="163">
        <v>118.3</v>
      </c>
      <c r="L27" s="164">
        <f t="shared" si="0"/>
        <v>238.5</v>
      </c>
      <c r="M27" s="165">
        <f t="shared" si="1"/>
        <v>0.56382978723404253</v>
      </c>
      <c r="N27" s="122"/>
    </row>
    <row r="28" spans="2:14" x14ac:dyDescent="0.25">
      <c r="B28" s="121"/>
      <c r="C28" s="159">
        <v>31</v>
      </c>
      <c r="D28" s="159">
        <v>16</v>
      </c>
      <c r="E28" s="159" t="s">
        <v>75</v>
      </c>
      <c r="F28" s="159" t="s">
        <v>526</v>
      </c>
      <c r="G28" s="160" t="s">
        <v>483</v>
      </c>
      <c r="H28" s="161" t="s">
        <v>1423</v>
      </c>
      <c r="I28" s="162">
        <v>353</v>
      </c>
      <c r="J28" s="159">
        <v>98.2</v>
      </c>
      <c r="K28" s="163">
        <v>97.3</v>
      </c>
      <c r="L28" s="164">
        <f t="shared" si="0"/>
        <v>195.5</v>
      </c>
      <c r="M28" s="165">
        <f t="shared" si="1"/>
        <v>0.55382436260623225</v>
      </c>
      <c r="N28" s="122"/>
    </row>
    <row r="29" spans="2:14" x14ac:dyDescent="0.25">
      <c r="B29" s="121"/>
      <c r="C29" s="160">
        <v>32</v>
      </c>
      <c r="D29" s="160">
        <v>15</v>
      </c>
      <c r="E29" s="160" t="s">
        <v>75</v>
      </c>
      <c r="F29" s="159" t="s">
        <v>526</v>
      </c>
      <c r="G29" s="160" t="s">
        <v>42</v>
      </c>
      <c r="H29" s="161" t="s">
        <v>1424</v>
      </c>
      <c r="I29" s="162">
        <v>398</v>
      </c>
      <c r="J29" s="159">
        <v>108.1</v>
      </c>
      <c r="K29" s="163">
        <v>108.7</v>
      </c>
      <c r="L29" s="164">
        <f t="shared" si="0"/>
        <v>216.8</v>
      </c>
      <c r="M29" s="165">
        <f t="shared" si="1"/>
        <v>0.54472361809045233</v>
      </c>
      <c r="N29" s="122"/>
    </row>
    <row r="30" spans="2:14" x14ac:dyDescent="0.25">
      <c r="B30" s="121"/>
      <c r="C30" s="160">
        <v>33</v>
      </c>
      <c r="D30" s="160">
        <v>18</v>
      </c>
      <c r="E30" s="160" t="s">
        <v>75</v>
      </c>
      <c r="F30" s="159" t="s">
        <v>526</v>
      </c>
      <c r="G30" s="160" t="s">
        <v>483</v>
      </c>
      <c r="H30" s="161" t="s">
        <v>610</v>
      </c>
      <c r="I30" s="162">
        <v>348</v>
      </c>
      <c r="J30" s="159">
        <v>91.5</v>
      </c>
      <c r="K30" s="163">
        <v>92.4</v>
      </c>
      <c r="L30" s="164">
        <f t="shared" si="0"/>
        <v>183.9</v>
      </c>
      <c r="M30" s="165">
        <f t="shared" si="1"/>
        <v>0.52844827586206899</v>
      </c>
      <c r="N30" s="122"/>
    </row>
    <row r="31" spans="2:14" x14ac:dyDescent="0.25">
      <c r="B31" s="121"/>
      <c r="C31" s="159">
        <v>34</v>
      </c>
      <c r="D31" s="159">
        <v>19</v>
      </c>
      <c r="E31" s="159" t="s">
        <v>75</v>
      </c>
      <c r="F31" s="159" t="s">
        <v>526</v>
      </c>
      <c r="G31" s="160" t="s">
        <v>42</v>
      </c>
      <c r="H31" s="161" t="s">
        <v>1425</v>
      </c>
      <c r="I31" s="162">
        <v>384</v>
      </c>
      <c r="J31" s="159">
        <v>103.2</v>
      </c>
      <c r="K31" s="163">
        <v>102.3</v>
      </c>
      <c r="L31" s="164">
        <f t="shared" si="0"/>
        <v>205.5</v>
      </c>
      <c r="M31" s="165">
        <f t="shared" si="1"/>
        <v>0.53515625</v>
      </c>
      <c r="N31" s="122"/>
    </row>
    <row r="32" spans="2:14" x14ac:dyDescent="0.25">
      <c r="B32" s="121"/>
      <c r="C32" s="159">
        <v>35</v>
      </c>
      <c r="D32" s="159">
        <v>23</v>
      </c>
      <c r="E32" s="159" t="s">
        <v>68</v>
      </c>
      <c r="F32" s="159" t="s">
        <v>526</v>
      </c>
      <c r="G32" s="160" t="s">
        <v>483</v>
      </c>
      <c r="H32" s="161" t="s">
        <v>1426</v>
      </c>
      <c r="I32" s="162">
        <v>344</v>
      </c>
      <c r="J32" s="159">
        <v>92.9</v>
      </c>
      <c r="K32" s="163">
        <v>93</v>
      </c>
      <c r="L32" s="164">
        <f t="shared" si="0"/>
        <v>185.9</v>
      </c>
      <c r="M32" s="165">
        <f t="shared" si="1"/>
        <v>0.54040697674418603</v>
      </c>
      <c r="N32" s="122"/>
    </row>
    <row r="33" spans="2:14" x14ac:dyDescent="0.25">
      <c r="B33" s="121"/>
      <c r="C33" s="160">
        <v>36</v>
      </c>
      <c r="D33" s="160">
        <v>24</v>
      </c>
      <c r="E33" s="160" t="s">
        <v>75</v>
      </c>
      <c r="F33" s="159" t="s">
        <v>526</v>
      </c>
      <c r="G33" s="160" t="s">
        <v>483</v>
      </c>
      <c r="H33" s="161" t="s">
        <v>1427</v>
      </c>
      <c r="I33" s="162">
        <v>389</v>
      </c>
      <c r="J33" s="159">
        <v>105.6</v>
      </c>
      <c r="K33" s="163">
        <v>105</v>
      </c>
      <c r="L33" s="164">
        <f t="shared" si="0"/>
        <v>210.6</v>
      </c>
      <c r="M33" s="165">
        <f t="shared" si="1"/>
        <v>0.54138817480719792</v>
      </c>
      <c r="N33" s="122"/>
    </row>
    <row r="34" spans="2:14" x14ac:dyDescent="0.25">
      <c r="B34" s="121"/>
      <c r="C34" s="159">
        <v>37</v>
      </c>
      <c r="D34" s="159">
        <v>8</v>
      </c>
      <c r="E34" s="159" t="s">
        <v>75</v>
      </c>
      <c r="F34" s="159" t="s">
        <v>526</v>
      </c>
      <c r="G34" s="160" t="s">
        <v>42</v>
      </c>
      <c r="H34" s="161" t="s">
        <v>1428</v>
      </c>
      <c r="I34" s="162">
        <v>364</v>
      </c>
      <c r="J34" s="159">
        <v>99.7</v>
      </c>
      <c r="K34" s="166">
        <v>99.1</v>
      </c>
      <c r="L34" s="164">
        <f t="shared" si="0"/>
        <v>198.8</v>
      </c>
      <c r="M34" s="167">
        <f t="shared" si="1"/>
        <v>0.54615384615384621</v>
      </c>
      <c r="N34" s="122"/>
    </row>
    <row r="35" spans="2:14" x14ac:dyDescent="0.25">
      <c r="B35" s="121"/>
      <c r="C35" s="159">
        <v>38</v>
      </c>
      <c r="D35" s="159">
        <v>3</v>
      </c>
      <c r="E35" s="159" t="s">
        <v>75</v>
      </c>
      <c r="F35" s="159" t="s">
        <v>526</v>
      </c>
      <c r="G35" s="160" t="s">
        <v>42</v>
      </c>
      <c r="H35" s="161" t="s">
        <v>1114</v>
      </c>
      <c r="I35" s="162">
        <v>366</v>
      </c>
      <c r="J35" s="159">
        <v>99.1</v>
      </c>
      <c r="K35" s="163">
        <v>99.1</v>
      </c>
      <c r="L35" s="164">
        <f t="shared" si="0"/>
        <v>198.2</v>
      </c>
      <c r="M35" s="165">
        <f t="shared" si="1"/>
        <v>0.54153005464480874</v>
      </c>
      <c r="N35" s="122"/>
    </row>
    <row r="36" spans="2:14" x14ac:dyDescent="0.25">
      <c r="B36" s="121"/>
      <c r="C36" s="159">
        <v>39</v>
      </c>
      <c r="D36" s="159">
        <v>1</v>
      </c>
      <c r="E36" s="159" t="s">
        <v>75</v>
      </c>
      <c r="F36" s="159" t="s">
        <v>526</v>
      </c>
      <c r="G36" s="160" t="s">
        <v>42</v>
      </c>
      <c r="H36" s="161" t="s">
        <v>1429</v>
      </c>
      <c r="I36" s="162">
        <v>363</v>
      </c>
      <c r="J36" s="159">
        <v>97.6</v>
      </c>
      <c r="K36" s="163">
        <v>99.4</v>
      </c>
      <c r="L36" s="164">
        <f t="shared" si="0"/>
        <v>197</v>
      </c>
      <c r="M36" s="165">
        <f t="shared" si="1"/>
        <v>0.54269972451790638</v>
      </c>
      <c r="N36" s="122"/>
    </row>
    <row r="37" spans="2:14" x14ac:dyDescent="0.25">
      <c r="B37" s="121"/>
      <c r="C37" s="159">
        <v>40</v>
      </c>
      <c r="D37" s="159">
        <v>14</v>
      </c>
      <c r="E37" s="159" t="s">
        <v>75</v>
      </c>
      <c r="F37" s="159" t="s">
        <v>526</v>
      </c>
      <c r="G37" s="160" t="s">
        <v>42</v>
      </c>
      <c r="H37" s="161" t="s">
        <v>1430</v>
      </c>
      <c r="I37" s="162">
        <v>386</v>
      </c>
      <c r="J37" s="159">
        <v>109.2</v>
      </c>
      <c r="K37" s="163">
        <v>109.9</v>
      </c>
      <c r="L37" s="164">
        <f t="shared" si="0"/>
        <v>219.10000000000002</v>
      </c>
      <c r="M37" s="165">
        <f t="shared" si="1"/>
        <v>0.56761658031088091</v>
      </c>
      <c r="N37" s="122"/>
    </row>
    <row r="38" spans="2:14" x14ac:dyDescent="0.25">
      <c r="B38" s="121"/>
      <c r="C38" s="159">
        <v>41</v>
      </c>
      <c r="D38" s="159">
        <v>9</v>
      </c>
      <c r="E38" s="159" t="s">
        <v>75</v>
      </c>
      <c r="F38" s="159" t="s">
        <v>526</v>
      </c>
      <c r="G38" s="159" t="s">
        <v>42</v>
      </c>
      <c r="H38" s="168" t="s">
        <v>1431</v>
      </c>
      <c r="I38" s="169">
        <v>403</v>
      </c>
      <c r="J38" s="159">
        <v>110.8</v>
      </c>
      <c r="K38" s="163">
        <v>111.7</v>
      </c>
      <c r="L38" s="164">
        <f t="shared" si="0"/>
        <v>222.5</v>
      </c>
      <c r="M38" s="165">
        <f t="shared" si="1"/>
        <v>0.55210918114143925</v>
      </c>
      <c r="N38" s="122"/>
    </row>
    <row r="39" spans="2:14" x14ac:dyDescent="0.25">
      <c r="B39" s="121"/>
      <c r="C39" s="159">
        <v>42</v>
      </c>
      <c r="D39" s="159">
        <v>4</v>
      </c>
      <c r="E39" s="159" t="s">
        <v>75</v>
      </c>
      <c r="F39" s="159" t="s">
        <v>526</v>
      </c>
      <c r="G39" s="160" t="s">
        <v>42</v>
      </c>
      <c r="H39" s="161" t="s">
        <v>1432</v>
      </c>
      <c r="I39" s="162">
        <v>385</v>
      </c>
      <c r="J39" s="159">
        <v>105.6</v>
      </c>
      <c r="K39" s="163">
        <v>105.8</v>
      </c>
      <c r="L39" s="164">
        <f t="shared" si="0"/>
        <v>211.39999999999998</v>
      </c>
      <c r="M39" s="165">
        <f t="shared" si="1"/>
        <v>0.54909090909090907</v>
      </c>
      <c r="N39" s="122"/>
    </row>
    <row r="40" spans="2:14" x14ac:dyDescent="0.25">
      <c r="B40" s="121"/>
      <c r="C40" s="159">
        <v>43</v>
      </c>
      <c r="D40" s="159">
        <v>12</v>
      </c>
      <c r="E40" s="159" t="s">
        <v>75</v>
      </c>
      <c r="F40" s="159" t="s">
        <v>526</v>
      </c>
      <c r="G40" s="160" t="s">
        <v>483</v>
      </c>
      <c r="H40" s="161" t="s">
        <v>1433</v>
      </c>
      <c r="I40" s="162">
        <v>353</v>
      </c>
      <c r="J40" s="159">
        <v>96.9</v>
      </c>
      <c r="K40" s="163">
        <v>96.3</v>
      </c>
      <c r="L40" s="164">
        <f t="shared" si="0"/>
        <v>193.2</v>
      </c>
      <c r="M40" s="165">
        <f t="shared" si="1"/>
        <v>0.54730878186968834</v>
      </c>
      <c r="N40" s="122"/>
    </row>
    <row r="41" spans="2:14" x14ac:dyDescent="0.25">
      <c r="B41" s="121"/>
      <c r="C41" s="159">
        <v>44</v>
      </c>
      <c r="D41" s="159">
        <v>17</v>
      </c>
      <c r="E41" s="159" t="s">
        <v>75</v>
      </c>
      <c r="F41" s="159" t="s">
        <v>526</v>
      </c>
      <c r="G41" s="160" t="s">
        <v>483</v>
      </c>
      <c r="H41" s="161" t="s">
        <v>1434</v>
      </c>
      <c r="I41" s="162">
        <v>346</v>
      </c>
      <c r="J41" s="159">
        <v>95.2</v>
      </c>
      <c r="K41" s="163">
        <v>95.1</v>
      </c>
      <c r="L41" s="164">
        <f t="shared" si="0"/>
        <v>190.3</v>
      </c>
      <c r="M41" s="165">
        <f t="shared" si="1"/>
        <v>0.55000000000000004</v>
      </c>
      <c r="N41" s="122"/>
    </row>
    <row r="42" spans="2:14" x14ac:dyDescent="0.25">
      <c r="B42" s="121"/>
      <c r="C42" s="160">
        <v>45</v>
      </c>
      <c r="D42" s="160">
        <v>22</v>
      </c>
      <c r="E42" s="160" t="s">
        <v>75</v>
      </c>
      <c r="F42" s="159" t="s">
        <v>526</v>
      </c>
      <c r="G42" s="160" t="s">
        <v>483</v>
      </c>
      <c r="H42" s="161" t="s">
        <v>1435</v>
      </c>
      <c r="I42" s="162">
        <v>357</v>
      </c>
      <c r="J42" s="159">
        <v>89</v>
      </c>
      <c r="K42" s="163">
        <v>90.2</v>
      </c>
      <c r="L42" s="164">
        <f t="shared" si="0"/>
        <v>179.2</v>
      </c>
      <c r="M42" s="165">
        <f t="shared" si="1"/>
        <v>0.50196078431372548</v>
      </c>
      <c r="N42" s="122"/>
    </row>
    <row r="43" spans="2:14" x14ac:dyDescent="0.25">
      <c r="B43" s="121"/>
      <c r="C43" s="159">
        <v>46</v>
      </c>
      <c r="D43" s="159">
        <v>10</v>
      </c>
      <c r="E43" s="159" t="s">
        <v>75</v>
      </c>
      <c r="F43" s="159" t="s">
        <v>526</v>
      </c>
      <c r="G43" s="160" t="s">
        <v>483</v>
      </c>
      <c r="H43" s="161" t="s">
        <v>1436</v>
      </c>
      <c r="I43" s="162">
        <v>341</v>
      </c>
      <c r="J43" s="159">
        <v>90.8</v>
      </c>
      <c r="K43" s="163">
        <v>90.6</v>
      </c>
      <c r="L43" s="164">
        <f t="shared" si="0"/>
        <v>181.39999999999998</v>
      </c>
      <c r="M43" s="165">
        <f t="shared" si="1"/>
        <v>0.53196480938416413</v>
      </c>
      <c r="N43" s="122"/>
    </row>
    <row r="44" spans="2:14" x14ac:dyDescent="0.25">
      <c r="B44" s="121"/>
      <c r="C44" s="160">
        <v>47</v>
      </c>
      <c r="D44" s="160">
        <v>11</v>
      </c>
      <c r="E44" s="160" t="s">
        <v>75</v>
      </c>
      <c r="F44" s="159" t="s">
        <v>526</v>
      </c>
      <c r="G44" s="160" t="s">
        <v>42</v>
      </c>
      <c r="H44" s="161" t="s">
        <v>1437</v>
      </c>
      <c r="I44" s="162">
        <v>393</v>
      </c>
      <c r="J44" s="159">
        <v>109.3</v>
      </c>
      <c r="K44" s="163">
        <v>108.3</v>
      </c>
      <c r="L44" s="164">
        <f t="shared" si="0"/>
        <v>217.6</v>
      </c>
      <c r="M44" s="165">
        <f t="shared" si="1"/>
        <v>0.5536895674300254</v>
      </c>
      <c r="N44" s="122"/>
    </row>
    <row r="45" spans="2:14" x14ac:dyDescent="0.25">
      <c r="B45" s="121"/>
      <c r="C45" s="160">
        <v>48</v>
      </c>
      <c r="D45" s="160">
        <v>5</v>
      </c>
      <c r="E45" s="160" t="s">
        <v>75</v>
      </c>
      <c r="F45" s="159" t="s">
        <v>526</v>
      </c>
      <c r="G45" s="160" t="s">
        <v>42</v>
      </c>
      <c r="H45" s="161" t="s">
        <v>1438</v>
      </c>
      <c r="I45" s="162">
        <v>399</v>
      </c>
      <c r="J45" s="159">
        <v>108</v>
      </c>
      <c r="K45" s="163">
        <v>108.1</v>
      </c>
      <c r="L45" s="164">
        <f t="shared" si="0"/>
        <v>216.1</v>
      </c>
      <c r="M45" s="165">
        <f t="shared" si="1"/>
        <v>0.54160401002506264</v>
      </c>
      <c r="N45" s="122"/>
    </row>
    <row r="46" spans="2:14" x14ac:dyDescent="0.25">
      <c r="B46" s="121"/>
      <c r="C46" s="160">
        <v>49</v>
      </c>
      <c r="D46" s="160">
        <v>6</v>
      </c>
      <c r="E46" s="160" t="s">
        <v>75</v>
      </c>
      <c r="F46" s="159" t="s">
        <v>526</v>
      </c>
      <c r="G46" s="160" t="s">
        <v>42</v>
      </c>
      <c r="H46" s="161" t="s">
        <v>1439</v>
      </c>
      <c r="I46" s="162">
        <v>382</v>
      </c>
      <c r="J46" s="159">
        <v>104.7</v>
      </c>
      <c r="K46" s="163">
        <v>105.9</v>
      </c>
      <c r="L46" s="164">
        <f t="shared" si="0"/>
        <v>210.60000000000002</v>
      </c>
      <c r="M46" s="165">
        <f t="shared" si="1"/>
        <v>0.5513089005235603</v>
      </c>
      <c r="N46" s="122"/>
    </row>
    <row r="47" spans="2:14" x14ac:dyDescent="0.25">
      <c r="B47" s="121"/>
      <c r="C47" s="160">
        <v>50</v>
      </c>
      <c r="D47" s="160">
        <v>7</v>
      </c>
      <c r="E47" s="160" t="s">
        <v>75</v>
      </c>
      <c r="F47" s="159" t="s">
        <v>526</v>
      </c>
      <c r="G47" s="160" t="s">
        <v>42</v>
      </c>
      <c r="H47" s="161" t="s">
        <v>1440</v>
      </c>
      <c r="I47" s="162">
        <v>346</v>
      </c>
      <c r="J47" s="159">
        <v>93.7</v>
      </c>
      <c r="K47" s="163">
        <v>96.2</v>
      </c>
      <c r="L47" s="164">
        <f t="shared" si="0"/>
        <v>189.9</v>
      </c>
      <c r="M47" s="165">
        <f t="shared" si="1"/>
        <v>0.54884393063583814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97"/>
      <c r="D66" s="297">
        <f>+COUNT($D$22:$D$65)</f>
        <v>25</v>
      </c>
      <c r="E66" s="297"/>
      <c r="F66" s="373"/>
      <c r="G66" s="373"/>
      <c r="H66" s="149"/>
      <c r="I66" s="148">
        <f>SUM($I$22:$I$65)</f>
        <v>9309</v>
      </c>
      <c r="J66" s="150">
        <f>SUM($J$22:$J$65)</f>
        <v>2531.1999999999998</v>
      </c>
      <c r="K66" s="151">
        <f>SUM($K$22:$K$65)</f>
        <v>2534.7999999999997</v>
      </c>
      <c r="L66" s="148">
        <f>SUM($L$22:$L$65)</f>
        <v>5066.0000000000009</v>
      </c>
      <c r="M66" s="178">
        <f t="shared" si="1"/>
        <v>0.54420453324739504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94.86</v>
      </c>
      <c r="I71" s="119">
        <f>18.3+19.04+18.14+19.56+18.82</f>
        <v>93.860000000000014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40</v>
      </c>
      <c r="I72" s="119">
        <f>20.92+20.48+20.68+21.08+24+23.64+22.84+25.12</f>
        <v>178.76000000000002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35</v>
      </c>
      <c r="I73" s="119">
        <f>22.28+21.78</f>
        <v>44.06</v>
      </c>
      <c r="J73" s="181">
        <v>5</v>
      </c>
      <c r="K73" s="185">
        <v>27.72</v>
      </c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40</v>
      </c>
      <c r="I74" s="119">
        <f>21.6+19.96</f>
        <v>41.56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27.44</v>
      </c>
      <c r="I75" s="119">
        <f>14.14+12.54</f>
        <v>26.68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39</v>
      </c>
      <c r="I76" s="119">
        <f>18.16+18.44</f>
        <v>36.6</v>
      </c>
      <c r="J76" s="181">
        <v>1</v>
      </c>
      <c r="K76" s="185">
        <v>0.96</v>
      </c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160</v>
      </c>
      <c r="I77" s="119">
        <v>24.78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40</v>
      </c>
      <c r="I78" s="119">
        <f>15.84+13.44</f>
        <v>29.28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40</v>
      </c>
      <c r="I79" s="119">
        <f>15.52+14.44</f>
        <v>29.96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52.900000000000006</v>
      </c>
      <c r="I80" s="119">
        <f>17.06+15.94+17.44</f>
        <v>50.44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40</v>
      </c>
      <c r="I81" s="119">
        <f>15.44+15.02+16.38</f>
        <v>46.84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40</v>
      </c>
      <c r="I82" s="119">
        <f>6.56+6.38</f>
        <v>12.94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21.6</v>
      </c>
      <c r="I83" s="119">
        <v>19.940000000000001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635.70000000000016</v>
      </c>
      <c r="J84" s="187">
        <f>SUM(J71:J83)</f>
        <v>6</v>
      </c>
      <c r="K84" s="186">
        <f>SUM(K71:K83)</f>
        <v>28.68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25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35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E66" zoomScale="90" zoomScaleNormal="90" workbookViewId="0">
      <selection activeCell="I84" sqref="I84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0.5644335598040765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178.61500000000001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986</v>
      </c>
      <c r="F8" s="344"/>
      <c r="G8" s="344"/>
      <c r="H8" s="345"/>
      <c r="I8" s="146" t="s">
        <v>487</v>
      </c>
      <c r="J8" s="346" t="s">
        <v>1441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28012</v>
      </c>
      <c r="F9" s="344"/>
      <c r="G9" s="344"/>
      <c r="H9" s="345"/>
      <c r="I9" s="146" t="s">
        <v>88</v>
      </c>
      <c r="J9" s="209" t="s">
        <v>1442</v>
      </c>
      <c r="K9" s="294" t="s">
        <v>490</v>
      </c>
      <c r="L9" s="369">
        <v>418832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95" t="s">
        <v>569</v>
      </c>
      <c r="E12" s="384">
        <v>46065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72</v>
      </c>
      <c r="F13" s="349"/>
      <c r="H13" s="117"/>
      <c r="I13" s="123"/>
      <c r="J13" s="215" t="s">
        <v>483</v>
      </c>
      <c r="K13" s="296">
        <f>+COUNTIF($G$22:$G$66,"VQ")*2</f>
        <v>14</v>
      </c>
      <c r="L13" s="296">
        <f>+SUMIF($G$23:$G$65,"VQ",$L$23:$L$65)</f>
        <v>1109.4000000000001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20</v>
      </c>
      <c r="F14" s="350"/>
      <c r="H14" s="117"/>
      <c r="I14" s="123"/>
      <c r="J14" s="215" t="s">
        <v>42</v>
      </c>
      <c r="K14" s="296">
        <f>+COUNTIF($G$22:$G$66,"NT")*2</f>
        <v>0</v>
      </c>
      <c r="L14" s="296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6329</v>
      </c>
      <c r="F15" s="350"/>
      <c r="H15" s="117"/>
      <c r="I15" s="123"/>
      <c r="J15" s="215" t="s">
        <v>484</v>
      </c>
      <c r="K15" s="296">
        <f>+COUNTIF($G$22:$G$66,"NO")*2</f>
        <v>6</v>
      </c>
      <c r="L15" s="296">
        <f>+SUMIF($G$23:$G$65,"NO",$L$23:$L$65)</f>
        <v>603.5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3572.3</v>
      </c>
      <c r="F16" s="350"/>
      <c r="H16" s="117"/>
      <c r="I16" s="123"/>
      <c r="J16" s="215" t="s">
        <v>485</v>
      </c>
      <c r="K16" s="296">
        <f>+COUNTIF($G$22:$G$66,"TO")*2</f>
        <v>0</v>
      </c>
      <c r="L16" s="296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0.5644335598040765</v>
      </c>
      <c r="F17" s="350"/>
      <c r="G17" s="124"/>
      <c r="H17" s="125"/>
      <c r="I17" s="123"/>
      <c r="J17" s="215" t="s">
        <v>486</v>
      </c>
      <c r="K17" s="296">
        <f>+COUNTIF($G$22:$G$66,"VA")*2</f>
        <v>0</v>
      </c>
      <c r="L17" s="296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178.61500000000001</v>
      </c>
      <c r="F18" s="353"/>
      <c r="G18" s="124"/>
      <c r="H18" s="125"/>
      <c r="I18" s="123"/>
      <c r="J18" s="215" t="s">
        <v>44</v>
      </c>
      <c r="K18" s="296">
        <f>+COUNTIF($G$22:$G$66,"MEJ")*2</f>
        <v>8</v>
      </c>
      <c r="L18" s="296">
        <f>+SUMIF($G$23:$G$65,"MEJ",$L$23:$L$65)</f>
        <v>816.4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6</v>
      </c>
      <c r="D23" s="152">
        <v>9</v>
      </c>
      <c r="E23" s="152" t="s">
        <v>67</v>
      </c>
      <c r="F23" s="152" t="s">
        <v>750</v>
      </c>
      <c r="G23" s="153" t="s">
        <v>44</v>
      </c>
      <c r="H23" s="154" t="s">
        <v>1443</v>
      </c>
      <c r="I23" s="155">
        <v>359</v>
      </c>
      <c r="J23" s="152">
        <v>105.7</v>
      </c>
      <c r="K23" s="156">
        <v>106.7</v>
      </c>
      <c r="L23" s="157">
        <f t="shared" ref="L23:L65" si="0">+J23+K23</f>
        <v>212.4</v>
      </c>
      <c r="M23" s="158">
        <f t="shared" ref="M23:M66" si="1">+L23/I23</f>
        <v>0.59164345403899721</v>
      </c>
      <c r="N23" s="122"/>
    </row>
    <row r="24" spans="2:14" x14ac:dyDescent="0.25">
      <c r="B24" s="121"/>
      <c r="C24" s="159">
        <v>7</v>
      </c>
      <c r="D24" s="159">
        <v>12</v>
      </c>
      <c r="E24" s="159" t="s">
        <v>67</v>
      </c>
      <c r="F24" s="159" t="s">
        <v>526</v>
      </c>
      <c r="G24" s="160" t="s">
        <v>484</v>
      </c>
      <c r="H24" s="161" t="s">
        <v>937</v>
      </c>
      <c r="I24" s="162">
        <v>382</v>
      </c>
      <c r="J24" s="159">
        <v>105.2</v>
      </c>
      <c r="K24" s="163">
        <v>107</v>
      </c>
      <c r="L24" s="164">
        <f t="shared" si="0"/>
        <v>212.2</v>
      </c>
      <c r="M24" s="165">
        <f t="shared" si="1"/>
        <v>0.55549738219895284</v>
      </c>
      <c r="N24" s="122"/>
    </row>
    <row r="25" spans="2:14" x14ac:dyDescent="0.25">
      <c r="B25" s="121"/>
      <c r="C25" s="159">
        <v>8</v>
      </c>
      <c r="D25" s="159">
        <v>13</v>
      </c>
      <c r="E25" s="159" t="s">
        <v>67</v>
      </c>
      <c r="F25" s="159" t="s">
        <v>750</v>
      </c>
      <c r="G25" s="160" t="s">
        <v>44</v>
      </c>
      <c r="H25" s="161" t="s">
        <v>1444</v>
      </c>
      <c r="I25" s="162">
        <v>351</v>
      </c>
      <c r="J25" s="159">
        <v>98.5</v>
      </c>
      <c r="K25" s="163">
        <v>99.4</v>
      </c>
      <c r="L25" s="164">
        <f t="shared" si="0"/>
        <v>197.9</v>
      </c>
      <c r="M25" s="165">
        <f t="shared" si="1"/>
        <v>0.56381766381766385</v>
      </c>
      <c r="N25" s="122"/>
    </row>
    <row r="26" spans="2:14" x14ac:dyDescent="0.25">
      <c r="B26" s="121"/>
      <c r="C26" s="159">
        <v>9</v>
      </c>
      <c r="D26" s="159">
        <v>19</v>
      </c>
      <c r="E26" s="159" t="s">
        <v>68</v>
      </c>
      <c r="F26" s="159" t="s">
        <v>750</v>
      </c>
      <c r="G26" s="160" t="s">
        <v>68</v>
      </c>
      <c r="H26" s="161" t="s">
        <v>1445</v>
      </c>
      <c r="I26" s="162">
        <v>353</v>
      </c>
      <c r="J26" s="159">
        <v>105.9</v>
      </c>
      <c r="K26" s="163">
        <v>106</v>
      </c>
      <c r="L26" s="164">
        <f t="shared" si="0"/>
        <v>211.9</v>
      </c>
      <c r="M26" s="165">
        <f t="shared" si="1"/>
        <v>0.60028328611898019</v>
      </c>
      <c r="N26" s="122"/>
    </row>
    <row r="27" spans="2:14" x14ac:dyDescent="0.25">
      <c r="B27" s="121"/>
      <c r="C27" s="159">
        <v>10</v>
      </c>
      <c r="D27" s="159">
        <v>10</v>
      </c>
      <c r="E27" s="159" t="s">
        <v>67</v>
      </c>
      <c r="F27" s="159" t="s">
        <v>750</v>
      </c>
      <c r="G27" s="160" t="s">
        <v>484</v>
      </c>
      <c r="H27" s="161" t="s">
        <v>1446</v>
      </c>
      <c r="I27" s="162">
        <v>337</v>
      </c>
      <c r="J27" s="159">
        <v>97.2</v>
      </c>
      <c r="K27" s="163">
        <v>98.5</v>
      </c>
      <c r="L27" s="164">
        <f t="shared" si="0"/>
        <v>195.7</v>
      </c>
      <c r="M27" s="165">
        <f t="shared" si="1"/>
        <v>0.58071216617210675</v>
      </c>
      <c r="N27" s="122"/>
    </row>
    <row r="28" spans="2:14" x14ac:dyDescent="0.25">
      <c r="B28" s="121"/>
      <c r="C28" s="159">
        <v>11</v>
      </c>
      <c r="D28" s="159">
        <v>7</v>
      </c>
      <c r="E28" s="159" t="s">
        <v>67</v>
      </c>
      <c r="F28" s="159" t="s">
        <v>526</v>
      </c>
      <c r="G28" s="160" t="s">
        <v>483</v>
      </c>
      <c r="H28" s="161" t="s">
        <v>1173</v>
      </c>
      <c r="I28" s="162">
        <v>297</v>
      </c>
      <c r="J28" s="159">
        <v>80.7</v>
      </c>
      <c r="K28" s="163">
        <v>80.400000000000006</v>
      </c>
      <c r="L28" s="164">
        <f t="shared" si="0"/>
        <v>161.10000000000002</v>
      </c>
      <c r="M28" s="165">
        <f t="shared" si="1"/>
        <v>0.54242424242424248</v>
      </c>
      <c r="N28" s="122"/>
    </row>
    <row r="29" spans="2:14" x14ac:dyDescent="0.25">
      <c r="B29" s="121"/>
      <c r="C29" s="160">
        <v>12</v>
      </c>
      <c r="D29" s="160">
        <v>4</v>
      </c>
      <c r="E29" s="160" t="s">
        <v>67</v>
      </c>
      <c r="F29" s="160" t="s">
        <v>526</v>
      </c>
      <c r="G29" s="160" t="s">
        <v>44</v>
      </c>
      <c r="H29" s="161" t="s">
        <v>1447</v>
      </c>
      <c r="I29" s="162">
        <v>339</v>
      </c>
      <c r="J29" s="159">
        <v>99.9</v>
      </c>
      <c r="K29" s="163">
        <v>99.3</v>
      </c>
      <c r="L29" s="164">
        <f t="shared" si="0"/>
        <v>199.2</v>
      </c>
      <c r="M29" s="165">
        <f t="shared" si="1"/>
        <v>0.58761061946902649</v>
      </c>
      <c r="N29" s="122"/>
    </row>
    <row r="30" spans="2:14" x14ac:dyDescent="0.25">
      <c r="B30" s="121"/>
      <c r="C30" s="160">
        <v>13</v>
      </c>
      <c r="D30" s="160">
        <v>2</v>
      </c>
      <c r="E30" s="160" t="s">
        <v>68</v>
      </c>
      <c r="F30" s="160" t="s">
        <v>526</v>
      </c>
      <c r="G30" s="160" t="s">
        <v>483</v>
      </c>
      <c r="H30" s="161" t="s">
        <v>1448</v>
      </c>
      <c r="I30" s="162">
        <v>283</v>
      </c>
      <c r="J30" s="159">
        <v>77.900000000000006</v>
      </c>
      <c r="K30" s="163">
        <v>78.2</v>
      </c>
      <c r="L30" s="164">
        <f t="shared" si="0"/>
        <v>156.10000000000002</v>
      </c>
      <c r="M30" s="165">
        <f t="shared" si="1"/>
        <v>0.55159010600706726</v>
      </c>
      <c r="N30" s="122"/>
    </row>
    <row r="31" spans="2:14" x14ac:dyDescent="0.25">
      <c r="B31" s="121"/>
      <c r="C31" s="159">
        <v>14</v>
      </c>
      <c r="D31" s="159">
        <v>11</v>
      </c>
      <c r="E31" s="159" t="s">
        <v>75</v>
      </c>
      <c r="F31" s="160" t="s">
        <v>526</v>
      </c>
      <c r="G31" s="160" t="s">
        <v>483</v>
      </c>
      <c r="H31" s="161" t="s">
        <v>156</v>
      </c>
      <c r="I31" s="162">
        <v>287</v>
      </c>
      <c r="J31" s="159">
        <v>77</v>
      </c>
      <c r="K31" s="163">
        <v>77.5</v>
      </c>
      <c r="L31" s="164">
        <f t="shared" si="0"/>
        <v>154.5</v>
      </c>
      <c r="M31" s="165">
        <f t="shared" si="1"/>
        <v>0.5383275261324042</v>
      </c>
      <c r="N31" s="122"/>
    </row>
    <row r="32" spans="2:14" x14ac:dyDescent="0.25">
      <c r="B32" s="121"/>
      <c r="C32" s="159">
        <v>15</v>
      </c>
      <c r="D32" s="159">
        <v>5</v>
      </c>
      <c r="E32" s="159" t="s">
        <v>75</v>
      </c>
      <c r="F32" s="160" t="s">
        <v>526</v>
      </c>
      <c r="G32" s="160" t="s">
        <v>483</v>
      </c>
      <c r="H32" s="161" t="s">
        <v>984</v>
      </c>
      <c r="I32" s="162">
        <v>294</v>
      </c>
      <c r="J32" s="159">
        <v>83.8</v>
      </c>
      <c r="K32" s="163">
        <v>85.5</v>
      </c>
      <c r="L32" s="164">
        <f t="shared" si="0"/>
        <v>169.3</v>
      </c>
      <c r="M32" s="165">
        <f t="shared" si="1"/>
        <v>0.57585034013605441</v>
      </c>
      <c r="N32" s="122"/>
    </row>
    <row r="33" spans="2:14" x14ac:dyDescent="0.25">
      <c r="B33" s="121"/>
      <c r="C33" s="160">
        <v>16</v>
      </c>
      <c r="D33" s="160">
        <v>14</v>
      </c>
      <c r="E33" s="160" t="s">
        <v>67</v>
      </c>
      <c r="F33" s="160" t="s">
        <v>526</v>
      </c>
      <c r="G33" s="160" t="s">
        <v>483</v>
      </c>
      <c r="H33" s="161" t="s">
        <v>1449</v>
      </c>
      <c r="I33" s="162">
        <v>283</v>
      </c>
      <c r="J33" s="159">
        <v>74.400000000000006</v>
      </c>
      <c r="K33" s="163">
        <v>74.7</v>
      </c>
      <c r="L33" s="164">
        <f t="shared" si="0"/>
        <v>149.10000000000002</v>
      </c>
      <c r="M33" s="165">
        <f t="shared" si="1"/>
        <v>0.52685512367491172</v>
      </c>
      <c r="N33" s="122"/>
    </row>
    <row r="34" spans="2:14" x14ac:dyDescent="0.25">
      <c r="B34" s="121"/>
      <c r="C34" s="159">
        <v>17</v>
      </c>
      <c r="D34" s="159">
        <v>16</v>
      </c>
      <c r="E34" s="159" t="s">
        <v>67</v>
      </c>
      <c r="F34" s="160" t="s">
        <v>526</v>
      </c>
      <c r="G34" s="160" t="s">
        <v>67</v>
      </c>
      <c r="H34" s="161" t="s">
        <v>1450</v>
      </c>
      <c r="I34" s="162">
        <v>284</v>
      </c>
      <c r="J34" s="159">
        <v>78.099999999999994</v>
      </c>
      <c r="K34" s="166">
        <v>78</v>
      </c>
      <c r="L34" s="164">
        <f t="shared" si="0"/>
        <v>156.1</v>
      </c>
      <c r="M34" s="167">
        <f t="shared" si="1"/>
        <v>0.54964788732394365</v>
      </c>
      <c r="N34" s="122"/>
    </row>
    <row r="35" spans="2:14" x14ac:dyDescent="0.25">
      <c r="B35" s="121"/>
      <c r="C35" s="159">
        <v>18</v>
      </c>
      <c r="D35" s="159">
        <v>3</v>
      </c>
      <c r="E35" s="159" t="s">
        <v>68</v>
      </c>
      <c r="F35" s="160" t="s">
        <v>526</v>
      </c>
      <c r="G35" s="160" t="s">
        <v>484</v>
      </c>
      <c r="H35" s="161" t="s">
        <v>1451</v>
      </c>
      <c r="I35" s="162">
        <v>343</v>
      </c>
      <c r="J35" s="159">
        <v>97.4</v>
      </c>
      <c r="K35" s="163">
        <v>98.2</v>
      </c>
      <c r="L35" s="164">
        <f t="shared" si="0"/>
        <v>195.60000000000002</v>
      </c>
      <c r="M35" s="165">
        <f t="shared" si="1"/>
        <v>0.57026239067055395</v>
      </c>
      <c r="N35" s="122"/>
    </row>
    <row r="36" spans="2:14" x14ac:dyDescent="0.25">
      <c r="B36" s="121"/>
      <c r="C36" s="159">
        <v>19</v>
      </c>
      <c r="D36" s="159">
        <v>1</v>
      </c>
      <c r="E36" s="159" t="s">
        <v>67</v>
      </c>
      <c r="F36" s="160" t="s">
        <v>526</v>
      </c>
      <c r="G36" s="160" t="s">
        <v>483</v>
      </c>
      <c r="H36" s="161" t="s">
        <v>1452</v>
      </c>
      <c r="I36" s="162">
        <v>270</v>
      </c>
      <c r="J36" s="159">
        <v>73.2</v>
      </c>
      <c r="K36" s="163">
        <v>72.7</v>
      </c>
      <c r="L36" s="164">
        <f t="shared" si="0"/>
        <v>145.9</v>
      </c>
      <c r="M36" s="165">
        <f t="shared" si="1"/>
        <v>0.54037037037037039</v>
      </c>
      <c r="N36" s="122"/>
    </row>
    <row r="37" spans="2:14" x14ac:dyDescent="0.25">
      <c r="B37" s="121"/>
      <c r="C37" s="159">
        <v>20</v>
      </c>
      <c r="D37" s="159">
        <v>17</v>
      </c>
      <c r="E37" s="159" t="s">
        <v>68</v>
      </c>
      <c r="F37" s="160" t="s">
        <v>526</v>
      </c>
      <c r="G37" s="160" t="s">
        <v>68</v>
      </c>
      <c r="H37" s="161" t="s">
        <v>835</v>
      </c>
      <c r="I37" s="162">
        <v>274</v>
      </c>
      <c r="J37" s="159">
        <v>69.5</v>
      </c>
      <c r="K37" s="163">
        <v>70.099999999999994</v>
      </c>
      <c r="L37" s="164">
        <f t="shared" si="0"/>
        <v>139.6</v>
      </c>
      <c r="M37" s="165">
        <f t="shared" si="1"/>
        <v>0.50948905109489051</v>
      </c>
      <c r="N37" s="122"/>
    </row>
    <row r="38" spans="2:14" x14ac:dyDescent="0.25">
      <c r="B38" s="121"/>
      <c r="C38" s="159">
        <v>21</v>
      </c>
      <c r="D38" s="159">
        <v>18</v>
      </c>
      <c r="E38" s="159" t="s">
        <v>75</v>
      </c>
      <c r="F38" s="160" t="s">
        <v>526</v>
      </c>
      <c r="G38" s="159" t="s">
        <v>75</v>
      </c>
      <c r="H38" s="168" t="s">
        <v>1453</v>
      </c>
      <c r="I38" s="169">
        <v>330</v>
      </c>
      <c r="J38" s="159">
        <v>97.4</v>
      </c>
      <c r="K38" s="163">
        <v>96.2</v>
      </c>
      <c r="L38" s="164">
        <f t="shared" si="0"/>
        <v>193.60000000000002</v>
      </c>
      <c r="M38" s="165">
        <f t="shared" si="1"/>
        <v>0.58666666666666678</v>
      </c>
      <c r="N38" s="122"/>
    </row>
    <row r="39" spans="2:14" x14ac:dyDescent="0.25">
      <c r="B39" s="121"/>
      <c r="C39" s="159">
        <v>22</v>
      </c>
      <c r="D39" s="159">
        <v>6</v>
      </c>
      <c r="E39" s="159" t="s">
        <v>68</v>
      </c>
      <c r="F39" s="160" t="s">
        <v>526</v>
      </c>
      <c r="G39" s="160" t="s">
        <v>44</v>
      </c>
      <c r="H39" s="161" t="s">
        <v>1454</v>
      </c>
      <c r="I39" s="162">
        <v>343</v>
      </c>
      <c r="J39" s="159">
        <v>103.7</v>
      </c>
      <c r="K39" s="163">
        <v>103.2</v>
      </c>
      <c r="L39" s="164">
        <f t="shared" si="0"/>
        <v>206.9</v>
      </c>
      <c r="M39" s="165">
        <f t="shared" si="1"/>
        <v>0.60320699708454817</v>
      </c>
      <c r="N39" s="122"/>
    </row>
    <row r="40" spans="2:14" x14ac:dyDescent="0.25">
      <c r="B40" s="121"/>
      <c r="C40" s="159">
        <v>23</v>
      </c>
      <c r="D40" s="159">
        <v>20</v>
      </c>
      <c r="E40" s="159" t="s">
        <v>75</v>
      </c>
      <c r="F40" s="160" t="s">
        <v>526</v>
      </c>
      <c r="G40" s="160" t="s">
        <v>75</v>
      </c>
      <c r="H40" s="161" t="s">
        <v>1391</v>
      </c>
      <c r="I40" s="162">
        <v>282</v>
      </c>
      <c r="J40" s="159">
        <v>77.099999999999994</v>
      </c>
      <c r="K40" s="163">
        <v>77.400000000000006</v>
      </c>
      <c r="L40" s="164">
        <f t="shared" si="0"/>
        <v>154.5</v>
      </c>
      <c r="M40" s="165">
        <f t="shared" si="1"/>
        <v>0.5478723404255319</v>
      </c>
      <c r="N40" s="122"/>
    </row>
    <row r="41" spans="2:14" x14ac:dyDescent="0.25">
      <c r="B41" s="121"/>
      <c r="C41" s="159">
        <v>24</v>
      </c>
      <c r="D41" s="159">
        <v>15</v>
      </c>
      <c r="E41" s="159" t="s">
        <v>67</v>
      </c>
      <c r="F41" s="160" t="s">
        <v>526</v>
      </c>
      <c r="G41" s="160" t="s">
        <v>67</v>
      </c>
      <c r="H41" s="161" t="s">
        <v>1455</v>
      </c>
      <c r="I41" s="162">
        <v>328</v>
      </c>
      <c r="J41" s="159">
        <v>93.2</v>
      </c>
      <c r="K41" s="163">
        <v>94.1</v>
      </c>
      <c r="L41" s="164">
        <f t="shared" si="0"/>
        <v>187.3</v>
      </c>
      <c r="M41" s="165">
        <f t="shared" si="1"/>
        <v>0.57103658536585367</v>
      </c>
      <c r="N41" s="122"/>
    </row>
    <row r="42" spans="2:14" x14ac:dyDescent="0.25">
      <c r="B42" s="121"/>
      <c r="C42" s="160">
        <v>25</v>
      </c>
      <c r="D42" s="160">
        <v>8</v>
      </c>
      <c r="E42" s="160" t="s">
        <v>67</v>
      </c>
      <c r="F42" s="160" t="s">
        <v>526</v>
      </c>
      <c r="G42" s="160" t="s">
        <v>483</v>
      </c>
      <c r="H42" s="161" t="s">
        <v>1456</v>
      </c>
      <c r="I42" s="162">
        <v>310</v>
      </c>
      <c r="J42" s="159">
        <v>86.6</v>
      </c>
      <c r="K42" s="163">
        <v>86.8</v>
      </c>
      <c r="L42" s="164">
        <f t="shared" si="0"/>
        <v>173.39999999999998</v>
      </c>
      <c r="M42" s="165">
        <f t="shared" si="1"/>
        <v>0.55935483870967739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97"/>
      <c r="D66" s="297">
        <f>+COUNT($D$22:$D$65)</f>
        <v>20</v>
      </c>
      <c r="E66" s="297"/>
      <c r="F66" s="373"/>
      <c r="G66" s="373"/>
      <c r="H66" s="149"/>
      <c r="I66" s="148">
        <f>SUM($I$22:$I$65)</f>
        <v>6329</v>
      </c>
      <c r="J66" s="150">
        <f>SUM($J$22:$J$65)</f>
        <v>1782.4</v>
      </c>
      <c r="K66" s="151">
        <f>SUM($K$22:$K$65)</f>
        <v>1789.9</v>
      </c>
      <c r="L66" s="148">
        <f>SUM($L$22:$L$65)</f>
        <v>3572.3</v>
      </c>
      <c r="M66" s="178">
        <f t="shared" si="1"/>
        <v>0.5644335598040765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38.9</v>
      </c>
      <c r="I71" s="119">
        <f>18.76+19.32</f>
        <v>38.08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20</v>
      </c>
      <c r="I72" s="119">
        <f>12.36+13.84</f>
        <v>26.2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20</v>
      </c>
      <c r="I73" s="119">
        <f>20.4+20.68+18.62+19.4</f>
        <v>79.099999999999994</v>
      </c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20</v>
      </c>
      <c r="I74" s="119">
        <v>18.8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3.78</v>
      </c>
      <c r="I75" s="119">
        <v>12.62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40</v>
      </c>
      <c r="I76" s="119">
        <v>14.62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80</v>
      </c>
      <c r="I77" s="119">
        <v>11.02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20</v>
      </c>
      <c r="I78" s="119">
        <v>13.92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20</v>
      </c>
      <c r="I79" s="119">
        <v>12.62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23.22</v>
      </c>
      <c r="I80" s="119">
        <v>21.92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20</v>
      </c>
      <c r="I81" s="119">
        <f>11+11.4</f>
        <v>22.4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20</v>
      </c>
      <c r="I82" s="119">
        <v>5.82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11.36</v>
      </c>
      <c r="I83" s="119">
        <v>10.62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287.74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20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34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A67" zoomScale="90" zoomScaleNormal="90" workbookViewId="0">
      <selection activeCell="I71" sqref="I71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0.57160894045384747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223.34666666666666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396</v>
      </c>
      <c r="F8" s="344"/>
      <c r="G8" s="344"/>
      <c r="H8" s="345"/>
      <c r="I8" s="146" t="s">
        <v>487</v>
      </c>
      <c r="J8" s="346" t="s">
        <v>1465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69057</v>
      </c>
      <c r="F9" s="344"/>
      <c r="G9" s="344"/>
      <c r="H9" s="345"/>
      <c r="I9" s="146" t="s">
        <v>88</v>
      </c>
      <c r="J9" s="209" t="s">
        <v>1466</v>
      </c>
      <c r="K9" s="294" t="s">
        <v>490</v>
      </c>
      <c r="L9" s="369">
        <v>2600796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95" t="s">
        <v>569</v>
      </c>
      <c r="E12" s="384">
        <v>46065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73</v>
      </c>
      <c r="F13" s="349"/>
      <c r="H13" s="117"/>
      <c r="I13" s="123"/>
      <c r="J13" s="215" t="s">
        <v>483</v>
      </c>
      <c r="K13" s="296">
        <f>+COUNTIF($G$22:$G$66,"VQ")*2</f>
        <v>0</v>
      </c>
      <c r="L13" s="296">
        <f>+SUMIF($G$23:$G$65,"VQ",$L$23:$L$65)</f>
        <v>0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15</v>
      </c>
      <c r="F14" s="350"/>
      <c r="H14" s="117"/>
      <c r="I14" s="123"/>
      <c r="J14" s="215" t="s">
        <v>42</v>
      </c>
      <c r="K14" s="296">
        <f>+COUNTIF($G$22:$G$66,"NT")*2</f>
        <v>14</v>
      </c>
      <c r="L14" s="296">
        <f>+SUMIF($G$23:$G$65,"NT",$L$23:$L$65)</f>
        <v>1584.1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5861</v>
      </c>
      <c r="F15" s="350"/>
      <c r="H15" s="117"/>
      <c r="I15" s="123"/>
      <c r="J15" s="215" t="s">
        <v>484</v>
      </c>
      <c r="K15" s="296">
        <f>+COUNTIF($G$22:$G$66,"NO")*2</f>
        <v>0</v>
      </c>
      <c r="L15" s="296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3350.2</v>
      </c>
      <c r="F16" s="350"/>
      <c r="H16" s="117"/>
      <c r="I16" s="123"/>
      <c r="J16" s="215" t="s">
        <v>485</v>
      </c>
      <c r="K16" s="296">
        <f>+COUNTIF($G$22:$G$66,"TO")*2</f>
        <v>0</v>
      </c>
      <c r="L16" s="296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0.57160894045384747</v>
      </c>
      <c r="F17" s="350"/>
      <c r="G17" s="124"/>
      <c r="H17" s="125"/>
      <c r="I17" s="123"/>
      <c r="J17" s="215" t="s">
        <v>486</v>
      </c>
      <c r="K17" s="296">
        <f>+COUNTIF($G$22:$G$66,"VA")*2</f>
        <v>0</v>
      </c>
      <c r="L17" s="296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223.34666666666666</v>
      </c>
      <c r="F18" s="353"/>
      <c r="G18" s="124"/>
      <c r="H18" s="125"/>
      <c r="I18" s="123"/>
      <c r="J18" s="215" t="s">
        <v>44</v>
      </c>
      <c r="K18" s="296">
        <f>+COUNTIF($G$22:$G$66,"MEJ")*2</f>
        <v>16</v>
      </c>
      <c r="L18" s="296">
        <f>+SUMIF($G$23:$G$65,"MEJ",$L$23:$L$65)</f>
        <v>1766.1000000000001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51</v>
      </c>
      <c r="D23" s="152">
        <v>1</v>
      </c>
      <c r="E23" s="152" t="s">
        <v>67</v>
      </c>
      <c r="F23" s="152" t="s">
        <v>526</v>
      </c>
      <c r="G23" s="153" t="s">
        <v>42</v>
      </c>
      <c r="H23" s="154" t="s">
        <v>775</v>
      </c>
      <c r="I23" s="155">
        <v>420</v>
      </c>
      <c r="J23" s="152">
        <v>123.6</v>
      </c>
      <c r="K23" s="156">
        <v>121.9</v>
      </c>
      <c r="L23" s="157">
        <f t="shared" ref="L23:L65" si="0">+J23+K23</f>
        <v>245.5</v>
      </c>
      <c r="M23" s="158">
        <f t="shared" ref="M23:M66" si="1">+L23/I23</f>
        <v>0.58452380952380956</v>
      </c>
      <c r="N23" s="122"/>
    </row>
    <row r="24" spans="2:14" x14ac:dyDescent="0.25">
      <c r="B24" s="121"/>
      <c r="C24" s="159">
        <v>52</v>
      </c>
      <c r="D24" s="159">
        <v>2</v>
      </c>
      <c r="E24" s="159" t="s">
        <v>75</v>
      </c>
      <c r="F24" s="159" t="s">
        <v>526</v>
      </c>
      <c r="G24" s="160" t="s">
        <v>44</v>
      </c>
      <c r="H24" s="161" t="s">
        <v>98</v>
      </c>
      <c r="I24" s="162">
        <v>387</v>
      </c>
      <c r="J24" s="159">
        <v>112.1</v>
      </c>
      <c r="K24" s="163">
        <v>112.1</v>
      </c>
      <c r="L24" s="164">
        <f t="shared" si="0"/>
        <v>224.2</v>
      </c>
      <c r="M24" s="165">
        <f t="shared" si="1"/>
        <v>0.57932816537467702</v>
      </c>
      <c r="N24" s="122"/>
    </row>
    <row r="25" spans="2:14" x14ac:dyDescent="0.25">
      <c r="B25" s="121"/>
      <c r="C25" s="159">
        <v>53</v>
      </c>
      <c r="D25" s="159">
        <v>9</v>
      </c>
      <c r="E25" s="159" t="s">
        <v>75</v>
      </c>
      <c r="F25" s="159" t="s">
        <v>526</v>
      </c>
      <c r="G25" s="160" t="s">
        <v>42</v>
      </c>
      <c r="H25" s="161" t="s">
        <v>919</v>
      </c>
      <c r="I25" s="162">
        <v>363</v>
      </c>
      <c r="J25" s="159">
        <v>103</v>
      </c>
      <c r="K25" s="163">
        <v>101.1</v>
      </c>
      <c r="L25" s="164">
        <f t="shared" si="0"/>
        <v>204.1</v>
      </c>
      <c r="M25" s="165">
        <f t="shared" si="1"/>
        <v>0.56225895316804408</v>
      </c>
      <c r="N25" s="122"/>
    </row>
    <row r="26" spans="2:14" x14ac:dyDescent="0.25">
      <c r="B26" s="121"/>
      <c r="C26" s="159">
        <v>54</v>
      </c>
      <c r="D26" s="159">
        <v>3</v>
      </c>
      <c r="E26" s="159" t="s">
        <v>75</v>
      </c>
      <c r="F26" s="159" t="s">
        <v>526</v>
      </c>
      <c r="G26" s="160" t="s">
        <v>44</v>
      </c>
      <c r="H26" s="161" t="s">
        <v>1457</v>
      </c>
      <c r="I26" s="162">
        <v>416</v>
      </c>
      <c r="J26" s="159">
        <v>118.2</v>
      </c>
      <c r="K26" s="163">
        <v>117.2</v>
      </c>
      <c r="L26" s="164">
        <f t="shared" si="0"/>
        <v>235.4</v>
      </c>
      <c r="M26" s="165">
        <f t="shared" si="1"/>
        <v>0.5658653846153846</v>
      </c>
      <c r="N26" s="122"/>
    </row>
    <row r="27" spans="2:14" x14ac:dyDescent="0.25">
      <c r="B27" s="121"/>
      <c r="C27" s="159">
        <v>55</v>
      </c>
      <c r="D27" s="159">
        <v>8</v>
      </c>
      <c r="E27" s="159" t="s">
        <v>67</v>
      </c>
      <c r="F27" s="159" t="s">
        <v>526</v>
      </c>
      <c r="G27" s="160" t="s">
        <v>44</v>
      </c>
      <c r="H27" s="161" t="s">
        <v>1458</v>
      </c>
      <c r="I27" s="162">
        <v>411</v>
      </c>
      <c r="J27" s="159">
        <v>113.6</v>
      </c>
      <c r="K27" s="163">
        <v>115</v>
      </c>
      <c r="L27" s="164">
        <f t="shared" si="0"/>
        <v>228.6</v>
      </c>
      <c r="M27" s="165">
        <f t="shared" si="1"/>
        <v>0.55620437956204383</v>
      </c>
      <c r="N27" s="122"/>
    </row>
    <row r="28" spans="2:14" x14ac:dyDescent="0.25">
      <c r="B28" s="121"/>
      <c r="C28" s="159">
        <v>56</v>
      </c>
      <c r="D28" s="159">
        <v>15</v>
      </c>
      <c r="E28" s="159" t="s">
        <v>68</v>
      </c>
      <c r="F28" s="159" t="s">
        <v>526</v>
      </c>
      <c r="G28" s="160" t="s">
        <v>42</v>
      </c>
      <c r="H28" s="161" t="s">
        <v>1459</v>
      </c>
      <c r="I28" s="162">
        <v>398</v>
      </c>
      <c r="J28" s="159">
        <v>114.8</v>
      </c>
      <c r="K28" s="163">
        <v>115.5</v>
      </c>
      <c r="L28" s="164">
        <f t="shared" si="0"/>
        <v>230.3</v>
      </c>
      <c r="M28" s="165">
        <f t="shared" si="1"/>
        <v>0.57864321608040203</v>
      </c>
      <c r="N28" s="122"/>
    </row>
    <row r="29" spans="2:14" x14ac:dyDescent="0.25">
      <c r="B29" s="121"/>
      <c r="C29" s="160">
        <v>57</v>
      </c>
      <c r="D29" s="160">
        <v>13</v>
      </c>
      <c r="E29" s="160" t="s">
        <v>68</v>
      </c>
      <c r="F29" s="159" t="s">
        <v>526</v>
      </c>
      <c r="G29" s="160" t="s">
        <v>44</v>
      </c>
      <c r="H29" s="161" t="s">
        <v>1460</v>
      </c>
      <c r="I29" s="162">
        <v>379</v>
      </c>
      <c r="J29" s="159">
        <v>109.3</v>
      </c>
      <c r="K29" s="163">
        <v>109.9</v>
      </c>
      <c r="L29" s="164">
        <f t="shared" si="0"/>
        <v>219.2</v>
      </c>
      <c r="M29" s="165">
        <f t="shared" si="1"/>
        <v>0.57836411609498672</v>
      </c>
      <c r="N29" s="122"/>
    </row>
    <row r="30" spans="2:14" x14ac:dyDescent="0.25">
      <c r="B30" s="121"/>
      <c r="C30" s="160">
        <v>58</v>
      </c>
      <c r="D30" s="160">
        <v>6</v>
      </c>
      <c r="E30" s="160" t="s">
        <v>67</v>
      </c>
      <c r="F30" s="159" t="s">
        <v>526</v>
      </c>
      <c r="G30" s="160" t="s">
        <v>42</v>
      </c>
      <c r="H30" s="161" t="s">
        <v>756</v>
      </c>
      <c r="I30" s="162">
        <v>395</v>
      </c>
      <c r="J30" s="159">
        <v>118.7</v>
      </c>
      <c r="K30" s="163">
        <v>117.7</v>
      </c>
      <c r="L30" s="164">
        <f t="shared" si="0"/>
        <v>236.4</v>
      </c>
      <c r="M30" s="165">
        <f t="shared" si="1"/>
        <v>0.59848101265822784</v>
      </c>
      <c r="N30" s="122"/>
    </row>
    <row r="31" spans="2:14" x14ac:dyDescent="0.25">
      <c r="B31" s="121"/>
      <c r="C31" s="159">
        <v>59</v>
      </c>
      <c r="D31" s="159">
        <v>12</v>
      </c>
      <c r="E31" s="159" t="s">
        <v>68</v>
      </c>
      <c r="F31" s="159" t="s">
        <v>526</v>
      </c>
      <c r="G31" s="160" t="s">
        <v>44</v>
      </c>
      <c r="H31" s="161" t="s">
        <v>1461</v>
      </c>
      <c r="I31" s="162">
        <v>362</v>
      </c>
      <c r="J31" s="159">
        <v>98.6</v>
      </c>
      <c r="K31" s="163">
        <v>97.9</v>
      </c>
      <c r="L31" s="164">
        <f t="shared" si="0"/>
        <v>196.5</v>
      </c>
      <c r="M31" s="165">
        <f t="shared" si="1"/>
        <v>0.54281767955801108</v>
      </c>
      <c r="N31" s="122"/>
    </row>
    <row r="32" spans="2:14" x14ac:dyDescent="0.25">
      <c r="B32" s="121"/>
      <c r="C32" s="159">
        <v>60</v>
      </c>
      <c r="D32" s="159">
        <v>4</v>
      </c>
      <c r="E32" s="159" t="s">
        <v>68</v>
      </c>
      <c r="F32" s="159" t="s">
        <v>526</v>
      </c>
      <c r="G32" s="160" t="s">
        <v>44</v>
      </c>
      <c r="H32" s="161" t="s">
        <v>1462</v>
      </c>
      <c r="I32" s="162">
        <v>415</v>
      </c>
      <c r="J32" s="159">
        <v>118.6</v>
      </c>
      <c r="K32" s="163">
        <v>117.9</v>
      </c>
      <c r="L32" s="164">
        <f t="shared" si="0"/>
        <v>236.5</v>
      </c>
      <c r="M32" s="165">
        <f t="shared" si="1"/>
        <v>0.5698795180722892</v>
      </c>
      <c r="N32" s="122"/>
    </row>
    <row r="33" spans="2:14" x14ac:dyDescent="0.25">
      <c r="B33" s="121"/>
      <c r="C33" s="160">
        <v>61</v>
      </c>
      <c r="D33" s="160">
        <v>10</v>
      </c>
      <c r="E33" s="160" t="s">
        <v>67</v>
      </c>
      <c r="F33" s="159" t="s">
        <v>526</v>
      </c>
      <c r="G33" s="160" t="s">
        <v>42</v>
      </c>
      <c r="H33" s="161" t="s">
        <v>1463</v>
      </c>
      <c r="I33" s="162">
        <v>383</v>
      </c>
      <c r="J33" s="159">
        <v>106.1</v>
      </c>
      <c r="K33" s="163">
        <v>105.8</v>
      </c>
      <c r="L33" s="164">
        <f t="shared" si="0"/>
        <v>211.89999999999998</v>
      </c>
      <c r="M33" s="165">
        <f t="shared" si="1"/>
        <v>0.55326370757180154</v>
      </c>
      <c r="N33" s="122"/>
    </row>
    <row r="34" spans="2:14" x14ac:dyDescent="0.25">
      <c r="B34" s="121"/>
      <c r="C34" s="159">
        <v>62</v>
      </c>
      <c r="D34" s="159">
        <v>11</v>
      </c>
      <c r="E34" s="159" t="s">
        <v>67</v>
      </c>
      <c r="F34" s="159" t="s">
        <v>526</v>
      </c>
      <c r="G34" s="160" t="s">
        <v>44</v>
      </c>
      <c r="H34" s="161" t="s">
        <v>1158</v>
      </c>
      <c r="I34" s="162">
        <v>351</v>
      </c>
      <c r="J34" s="159">
        <v>99.9</v>
      </c>
      <c r="K34" s="166">
        <v>99.1</v>
      </c>
      <c r="L34" s="164">
        <f t="shared" si="0"/>
        <v>199</v>
      </c>
      <c r="M34" s="167">
        <f t="shared" si="1"/>
        <v>0.5669515669515669</v>
      </c>
      <c r="N34" s="122"/>
    </row>
    <row r="35" spans="2:14" x14ac:dyDescent="0.25">
      <c r="B35" s="121"/>
      <c r="C35" s="159">
        <v>63</v>
      </c>
      <c r="D35" s="159">
        <v>14</v>
      </c>
      <c r="E35" s="159" t="s">
        <v>68</v>
      </c>
      <c r="F35" s="159" t="s">
        <v>526</v>
      </c>
      <c r="G35" s="160" t="s">
        <v>44</v>
      </c>
      <c r="H35" s="161" t="s">
        <v>1464</v>
      </c>
      <c r="I35" s="162">
        <v>405</v>
      </c>
      <c r="J35" s="159">
        <v>113.5</v>
      </c>
      <c r="K35" s="163">
        <v>113.2</v>
      </c>
      <c r="L35" s="164">
        <f t="shared" si="0"/>
        <v>226.7</v>
      </c>
      <c r="M35" s="165">
        <f t="shared" si="1"/>
        <v>0.55975308641975308</v>
      </c>
      <c r="N35" s="122"/>
    </row>
    <row r="36" spans="2:14" x14ac:dyDescent="0.25">
      <c r="B36" s="121"/>
      <c r="C36" s="159">
        <v>64</v>
      </c>
      <c r="D36" s="159">
        <v>5</v>
      </c>
      <c r="E36" s="159" t="s">
        <v>67</v>
      </c>
      <c r="F36" s="159" t="s">
        <v>526</v>
      </c>
      <c r="G36" s="160" t="s">
        <v>42</v>
      </c>
      <c r="H36" s="161" t="s">
        <v>41</v>
      </c>
      <c r="I36" s="162">
        <v>393</v>
      </c>
      <c r="J36" s="159">
        <v>114.8</v>
      </c>
      <c r="K36" s="163">
        <v>115</v>
      </c>
      <c r="L36" s="164">
        <f t="shared" si="0"/>
        <v>229.8</v>
      </c>
      <c r="M36" s="165">
        <f t="shared" si="1"/>
        <v>0.58473282442748098</v>
      </c>
      <c r="N36" s="122"/>
    </row>
    <row r="37" spans="2:14" x14ac:dyDescent="0.25">
      <c r="B37" s="121"/>
      <c r="C37" s="159">
        <v>65</v>
      </c>
      <c r="D37" s="159">
        <v>7</v>
      </c>
      <c r="E37" s="159" t="s">
        <v>67</v>
      </c>
      <c r="F37" s="159" t="s">
        <v>526</v>
      </c>
      <c r="G37" s="160" t="s">
        <v>42</v>
      </c>
      <c r="H37" s="161" t="s">
        <v>1371</v>
      </c>
      <c r="I37" s="162">
        <v>383</v>
      </c>
      <c r="J37" s="159">
        <v>113.7</v>
      </c>
      <c r="K37" s="163">
        <v>112.4</v>
      </c>
      <c r="L37" s="164">
        <f t="shared" si="0"/>
        <v>226.10000000000002</v>
      </c>
      <c r="M37" s="165">
        <f t="shared" si="1"/>
        <v>0.59033942558746744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97"/>
      <c r="D66" s="297">
        <f>+COUNT($D$22:$D$65)</f>
        <v>15</v>
      </c>
      <c r="E66" s="297"/>
      <c r="F66" s="373"/>
      <c r="G66" s="373"/>
      <c r="H66" s="149"/>
      <c r="I66" s="148">
        <f>SUM($I$22:$I$65)</f>
        <v>5861</v>
      </c>
      <c r="J66" s="150">
        <f>SUM($J$22:$J$65)</f>
        <v>1678.5</v>
      </c>
      <c r="K66" s="151">
        <f>SUM($K$22:$K$65)</f>
        <v>1671.7</v>
      </c>
      <c r="L66" s="148">
        <f>SUM($L$22:$L$65)</f>
        <v>3350.2</v>
      </c>
      <c r="M66" s="178">
        <f t="shared" si="1"/>
        <v>0.57160894045384747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/>
      <c r="I71" s="119"/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/>
      <c r="I72" s="119"/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/>
      <c r="I73" s="119"/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/>
      <c r="I74" s="119"/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/>
      <c r="I75" s="119"/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/>
      <c r="I76" s="119"/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/>
      <c r="I77" s="119"/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/>
      <c r="I78" s="119"/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/>
      <c r="I79" s="119"/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/>
      <c r="I80" s="119"/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/>
      <c r="I81" s="119"/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/>
      <c r="I82" s="119"/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/>
      <c r="I83" s="119"/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0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15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33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E65" zoomScale="90" zoomScaleNormal="90" workbookViewId="0">
      <selection activeCell="Q75" sqref="Q75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0.55485555168813083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159.41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566</v>
      </c>
      <c r="F8" s="344"/>
      <c r="G8" s="344"/>
      <c r="H8" s="345"/>
      <c r="I8" s="146" t="s">
        <v>487</v>
      </c>
      <c r="J8" s="346" t="s">
        <v>748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28012</v>
      </c>
      <c r="F9" s="344"/>
      <c r="G9" s="344"/>
      <c r="H9" s="345"/>
      <c r="I9" s="146" t="s">
        <v>88</v>
      </c>
      <c r="J9" s="209" t="s">
        <v>1493</v>
      </c>
      <c r="K9" s="301" t="s">
        <v>490</v>
      </c>
      <c r="L9" s="369">
        <v>418835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99" t="s">
        <v>569</v>
      </c>
      <c r="E12" s="384">
        <v>46071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74</v>
      </c>
      <c r="F13" s="349"/>
      <c r="H13" s="117"/>
      <c r="I13" s="123"/>
      <c r="J13" s="215" t="s">
        <v>483</v>
      </c>
      <c r="K13" s="300">
        <f>+COUNTIF($G$22:$G$66,"VQ")*2</f>
        <v>20</v>
      </c>
      <c r="L13" s="300">
        <f>+SUMIF($G$23:$G$65,"VQ",$L$23:$L$65)</f>
        <v>1594.1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10</v>
      </c>
      <c r="F14" s="350"/>
      <c r="H14" s="117"/>
      <c r="I14" s="123"/>
      <c r="J14" s="215" t="s">
        <v>42</v>
      </c>
      <c r="K14" s="300">
        <f>+COUNTIF($G$22:$G$66,"NT")*2</f>
        <v>0</v>
      </c>
      <c r="L14" s="300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2873</v>
      </c>
      <c r="F15" s="350"/>
      <c r="H15" s="117"/>
      <c r="I15" s="123"/>
      <c r="J15" s="215" t="s">
        <v>484</v>
      </c>
      <c r="K15" s="300">
        <f>+COUNTIF($G$22:$G$66,"NO")*2</f>
        <v>0</v>
      </c>
      <c r="L15" s="300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1594.1</v>
      </c>
      <c r="F16" s="350"/>
      <c r="H16" s="117"/>
      <c r="I16" s="123"/>
      <c r="J16" s="215" t="s">
        <v>485</v>
      </c>
      <c r="K16" s="300">
        <f>+COUNTIF($G$22:$G$66,"TO")*2</f>
        <v>0</v>
      </c>
      <c r="L16" s="300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0.55485555168813083</v>
      </c>
      <c r="F17" s="350"/>
      <c r="G17" s="124"/>
      <c r="H17" s="125"/>
      <c r="I17" s="123"/>
      <c r="J17" s="215" t="s">
        <v>486</v>
      </c>
      <c r="K17" s="300">
        <f>+COUNTIF($G$22:$G$66,"VA")*2</f>
        <v>0</v>
      </c>
      <c r="L17" s="300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159.41</v>
      </c>
      <c r="F18" s="353"/>
      <c r="G18" s="124"/>
      <c r="H18" s="125"/>
      <c r="I18" s="123"/>
      <c r="J18" s="215" t="s">
        <v>44</v>
      </c>
      <c r="K18" s="300">
        <f>+COUNTIF($G$22:$G$66,"MEJ")*2</f>
        <v>0</v>
      </c>
      <c r="L18" s="300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19</v>
      </c>
      <c r="D23" s="152">
        <v>3</v>
      </c>
      <c r="E23" s="152" t="s">
        <v>67</v>
      </c>
      <c r="F23" s="152" t="s">
        <v>526</v>
      </c>
      <c r="G23" s="153" t="s">
        <v>483</v>
      </c>
      <c r="H23" s="154" t="s">
        <v>1483</v>
      </c>
      <c r="I23" s="155">
        <v>254</v>
      </c>
      <c r="J23" s="152">
        <v>73.3</v>
      </c>
      <c r="K23" s="156">
        <v>72.7</v>
      </c>
      <c r="L23" s="157">
        <f t="shared" ref="L23:L65" si="0">+J23+K23</f>
        <v>146</v>
      </c>
      <c r="M23" s="158">
        <f t="shared" ref="M23:M66" si="1">+L23/I23</f>
        <v>0.57480314960629919</v>
      </c>
      <c r="N23" s="122"/>
    </row>
    <row r="24" spans="2:14" x14ac:dyDescent="0.25">
      <c r="B24" s="121"/>
      <c r="C24" s="159">
        <v>20</v>
      </c>
      <c r="D24" s="159">
        <v>7</v>
      </c>
      <c r="E24" s="159" t="s">
        <v>67</v>
      </c>
      <c r="F24" s="159" t="s">
        <v>526</v>
      </c>
      <c r="G24" s="160" t="s">
        <v>483</v>
      </c>
      <c r="H24" s="161" t="s">
        <v>1484</v>
      </c>
      <c r="I24" s="162">
        <v>258</v>
      </c>
      <c r="J24" s="159">
        <v>71.400000000000006</v>
      </c>
      <c r="K24" s="163">
        <v>72.099999999999994</v>
      </c>
      <c r="L24" s="164">
        <f t="shared" si="0"/>
        <v>143.5</v>
      </c>
      <c r="M24" s="165">
        <f t="shared" si="1"/>
        <v>0.55620155038759689</v>
      </c>
      <c r="N24" s="122"/>
    </row>
    <row r="25" spans="2:14" x14ac:dyDescent="0.25">
      <c r="B25" s="121"/>
      <c r="C25" s="159">
        <v>21</v>
      </c>
      <c r="D25" s="159">
        <v>1</v>
      </c>
      <c r="E25" s="159" t="s">
        <v>67</v>
      </c>
      <c r="F25" s="159" t="s">
        <v>526</v>
      </c>
      <c r="G25" s="160" t="s">
        <v>483</v>
      </c>
      <c r="H25" s="161" t="s">
        <v>1485</v>
      </c>
      <c r="I25" s="162">
        <v>271</v>
      </c>
      <c r="J25" s="159">
        <v>72.3</v>
      </c>
      <c r="K25" s="163">
        <v>70.7</v>
      </c>
      <c r="L25" s="164">
        <f t="shared" si="0"/>
        <v>143</v>
      </c>
      <c r="M25" s="165">
        <f t="shared" si="1"/>
        <v>0.52767527675276749</v>
      </c>
      <c r="N25" s="122"/>
    </row>
    <row r="26" spans="2:14" x14ac:dyDescent="0.25">
      <c r="B26" s="121"/>
      <c r="C26" s="159">
        <v>22</v>
      </c>
      <c r="D26" s="159">
        <v>10</v>
      </c>
      <c r="E26" s="159" t="s">
        <v>67</v>
      </c>
      <c r="F26" s="159" t="s">
        <v>526</v>
      </c>
      <c r="G26" s="160" t="s">
        <v>483</v>
      </c>
      <c r="H26" s="161" t="s">
        <v>1486</v>
      </c>
      <c r="I26" s="162">
        <v>255</v>
      </c>
      <c r="J26" s="159">
        <v>72.8</v>
      </c>
      <c r="K26" s="163">
        <v>71.3</v>
      </c>
      <c r="L26" s="164">
        <f t="shared" si="0"/>
        <v>144.1</v>
      </c>
      <c r="M26" s="165">
        <f t="shared" si="1"/>
        <v>0.56509803921568624</v>
      </c>
      <c r="N26" s="122"/>
    </row>
    <row r="27" spans="2:14" x14ac:dyDescent="0.25">
      <c r="B27" s="121"/>
      <c r="C27" s="159">
        <v>23</v>
      </c>
      <c r="D27" s="159">
        <v>2</v>
      </c>
      <c r="E27" s="159" t="s">
        <v>67</v>
      </c>
      <c r="F27" s="159" t="s">
        <v>526</v>
      </c>
      <c r="G27" s="160" t="s">
        <v>483</v>
      </c>
      <c r="H27" s="161" t="s">
        <v>1487</v>
      </c>
      <c r="I27" s="162">
        <v>282</v>
      </c>
      <c r="J27" s="159">
        <v>78.8</v>
      </c>
      <c r="K27" s="163">
        <v>78.400000000000006</v>
      </c>
      <c r="L27" s="164">
        <f t="shared" si="0"/>
        <v>157.19999999999999</v>
      </c>
      <c r="M27" s="165">
        <f t="shared" si="1"/>
        <v>0.55744680851063821</v>
      </c>
      <c r="N27" s="122"/>
    </row>
    <row r="28" spans="2:14" x14ac:dyDescent="0.25">
      <c r="B28" s="121"/>
      <c r="C28" s="159">
        <v>24</v>
      </c>
      <c r="D28" s="159">
        <v>9</v>
      </c>
      <c r="E28" s="159" t="s">
        <v>67</v>
      </c>
      <c r="F28" s="159" t="s">
        <v>526</v>
      </c>
      <c r="G28" s="160" t="s">
        <v>483</v>
      </c>
      <c r="H28" s="161" t="s">
        <v>1488</v>
      </c>
      <c r="I28" s="162">
        <v>311</v>
      </c>
      <c r="J28" s="159">
        <v>88.2</v>
      </c>
      <c r="K28" s="163">
        <v>89.1</v>
      </c>
      <c r="L28" s="164">
        <f t="shared" si="0"/>
        <v>177.3</v>
      </c>
      <c r="M28" s="165">
        <f t="shared" si="1"/>
        <v>0.57009646302250805</v>
      </c>
      <c r="N28" s="122"/>
    </row>
    <row r="29" spans="2:14" x14ac:dyDescent="0.25">
      <c r="B29" s="121"/>
      <c r="C29" s="160">
        <v>25</v>
      </c>
      <c r="D29" s="160">
        <v>5</v>
      </c>
      <c r="E29" s="160" t="s">
        <v>67</v>
      </c>
      <c r="F29" s="160" t="s">
        <v>526</v>
      </c>
      <c r="G29" s="160" t="s">
        <v>483</v>
      </c>
      <c r="H29" s="161" t="s">
        <v>1489</v>
      </c>
      <c r="I29" s="162">
        <v>344</v>
      </c>
      <c r="J29" s="159">
        <v>91.5</v>
      </c>
      <c r="K29" s="163">
        <v>90.8</v>
      </c>
      <c r="L29" s="164">
        <f t="shared" si="0"/>
        <v>182.3</v>
      </c>
      <c r="M29" s="165">
        <f t="shared" si="1"/>
        <v>0.52994186046511627</v>
      </c>
      <c r="N29" s="122"/>
    </row>
    <row r="30" spans="2:14" x14ac:dyDescent="0.25">
      <c r="B30" s="121"/>
      <c r="C30" s="160">
        <v>26</v>
      </c>
      <c r="D30" s="160">
        <v>6</v>
      </c>
      <c r="E30" s="160" t="s">
        <v>67</v>
      </c>
      <c r="F30" s="160" t="s">
        <v>526</v>
      </c>
      <c r="G30" s="160" t="s">
        <v>483</v>
      </c>
      <c r="H30" s="161" t="s">
        <v>1490</v>
      </c>
      <c r="I30" s="162">
        <v>306</v>
      </c>
      <c r="J30" s="159">
        <v>85.4</v>
      </c>
      <c r="K30" s="163">
        <v>85.2</v>
      </c>
      <c r="L30" s="164">
        <f t="shared" si="0"/>
        <v>170.60000000000002</v>
      </c>
      <c r="M30" s="165">
        <f t="shared" si="1"/>
        <v>0.55751633986928117</v>
      </c>
      <c r="N30" s="122"/>
    </row>
    <row r="31" spans="2:14" x14ac:dyDescent="0.25">
      <c r="B31" s="121"/>
      <c r="C31" s="159">
        <v>27</v>
      </c>
      <c r="D31" s="159">
        <v>8</v>
      </c>
      <c r="E31" s="159" t="s">
        <v>68</v>
      </c>
      <c r="F31" s="159" t="s">
        <v>526</v>
      </c>
      <c r="G31" s="160" t="s">
        <v>483</v>
      </c>
      <c r="H31" s="161" t="s">
        <v>1491</v>
      </c>
      <c r="I31" s="162">
        <v>285</v>
      </c>
      <c r="J31" s="159">
        <v>79</v>
      </c>
      <c r="K31" s="163">
        <v>79.5</v>
      </c>
      <c r="L31" s="164">
        <f t="shared" si="0"/>
        <v>158.5</v>
      </c>
      <c r="M31" s="165">
        <f t="shared" si="1"/>
        <v>0.55614035087719293</v>
      </c>
      <c r="N31" s="122"/>
    </row>
    <row r="32" spans="2:14" x14ac:dyDescent="0.25">
      <c r="B32" s="121"/>
      <c r="C32" s="159">
        <v>28</v>
      </c>
      <c r="D32" s="159">
        <v>4</v>
      </c>
      <c r="E32" s="159" t="s">
        <v>67</v>
      </c>
      <c r="F32" s="159" t="s">
        <v>526</v>
      </c>
      <c r="G32" s="160" t="s">
        <v>483</v>
      </c>
      <c r="H32" s="161" t="s">
        <v>1492</v>
      </c>
      <c r="I32" s="162">
        <v>307</v>
      </c>
      <c r="J32" s="159">
        <v>85.5</v>
      </c>
      <c r="K32" s="163">
        <v>86.1</v>
      </c>
      <c r="L32" s="164">
        <f t="shared" si="0"/>
        <v>171.6</v>
      </c>
      <c r="M32" s="165">
        <f t="shared" si="1"/>
        <v>0.55895765472312697</v>
      </c>
      <c r="N32" s="122"/>
    </row>
    <row r="33" spans="2:14" x14ac:dyDescent="0.25">
      <c r="B33" s="121"/>
      <c r="C33" s="160"/>
      <c r="D33" s="160"/>
      <c r="E33" s="160"/>
      <c r="F33" s="160"/>
      <c r="G33" s="160"/>
      <c r="H33" s="161"/>
      <c r="I33" s="162"/>
      <c r="J33" s="159"/>
      <c r="K33" s="163"/>
      <c r="L33" s="164">
        <f t="shared" si="0"/>
        <v>0</v>
      </c>
      <c r="M33" s="165" t="e">
        <f t="shared" si="1"/>
        <v>#DIV/0!</v>
      </c>
      <c r="N33" s="122"/>
    </row>
    <row r="34" spans="2:14" x14ac:dyDescent="0.25">
      <c r="B34" s="121"/>
      <c r="C34" s="159"/>
      <c r="D34" s="159"/>
      <c r="E34" s="159"/>
      <c r="F34" s="159"/>
      <c r="G34" s="160"/>
      <c r="H34" s="161"/>
      <c r="I34" s="162"/>
      <c r="J34" s="159"/>
      <c r="K34" s="166"/>
      <c r="L34" s="164">
        <f t="shared" si="0"/>
        <v>0</v>
      </c>
      <c r="M34" s="167" t="e">
        <f t="shared" si="1"/>
        <v>#DIV/0!</v>
      </c>
      <c r="N34" s="122"/>
    </row>
    <row r="35" spans="2:14" x14ac:dyDescent="0.25">
      <c r="B35" s="121"/>
      <c r="C35" s="159"/>
      <c r="D35" s="159"/>
      <c r="E35" s="159"/>
      <c r="F35" s="159"/>
      <c r="G35" s="160"/>
      <c r="H35" s="161"/>
      <c r="I35" s="162"/>
      <c r="J35" s="159"/>
      <c r="K35" s="163"/>
      <c r="L35" s="164">
        <f t="shared" si="0"/>
        <v>0</v>
      </c>
      <c r="M35" s="165" t="e">
        <f t="shared" si="1"/>
        <v>#DIV/0!</v>
      </c>
      <c r="N35" s="122"/>
    </row>
    <row r="36" spans="2:14" x14ac:dyDescent="0.25">
      <c r="B36" s="121"/>
      <c r="C36" s="159"/>
      <c r="D36" s="159"/>
      <c r="E36" s="159"/>
      <c r="F36" s="159"/>
      <c r="G36" s="160"/>
      <c r="H36" s="161"/>
      <c r="I36" s="162"/>
      <c r="J36" s="159"/>
      <c r="K36" s="163"/>
      <c r="L36" s="164">
        <f t="shared" si="0"/>
        <v>0</v>
      </c>
      <c r="M36" s="165" t="e">
        <f t="shared" si="1"/>
        <v>#DIV/0!</v>
      </c>
      <c r="N36" s="122"/>
    </row>
    <row r="37" spans="2:14" x14ac:dyDescent="0.25">
      <c r="B37" s="121"/>
      <c r="C37" s="159"/>
      <c r="D37" s="159"/>
      <c r="E37" s="159"/>
      <c r="F37" s="159"/>
      <c r="G37" s="160"/>
      <c r="H37" s="161"/>
      <c r="I37" s="162"/>
      <c r="J37" s="159"/>
      <c r="K37" s="163"/>
      <c r="L37" s="164">
        <f t="shared" si="0"/>
        <v>0</v>
      </c>
      <c r="M37" s="165" t="e">
        <f t="shared" si="1"/>
        <v>#DIV/0!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98"/>
      <c r="D66" s="298">
        <f>+COUNT($D$22:$D$65)</f>
        <v>10</v>
      </c>
      <c r="E66" s="298"/>
      <c r="F66" s="373"/>
      <c r="G66" s="373"/>
      <c r="H66" s="149"/>
      <c r="I66" s="148">
        <f>SUM($I$22:$I$65)</f>
        <v>2873</v>
      </c>
      <c r="J66" s="150">
        <f>SUM($J$22:$J$65)</f>
        <v>798.19999999999993</v>
      </c>
      <c r="K66" s="151">
        <f>SUM($K$22:$K$65)</f>
        <v>795.90000000000009</v>
      </c>
      <c r="L66" s="148">
        <f>SUM($L$22:$L$65)</f>
        <v>1594.1</v>
      </c>
      <c r="M66" s="178">
        <f t="shared" si="1"/>
        <v>0.55485555168813083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60.92</v>
      </c>
      <c r="I71" s="119">
        <v>57.879999999999995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30</v>
      </c>
      <c r="I72" s="119">
        <v>37.020000000000003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29</v>
      </c>
      <c r="I73" s="119">
        <v>122.86000000000001</v>
      </c>
      <c r="J73" s="181">
        <v>1</v>
      </c>
      <c r="K73" s="185">
        <v>4.58</v>
      </c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30</v>
      </c>
      <c r="I74" s="119">
        <v>27.22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17.32</v>
      </c>
      <c r="I75" s="119">
        <v>16.54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58</v>
      </c>
      <c r="I76" s="119">
        <v>21.52</v>
      </c>
      <c r="J76" s="181">
        <v>2</v>
      </c>
      <c r="K76" s="185">
        <f>0.37*J76</f>
        <v>0.74</v>
      </c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120</v>
      </c>
      <c r="I77" s="119">
        <v>16.22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30</v>
      </c>
      <c r="I78" s="119">
        <v>23.36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30</v>
      </c>
      <c r="I79" s="119">
        <v>20.36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34.72</v>
      </c>
      <c r="I80" s="119">
        <v>32.22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30</v>
      </c>
      <c r="I81" s="119">
        <v>26.12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30</v>
      </c>
      <c r="I82" s="119">
        <v>9.08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14.58</v>
      </c>
      <c r="I83" s="119">
        <v>13.56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423.96000000000004</v>
      </c>
      <c r="J84" s="187">
        <f>SUM(J71:J83)</f>
        <v>3</v>
      </c>
      <c r="K84" s="186">
        <f>SUM(K71:K83)</f>
        <v>5.32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10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32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A2" zoomScale="90" zoomScaleNormal="90" workbookViewId="0">
      <selection activeCell="F28" sqref="F28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0.57511674449633088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172.42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566</v>
      </c>
      <c r="F8" s="344"/>
      <c r="G8" s="344"/>
      <c r="H8" s="345"/>
      <c r="I8" s="146" t="s">
        <v>487</v>
      </c>
      <c r="J8" s="346" t="s">
        <v>748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28012</v>
      </c>
      <c r="F9" s="344"/>
      <c r="G9" s="344"/>
      <c r="H9" s="345"/>
      <c r="I9" s="146" t="s">
        <v>88</v>
      </c>
      <c r="J9" s="209" t="s">
        <v>1497</v>
      </c>
      <c r="K9" s="301" t="s">
        <v>490</v>
      </c>
      <c r="L9" s="369">
        <v>418834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99" t="s">
        <v>569</v>
      </c>
      <c r="E12" s="384">
        <v>46071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75</v>
      </c>
      <c r="F13" s="349"/>
      <c r="H13" s="117"/>
      <c r="I13" s="123"/>
      <c r="J13" s="215" t="s">
        <v>483</v>
      </c>
      <c r="K13" s="300">
        <f>+COUNTIF($G$22:$G$66,"VQ")*2</f>
        <v>0</v>
      </c>
      <c r="L13" s="300">
        <f>+SUMIF($G$23:$G$65,"VQ",$L$23:$L$65)</f>
        <v>0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5</v>
      </c>
      <c r="F14" s="350"/>
      <c r="H14" s="117"/>
      <c r="I14" s="123"/>
      <c r="J14" s="215" t="s">
        <v>42</v>
      </c>
      <c r="K14" s="300">
        <f>+COUNTIF($G$22:$G$66,"NT")*2</f>
        <v>10</v>
      </c>
      <c r="L14" s="300">
        <f>+SUMIF($G$23:$G$65,"NT",$L$23:$L$65)</f>
        <v>862.09999999999991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1499</v>
      </c>
      <c r="F15" s="350"/>
      <c r="H15" s="117"/>
      <c r="I15" s="123"/>
      <c r="J15" s="215" t="s">
        <v>484</v>
      </c>
      <c r="K15" s="300">
        <f>+COUNTIF($G$22:$G$66,"NO")*2</f>
        <v>0</v>
      </c>
      <c r="L15" s="300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862.09999999999991</v>
      </c>
      <c r="F16" s="350"/>
      <c r="H16" s="117"/>
      <c r="I16" s="123"/>
      <c r="J16" s="215" t="s">
        <v>485</v>
      </c>
      <c r="K16" s="300">
        <f>+COUNTIF($G$22:$G$66,"TO")*2</f>
        <v>0</v>
      </c>
      <c r="L16" s="300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0.57511674449633088</v>
      </c>
      <c r="F17" s="350"/>
      <c r="G17" s="124"/>
      <c r="H17" s="125"/>
      <c r="I17" s="123"/>
      <c r="J17" s="215" t="s">
        <v>486</v>
      </c>
      <c r="K17" s="300">
        <f>+COUNTIF($G$22:$G$66,"VA")*2</f>
        <v>0</v>
      </c>
      <c r="L17" s="300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172.42</v>
      </c>
      <c r="F18" s="353"/>
      <c r="G18" s="124"/>
      <c r="H18" s="125"/>
      <c r="I18" s="123"/>
      <c r="J18" s="215" t="s">
        <v>44</v>
      </c>
      <c r="K18" s="300">
        <f>+COUNTIF($G$22:$G$66,"MEJ")*2</f>
        <v>0</v>
      </c>
      <c r="L18" s="300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29</v>
      </c>
      <c r="D23" s="152">
        <v>1</v>
      </c>
      <c r="E23" s="152" t="s">
        <v>67</v>
      </c>
      <c r="F23" s="152" t="s">
        <v>526</v>
      </c>
      <c r="G23" s="153" t="s">
        <v>42</v>
      </c>
      <c r="H23" s="154" t="s">
        <v>1451</v>
      </c>
      <c r="I23" s="155">
        <v>324</v>
      </c>
      <c r="J23" s="152">
        <v>94.2</v>
      </c>
      <c r="K23" s="156">
        <v>93.5</v>
      </c>
      <c r="L23" s="157">
        <f t="shared" ref="L23:L65" si="0">+J23+K23</f>
        <v>187.7</v>
      </c>
      <c r="M23" s="158">
        <f t="shared" ref="M23:M66" si="1">+L23/I23</f>
        <v>0.57932098765432094</v>
      </c>
      <c r="N23" s="122"/>
    </row>
    <row r="24" spans="2:14" x14ac:dyDescent="0.25">
      <c r="B24" s="121"/>
      <c r="C24" s="159">
        <v>30</v>
      </c>
      <c r="D24" s="159">
        <v>4</v>
      </c>
      <c r="E24" s="159" t="s">
        <v>67</v>
      </c>
      <c r="F24" s="159" t="s">
        <v>526</v>
      </c>
      <c r="G24" s="160" t="s">
        <v>42</v>
      </c>
      <c r="H24" s="161" t="s">
        <v>1491</v>
      </c>
      <c r="I24" s="162">
        <v>273</v>
      </c>
      <c r="J24" s="159">
        <v>75.900000000000006</v>
      </c>
      <c r="K24" s="163">
        <v>75.2</v>
      </c>
      <c r="L24" s="164">
        <f t="shared" si="0"/>
        <v>151.10000000000002</v>
      </c>
      <c r="M24" s="165">
        <f t="shared" si="1"/>
        <v>0.55347985347985351</v>
      </c>
      <c r="N24" s="122"/>
    </row>
    <row r="25" spans="2:14" x14ac:dyDescent="0.25">
      <c r="B25" s="121"/>
      <c r="C25" s="159">
        <v>31</v>
      </c>
      <c r="D25" s="159">
        <v>5</v>
      </c>
      <c r="E25" s="159" t="s">
        <v>67</v>
      </c>
      <c r="F25" s="159" t="s">
        <v>526</v>
      </c>
      <c r="G25" s="160" t="s">
        <v>42</v>
      </c>
      <c r="H25" s="161" t="s">
        <v>1494</v>
      </c>
      <c r="I25" s="162">
        <v>253</v>
      </c>
      <c r="J25" s="159">
        <v>74.400000000000006</v>
      </c>
      <c r="K25" s="163">
        <v>76.099999999999994</v>
      </c>
      <c r="L25" s="164">
        <f t="shared" si="0"/>
        <v>150.5</v>
      </c>
      <c r="M25" s="165">
        <f t="shared" si="1"/>
        <v>0.59486166007905139</v>
      </c>
      <c r="N25" s="122"/>
    </row>
    <row r="26" spans="2:14" x14ac:dyDescent="0.25">
      <c r="B26" s="121"/>
      <c r="C26" s="159">
        <v>32</v>
      </c>
      <c r="D26" s="159">
        <v>2</v>
      </c>
      <c r="E26" s="159" t="s">
        <v>68</v>
      </c>
      <c r="F26" s="159" t="s">
        <v>526</v>
      </c>
      <c r="G26" s="160" t="s">
        <v>42</v>
      </c>
      <c r="H26" s="161" t="s">
        <v>1495</v>
      </c>
      <c r="I26" s="162">
        <v>290</v>
      </c>
      <c r="J26" s="159">
        <v>85.6</v>
      </c>
      <c r="K26" s="163">
        <v>83.9</v>
      </c>
      <c r="L26" s="164">
        <f t="shared" si="0"/>
        <v>169.5</v>
      </c>
      <c r="M26" s="165">
        <f t="shared" si="1"/>
        <v>0.58448275862068966</v>
      </c>
      <c r="N26" s="122"/>
    </row>
    <row r="27" spans="2:14" x14ac:dyDescent="0.25">
      <c r="B27" s="121"/>
      <c r="C27" s="159">
        <v>33</v>
      </c>
      <c r="D27" s="159">
        <v>3</v>
      </c>
      <c r="E27" s="159" t="s">
        <v>1467</v>
      </c>
      <c r="F27" s="159" t="s">
        <v>526</v>
      </c>
      <c r="G27" s="160" t="s">
        <v>42</v>
      </c>
      <c r="H27" s="161" t="s">
        <v>1496</v>
      </c>
      <c r="I27" s="162">
        <v>359</v>
      </c>
      <c r="J27" s="159">
        <v>101.8</v>
      </c>
      <c r="K27" s="163">
        <v>101.5</v>
      </c>
      <c r="L27" s="164">
        <f t="shared" si="0"/>
        <v>203.3</v>
      </c>
      <c r="M27" s="165">
        <f t="shared" si="1"/>
        <v>0.56629526462395552</v>
      </c>
      <c r="N27" s="122"/>
    </row>
    <row r="28" spans="2:14" x14ac:dyDescent="0.25">
      <c r="B28" s="121"/>
      <c r="C28" s="159"/>
      <c r="D28" s="159"/>
      <c r="E28" s="159"/>
      <c r="F28" s="159"/>
      <c r="G28" s="160"/>
      <c r="H28" s="161"/>
      <c r="I28" s="162"/>
      <c r="J28" s="159"/>
      <c r="K28" s="163"/>
      <c r="L28" s="164">
        <f t="shared" si="0"/>
        <v>0</v>
      </c>
      <c r="M28" s="165" t="e">
        <f t="shared" si="1"/>
        <v>#DIV/0!</v>
      </c>
      <c r="N28" s="122"/>
    </row>
    <row r="29" spans="2:14" x14ac:dyDescent="0.25">
      <c r="B29" s="121"/>
      <c r="C29" s="160"/>
      <c r="D29" s="160"/>
      <c r="E29" s="160"/>
      <c r="F29" s="160"/>
      <c r="G29" s="160"/>
      <c r="H29" s="161"/>
      <c r="I29" s="162"/>
      <c r="J29" s="159"/>
      <c r="K29" s="163"/>
      <c r="L29" s="164">
        <f t="shared" si="0"/>
        <v>0</v>
      </c>
      <c r="M29" s="165" t="e">
        <f t="shared" si="1"/>
        <v>#DIV/0!</v>
      </c>
      <c r="N29" s="122"/>
    </row>
    <row r="30" spans="2:14" x14ac:dyDescent="0.25">
      <c r="B30" s="121"/>
      <c r="C30" s="160"/>
      <c r="D30" s="160"/>
      <c r="E30" s="160"/>
      <c r="F30" s="160"/>
      <c r="G30" s="160"/>
      <c r="H30" s="161"/>
      <c r="I30" s="162"/>
      <c r="J30" s="159"/>
      <c r="K30" s="163"/>
      <c r="L30" s="164">
        <f t="shared" si="0"/>
        <v>0</v>
      </c>
      <c r="M30" s="165" t="e">
        <f t="shared" si="1"/>
        <v>#DIV/0!</v>
      </c>
      <c r="N30" s="122"/>
    </row>
    <row r="31" spans="2:14" x14ac:dyDescent="0.25">
      <c r="B31" s="121"/>
      <c r="C31" s="159"/>
      <c r="D31" s="159"/>
      <c r="E31" s="159"/>
      <c r="F31" s="159"/>
      <c r="G31" s="160"/>
      <c r="H31" s="161"/>
      <c r="I31" s="162"/>
      <c r="J31" s="159"/>
      <c r="K31" s="163"/>
      <c r="L31" s="164">
        <f t="shared" si="0"/>
        <v>0</v>
      </c>
      <c r="M31" s="165" t="e">
        <f t="shared" si="1"/>
        <v>#DIV/0!</v>
      </c>
      <c r="N31" s="122"/>
    </row>
    <row r="32" spans="2:14" x14ac:dyDescent="0.25">
      <c r="B32" s="121"/>
      <c r="C32" s="159"/>
      <c r="D32" s="159"/>
      <c r="E32" s="159"/>
      <c r="F32" s="159"/>
      <c r="G32" s="160"/>
      <c r="H32" s="161"/>
      <c r="I32" s="162"/>
      <c r="J32" s="159"/>
      <c r="K32" s="163"/>
      <c r="L32" s="164">
        <f t="shared" si="0"/>
        <v>0</v>
      </c>
      <c r="M32" s="165" t="e">
        <f t="shared" si="1"/>
        <v>#DIV/0!</v>
      </c>
      <c r="N32" s="122"/>
    </row>
    <row r="33" spans="2:14" x14ac:dyDescent="0.25">
      <c r="B33" s="121"/>
      <c r="C33" s="160"/>
      <c r="D33" s="160"/>
      <c r="E33" s="160"/>
      <c r="F33" s="160"/>
      <c r="G33" s="160"/>
      <c r="H33" s="161"/>
      <c r="I33" s="162"/>
      <c r="J33" s="159"/>
      <c r="K33" s="163"/>
      <c r="L33" s="164">
        <f t="shared" si="0"/>
        <v>0</v>
      </c>
      <c r="M33" s="165" t="e">
        <f t="shared" si="1"/>
        <v>#DIV/0!</v>
      </c>
      <c r="N33" s="122"/>
    </row>
    <row r="34" spans="2:14" x14ac:dyDescent="0.25">
      <c r="B34" s="121"/>
      <c r="C34" s="159"/>
      <c r="D34" s="159"/>
      <c r="E34" s="159"/>
      <c r="F34" s="159"/>
      <c r="G34" s="160"/>
      <c r="H34" s="161"/>
      <c r="I34" s="162"/>
      <c r="J34" s="159"/>
      <c r="K34" s="166"/>
      <c r="L34" s="164">
        <f t="shared" si="0"/>
        <v>0</v>
      </c>
      <c r="M34" s="167" t="e">
        <f t="shared" si="1"/>
        <v>#DIV/0!</v>
      </c>
      <c r="N34" s="122"/>
    </row>
    <row r="35" spans="2:14" x14ac:dyDescent="0.25">
      <c r="B35" s="121"/>
      <c r="C35" s="159"/>
      <c r="D35" s="159"/>
      <c r="E35" s="159"/>
      <c r="F35" s="159"/>
      <c r="G35" s="160"/>
      <c r="H35" s="161"/>
      <c r="I35" s="162"/>
      <c r="J35" s="159"/>
      <c r="K35" s="163"/>
      <c r="L35" s="164">
        <f t="shared" si="0"/>
        <v>0</v>
      </c>
      <c r="M35" s="165" t="e">
        <f t="shared" si="1"/>
        <v>#DIV/0!</v>
      </c>
      <c r="N35" s="122"/>
    </row>
    <row r="36" spans="2:14" x14ac:dyDescent="0.25">
      <c r="B36" s="121"/>
      <c r="C36" s="159"/>
      <c r="D36" s="159"/>
      <c r="E36" s="159"/>
      <c r="F36" s="159"/>
      <c r="G36" s="160"/>
      <c r="H36" s="161"/>
      <c r="I36" s="162"/>
      <c r="J36" s="159"/>
      <c r="K36" s="163"/>
      <c r="L36" s="164">
        <f t="shared" si="0"/>
        <v>0</v>
      </c>
      <c r="M36" s="165" t="e">
        <f t="shared" si="1"/>
        <v>#DIV/0!</v>
      </c>
      <c r="N36" s="122"/>
    </row>
    <row r="37" spans="2:14" x14ac:dyDescent="0.25">
      <c r="B37" s="121"/>
      <c r="C37" s="159"/>
      <c r="D37" s="159"/>
      <c r="E37" s="159"/>
      <c r="F37" s="159"/>
      <c r="G37" s="160"/>
      <c r="H37" s="161"/>
      <c r="I37" s="162"/>
      <c r="J37" s="159"/>
      <c r="K37" s="163"/>
      <c r="L37" s="164">
        <f t="shared" si="0"/>
        <v>0</v>
      </c>
      <c r="M37" s="165" t="e">
        <f t="shared" si="1"/>
        <v>#DIV/0!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98"/>
      <c r="D66" s="298">
        <f>+COUNT($D$22:$D$65)</f>
        <v>5</v>
      </c>
      <c r="E66" s="298"/>
      <c r="F66" s="373"/>
      <c r="G66" s="373"/>
      <c r="H66" s="149"/>
      <c r="I66" s="148">
        <f>SUM($I$22:$I$65)</f>
        <v>1499</v>
      </c>
      <c r="J66" s="150">
        <f>SUM($J$22:$J$65)</f>
        <v>431.90000000000003</v>
      </c>
      <c r="K66" s="151">
        <f>SUM($K$22:$K$65)</f>
        <v>430.2</v>
      </c>
      <c r="L66" s="148">
        <f>SUM($L$22:$L$65)</f>
        <v>862.09999999999991</v>
      </c>
      <c r="M66" s="178">
        <f t="shared" si="1"/>
        <v>0.57511674449633088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/>
      <c r="I71" s="119"/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/>
      <c r="I72" s="119"/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/>
      <c r="I73" s="119"/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/>
      <c r="I74" s="119"/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/>
      <c r="I75" s="119"/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/>
      <c r="I76" s="119"/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/>
      <c r="I77" s="119"/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/>
      <c r="I78" s="119"/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/>
      <c r="I79" s="119"/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/>
      <c r="I80" s="119"/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/>
      <c r="I81" s="119"/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/>
      <c r="I82" s="119"/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/>
      <c r="I83" s="119"/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0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5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31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E68" zoomScale="90" zoomScaleNormal="90" workbookViewId="0">
      <selection activeCell="I84" sqref="I84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0.58031833486378936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210.65555555555554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1358</v>
      </c>
      <c r="F8" s="344"/>
      <c r="G8" s="344"/>
      <c r="H8" s="345"/>
      <c r="I8" s="146" t="s">
        <v>487</v>
      </c>
      <c r="J8" s="346" t="s">
        <v>1358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65705</v>
      </c>
      <c r="F9" s="344"/>
      <c r="G9" s="344"/>
      <c r="H9" s="345"/>
      <c r="I9" s="146" t="s">
        <v>88</v>
      </c>
      <c r="J9" s="209" t="s">
        <v>1481</v>
      </c>
      <c r="K9" s="301" t="s">
        <v>490</v>
      </c>
      <c r="L9" s="369" t="s">
        <v>1482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99" t="s">
        <v>569</v>
      </c>
      <c r="E12" s="384">
        <v>46071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76</v>
      </c>
      <c r="F13" s="349"/>
      <c r="H13" s="117"/>
      <c r="I13" s="123"/>
      <c r="J13" s="215" t="s">
        <v>483</v>
      </c>
      <c r="K13" s="300">
        <f>+COUNTIF($G$22:$G$66,"VQ")*2</f>
        <v>0</v>
      </c>
      <c r="L13" s="300">
        <f>+SUMIF($G$23:$G$65,"VQ",$L$23:$L$65)</f>
        <v>0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18</v>
      </c>
      <c r="F14" s="350"/>
      <c r="H14" s="117"/>
      <c r="I14" s="123"/>
      <c r="J14" s="215" t="s">
        <v>42</v>
      </c>
      <c r="K14" s="300">
        <f>+COUNTIF($G$22:$G$66,"NT")*2</f>
        <v>0</v>
      </c>
      <c r="L14" s="300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6534</v>
      </c>
      <c r="F15" s="350"/>
      <c r="H15" s="117"/>
      <c r="I15" s="123"/>
      <c r="J15" s="215" t="s">
        <v>484</v>
      </c>
      <c r="K15" s="300">
        <f>+COUNTIF($G$22:$G$66,"NO")*2</f>
        <v>0</v>
      </c>
      <c r="L15" s="300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3791.7999999999997</v>
      </c>
      <c r="F16" s="350"/>
      <c r="H16" s="117"/>
      <c r="I16" s="123"/>
      <c r="J16" s="215" t="s">
        <v>485</v>
      </c>
      <c r="K16" s="300">
        <f>+COUNTIF($G$22:$G$66,"TO")*2</f>
        <v>0</v>
      </c>
      <c r="L16" s="300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0.58031833486378936</v>
      </c>
      <c r="F17" s="350"/>
      <c r="G17" s="124"/>
      <c r="H17" s="125"/>
      <c r="I17" s="123"/>
      <c r="J17" s="215" t="s">
        <v>486</v>
      </c>
      <c r="K17" s="300">
        <f>+COUNTIF($G$22:$G$66,"VA")*2</f>
        <v>0</v>
      </c>
      <c r="L17" s="300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210.65555555555554</v>
      </c>
      <c r="F18" s="353"/>
      <c r="G18" s="124"/>
      <c r="H18" s="125"/>
      <c r="I18" s="123"/>
      <c r="J18" s="215" t="s">
        <v>44</v>
      </c>
      <c r="K18" s="300">
        <f>+COUNTIF($G$22:$G$66,"MEJ")*2</f>
        <v>36</v>
      </c>
      <c r="L18" s="300">
        <f>+SUMIF($G$23:$G$65,"MEJ",$L$23:$L$65)</f>
        <v>3791.7999999999997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</v>
      </c>
      <c r="D23" s="152">
        <v>4</v>
      </c>
      <c r="E23" s="152" t="s">
        <v>1467</v>
      </c>
      <c r="F23" s="152" t="s">
        <v>526</v>
      </c>
      <c r="G23" s="153" t="s">
        <v>44</v>
      </c>
      <c r="H23" s="154" t="s">
        <v>41</v>
      </c>
      <c r="I23" s="155">
        <v>399</v>
      </c>
      <c r="J23" s="152">
        <v>115.1</v>
      </c>
      <c r="K23" s="156">
        <v>113.9</v>
      </c>
      <c r="L23" s="157">
        <f t="shared" ref="L23:L65" si="0">+J23+K23</f>
        <v>229</v>
      </c>
      <c r="M23" s="158">
        <f t="shared" ref="M23:M66" si="1">+L23/I23</f>
        <v>0.57393483709273185</v>
      </c>
      <c r="N23" s="122"/>
    </row>
    <row r="24" spans="2:14" x14ac:dyDescent="0.25">
      <c r="B24" s="121"/>
      <c r="C24" s="159">
        <v>2</v>
      </c>
      <c r="D24" s="159">
        <v>13</v>
      </c>
      <c r="E24" s="159" t="s">
        <v>67</v>
      </c>
      <c r="F24" s="159" t="s">
        <v>526</v>
      </c>
      <c r="G24" s="160" t="s">
        <v>44</v>
      </c>
      <c r="H24" s="161" t="s">
        <v>1468</v>
      </c>
      <c r="I24" s="162">
        <v>361</v>
      </c>
      <c r="J24" s="159">
        <v>104.6</v>
      </c>
      <c r="K24" s="163">
        <v>103.5</v>
      </c>
      <c r="L24" s="164">
        <f t="shared" si="0"/>
        <v>208.1</v>
      </c>
      <c r="M24" s="165">
        <f t="shared" si="1"/>
        <v>0.57645429362880884</v>
      </c>
      <c r="N24" s="122"/>
    </row>
    <row r="25" spans="2:14" x14ac:dyDescent="0.25">
      <c r="B25" s="121"/>
      <c r="C25" s="159">
        <v>3</v>
      </c>
      <c r="D25" s="159">
        <v>8</v>
      </c>
      <c r="E25" s="159" t="s">
        <v>67</v>
      </c>
      <c r="F25" s="159" t="s">
        <v>526</v>
      </c>
      <c r="G25" s="160" t="s">
        <v>44</v>
      </c>
      <c r="H25" s="161" t="s">
        <v>1469</v>
      </c>
      <c r="I25" s="162">
        <v>369</v>
      </c>
      <c r="J25" s="159">
        <v>108.9</v>
      </c>
      <c r="K25" s="163">
        <v>108.7</v>
      </c>
      <c r="L25" s="164">
        <f t="shared" si="0"/>
        <v>217.60000000000002</v>
      </c>
      <c r="M25" s="165">
        <f t="shared" si="1"/>
        <v>0.58970189701897024</v>
      </c>
      <c r="N25" s="122"/>
    </row>
    <row r="26" spans="2:14" x14ac:dyDescent="0.25">
      <c r="B26" s="121"/>
      <c r="C26" s="159">
        <v>4</v>
      </c>
      <c r="D26" s="159">
        <v>12</v>
      </c>
      <c r="E26" s="159" t="s">
        <v>67</v>
      </c>
      <c r="F26" s="159" t="s">
        <v>526</v>
      </c>
      <c r="G26" s="160" t="s">
        <v>44</v>
      </c>
      <c r="H26" s="161" t="s">
        <v>1470</v>
      </c>
      <c r="I26" s="162">
        <v>354</v>
      </c>
      <c r="J26" s="159">
        <v>103.9</v>
      </c>
      <c r="K26" s="163">
        <v>104.1</v>
      </c>
      <c r="L26" s="164">
        <f t="shared" si="0"/>
        <v>208</v>
      </c>
      <c r="M26" s="165">
        <f t="shared" si="1"/>
        <v>0.58757062146892658</v>
      </c>
      <c r="N26" s="122"/>
    </row>
    <row r="27" spans="2:14" x14ac:dyDescent="0.25">
      <c r="B27" s="121"/>
      <c r="C27" s="159">
        <v>5</v>
      </c>
      <c r="D27" s="159">
        <v>7</v>
      </c>
      <c r="E27" s="159" t="s">
        <v>67</v>
      </c>
      <c r="F27" s="159" t="s">
        <v>526</v>
      </c>
      <c r="G27" s="160" t="s">
        <v>44</v>
      </c>
      <c r="H27" s="161" t="s">
        <v>1471</v>
      </c>
      <c r="I27" s="162">
        <v>379</v>
      </c>
      <c r="J27" s="159">
        <v>112.9</v>
      </c>
      <c r="K27" s="163">
        <v>113.2</v>
      </c>
      <c r="L27" s="164">
        <f t="shared" si="0"/>
        <v>226.10000000000002</v>
      </c>
      <c r="M27" s="165">
        <f t="shared" si="1"/>
        <v>0.59656992084432725</v>
      </c>
      <c r="N27" s="122"/>
    </row>
    <row r="28" spans="2:14" x14ac:dyDescent="0.25">
      <c r="B28" s="121"/>
      <c r="C28" s="159">
        <v>6</v>
      </c>
      <c r="D28" s="159">
        <v>6</v>
      </c>
      <c r="E28" s="159" t="s">
        <v>1467</v>
      </c>
      <c r="F28" s="159" t="s">
        <v>526</v>
      </c>
      <c r="G28" s="160" t="s">
        <v>44</v>
      </c>
      <c r="H28" s="161" t="s">
        <v>41</v>
      </c>
      <c r="I28" s="162">
        <v>338</v>
      </c>
      <c r="J28" s="159">
        <v>99.6</v>
      </c>
      <c r="K28" s="163">
        <v>98.9</v>
      </c>
      <c r="L28" s="164">
        <f t="shared" si="0"/>
        <v>198.5</v>
      </c>
      <c r="M28" s="165">
        <f t="shared" si="1"/>
        <v>0.58727810650887569</v>
      </c>
      <c r="N28" s="122"/>
    </row>
    <row r="29" spans="2:14" x14ac:dyDescent="0.25">
      <c r="B29" s="121"/>
      <c r="C29" s="160">
        <v>7</v>
      </c>
      <c r="D29" s="160">
        <v>1</v>
      </c>
      <c r="E29" s="160" t="s">
        <v>67</v>
      </c>
      <c r="F29" s="159" t="s">
        <v>526</v>
      </c>
      <c r="G29" s="160" t="s">
        <v>44</v>
      </c>
      <c r="H29" s="161" t="s">
        <v>770</v>
      </c>
      <c r="I29" s="162">
        <v>399</v>
      </c>
      <c r="J29" s="159">
        <v>129.9</v>
      </c>
      <c r="K29" s="163">
        <v>128.4</v>
      </c>
      <c r="L29" s="164">
        <f t="shared" si="0"/>
        <v>258.3</v>
      </c>
      <c r="M29" s="165">
        <f t="shared" si="1"/>
        <v>0.64736842105263159</v>
      </c>
      <c r="N29" s="122"/>
    </row>
    <row r="30" spans="2:14" x14ac:dyDescent="0.25">
      <c r="B30" s="121"/>
      <c r="C30" s="160">
        <v>8</v>
      </c>
      <c r="D30" s="160">
        <v>15</v>
      </c>
      <c r="E30" s="160" t="s">
        <v>68</v>
      </c>
      <c r="F30" s="159" t="s">
        <v>526</v>
      </c>
      <c r="G30" s="160" t="s">
        <v>44</v>
      </c>
      <c r="H30" s="161" t="s">
        <v>1472</v>
      </c>
      <c r="I30" s="162">
        <v>362</v>
      </c>
      <c r="J30" s="159">
        <v>100.1</v>
      </c>
      <c r="K30" s="163">
        <v>101.1</v>
      </c>
      <c r="L30" s="164">
        <f t="shared" si="0"/>
        <v>201.2</v>
      </c>
      <c r="M30" s="165">
        <f t="shared" si="1"/>
        <v>0.55580110497237567</v>
      </c>
      <c r="N30" s="122"/>
    </row>
    <row r="31" spans="2:14" x14ac:dyDescent="0.25">
      <c r="B31" s="121"/>
      <c r="C31" s="159">
        <v>9</v>
      </c>
      <c r="D31" s="159">
        <v>2</v>
      </c>
      <c r="E31" s="159" t="s">
        <v>67</v>
      </c>
      <c r="F31" s="159" t="s">
        <v>526</v>
      </c>
      <c r="G31" s="160" t="s">
        <v>44</v>
      </c>
      <c r="H31" s="161" t="s">
        <v>1473</v>
      </c>
      <c r="I31" s="162">
        <v>378</v>
      </c>
      <c r="J31" s="159">
        <v>108.4</v>
      </c>
      <c r="K31" s="163">
        <v>108.7</v>
      </c>
      <c r="L31" s="164">
        <f t="shared" si="0"/>
        <v>217.10000000000002</v>
      </c>
      <c r="M31" s="165">
        <f t="shared" si="1"/>
        <v>0.57433862433862437</v>
      </c>
      <c r="N31" s="122"/>
    </row>
    <row r="32" spans="2:14" x14ac:dyDescent="0.25">
      <c r="B32" s="121"/>
      <c r="C32" s="159">
        <v>10</v>
      </c>
      <c r="D32" s="159">
        <v>3</v>
      </c>
      <c r="E32" s="159" t="s">
        <v>67</v>
      </c>
      <c r="F32" s="159" t="s">
        <v>526</v>
      </c>
      <c r="G32" s="160" t="s">
        <v>44</v>
      </c>
      <c r="H32" s="161" t="s">
        <v>1474</v>
      </c>
      <c r="I32" s="162">
        <v>353</v>
      </c>
      <c r="J32" s="159">
        <v>104.2</v>
      </c>
      <c r="K32" s="163">
        <v>103.2</v>
      </c>
      <c r="L32" s="164">
        <f t="shared" si="0"/>
        <v>207.4</v>
      </c>
      <c r="M32" s="165">
        <f t="shared" si="1"/>
        <v>0.58753541076487259</v>
      </c>
      <c r="N32" s="122"/>
    </row>
    <row r="33" spans="2:14" x14ac:dyDescent="0.25">
      <c r="B33" s="121"/>
      <c r="C33" s="160">
        <v>11</v>
      </c>
      <c r="D33" s="160">
        <v>17</v>
      </c>
      <c r="E33" s="160" t="s">
        <v>67</v>
      </c>
      <c r="F33" s="159" t="s">
        <v>526</v>
      </c>
      <c r="G33" s="160" t="s">
        <v>44</v>
      </c>
      <c r="H33" s="161" t="s">
        <v>1475</v>
      </c>
      <c r="I33" s="162">
        <v>364</v>
      </c>
      <c r="J33" s="159">
        <v>104.9</v>
      </c>
      <c r="K33" s="163">
        <v>104</v>
      </c>
      <c r="L33" s="164">
        <f t="shared" si="0"/>
        <v>208.9</v>
      </c>
      <c r="M33" s="165">
        <f t="shared" si="1"/>
        <v>0.57390109890109897</v>
      </c>
      <c r="N33" s="122"/>
    </row>
    <row r="34" spans="2:14" x14ac:dyDescent="0.25">
      <c r="B34" s="121"/>
      <c r="C34" s="159">
        <v>12</v>
      </c>
      <c r="D34" s="159">
        <v>18</v>
      </c>
      <c r="E34" s="159" t="s">
        <v>67</v>
      </c>
      <c r="F34" s="159" t="s">
        <v>526</v>
      </c>
      <c r="G34" s="160" t="s">
        <v>44</v>
      </c>
      <c r="H34" s="161" t="s">
        <v>500</v>
      </c>
      <c r="I34" s="162">
        <v>324</v>
      </c>
      <c r="J34" s="159">
        <v>90.5</v>
      </c>
      <c r="K34" s="166">
        <v>90.6</v>
      </c>
      <c r="L34" s="164">
        <f t="shared" si="0"/>
        <v>181.1</v>
      </c>
      <c r="M34" s="167">
        <f t="shared" si="1"/>
        <v>0.55895061728395057</v>
      </c>
      <c r="N34" s="122"/>
    </row>
    <row r="35" spans="2:14" x14ac:dyDescent="0.25">
      <c r="B35" s="121"/>
      <c r="C35" s="159">
        <v>13</v>
      </c>
      <c r="D35" s="159">
        <v>11</v>
      </c>
      <c r="E35" s="159" t="s">
        <v>67</v>
      </c>
      <c r="F35" s="159" t="s">
        <v>526</v>
      </c>
      <c r="G35" s="160" t="s">
        <v>44</v>
      </c>
      <c r="H35" s="161" t="s">
        <v>1476</v>
      </c>
      <c r="I35" s="162">
        <v>325</v>
      </c>
      <c r="J35" s="159">
        <v>97.2</v>
      </c>
      <c r="K35" s="163">
        <v>98</v>
      </c>
      <c r="L35" s="164">
        <f t="shared" si="0"/>
        <v>195.2</v>
      </c>
      <c r="M35" s="165">
        <f t="shared" si="1"/>
        <v>0.60061538461538455</v>
      </c>
      <c r="N35" s="122"/>
    </row>
    <row r="36" spans="2:14" x14ac:dyDescent="0.25">
      <c r="B36" s="121"/>
      <c r="C36" s="159">
        <v>14</v>
      </c>
      <c r="D36" s="159">
        <v>5</v>
      </c>
      <c r="E36" s="159" t="s">
        <v>68</v>
      </c>
      <c r="F36" s="159" t="s">
        <v>526</v>
      </c>
      <c r="G36" s="160" t="s">
        <v>44</v>
      </c>
      <c r="H36" s="161" t="s">
        <v>1477</v>
      </c>
      <c r="I36" s="162">
        <v>374</v>
      </c>
      <c r="J36" s="159">
        <v>107.7</v>
      </c>
      <c r="K36" s="163">
        <v>109.4</v>
      </c>
      <c r="L36" s="164">
        <f t="shared" si="0"/>
        <v>217.10000000000002</v>
      </c>
      <c r="M36" s="165">
        <f t="shared" si="1"/>
        <v>0.58048128342245997</v>
      </c>
      <c r="N36" s="122"/>
    </row>
    <row r="37" spans="2:14" x14ac:dyDescent="0.25">
      <c r="B37" s="121"/>
      <c r="C37" s="159">
        <v>15</v>
      </c>
      <c r="D37" s="159">
        <v>16</v>
      </c>
      <c r="E37" s="159" t="s">
        <v>67</v>
      </c>
      <c r="F37" s="159" t="s">
        <v>526</v>
      </c>
      <c r="G37" s="160" t="s">
        <v>44</v>
      </c>
      <c r="H37" s="161" t="s">
        <v>1478</v>
      </c>
      <c r="I37" s="162">
        <v>382</v>
      </c>
      <c r="J37" s="159">
        <v>110.5</v>
      </c>
      <c r="K37" s="163">
        <v>110.2</v>
      </c>
      <c r="L37" s="164">
        <f t="shared" si="0"/>
        <v>220.7</v>
      </c>
      <c r="M37" s="165">
        <f t="shared" si="1"/>
        <v>0.57774869109947646</v>
      </c>
      <c r="N37" s="122"/>
    </row>
    <row r="38" spans="2:14" x14ac:dyDescent="0.25">
      <c r="B38" s="121"/>
      <c r="C38" s="159">
        <v>16</v>
      </c>
      <c r="D38" s="159">
        <v>9</v>
      </c>
      <c r="E38" s="159" t="s">
        <v>68</v>
      </c>
      <c r="F38" s="159" t="s">
        <v>526</v>
      </c>
      <c r="G38" s="159" t="s">
        <v>44</v>
      </c>
      <c r="H38" s="168" t="s">
        <v>41</v>
      </c>
      <c r="I38" s="169">
        <v>371</v>
      </c>
      <c r="J38" s="159">
        <v>104.9</v>
      </c>
      <c r="K38" s="163">
        <v>104</v>
      </c>
      <c r="L38" s="164">
        <f t="shared" si="0"/>
        <v>208.9</v>
      </c>
      <c r="M38" s="165">
        <f t="shared" si="1"/>
        <v>0.56307277628032348</v>
      </c>
      <c r="N38" s="122"/>
    </row>
    <row r="39" spans="2:14" x14ac:dyDescent="0.25">
      <c r="B39" s="121"/>
      <c r="C39" s="159">
        <v>17</v>
      </c>
      <c r="D39" s="159">
        <v>14</v>
      </c>
      <c r="E39" s="159" t="s">
        <v>68</v>
      </c>
      <c r="F39" s="159" t="s">
        <v>526</v>
      </c>
      <c r="G39" s="160" t="s">
        <v>44</v>
      </c>
      <c r="H39" s="161" t="s">
        <v>1479</v>
      </c>
      <c r="I39" s="162">
        <v>362</v>
      </c>
      <c r="J39" s="159">
        <v>99.3</v>
      </c>
      <c r="K39" s="163">
        <v>99.3</v>
      </c>
      <c r="L39" s="164">
        <f t="shared" si="0"/>
        <v>198.6</v>
      </c>
      <c r="M39" s="165">
        <f t="shared" si="1"/>
        <v>0.54861878453038671</v>
      </c>
      <c r="N39" s="122"/>
    </row>
    <row r="40" spans="2:14" x14ac:dyDescent="0.25">
      <c r="B40" s="121"/>
      <c r="C40" s="159">
        <v>18</v>
      </c>
      <c r="D40" s="159">
        <v>10</v>
      </c>
      <c r="E40" s="159" t="s">
        <v>67</v>
      </c>
      <c r="F40" s="159" t="s">
        <v>526</v>
      </c>
      <c r="G40" s="160" t="s">
        <v>44</v>
      </c>
      <c r="H40" s="161" t="s">
        <v>1480</v>
      </c>
      <c r="I40" s="162">
        <v>340</v>
      </c>
      <c r="J40" s="159">
        <v>94.5</v>
      </c>
      <c r="K40" s="163">
        <v>95.5</v>
      </c>
      <c r="L40" s="164">
        <f t="shared" si="0"/>
        <v>190</v>
      </c>
      <c r="M40" s="165">
        <f t="shared" si="1"/>
        <v>0.55882352941176472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98"/>
      <c r="D66" s="298">
        <f>+COUNT($D$22:$D$65)</f>
        <v>18</v>
      </c>
      <c r="E66" s="298"/>
      <c r="F66" s="373"/>
      <c r="G66" s="373"/>
      <c r="H66" s="149"/>
      <c r="I66" s="148">
        <f>SUM($I$22:$I$65)</f>
        <v>6534</v>
      </c>
      <c r="J66" s="150">
        <f>SUM($J$22:$J$65)</f>
        <v>1897.1000000000001</v>
      </c>
      <c r="K66" s="151">
        <f>SUM($K$22:$K$65)</f>
        <v>1894.7</v>
      </c>
      <c r="L66" s="148">
        <f>SUM($L$22:$L$65)</f>
        <v>3791.7999999999997</v>
      </c>
      <c r="M66" s="178">
        <f t="shared" si="1"/>
        <v>0.58031833486378936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41.84</v>
      </c>
      <c r="I71" s="119">
        <v>40.04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18</v>
      </c>
      <c r="I72" s="119">
        <v>24.18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18</v>
      </c>
      <c r="I73" s="119">
        <v>78.739999999999995</v>
      </c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18</v>
      </c>
      <c r="I74" s="119">
        <v>19.78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17.3</v>
      </c>
      <c r="I75" s="119">
        <v>16.28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36</v>
      </c>
      <c r="I76" s="119">
        <v>14.42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72</v>
      </c>
      <c r="I77" s="119">
        <v>11.74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18</v>
      </c>
      <c r="I78" s="119">
        <v>15.86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18</v>
      </c>
      <c r="I79" s="119">
        <v>13.62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27.5</v>
      </c>
      <c r="I80" s="119">
        <v>25.96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18</v>
      </c>
      <c r="I81" s="119">
        <v>16.46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18</v>
      </c>
      <c r="I82" s="119">
        <v>5.62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10.34</v>
      </c>
      <c r="I83" s="119">
        <v>9.36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292.05999999999995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18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30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F38" sqref="F38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0.56115066384452572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194.42000000000002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986</v>
      </c>
      <c r="F8" s="344"/>
      <c r="G8" s="344"/>
      <c r="H8" s="345"/>
      <c r="I8" s="146" t="s">
        <v>487</v>
      </c>
      <c r="J8" s="346" t="s">
        <v>1009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28012</v>
      </c>
      <c r="F9" s="344"/>
      <c r="G9" s="344"/>
      <c r="H9" s="345"/>
      <c r="I9" s="146" t="s">
        <v>88</v>
      </c>
      <c r="J9" s="209" t="s">
        <v>1512</v>
      </c>
      <c r="K9" s="301" t="s">
        <v>490</v>
      </c>
      <c r="L9" s="369" t="s">
        <v>1513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299" t="s">
        <v>569</v>
      </c>
      <c r="E12" s="384">
        <v>46071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77</v>
      </c>
      <c r="F13" s="349"/>
      <c r="H13" s="117"/>
      <c r="I13" s="123"/>
      <c r="J13" s="215" t="s">
        <v>483</v>
      </c>
      <c r="K13" s="300">
        <f>+COUNTIF($G$22:$G$66,"VQ")*2</f>
        <v>10</v>
      </c>
      <c r="L13" s="300">
        <f>+SUMIF($G$23:$G$65,"VQ",$L$23:$L$65)</f>
        <v>910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15</v>
      </c>
      <c r="F14" s="350"/>
      <c r="H14" s="117"/>
      <c r="I14" s="123"/>
      <c r="J14" s="215" t="s">
        <v>42</v>
      </c>
      <c r="K14" s="300">
        <f>+COUNTIF($G$22:$G$66,"NT")*2</f>
        <v>16</v>
      </c>
      <c r="L14" s="300">
        <f>+SUMIF($G$23:$G$65,"NT",$L$23:$L$65)</f>
        <v>1651.7000000000003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5197</v>
      </c>
      <c r="F15" s="350"/>
      <c r="H15" s="117"/>
      <c r="I15" s="123"/>
      <c r="J15" s="215" t="s">
        <v>484</v>
      </c>
      <c r="K15" s="300">
        <f>+COUNTIF($G$22:$G$66,"NO")*2</f>
        <v>0</v>
      </c>
      <c r="L15" s="300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2916.3</v>
      </c>
      <c r="F16" s="350"/>
      <c r="H16" s="117"/>
      <c r="I16" s="123"/>
      <c r="J16" s="215" t="s">
        <v>485</v>
      </c>
      <c r="K16" s="300">
        <f>+COUNTIF($G$22:$G$66,"TO")*2</f>
        <v>0</v>
      </c>
      <c r="L16" s="300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0.56115066384452572</v>
      </c>
      <c r="F17" s="350"/>
      <c r="G17" s="124"/>
      <c r="H17" s="125"/>
      <c r="I17" s="123"/>
      <c r="J17" s="215" t="s">
        <v>486</v>
      </c>
      <c r="K17" s="300">
        <f>+COUNTIF($G$22:$G$66,"VA")*2</f>
        <v>0</v>
      </c>
      <c r="L17" s="300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194.42000000000002</v>
      </c>
      <c r="F18" s="353"/>
      <c r="G18" s="124"/>
      <c r="H18" s="125"/>
      <c r="I18" s="123"/>
      <c r="J18" s="215" t="s">
        <v>44</v>
      </c>
      <c r="K18" s="300">
        <f>+COUNTIF($G$22:$G$66,"MEJ")*2</f>
        <v>4</v>
      </c>
      <c r="L18" s="300">
        <f>+SUMIF($G$23:$G$65,"MEJ",$L$23:$L$65)</f>
        <v>354.59999999999997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34</v>
      </c>
      <c r="D23" s="152">
        <v>13</v>
      </c>
      <c r="E23" s="152" t="s">
        <v>1467</v>
      </c>
      <c r="F23" s="152" t="s">
        <v>526</v>
      </c>
      <c r="G23" s="153" t="s">
        <v>483</v>
      </c>
      <c r="H23" s="154" t="s">
        <v>1498</v>
      </c>
      <c r="I23" s="155">
        <v>282</v>
      </c>
      <c r="J23" s="152">
        <v>78.5</v>
      </c>
      <c r="K23" s="156">
        <v>79.400000000000006</v>
      </c>
      <c r="L23" s="157">
        <f t="shared" ref="L23:L65" si="0">+J23+K23</f>
        <v>157.9</v>
      </c>
      <c r="M23" s="158">
        <f t="shared" ref="M23:M66" si="1">+L23/I23</f>
        <v>0.55992907801418446</v>
      </c>
      <c r="N23" s="122"/>
    </row>
    <row r="24" spans="2:14" x14ac:dyDescent="0.25">
      <c r="B24" s="121"/>
      <c r="C24" s="159">
        <v>35</v>
      </c>
      <c r="D24" s="159">
        <v>14</v>
      </c>
      <c r="E24" s="159" t="s">
        <v>1467</v>
      </c>
      <c r="F24" s="159" t="s">
        <v>526</v>
      </c>
      <c r="G24" s="160" t="s">
        <v>483</v>
      </c>
      <c r="H24" s="161" t="s">
        <v>1499</v>
      </c>
      <c r="I24" s="162">
        <v>343</v>
      </c>
      <c r="J24" s="159">
        <v>96.7</v>
      </c>
      <c r="K24" s="163">
        <v>96.7</v>
      </c>
      <c r="L24" s="164">
        <f t="shared" si="0"/>
        <v>193.4</v>
      </c>
      <c r="M24" s="165">
        <f t="shared" si="1"/>
        <v>0.56384839650145779</v>
      </c>
      <c r="N24" s="122"/>
    </row>
    <row r="25" spans="2:14" x14ac:dyDescent="0.25">
      <c r="B25" s="121"/>
      <c r="C25" s="159">
        <v>36</v>
      </c>
      <c r="D25" s="159">
        <v>7</v>
      </c>
      <c r="E25" s="159" t="s">
        <v>1467</v>
      </c>
      <c r="F25" s="159" t="s">
        <v>526</v>
      </c>
      <c r="G25" s="160" t="s">
        <v>483</v>
      </c>
      <c r="H25" s="161" t="s">
        <v>1500</v>
      </c>
      <c r="I25" s="162">
        <v>323</v>
      </c>
      <c r="J25" s="159">
        <v>90.6</v>
      </c>
      <c r="K25" s="163">
        <v>92.2</v>
      </c>
      <c r="L25" s="164">
        <f t="shared" si="0"/>
        <v>182.8</v>
      </c>
      <c r="M25" s="165">
        <f t="shared" si="1"/>
        <v>0.56594427244582046</v>
      </c>
      <c r="N25" s="122"/>
    </row>
    <row r="26" spans="2:14" x14ac:dyDescent="0.25">
      <c r="B26" s="121"/>
      <c r="C26" s="159">
        <v>37</v>
      </c>
      <c r="D26" s="159">
        <v>9</v>
      </c>
      <c r="E26" s="159" t="s">
        <v>1467</v>
      </c>
      <c r="F26" s="159" t="s">
        <v>527</v>
      </c>
      <c r="G26" s="160" t="s">
        <v>42</v>
      </c>
      <c r="H26" s="161" t="s">
        <v>1501</v>
      </c>
      <c r="I26" s="162">
        <v>405</v>
      </c>
      <c r="J26" s="159">
        <v>112.6</v>
      </c>
      <c r="K26" s="163">
        <v>114.4</v>
      </c>
      <c r="L26" s="164">
        <f t="shared" si="0"/>
        <v>227</v>
      </c>
      <c r="M26" s="165">
        <f t="shared" si="1"/>
        <v>0.56049382716049378</v>
      </c>
      <c r="N26" s="122"/>
    </row>
    <row r="27" spans="2:14" x14ac:dyDescent="0.25">
      <c r="B27" s="121"/>
      <c r="C27" s="159">
        <v>38</v>
      </c>
      <c r="D27" s="159">
        <v>6</v>
      </c>
      <c r="E27" s="159" t="s">
        <v>68</v>
      </c>
      <c r="F27" s="159" t="s">
        <v>527</v>
      </c>
      <c r="G27" s="160" t="s">
        <v>42</v>
      </c>
      <c r="H27" s="161" t="s">
        <v>1502</v>
      </c>
      <c r="I27" s="162">
        <v>423</v>
      </c>
      <c r="J27" s="159">
        <v>122.3</v>
      </c>
      <c r="K27" s="163">
        <v>121.2</v>
      </c>
      <c r="L27" s="164">
        <f t="shared" si="0"/>
        <v>243.5</v>
      </c>
      <c r="M27" s="165">
        <f t="shared" si="1"/>
        <v>0.57565011820330969</v>
      </c>
      <c r="N27" s="122"/>
    </row>
    <row r="28" spans="2:14" x14ac:dyDescent="0.25">
      <c r="B28" s="121"/>
      <c r="C28" s="159">
        <v>39</v>
      </c>
      <c r="D28" s="159">
        <v>4</v>
      </c>
      <c r="E28" s="159" t="s">
        <v>1467</v>
      </c>
      <c r="F28" s="159" t="s">
        <v>526</v>
      </c>
      <c r="G28" s="160" t="s">
        <v>42</v>
      </c>
      <c r="H28" s="161" t="s">
        <v>1503</v>
      </c>
      <c r="I28" s="162">
        <v>339</v>
      </c>
      <c r="J28" s="159">
        <v>98.2</v>
      </c>
      <c r="K28" s="163">
        <v>97.7</v>
      </c>
      <c r="L28" s="164">
        <f t="shared" si="0"/>
        <v>195.9</v>
      </c>
      <c r="M28" s="165">
        <f t="shared" si="1"/>
        <v>0.57787610619469032</v>
      </c>
      <c r="N28" s="122"/>
    </row>
    <row r="29" spans="2:14" x14ac:dyDescent="0.25">
      <c r="B29" s="121"/>
      <c r="C29" s="160">
        <v>40</v>
      </c>
      <c r="D29" s="160">
        <v>3</v>
      </c>
      <c r="E29" s="160" t="s">
        <v>1467</v>
      </c>
      <c r="F29" s="160" t="s">
        <v>526</v>
      </c>
      <c r="G29" s="160" t="s">
        <v>483</v>
      </c>
      <c r="H29" s="161" t="s">
        <v>1504</v>
      </c>
      <c r="I29" s="162">
        <v>348</v>
      </c>
      <c r="J29" s="159">
        <v>97.1</v>
      </c>
      <c r="K29" s="163">
        <v>97.1</v>
      </c>
      <c r="L29" s="164">
        <f t="shared" si="0"/>
        <v>194.2</v>
      </c>
      <c r="M29" s="165">
        <f t="shared" si="1"/>
        <v>0.55804597701149417</v>
      </c>
      <c r="N29" s="122"/>
    </row>
    <row r="30" spans="2:14" x14ac:dyDescent="0.25">
      <c r="B30" s="121"/>
      <c r="C30" s="160">
        <v>41</v>
      </c>
      <c r="D30" s="160">
        <v>1</v>
      </c>
      <c r="E30" s="160" t="s">
        <v>1467</v>
      </c>
      <c r="F30" s="160" t="s">
        <v>526</v>
      </c>
      <c r="G30" s="160" t="s">
        <v>42</v>
      </c>
      <c r="H30" s="161" t="s">
        <v>1505</v>
      </c>
      <c r="I30" s="162">
        <v>375</v>
      </c>
      <c r="J30" s="159">
        <v>101.3</v>
      </c>
      <c r="K30" s="163">
        <v>100</v>
      </c>
      <c r="L30" s="164">
        <f t="shared" si="0"/>
        <v>201.3</v>
      </c>
      <c r="M30" s="165">
        <f t="shared" si="1"/>
        <v>0.53680000000000005</v>
      </c>
      <c r="N30" s="122"/>
    </row>
    <row r="31" spans="2:14" x14ac:dyDescent="0.25">
      <c r="B31" s="121"/>
      <c r="C31" s="159">
        <v>42</v>
      </c>
      <c r="D31" s="159">
        <v>5</v>
      </c>
      <c r="E31" s="159" t="s">
        <v>1467</v>
      </c>
      <c r="F31" s="159" t="s">
        <v>526</v>
      </c>
      <c r="G31" s="160" t="s">
        <v>483</v>
      </c>
      <c r="H31" s="161" t="s">
        <v>1506</v>
      </c>
      <c r="I31" s="162">
        <v>327</v>
      </c>
      <c r="J31" s="159">
        <v>91.1</v>
      </c>
      <c r="K31" s="163">
        <v>90.6</v>
      </c>
      <c r="L31" s="164">
        <f t="shared" si="0"/>
        <v>181.7</v>
      </c>
      <c r="M31" s="165">
        <f t="shared" si="1"/>
        <v>0.55565749235474005</v>
      </c>
      <c r="N31" s="122"/>
    </row>
    <row r="32" spans="2:14" x14ac:dyDescent="0.25">
      <c r="B32" s="121"/>
      <c r="C32" s="159">
        <v>43</v>
      </c>
      <c r="D32" s="159">
        <v>8</v>
      </c>
      <c r="E32" s="159" t="s">
        <v>1467</v>
      </c>
      <c r="F32" s="159" t="s">
        <v>526</v>
      </c>
      <c r="G32" s="160" t="s">
        <v>42</v>
      </c>
      <c r="H32" s="161" t="s">
        <v>1507</v>
      </c>
      <c r="I32" s="162">
        <v>331</v>
      </c>
      <c r="J32" s="159">
        <v>98.9</v>
      </c>
      <c r="K32" s="163">
        <v>98</v>
      </c>
      <c r="L32" s="164">
        <f t="shared" si="0"/>
        <v>196.9</v>
      </c>
      <c r="M32" s="165">
        <f t="shared" si="1"/>
        <v>0.59486404833836859</v>
      </c>
      <c r="N32" s="122"/>
    </row>
    <row r="33" spans="2:14" x14ac:dyDescent="0.25">
      <c r="B33" s="121"/>
      <c r="C33" s="160">
        <v>44</v>
      </c>
      <c r="D33" s="160">
        <v>2</v>
      </c>
      <c r="E33" s="160" t="s">
        <v>1467</v>
      </c>
      <c r="F33" s="160" t="s">
        <v>526</v>
      </c>
      <c r="G33" s="160" t="s">
        <v>42</v>
      </c>
      <c r="H33" s="161" t="s">
        <v>1154</v>
      </c>
      <c r="I33" s="162">
        <v>378</v>
      </c>
      <c r="J33" s="159">
        <v>101.7</v>
      </c>
      <c r="K33" s="163">
        <v>101.4</v>
      </c>
      <c r="L33" s="164">
        <f t="shared" si="0"/>
        <v>203.10000000000002</v>
      </c>
      <c r="M33" s="165">
        <f t="shared" si="1"/>
        <v>0.53730158730158739</v>
      </c>
      <c r="N33" s="122"/>
    </row>
    <row r="34" spans="2:14" x14ac:dyDescent="0.25">
      <c r="B34" s="121"/>
      <c r="C34" s="159">
        <v>45</v>
      </c>
      <c r="D34" s="159">
        <v>15</v>
      </c>
      <c r="E34" s="159" t="s">
        <v>1467</v>
      </c>
      <c r="F34" s="159" t="s">
        <v>526</v>
      </c>
      <c r="G34" s="160" t="s">
        <v>44</v>
      </c>
      <c r="H34" s="161" t="s">
        <v>1508</v>
      </c>
      <c r="I34" s="162">
        <v>300</v>
      </c>
      <c r="J34" s="159">
        <v>78.3</v>
      </c>
      <c r="K34" s="166">
        <v>78.099999999999994</v>
      </c>
      <c r="L34" s="164">
        <f t="shared" si="0"/>
        <v>156.39999999999998</v>
      </c>
      <c r="M34" s="167">
        <f t="shared" si="1"/>
        <v>0.5213333333333332</v>
      </c>
      <c r="N34" s="122"/>
    </row>
    <row r="35" spans="2:14" x14ac:dyDescent="0.25">
      <c r="B35" s="121"/>
      <c r="C35" s="159">
        <v>46</v>
      </c>
      <c r="D35" s="159">
        <v>12</v>
      </c>
      <c r="E35" s="159" t="s">
        <v>1467</v>
      </c>
      <c r="F35" s="159" t="s">
        <v>526</v>
      </c>
      <c r="G35" s="160" t="s">
        <v>44</v>
      </c>
      <c r="H35" s="161" t="s">
        <v>1509</v>
      </c>
      <c r="I35" s="162">
        <v>353</v>
      </c>
      <c r="J35" s="159">
        <v>99</v>
      </c>
      <c r="K35" s="163">
        <v>99.2</v>
      </c>
      <c r="L35" s="164">
        <f t="shared" si="0"/>
        <v>198.2</v>
      </c>
      <c r="M35" s="165">
        <f t="shared" si="1"/>
        <v>0.56147308781869687</v>
      </c>
      <c r="N35" s="122"/>
    </row>
    <row r="36" spans="2:14" x14ac:dyDescent="0.25">
      <c r="B36" s="121"/>
      <c r="C36" s="159">
        <v>47</v>
      </c>
      <c r="D36" s="159">
        <v>11</v>
      </c>
      <c r="E36" s="159" t="s">
        <v>80</v>
      </c>
      <c r="F36" s="159" t="s">
        <v>526</v>
      </c>
      <c r="G36" s="160" t="s">
        <v>42</v>
      </c>
      <c r="H36" s="161" t="s">
        <v>1510</v>
      </c>
      <c r="I36" s="162">
        <v>337</v>
      </c>
      <c r="J36" s="159">
        <v>95.9</v>
      </c>
      <c r="K36" s="163">
        <v>94.7</v>
      </c>
      <c r="L36" s="164">
        <f t="shared" si="0"/>
        <v>190.60000000000002</v>
      </c>
      <c r="M36" s="165">
        <f t="shared" si="1"/>
        <v>0.56557863501483685</v>
      </c>
      <c r="N36" s="122"/>
    </row>
    <row r="37" spans="2:14" x14ac:dyDescent="0.25">
      <c r="B37" s="121"/>
      <c r="C37" s="159">
        <v>48</v>
      </c>
      <c r="D37" s="159">
        <v>10</v>
      </c>
      <c r="E37" s="159" t="s">
        <v>1467</v>
      </c>
      <c r="F37" s="159" t="s">
        <v>526</v>
      </c>
      <c r="G37" s="160" t="s">
        <v>42</v>
      </c>
      <c r="H37" s="161" t="s">
        <v>1511</v>
      </c>
      <c r="I37" s="162">
        <v>333</v>
      </c>
      <c r="J37" s="159">
        <v>96.4</v>
      </c>
      <c r="K37" s="163">
        <v>97</v>
      </c>
      <c r="L37" s="164">
        <f t="shared" si="0"/>
        <v>193.4</v>
      </c>
      <c r="M37" s="165">
        <f t="shared" si="1"/>
        <v>0.58078078078078077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298"/>
      <c r="D66" s="298">
        <f>+COUNT($D$22:$D$65)</f>
        <v>15</v>
      </c>
      <c r="E66" s="298"/>
      <c r="F66" s="373"/>
      <c r="G66" s="373"/>
      <c r="H66" s="149"/>
      <c r="I66" s="148">
        <f>SUM($I$22:$I$65)</f>
        <v>5197</v>
      </c>
      <c r="J66" s="150">
        <f>SUM($J$22:$J$65)</f>
        <v>1458.6000000000001</v>
      </c>
      <c r="K66" s="151">
        <f>SUM($K$22:$K$65)</f>
        <v>1457.7</v>
      </c>
      <c r="L66" s="148">
        <f>SUM($L$22:$L$65)</f>
        <v>2916.3</v>
      </c>
      <c r="M66" s="178">
        <f t="shared" si="1"/>
        <v>0.56115066384452572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/>
      <c r="I71" s="119"/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/>
      <c r="I72" s="119"/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/>
      <c r="I73" s="119"/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/>
      <c r="I74" s="119"/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/>
      <c r="I75" s="119"/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/>
      <c r="I76" s="119"/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/>
      <c r="I77" s="119"/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/>
      <c r="I78" s="119"/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/>
      <c r="I79" s="119"/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/>
      <c r="I80" s="119"/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/>
      <c r="I81" s="119"/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/>
      <c r="I82" s="119"/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/>
      <c r="I83" s="119"/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0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15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29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A66" zoomScale="90" zoomScaleNormal="90" workbookViewId="0">
      <selection activeCell="I71" sqref="I71:I83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0.56020642201834858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183.1875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625</v>
      </c>
      <c r="F8" s="344"/>
      <c r="G8" s="344"/>
      <c r="H8" s="345"/>
      <c r="I8" s="146" t="s">
        <v>487</v>
      </c>
      <c r="J8" s="346" t="s">
        <v>626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41927</v>
      </c>
      <c r="F9" s="344"/>
      <c r="G9" s="344"/>
      <c r="H9" s="345"/>
      <c r="I9" s="146" t="s">
        <v>88</v>
      </c>
      <c r="J9" s="209" t="s">
        <v>1520</v>
      </c>
      <c r="K9" s="305" t="s">
        <v>490</v>
      </c>
      <c r="L9" s="369" t="s">
        <v>1521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303" t="s">
        <v>569</v>
      </c>
      <c r="E12" s="384">
        <v>46073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78</v>
      </c>
      <c r="F13" s="349"/>
      <c r="H13" s="117"/>
      <c r="I13" s="123"/>
      <c r="J13" s="215" t="s">
        <v>483</v>
      </c>
      <c r="K13" s="304">
        <f>+COUNTIF($G$22:$G$66,"VQ")*2</f>
        <v>2</v>
      </c>
      <c r="L13" s="304">
        <f>+SUMIF($G$23:$G$65,"VQ",$L$23:$L$65)</f>
        <v>147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8</v>
      </c>
      <c r="F14" s="350"/>
      <c r="H14" s="117"/>
      <c r="I14" s="123"/>
      <c r="J14" s="215" t="s">
        <v>42</v>
      </c>
      <c r="K14" s="304">
        <f>+COUNTIF($G$22:$G$66,"NT")*2</f>
        <v>0</v>
      </c>
      <c r="L14" s="304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2616</v>
      </c>
      <c r="F15" s="350"/>
      <c r="H15" s="117"/>
      <c r="I15" s="123"/>
      <c r="J15" s="215" t="s">
        <v>484</v>
      </c>
      <c r="K15" s="304">
        <f>+COUNTIF($G$22:$G$66,"NO")*2</f>
        <v>2</v>
      </c>
      <c r="L15" s="304">
        <f>+SUMIF($G$23:$G$65,"NO",$L$23:$L$65)</f>
        <v>182.5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1465.5</v>
      </c>
      <c r="F16" s="350"/>
      <c r="H16" s="117"/>
      <c r="I16" s="123"/>
      <c r="J16" s="215" t="s">
        <v>485</v>
      </c>
      <c r="K16" s="304">
        <f>+COUNTIF($G$22:$G$66,"TO")*2</f>
        <v>0</v>
      </c>
      <c r="L16" s="304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0.56020642201834858</v>
      </c>
      <c r="F17" s="350"/>
      <c r="G17" s="124"/>
      <c r="H17" s="125"/>
      <c r="I17" s="123"/>
      <c r="J17" s="215" t="s">
        <v>486</v>
      </c>
      <c r="K17" s="304">
        <f>+COUNTIF($G$22:$G$66,"VA")*2</f>
        <v>0</v>
      </c>
      <c r="L17" s="304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183.1875</v>
      </c>
      <c r="F18" s="353"/>
      <c r="G18" s="124"/>
      <c r="H18" s="125"/>
      <c r="I18" s="123"/>
      <c r="J18" s="215" t="s">
        <v>44</v>
      </c>
      <c r="K18" s="304">
        <f>+COUNTIF($G$22:$G$66,"MEJ")*2</f>
        <v>12</v>
      </c>
      <c r="L18" s="304">
        <f>+SUMIF($G$23:$G$65,"MEJ",$L$23:$L$65)</f>
        <v>1136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</v>
      </c>
      <c r="D23" s="152">
        <v>4</v>
      </c>
      <c r="E23" s="152" t="s">
        <v>68</v>
      </c>
      <c r="F23" s="152" t="s">
        <v>526</v>
      </c>
      <c r="G23" s="153" t="s">
        <v>44</v>
      </c>
      <c r="H23" s="154" t="s">
        <v>214</v>
      </c>
      <c r="I23" s="155">
        <v>367</v>
      </c>
      <c r="J23" s="152">
        <v>103</v>
      </c>
      <c r="K23" s="156">
        <v>100.9</v>
      </c>
      <c r="L23" s="157">
        <f t="shared" ref="L23:L65" si="0">+J23+K23</f>
        <v>203.9</v>
      </c>
      <c r="M23" s="158">
        <f t="shared" ref="M23:M66" si="1">+L23/I23</f>
        <v>0.55558583106267034</v>
      </c>
      <c r="N23" s="122"/>
    </row>
    <row r="24" spans="2:14" x14ac:dyDescent="0.25">
      <c r="B24" s="121"/>
      <c r="C24" s="159">
        <v>2</v>
      </c>
      <c r="D24" s="159">
        <v>7</v>
      </c>
      <c r="E24" s="159" t="s">
        <v>75</v>
      </c>
      <c r="F24" s="159" t="s">
        <v>526</v>
      </c>
      <c r="G24" s="160" t="s">
        <v>44</v>
      </c>
      <c r="H24" s="161" t="s">
        <v>1514</v>
      </c>
      <c r="I24" s="162">
        <v>344</v>
      </c>
      <c r="J24" s="159">
        <v>92.4</v>
      </c>
      <c r="K24" s="163">
        <v>92.4</v>
      </c>
      <c r="L24" s="164">
        <f t="shared" si="0"/>
        <v>184.8</v>
      </c>
      <c r="M24" s="165">
        <f t="shared" si="1"/>
        <v>0.53720930232558139</v>
      </c>
      <c r="N24" s="122"/>
    </row>
    <row r="25" spans="2:14" x14ac:dyDescent="0.25">
      <c r="B25" s="121"/>
      <c r="C25" s="159">
        <v>3</v>
      </c>
      <c r="D25" s="159">
        <v>5</v>
      </c>
      <c r="E25" s="159" t="s">
        <v>68</v>
      </c>
      <c r="F25" s="159" t="s">
        <v>526</v>
      </c>
      <c r="G25" s="160" t="s">
        <v>44</v>
      </c>
      <c r="H25" s="161" t="s">
        <v>1515</v>
      </c>
      <c r="I25" s="162">
        <v>279</v>
      </c>
      <c r="J25" s="159">
        <v>80.400000000000006</v>
      </c>
      <c r="K25" s="163">
        <v>81.2</v>
      </c>
      <c r="L25" s="164">
        <f t="shared" si="0"/>
        <v>161.60000000000002</v>
      </c>
      <c r="M25" s="165">
        <f t="shared" si="1"/>
        <v>0.57921146953405023</v>
      </c>
      <c r="N25" s="122"/>
    </row>
    <row r="26" spans="2:14" x14ac:dyDescent="0.25">
      <c r="B26" s="121"/>
      <c r="C26" s="159">
        <v>4</v>
      </c>
      <c r="D26" s="159">
        <v>2</v>
      </c>
      <c r="E26" s="159" t="s">
        <v>67</v>
      </c>
      <c r="F26" s="159" t="s">
        <v>526</v>
      </c>
      <c r="G26" s="160" t="s">
        <v>44</v>
      </c>
      <c r="H26" s="161" t="s">
        <v>1516</v>
      </c>
      <c r="I26" s="162">
        <v>339</v>
      </c>
      <c r="J26" s="159">
        <v>99.7</v>
      </c>
      <c r="K26" s="163">
        <v>99.5</v>
      </c>
      <c r="L26" s="164">
        <f t="shared" si="0"/>
        <v>199.2</v>
      </c>
      <c r="M26" s="165">
        <f t="shared" si="1"/>
        <v>0.58761061946902649</v>
      </c>
      <c r="N26" s="122"/>
    </row>
    <row r="27" spans="2:14" x14ac:dyDescent="0.25">
      <c r="B27" s="121"/>
      <c r="C27" s="159">
        <v>5</v>
      </c>
      <c r="D27" s="159">
        <v>3</v>
      </c>
      <c r="E27" s="159" t="s">
        <v>68</v>
      </c>
      <c r="F27" s="159" t="s">
        <v>526</v>
      </c>
      <c r="G27" s="160" t="s">
        <v>44</v>
      </c>
      <c r="H27" s="161" t="s">
        <v>1517</v>
      </c>
      <c r="I27" s="162">
        <v>356</v>
      </c>
      <c r="J27" s="159">
        <v>96.2</v>
      </c>
      <c r="K27" s="163">
        <v>96.2</v>
      </c>
      <c r="L27" s="164">
        <f t="shared" si="0"/>
        <v>192.4</v>
      </c>
      <c r="M27" s="165">
        <f t="shared" si="1"/>
        <v>0.54044943820224722</v>
      </c>
      <c r="N27" s="122"/>
    </row>
    <row r="28" spans="2:14" x14ac:dyDescent="0.25">
      <c r="B28" s="121"/>
      <c r="C28" s="159">
        <v>6</v>
      </c>
      <c r="D28" s="159">
        <v>8</v>
      </c>
      <c r="E28" s="159" t="s">
        <v>67</v>
      </c>
      <c r="F28" s="159" t="s">
        <v>526</v>
      </c>
      <c r="G28" s="160" t="s">
        <v>483</v>
      </c>
      <c r="H28" s="161" t="s">
        <v>1518</v>
      </c>
      <c r="I28" s="162">
        <v>263</v>
      </c>
      <c r="J28" s="159">
        <v>73.900000000000006</v>
      </c>
      <c r="K28" s="163">
        <v>73.099999999999994</v>
      </c>
      <c r="L28" s="164">
        <f t="shared" si="0"/>
        <v>147</v>
      </c>
      <c r="M28" s="165">
        <f t="shared" si="1"/>
        <v>0.55893536121673004</v>
      </c>
      <c r="N28" s="122"/>
    </row>
    <row r="29" spans="2:14" x14ac:dyDescent="0.25">
      <c r="B29" s="121"/>
      <c r="C29" s="160">
        <v>7</v>
      </c>
      <c r="D29" s="160">
        <v>6</v>
      </c>
      <c r="E29" s="160" t="s">
        <v>67</v>
      </c>
      <c r="F29" s="160" t="s">
        <v>526</v>
      </c>
      <c r="G29" s="160" t="s">
        <v>44</v>
      </c>
      <c r="H29" s="161" t="s">
        <v>1519</v>
      </c>
      <c r="I29" s="162">
        <v>336</v>
      </c>
      <c r="J29" s="159">
        <v>96.6</v>
      </c>
      <c r="K29" s="163">
        <v>97.5</v>
      </c>
      <c r="L29" s="164">
        <f t="shared" si="0"/>
        <v>194.1</v>
      </c>
      <c r="M29" s="165">
        <f t="shared" si="1"/>
        <v>0.57767857142857137</v>
      </c>
      <c r="N29" s="122"/>
    </row>
    <row r="30" spans="2:14" x14ac:dyDescent="0.25">
      <c r="B30" s="121"/>
      <c r="C30" s="160">
        <v>8</v>
      </c>
      <c r="D30" s="160">
        <v>1</v>
      </c>
      <c r="E30" s="160" t="s">
        <v>67</v>
      </c>
      <c r="F30" s="160" t="s">
        <v>750</v>
      </c>
      <c r="G30" s="160" t="s">
        <v>484</v>
      </c>
      <c r="H30" s="161" t="s">
        <v>432</v>
      </c>
      <c r="I30" s="162">
        <v>332</v>
      </c>
      <c r="J30" s="159">
        <v>90.5</v>
      </c>
      <c r="K30" s="163">
        <v>92</v>
      </c>
      <c r="L30" s="164">
        <f t="shared" si="0"/>
        <v>182.5</v>
      </c>
      <c r="M30" s="165">
        <f t="shared" si="1"/>
        <v>0.54969879518072284</v>
      </c>
      <c r="N30" s="122"/>
    </row>
    <row r="31" spans="2:14" x14ac:dyDescent="0.25">
      <c r="B31" s="121"/>
      <c r="C31" s="159"/>
      <c r="D31" s="159"/>
      <c r="E31" s="159"/>
      <c r="F31" s="159"/>
      <c r="G31" s="160"/>
      <c r="H31" s="161"/>
      <c r="I31" s="162"/>
      <c r="J31" s="159"/>
      <c r="K31" s="163"/>
      <c r="L31" s="164">
        <f t="shared" si="0"/>
        <v>0</v>
      </c>
      <c r="M31" s="165" t="e">
        <f t="shared" si="1"/>
        <v>#DIV/0!</v>
      </c>
      <c r="N31" s="122"/>
    </row>
    <row r="32" spans="2:14" x14ac:dyDescent="0.25">
      <c r="B32" s="121"/>
      <c r="C32" s="159"/>
      <c r="D32" s="159"/>
      <c r="E32" s="159"/>
      <c r="F32" s="159"/>
      <c r="G32" s="160"/>
      <c r="H32" s="161"/>
      <c r="I32" s="162"/>
      <c r="J32" s="159"/>
      <c r="K32" s="163"/>
      <c r="L32" s="164">
        <f t="shared" si="0"/>
        <v>0</v>
      </c>
      <c r="M32" s="165" t="e">
        <f t="shared" si="1"/>
        <v>#DIV/0!</v>
      </c>
      <c r="N32" s="122"/>
    </row>
    <row r="33" spans="2:14" x14ac:dyDescent="0.25">
      <c r="B33" s="121"/>
      <c r="C33" s="160"/>
      <c r="D33" s="160"/>
      <c r="E33" s="160"/>
      <c r="F33" s="160"/>
      <c r="G33" s="160"/>
      <c r="H33" s="161"/>
      <c r="I33" s="162"/>
      <c r="J33" s="159"/>
      <c r="K33" s="163"/>
      <c r="L33" s="164">
        <f t="shared" si="0"/>
        <v>0</v>
      </c>
      <c r="M33" s="165" t="e">
        <f t="shared" si="1"/>
        <v>#DIV/0!</v>
      </c>
      <c r="N33" s="122"/>
    </row>
    <row r="34" spans="2:14" x14ac:dyDescent="0.25">
      <c r="B34" s="121"/>
      <c r="C34" s="159"/>
      <c r="D34" s="159"/>
      <c r="E34" s="159"/>
      <c r="F34" s="159"/>
      <c r="G34" s="160"/>
      <c r="H34" s="161"/>
      <c r="I34" s="162"/>
      <c r="J34" s="159"/>
      <c r="K34" s="166"/>
      <c r="L34" s="164">
        <f t="shared" si="0"/>
        <v>0</v>
      </c>
      <c r="M34" s="167" t="e">
        <f t="shared" si="1"/>
        <v>#DIV/0!</v>
      </c>
      <c r="N34" s="122"/>
    </row>
    <row r="35" spans="2:14" x14ac:dyDescent="0.25">
      <c r="B35" s="121"/>
      <c r="C35" s="159"/>
      <c r="D35" s="159"/>
      <c r="E35" s="159"/>
      <c r="F35" s="159"/>
      <c r="G35" s="160"/>
      <c r="H35" s="161"/>
      <c r="I35" s="162"/>
      <c r="J35" s="159"/>
      <c r="K35" s="163"/>
      <c r="L35" s="164">
        <f t="shared" si="0"/>
        <v>0</v>
      </c>
      <c r="M35" s="165" t="e">
        <f t="shared" si="1"/>
        <v>#DIV/0!</v>
      </c>
      <c r="N35" s="122"/>
    </row>
    <row r="36" spans="2:14" x14ac:dyDescent="0.25">
      <c r="B36" s="121"/>
      <c r="C36" s="159"/>
      <c r="D36" s="159"/>
      <c r="E36" s="159"/>
      <c r="F36" s="159"/>
      <c r="G36" s="160"/>
      <c r="H36" s="161"/>
      <c r="I36" s="162"/>
      <c r="J36" s="159"/>
      <c r="K36" s="163"/>
      <c r="L36" s="164">
        <f t="shared" si="0"/>
        <v>0</v>
      </c>
      <c r="M36" s="165" t="e">
        <f t="shared" si="1"/>
        <v>#DIV/0!</v>
      </c>
      <c r="N36" s="122"/>
    </row>
    <row r="37" spans="2:14" x14ac:dyDescent="0.25">
      <c r="B37" s="121"/>
      <c r="C37" s="159"/>
      <c r="D37" s="159"/>
      <c r="E37" s="159"/>
      <c r="F37" s="159"/>
      <c r="G37" s="160"/>
      <c r="H37" s="161"/>
      <c r="I37" s="162"/>
      <c r="J37" s="159"/>
      <c r="K37" s="163"/>
      <c r="L37" s="164">
        <f t="shared" si="0"/>
        <v>0</v>
      </c>
      <c r="M37" s="165" t="e">
        <f t="shared" si="1"/>
        <v>#DIV/0!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302"/>
      <c r="D66" s="302">
        <f>+COUNT($D$22:$D$65)</f>
        <v>8</v>
      </c>
      <c r="E66" s="302"/>
      <c r="F66" s="373"/>
      <c r="G66" s="373"/>
      <c r="H66" s="149"/>
      <c r="I66" s="148">
        <f>SUM($I$22:$I$65)</f>
        <v>2616</v>
      </c>
      <c r="J66" s="150">
        <f>SUM($J$22:$J$65)</f>
        <v>732.7</v>
      </c>
      <c r="K66" s="151">
        <f>SUM($K$22:$K$65)</f>
        <v>732.8</v>
      </c>
      <c r="L66" s="148">
        <f>SUM($L$22:$L$65)</f>
        <v>1465.5</v>
      </c>
      <c r="M66" s="178">
        <f t="shared" si="1"/>
        <v>0.56020642201834858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17.68</v>
      </c>
      <c r="I71" s="119">
        <v>17.28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8</v>
      </c>
      <c r="I72" s="119">
        <v>10.039999999999999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8</v>
      </c>
      <c r="I73" s="119">
        <v>34.36</v>
      </c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8</v>
      </c>
      <c r="I74" s="119">
        <v>8.14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5.24</v>
      </c>
      <c r="I75" s="119">
        <v>4.96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16</v>
      </c>
      <c r="I76" s="119">
        <v>6.02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132</v>
      </c>
      <c r="I77" s="119">
        <v>4.46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8</v>
      </c>
      <c r="I78" s="119">
        <v>5.22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8</v>
      </c>
      <c r="I79" s="119">
        <v>5.2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12.46</v>
      </c>
      <c r="I80" s="119">
        <v>11.44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8</v>
      </c>
      <c r="I81" s="119">
        <v>6.54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8</v>
      </c>
      <c r="I82" s="119">
        <v>2.72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3.85</v>
      </c>
      <c r="I83" s="119">
        <v>3.48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119.85999999999999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8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28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E71" zoomScale="90" zoomScaleNormal="90" workbookViewId="0">
      <selection activeCell="K71" sqref="K71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0.58560453847062999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247.74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303</v>
      </c>
      <c r="F8" s="344"/>
      <c r="G8" s="344"/>
      <c r="H8" s="345"/>
      <c r="I8" s="146" t="s">
        <v>487</v>
      </c>
      <c r="J8" s="346" t="s">
        <v>973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45003</v>
      </c>
      <c r="F9" s="344"/>
      <c r="G9" s="344"/>
      <c r="H9" s="345"/>
      <c r="I9" s="146" t="s">
        <v>88</v>
      </c>
      <c r="J9" s="209" t="s">
        <v>1541</v>
      </c>
      <c r="K9" s="305" t="s">
        <v>490</v>
      </c>
      <c r="L9" s="369">
        <v>23438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303" t="s">
        <v>569</v>
      </c>
      <c r="E12" s="384">
        <v>46073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79</v>
      </c>
      <c r="F13" s="349"/>
      <c r="H13" s="117"/>
      <c r="I13" s="123"/>
      <c r="J13" s="215" t="s">
        <v>483</v>
      </c>
      <c r="K13" s="304">
        <f>+COUNTIF($G$22:$G$66,"VQ")*2</f>
        <v>14</v>
      </c>
      <c r="L13" s="304">
        <f>+SUMIF($G$23:$G$65,"VQ",$L$23:$L$65)</f>
        <v>1720.7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20</v>
      </c>
      <c r="F14" s="350"/>
      <c r="H14" s="117"/>
      <c r="I14" s="123"/>
      <c r="J14" s="215" t="s">
        <v>42</v>
      </c>
      <c r="K14" s="304">
        <f>+COUNTIF($G$22:$G$66,"NT")*2</f>
        <v>26</v>
      </c>
      <c r="L14" s="304">
        <f>+SUMIF($G$23:$G$65,"NT",$L$23:$L$65)</f>
        <v>3234.1000000000008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8461</v>
      </c>
      <c r="F15" s="350"/>
      <c r="H15" s="117"/>
      <c r="I15" s="123"/>
      <c r="J15" s="215" t="s">
        <v>484</v>
      </c>
      <c r="K15" s="304">
        <f>+COUNTIF($G$22:$G$66,"NO")*2</f>
        <v>0</v>
      </c>
      <c r="L15" s="304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4954.8</v>
      </c>
      <c r="F16" s="350"/>
      <c r="H16" s="117"/>
      <c r="I16" s="123"/>
      <c r="J16" s="215" t="s">
        <v>485</v>
      </c>
      <c r="K16" s="304">
        <f>+COUNTIF($G$22:$G$66,"TO")*2</f>
        <v>0</v>
      </c>
      <c r="L16" s="304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0.58560453847062999</v>
      </c>
      <c r="F17" s="350"/>
      <c r="G17" s="124"/>
      <c r="H17" s="125"/>
      <c r="I17" s="123"/>
      <c r="J17" s="215" t="s">
        <v>486</v>
      </c>
      <c r="K17" s="304">
        <f>+COUNTIF($G$22:$G$66,"VA")*2</f>
        <v>0</v>
      </c>
      <c r="L17" s="304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247.74</v>
      </c>
      <c r="F18" s="353"/>
      <c r="G18" s="124"/>
      <c r="H18" s="125"/>
      <c r="I18" s="123"/>
      <c r="J18" s="215" t="s">
        <v>44</v>
      </c>
      <c r="K18" s="304">
        <f>+COUNTIF($G$22:$G$66,"MEJ")*2</f>
        <v>0</v>
      </c>
      <c r="L18" s="304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9</v>
      </c>
      <c r="D23" s="152">
        <v>5</v>
      </c>
      <c r="E23" s="152" t="s">
        <v>67</v>
      </c>
      <c r="F23" s="152" t="s">
        <v>526</v>
      </c>
      <c r="G23" s="153" t="s">
        <v>483</v>
      </c>
      <c r="H23" s="154" t="s">
        <v>1522</v>
      </c>
      <c r="I23" s="155">
        <v>420</v>
      </c>
      <c r="J23" s="152">
        <v>125</v>
      </c>
      <c r="K23" s="156">
        <v>124.8</v>
      </c>
      <c r="L23" s="157">
        <f t="shared" ref="L23:L65" si="0">+J23+K23</f>
        <v>249.8</v>
      </c>
      <c r="M23" s="158">
        <f t="shared" ref="M23:M66" si="1">+L23/I23</f>
        <v>0.59476190476190482</v>
      </c>
      <c r="N23" s="122"/>
    </row>
    <row r="24" spans="2:14" x14ac:dyDescent="0.25">
      <c r="B24" s="121"/>
      <c r="C24" s="159">
        <v>10</v>
      </c>
      <c r="D24" s="159">
        <v>3</v>
      </c>
      <c r="E24" s="159" t="s">
        <v>67</v>
      </c>
      <c r="F24" s="159" t="s">
        <v>526</v>
      </c>
      <c r="G24" s="160" t="s">
        <v>483</v>
      </c>
      <c r="H24" s="161" t="s">
        <v>1523</v>
      </c>
      <c r="I24" s="162">
        <v>439</v>
      </c>
      <c r="J24" s="159">
        <v>123.7</v>
      </c>
      <c r="K24" s="163">
        <v>122.3</v>
      </c>
      <c r="L24" s="164">
        <f t="shared" si="0"/>
        <v>246</v>
      </c>
      <c r="M24" s="165">
        <f t="shared" si="1"/>
        <v>0.56036446469248291</v>
      </c>
      <c r="N24" s="122"/>
    </row>
    <row r="25" spans="2:14" x14ac:dyDescent="0.25">
      <c r="B25" s="121"/>
      <c r="C25" s="159">
        <v>11</v>
      </c>
      <c r="D25" s="159">
        <v>9</v>
      </c>
      <c r="E25" s="159" t="s">
        <v>67</v>
      </c>
      <c r="F25" s="159" t="s">
        <v>526</v>
      </c>
      <c r="G25" s="160" t="s">
        <v>483</v>
      </c>
      <c r="H25" s="161" t="s">
        <v>1524</v>
      </c>
      <c r="I25" s="162">
        <v>425</v>
      </c>
      <c r="J25" s="159">
        <v>124.3</v>
      </c>
      <c r="K25" s="163">
        <v>123.4</v>
      </c>
      <c r="L25" s="164">
        <f t="shared" si="0"/>
        <v>247.7</v>
      </c>
      <c r="M25" s="165">
        <f t="shared" si="1"/>
        <v>0.58282352941176463</v>
      </c>
      <c r="N25" s="122"/>
    </row>
    <row r="26" spans="2:14" x14ac:dyDescent="0.25">
      <c r="B26" s="121"/>
      <c r="C26" s="159">
        <v>12</v>
      </c>
      <c r="D26" s="159">
        <v>11</v>
      </c>
      <c r="E26" s="159" t="s">
        <v>67</v>
      </c>
      <c r="F26" s="159" t="s">
        <v>526</v>
      </c>
      <c r="G26" s="160" t="s">
        <v>483</v>
      </c>
      <c r="H26" s="161" t="s">
        <v>1525</v>
      </c>
      <c r="I26" s="162">
        <v>422</v>
      </c>
      <c r="J26" s="159">
        <v>127.5</v>
      </c>
      <c r="K26" s="163">
        <v>129.19999999999999</v>
      </c>
      <c r="L26" s="164">
        <f t="shared" si="0"/>
        <v>256.7</v>
      </c>
      <c r="M26" s="165">
        <f t="shared" si="1"/>
        <v>0.60829383886255917</v>
      </c>
      <c r="N26" s="122"/>
    </row>
    <row r="27" spans="2:14" x14ac:dyDescent="0.25">
      <c r="B27" s="121"/>
      <c r="C27" s="159">
        <v>13</v>
      </c>
      <c r="D27" s="159">
        <v>14</v>
      </c>
      <c r="E27" s="159" t="s">
        <v>67</v>
      </c>
      <c r="F27" s="159" t="s">
        <v>526</v>
      </c>
      <c r="G27" s="160" t="s">
        <v>483</v>
      </c>
      <c r="H27" s="161" t="s">
        <v>1526</v>
      </c>
      <c r="I27" s="162">
        <v>398</v>
      </c>
      <c r="J27" s="159">
        <v>116.2</v>
      </c>
      <c r="K27" s="163">
        <v>116.1</v>
      </c>
      <c r="L27" s="164">
        <f t="shared" si="0"/>
        <v>232.3</v>
      </c>
      <c r="M27" s="165">
        <f t="shared" si="1"/>
        <v>0.58366834170854276</v>
      </c>
      <c r="N27" s="122"/>
    </row>
    <row r="28" spans="2:14" x14ac:dyDescent="0.25">
      <c r="B28" s="121"/>
      <c r="C28" s="159">
        <v>14</v>
      </c>
      <c r="D28" s="159">
        <v>1</v>
      </c>
      <c r="E28" s="159" t="s">
        <v>67</v>
      </c>
      <c r="F28" s="159" t="s">
        <v>526</v>
      </c>
      <c r="G28" s="160" t="s">
        <v>483</v>
      </c>
      <c r="H28" s="161" t="s">
        <v>1527</v>
      </c>
      <c r="I28" s="162">
        <v>415</v>
      </c>
      <c r="J28" s="159">
        <v>122.6</v>
      </c>
      <c r="K28" s="163">
        <v>122.9</v>
      </c>
      <c r="L28" s="164">
        <f t="shared" si="0"/>
        <v>245.5</v>
      </c>
      <c r="M28" s="165">
        <f t="shared" si="1"/>
        <v>0.59156626506024101</v>
      </c>
      <c r="N28" s="122"/>
    </row>
    <row r="29" spans="2:14" x14ac:dyDescent="0.25">
      <c r="B29" s="121"/>
      <c r="C29" s="160">
        <v>15</v>
      </c>
      <c r="D29" s="160">
        <v>19</v>
      </c>
      <c r="E29" s="160" t="s">
        <v>67</v>
      </c>
      <c r="F29" s="159" t="s">
        <v>526</v>
      </c>
      <c r="G29" s="160" t="s">
        <v>483</v>
      </c>
      <c r="H29" s="161" t="s">
        <v>1528</v>
      </c>
      <c r="I29" s="162">
        <v>417</v>
      </c>
      <c r="J29" s="159">
        <v>121.7</v>
      </c>
      <c r="K29" s="163">
        <v>121</v>
      </c>
      <c r="L29" s="164">
        <f t="shared" si="0"/>
        <v>242.7</v>
      </c>
      <c r="M29" s="165">
        <f t="shared" si="1"/>
        <v>0.58201438848920861</v>
      </c>
      <c r="N29" s="122"/>
    </row>
    <row r="30" spans="2:14" x14ac:dyDescent="0.25">
      <c r="B30" s="121"/>
      <c r="C30" s="160">
        <v>16</v>
      </c>
      <c r="D30" s="160">
        <v>17</v>
      </c>
      <c r="E30" s="160" t="s">
        <v>67</v>
      </c>
      <c r="F30" s="159" t="s">
        <v>526</v>
      </c>
      <c r="G30" s="160" t="s">
        <v>42</v>
      </c>
      <c r="H30" s="161" t="s">
        <v>1529</v>
      </c>
      <c r="I30" s="162">
        <v>430</v>
      </c>
      <c r="J30" s="159">
        <v>125.8</v>
      </c>
      <c r="K30" s="163">
        <v>127.7</v>
      </c>
      <c r="L30" s="164">
        <f t="shared" si="0"/>
        <v>253.5</v>
      </c>
      <c r="M30" s="165">
        <f t="shared" si="1"/>
        <v>0.58953488372093021</v>
      </c>
      <c r="N30" s="122"/>
    </row>
    <row r="31" spans="2:14" x14ac:dyDescent="0.25">
      <c r="B31" s="121"/>
      <c r="C31" s="159">
        <v>17</v>
      </c>
      <c r="D31" s="159">
        <v>10</v>
      </c>
      <c r="E31" s="159" t="s">
        <v>67</v>
      </c>
      <c r="F31" s="159" t="s">
        <v>526</v>
      </c>
      <c r="G31" s="160" t="s">
        <v>42</v>
      </c>
      <c r="H31" s="161" t="s">
        <v>1204</v>
      </c>
      <c r="I31" s="162">
        <v>374</v>
      </c>
      <c r="J31" s="159">
        <v>104.8</v>
      </c>
      <c r="K31" s="163">
        <v>106.2</v>
      </c>
      <c r="L31" s="164">
        <f t="shared" si="0"/>
        <v>211</v>
      </c>
      <c r="M31" s="165">
        <f t="shared" si="1"/>
        <v>0.56417112299465244</v>
      </c>
      <c r="N31" s="122"/>
    </row>
    <row r="32" spans="2:14" x14ac:dyDescent="0.25">
      <c r="B32" s="121"/>
      <c r="C32" s="159">
        <v>18</v>
      </c>
      <c r="D32" s="159">
        <v>2</v>
      </c>
      <c r="E32" s="159" t="s">
        <v>67</v>
      </c>
      <c r="F32" s="159" t="s">
        <v>526</v>
      </c>
      <c r="G32" s="160" t="s">
        <v>42</v>
      </c>
      <c r="H32" s="161" t="s">
        <v>1530</v>
      </c>
      <c r="I32" s="162">
        <v>471</v>
      </c>
      <c r="J32" s="159">
        <v>124.2</v>
      </c>
      <c r="K32" s="163">
        <v>126</v>
      </c>
      <c r="L32" s="164">
        <f t="shared" si="0"/>
        <v>250.2</v>
      </c>
      <c r="M32" s="165">
        <f t="shared" si="1"/>
        <v>0.53121019108280254</v>
      </c>
      <c r="N32" s="122"/>
    </row>
    <row r="33" spans="2:14" x14ac:dyDescent="0.25">
      <c r="B33" s="121"/>
      <c r="C33" s="160">
        <v>19</v>
      </c>
      <c r="D33" s="160">
        <v>20</v>
      </c>
      <c r="E33" s="160" t="s">
        <v>67</v>
      </c>
      <c r="F33" s="159" t="s">
        <v>526</v>
      </c>
      <c r="G33" s="160" t="s">
        <v>42</v>
      </c>
      <c r="H33" s="161" t="s">
        <v>1531</v>
      </c>
      <c r="I33" s="162">
        <v>411</v>
      </c>
      <c r="J33" s="159">
        <v>122</v>
      </c>
      <c r="K33" s="163">
        <v>122.6</v>
      </c>
      <c r="L33" s="164">
        <f t="shared" si="0"/>
        <v>244.6</v>
      </c>
      <c r="M33" s="165">
        <f t="shared" si="1"/>
        <v>0.59513381995133818</v>
      </c>
      <c r="N33" s="122"/>
    </row>
    <row r="34" spans="2:14" x14ac:dyDescent="0.25">
      <c r="B34" s="121"/>
      <c r="C34" s="159">
        <v>20</v>
      </c>
      <c r="D34" s="159">
        <v>15</v>
      </c>
      <c r="E34" s="159" t="s">
        <v>67</v>
      </c>
      <c r="F34" s="159" t="s">
        <v>526</v>
      </c>
      <c r="G34" s="160" t="s">
        <v>42</v>
      </c>
      <c r="H34" s="161" t="s">
        <v>1532</v>
      </c>
      <c r="I34" s="162">
        <v>413</v>
      </c>
      <c r="J34" s="159">
        <v>124.4</v>
      </c>
      <c r="K34" s="166">
        <v>125.7</v>
      </c>
      <c r="L34" s="164">
        <f t="shared" si="0"/>
        <v>250.10000000000002</v>
      </c>
      <c r="M34" s="167">
        <f t="shared" si="1"/>
        <v>0.6055690072639226</v>
      </c>
      <c r="N34" s="122"/>
    </row>
    <row r="35" spans="2:14" x14ac:dyDescent="0.25">
      <c r="B35" s="121"/>
      <c r="C35" s="159">
        <v>21</v>
      </c>
      <c r="D35" s="159">
        <v>16</v>
      </c>
      <c r="E35" s="159" t="s">
        <v>67</v>
      </c>
      <c r="F35" s="159" t="s">
        <v>526</v>
      </c>
      <c r="G35" s="160" t="s">
        <v>42</v>
      </c>
      <c r="H35" s="161" t="s">
        <v>1533</v>
      </c>
      <c r="I35" s="162">
        <v>396</v>
      </c>
      <c r="J35" s="159">
        <v>113.3</v>
      </c>
      <c r="K35" s="163">
        <v>113.2</v>
      </c>
      <c r="L35" s="164">
        <f t="shared" si="0"/>
        <v>226.5</v>
      </c>
      <c r="M35" s="165">
        <f t="shared" si="1"/>
        <v>0.57196969696969702</v>
      </c>
      <c r="N35" s="122"/>
    </row>
    <row r="36" spans="2:14" x14ac:dyDescent="0.25">
      <c r="B36" s="121"/>
      <c r="C36" s="159">
        <v>22</v>
      </c>
      <c r="D36" s="159">
        <v>8</v>
      </c>
      <c r="E36" s="159" t="s">
        <v>67</v>
      </c>
      <c r="F36" s="159" t="s">
        <v>526</v>
      </c>
      <c r="G36" s="160" t="s">
        <v>42</v>
      </c>
      <c r="H36" s="161" t="s">
        <v>1534</v>
      </c>
      <c r="I36" s="162">
        <v>386</v>
      </c>
      <c r="J36" s="159">
        <v>116.6</v>
      </c>
      <c r="K36" s="163">
        <v>119.9</v>
      </c>
      <c r="L36" s="164">
        <f t="shared" si="0"/>
        <v>236.5</v>
      </c>
      <c r="M36" s="165">
        <f t="shared" si="1"/>
        <v>0.61269430051813467</v>
      </c>
      <c r="N36" s="122"/>
    </row>
    <row r="37" spans="2:14" x14ac:dyDescent="0.25">
      <c r="B37" s="121"/>
      <c r="C37" s="159">
        <v>23</v>
      </c>
      <c r="D37" s="159">
        <v>13</v>
      </c>
      <c r="E37" s="159" t="s">
        <v>67</v>
      </c>
      <c r="F37" s="159" t="s">
        <v>526</v>
      </c>
      <c r="G37" s="160" t="s">
        <v>42</v>
      </c>
      <c r="H37" s="161" t="s">
        <v>1535</v>
      </c>
      <c r="I37" s="162">
        <v>427</v>
      </c>
      <c r="J37" s="159">
        <v>122.6</v>
      </c>
      <c r="K37" s="163">
        <v>122.9</v>
      </c>
      <c r="L37" s="164">
        <f t="shared" si="0"/>
        <v>245.5</v>
      </c>
      <c r="M37" s="165">
        <f t="shared" si="1"/>
        <v>0.57494145199063229</v>
      </c>
      <c r="N37" s="122"/>
    </row>
    <row r="38" spans="2:14" x14ac:dyDescent="0.25">
      <c r="B38" s="121"/>
      <c r="C38" s="159">
        <v>24</v>
      </c>
      <c r="D38" s="159">
        <v>18</v>
      </c>
      <c r="E38" s="159" t="s">
        <v>67</v>
      </c>
      <c r="F38" s="159" t="s">
        <v>526</v>
      </c>
      <c r="G38" s="159" t="s">
        <v>42</v>
      </c>
      <c r="H38" s="168" t="s">
        <v>1536</v>
      </c>
      <c r="I38" s="169">
        <v>424</v>
      </c>
      <c r="J38" s="159">
        <v>116.9</v>
      </c>
      <c r="K38" s="163">
        <v>117.9</v>
      </c>
      <c r="L38" s="164">
        <f t="shared" si="0"/>
        <v>234.8</v>
      </c>
      <c r="M38" s="165">
        <f t="shared" si="1"/>
        <v>0.55377358490566042</v>
      </c>
      <c r="N38" s="122"/>
    </row>
    <row r="39" spans="2:14" x14ac:dyDescent="0.25">
      <c r="B39" s="121"/>
      <c r="C39" s="159">
        <v>25</v>
      </c>
      <c r="D39" s="159">
        <v>12</v>
      </c>
      <c r="E39" s="159" t="s">
        <v>67</v>
      </c>
      <c r="F39" s="159" t="s">
        <v>526</v>
      </c>
      <c r="G39" s="160" t="s">
        <v>42</v>
      </c>
      <c r="H39" s="161" t="s">
        <v>1537</v>
      </c>
      <c r="I39" s="162">
        <v>437</v>
      </c>
      <c r="J39" s="159">
        <v>128.4</v>
      </c>
      <c r="K39" s="163">
        <v>129.30000000000001</v>
      </c>
      <c r="L39" s="164">
        <f t="shared" si="0"/>
        <v>257.70000000000005</v>
      </c>
      <c r="M39" s="165">
        <f t="shared" si="1"/>
        <v>0.58970251716247146</v>
      </c>
      <c r="N39" s="122"/>
    </row>
    <row r="40" spans="2:14" x14ac:dyDescent="0.25">
      <c r="B40" s="121"/>
      <c r="C40" s="159">
        <v>26</v>
      </c>
      <c r="D40" s="159">
        <v>6</v>
      </c>
      <c r="E40" s="159" t="s">
        <v>67</v>
      </c>
      <c r="F40" s="159" t="s">
        <v>526</v>
      </c>
      <c r="G40" s="160" t="s">
        <v>42</v>
      </c>
      <c r="H40" s="161" t="s">
        <v>1538</v>
      </c>
      <c r="I40" s="162">
        <v>465</v>
      </c>
      <c r="J40" s="159">
        <v>143.9</v>
      </c>
      <c r="K40" s="163">
        <v>142.4</v>
      </c>
      <c r="L40" s="164">
        <f t="shared" si="0"/>
        <v>286.3</v>
      </c>
      <c r="M40" s="165">
        <f t="shared" si="1"/>
        <v>0.61569892473118282</v>
      </c>
      <c r="N40" s="122"/>
    </row>
    <row r="41" spans="2:14" x14ac:dyDescent="0.25">
      <c r="B41" s="121"/>
      <c r="C41" s="159">
        <v>27</v>
      </c>
      <c r="D41" s="159">
        <v>7</v>
      </c>
      <c r="E41" s="159" t="s">
        <v>67</v>
      </c>
      <c r="F41" s="159" t="s">
        <v>526</v>
      </c>
      <c r="G41" s="160" t="s">
        <v>42</v>
      </c>
      <c r="H41" s="161" t="s">
        <v>1539</v>
      </c>
      <c r="I41" s="162">
        <v>510</v>
      </c>
      <c r="J41" s="159">
        <v>150.4</v>
      </c>
      <c r="K41" s="163">
        <v>149.69999999999999</v>
      </c>
      <c r="L41" s="164">
        <f t="shared" si="0"/>
        <v>300.10000000000002</v>
      </c>
      <c r="M41" s="165">
        <f t="shared" si="1"/>
        <v>0.58843137254901967</v>
      </c>
      <c r="N41" s="122"/>
    </row>
    <row r="42" spans="2:14" x14ac:dyDescent="0.25">
      <c r="B42" s="121"/>
      <c r="C42" s="160">
        <v>28</v>
      </c>
      <c r="D42" s="160">
        <v>4</v>
      </c>
      <c r="E42" s="160" t="s">
        <v>67</v>
      </c>
      <c r="F42" s="159" t="s">
        <v>526</v>
      </c>
      <c r="G42" s="160" t="s">
        <v>42</v>
      </c>
      <c r="H42" s="161" t="s">
        <v>1540</v>
      </c>
      <c r="I42" s="162">
        <v>381</v>
      </c>
      <c r="J42" s="159">
        <v>119.7</v>
      </c>
      <c r="K42" s="163">
        <v>117.6</v>
      </c>
      <c r="L42" s="164">
        <f t="shared" si="0"/>
        <v>237.3</v>
      </c>
      <c r="M42" s="165">
        <f t="shared" si="1"/>
        <v>0.62283464566929136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302"/>
      <c r="D66" s="302">
        <f>+COUNT($D$22:$D$65)</f>
        <v>20</v>
      </c>
      <c r="E66" s="302"/>
      <c r="F66" s="373"/>
      <c r="G66" s="373"/>
      <c r="H66" s="149"/>
      <c r="I66" s="148">
        <f>SUM($I$22:$I$65)</f>
        <v>8461</v>
      </c>
      <c r="J66" s="150">
        <f>SUM($J$22:$J$65)</f>
        <v>2474</v>
      </c>
      <c r="K66" s="151">
        <f>SUM($K$22:$K$65)</f>
        <v>2480.8000000000002</v>
      </c>
      <c r="L66" s="148">
        <f>SUM($L$22:$L$65)</f>
        <v>4954.8</v>
      </c>
      <c r="M66" s="178">
        <f t="shared" si="1"/>
        <v>0.58560453847062999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53.08</v>
      </c>
      <c r="I71" s="119">
        <v>51.620000000000005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20</v>
      </c>
      <c r="I72" s="119">
        <v>55.78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13</v>
      </c>
      <c r="I73" s="119">
        <v>49.099999999999994</v>
      </c>
      <c r="J73" s="181">
        <v>7</v>
      </c>
      <c r="K73" s="185">
        <v>41.86</v>
      </c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20</v>
      </c>
      <c r="I74" s="119">
        <v>25.36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14.100000000000001</v>
      </c>
      <c r="I75" s="119">
        <v>13.16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40</v>
      </c>
      <c r="I76" s="119">
        <v>17.899999999999999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80</v>
      </c>
      <c r="I77" s="119">
        <v>12.68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20</v>
      </c>
      <c r="I78" s="119">
        <v>17.940000000000001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20</v>
      </c>
      <c r="I79" s="119">
        <v>18.32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26.68</v>
      </c>
      <c r="I80" s="119">
        <v>25.380000000000003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20</v>
      </c>
      <c r="I81" s="119">
        <v>22.78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20</v>
      </c>
      <c r="I82" s="119">
        <v>7.08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10.6</v>
      </c>
      <c r="I83" s="119">
        <v>9.74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326.83999999999997</v>
      </c>
      <c r="J84" s="187">
        <f>SUM(J71:J83)</f>
        <v>7</v>
      </c>
      <c r="K84" s="186">
        <f>SUM(K71:K83)</f>
        <v>41.86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20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27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D66" zoomScale="90" zoomScaleNormal="90" workbookViewId="0">
      <selection activeCell="I71" sqref="I71:I83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0.55634132892197385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192.17619047619041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396</v>
      </c>
      <c r="F8" s="344"/>
      <c r="G8" s="344"/>
      <c r="H8" s="345"/>
      <c r="I8" s="146" t="s">
        <v>487</v>
      </c>
      <c r="J8" s="346" t="s">
        <v>1580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69057</v>
      </c>
      <c r="F9" s="344"/>
      <c r="G9" s="344"/>
      <c r="H9" s="345"/>
      <c r="I9" s="146" t="s">
        <v>88</v>
      </c>
      <c r="J9" s="209" t="s">
        <v>1581</v>
      </c>
      <c r="K9" s="305" t="s">
        <v>490</v>
      </c>
      <c r="L9" s="369" t="s">
        <v>1582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303" t="s">
        <v>569</v>
      </c>
      <c r="E12" s="384">
        <v>46073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80</v>
      </c>
      <c r="F13" s="349"/>
      <c r="H13" s="117"/>
      <c r="I13" s="123"/>
      <c r="J13" s="215" t="s">
        <v>483</v>
      </c>
      <c r="K13" s="304">
        <f>+COUNTIF($G$22:$G$66,"VQ")*2</f>
        <v>20</v>
      </c>
      <c r="L13" s="304">
        <f>+SUMIF($G$23:$G$65,"VQ",$L$23:$L$65)</f>
        <v>1776.9000000000003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21</v>
      </c>
      <c r="F14" s="350"/>
      <c r="H14" s="117"/>
      <c r="I14" s="123"/>
      <c r="J14" s="215" t="s">
        <v>42</v>
      </c>
      <c r="K14" s="304">
        <f>+COUNTIF($G$22:$G$66,"NT")*2</f>
        <v>22</v>
      </c>
      <c r="L14" s="304">
        <f>+SUMIF($G$23:$G$65,"NT",$L$23:$L$65)</f>
        <v>2258.7999999999997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7254</v>
      </c>
      <c r="F15" s="350"/>
      <c r="H15" s="117"/>
      <c r="I15" s="123"/>
      <c r="J15" s="215" t="s">
        <v>484</v>
      </c>
      <c r="K15" s="304">
        <f>+COUNTIF($G$22:$G$66,"NO")*2</f>
        <v>0</v>
      </c>
      <c r="L15" s="304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4035.6999999999985</v>
      </c>
      <c r="F16" s="350"/>
      <c r="H16" s="117"/>
      <c r="I16" s="123"/>
      <c r="J16" s="215" t="s">
        <v>485</v>
      </c>
      <c r="K16" s="304">
        <f>+COUNTIF($G$22:$G$66,"TO")*2</f>
        <v>0</v>
      </c>
      <c r="L16" s="304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0.55634132892197385</v>
      </c>
      <c r="F17" s="350"/>
      <c r="G17" s="124"/>
      <c r="H17" s="125"/>
      <c r="I17" s="123"/>
      <c r="J17" s="215" t="s">
        <v>486</v>
      </c>
      <c r="K17" s="304">
        <f>+COUNTIF($G$22:$G$66,"VA")*2</f>
        <v>0</v>
      </c>
      <c r="L17" s="304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192.17619047619041</v>
      </c>
      <c r="F18" s="353"/>
      <c r="G18" s="124"/>
      <c r="H18" s="125"/>
      <c r="I18" s="123"/>
      <c r="J18" s="215" t="s">
        <v>44</v>
      </c>
      <c r="K18" s="304">
        <f>+COUNTIF($G$22:$G$66,"MEJ")*2</f>
        <v>0</v>
      </c>
      <c r="L18" s="304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29</v>
      </c>
      <c r="D23" s="152">
        <v>4</v>
      </c>
      <c r="E23" s="152" t="s">
        <v>68</v>
      </c>
      <c r="F23" s="152" t="s">
        <v>526</v>
      </c>
      <c r="G23" s="153" t="s">
        <v>42</v>
      </c>
      <c r="H23" s="154" t="s">
        <v>1583</v>
      </c>
      <c r="I23" s="155">
        <v>437</v>
      </c>
      <c r="J23" s="152">
        <v>126.5</v>
      </c>
      <c r="K23" s="156">
        <v>128.6</v>
      </c>
      <c r="L23" s="157">
        <f t="shared" ref="L23:L65" si="0">+J23+K23</f>
        <v>255.1</v>
      </c>
      <c r="M23" s="158">
        <f t="shared" ref="M23:M66" si="1">+L23/I23</f>
        <v>0.58375286041189933</v>
      </c>
      <c r="N23" s="122"/>
    </row>
    <row r="24" spans="2:14" x14ac:dyDescent="0.25">
      <c r="B24" s="121"/>
      <c r="C24" s="159">
        <v>30</v>
      </c>
      <c r="D24" s="159">
        <v>8</v>
      </c>
      <c r="E24" s="159" t="s">
        <v>67</v>
      </c>
      <c r="F24" s="159" t="s">
        <v>526</v>
      </c>
      <c r="G24" s="160" t="s">
        <v>42</v>
      </c>
      <c r="H24" s="161" t="s">
        <v>1584</v>
      </c>
      <c r="I24" s="162">
        <v>336</v>
      </c>
      <c r="J24" s="159">
        <v>87.9</v>
      </c>
      <c r="K24" s="163">
        <v>87.4</v>
      </c>
      <c r="L24" s="164">
        <f t="shared" si="0"/>
        <v>175.3</v>
      </c>
      <c r="M24" s="165">
        <f t="shared" si="1"/>
        <v>0.52172619047619051</v>
      </c>
      <c r="N24" s="122"/>
    </row>
    <row r="25" spans="2:14" x14ac:dyDescent="0.25">
      <c r="B25" s="121"/>
      <c r="C25" s="159">
        <v>31</v>
      </c>
      <c r="D25" s="159">
        <v>9</v>
      </c>
      <c r="E25" s="159" t="s">
        <v>67</v>
      </c>
      <c r="F25" s="159" t="s">
        <v>526</v>
      </c>
      <c r="G25" s="160" t="s">
        <v>483</v>
      </c>
      <c r="H25" s="161" t="s">
        <v>494</v>
      </c>
      <c r="I25" s="162">
        <v>307</v>
      </c>
      <c r="J25" s="159">
        <v>82.3</v>
      </c>
      <c r="K25" s="163">
        <v>83.6</v>
      </c>
      <c r="L25" s="164">
        <f t="shared" si="0"/>
        <v>165.89999999999998</v>
      </c>
      <c r="M25" s="165">
        <f t="shared" si="1"/>
        <v>0.54039087947882725</v>
      </c>
      <c r="N25" s="122"/>
    </row>
    <row r="26" spans="2:14" x14ac:dyDescent="0.25">
      <c r="B26" s="121"/>
      <c r="C26" s="159">
        <v>32</v>
      </c>
      <c r="D26" s="159">
        <v>15</v>
      </c>
      <c r="E26" s="159" t="s">
        <v>67</v>
      </c>
      <c r="F26" s="159" t="s">
        <v>526</v>
      </c>
      <c r="G26" s="160" t="s">
        <v>483</v>
      </c>
      <c r="H26" s="161" t="s">
        <v>660</v>
      </c>
      <c r="I26" s="162">
        <v>325</v>
      </c>
      <c r="J26" s="159">
        <v>86.6</v>
      </c>
      <c r="K26" s="163">
        <v>88.6</v>
      </c>
      <c r="L26" s="164">
        <f t="shared" si="0"/>
        <v>175.2</v>
      </c>
      <c r="M26" s="165">
        <f t="shared" si="1"/>
        <v>0.53907692307692301</v>
      </c>
      <c r="N26" s="122"/>
    </row>
    <row r="27" spans="2:14" x14ac:dyDescent="0.25">
      <c r="B27" s="121"/>
      <c r="C27" s="159">
        <v>33</v>
      </c>
      <c r="D27" s="159">
        <v>7</v>
      </c>
      <c r="E27" s="159" t="s">
        <v>68</v>
      </c>
      <c r="F27" s="159" t="s">
        <v>526</v>
      </c>
      <c r="G27" s="160" t="s">
        <v>42</v>
      </c>
      <c r="H27" s="161" t="s">
        <v>1585</v>
      </c>
      <c r="I27" s="162">
        <v>338</v>
      </c>
      <c r="J27" s="159">
        <v>86.3</v>
      </c>
      <c r="K27" s="163">
        <v>86.9</v>
      </c>
      <c r="L27" s="164">
        <f t="shared" si="0"/>
        <v>173.2</v>
      </c>
      <c r="M27" s="165">
        <f t="shared" si="1"/>
        <v>0.51242603550295851</v>
      </c>
      <c r="N27" s="122"/>
    </row>
    <row r="28" spans="2:14" x14ac:dyDescent="0.25">
      <c r="B28" s="121"/>
      <c r="C28" s="159">
        <v>34</v>
      </c>
      <c r="D28" s="159">
        <v>17</v>
      </c>
      <c r="E28" s="159" t="s">
        <v>67</v>
      </c>
      <c r="F28" s="159" t="s">
        <v>526</v>
      </c>
      <c r="G28" s="160" t="s">
        <v>42</v>
      </c>
      <c r="H28" s="161" t="s">
        <v>1586</v>
      </c>
      <c r="I28" s="162">
        <v>392</v>
      </c>
      <c r="J28" s="159">
        <v>107.1</v>
      </c>
      <c r="K28" s="163">
        <v>108.3</v>
      </c>
      <c r="L28" s="164">
        <f t="shared" si="0"/>
        <v>215.39999999999998</v>
      </c>
      <c r="M28" s="165">
        <f t="shared" si="1"/>
        <v>0.54948979591836733</v>
      </c>
      <c r="N28" s="122"/>
    </row>
    <row r="29" spans="2:14" x14ac:dyDescent="0.25">
      <c r="B29" s="121"/>
      <c r="C29" s="160">
        <v>35</v>
      </c>
      <c r="D29" s="160">
        <v>14</v>
      </c>
      <c r="E29" s="160" t="s">
        <v>68</v>
      </c>
      <c r="F29" s="159" t="s">
        <v>526</v>
      </c>
      <c r="G29" s="160" t="s">
        <v>483</v>
      </c>
      <c r="H29" s="161" t="s">
        <v>1587</v>
      </c>
      <c r="I29" s="162">
        <v>351</v>
      </c>
      <c r="J29" s="159">
        <v>91</v>
      </c>
      <c r="K29" s="163">
        <v>91.6</v>
      </c>
      <c r="L29" s="164">
        <f t="shared" si="0"/>
        <v>182.6</v>
      </c>
      <c r="M29" s="165">
        <f t="shared" si="1"/>
        <v>0.52022792022792019</v>
      </c>
      <c r="N29" s="122"/>
    </row>
    <row r="30" spans="2:14" x14ac:dyDescent="0.25">
      <c r="B30" s="121"/>
      <c r="C30" s="160">
        <v>36</v>
      </c>
      <c r="D30" s="160">
        <v>1</v>
      </c>
      <c r="E30" s="160" t="s">
        <v>67</v>
      </c>
      <c r="F30" s="159" t="s">
        <v>526</v>
      </c>
      <c r="G30" s="160" t="s">
        <v>42</v>
      </c>
      <c r="H30" s="161" t="s">
        <v>1588</v>
      </c>
      <c r="I30" s="162">
        <v>380</v>
      </c>
      <c r="J30" s="159">
        <v>110.9</v>
      </c>
      <c r="K30" s="163">
        <v>109.7</v>
      </c>
      <c r="L30" s="164">
        <f t="shared" si="0"/>
        <v>220.60000000000002</v>
      </c>
      <c r="M30" s="165">
        <f t="shared" si="1"/>
        <v>0.58052631578947378</v>
      </c>
      <c r="N30" s="122"/>
    </row>
    <row r="31" spans="2:14" x14ac:dyDescent="0.25">
      <c r="B31" s="121"/>
      <c r="C31" s="159">
        <v>37</v>
      </c>
      <c r="D31" s="159">
        <v>20</v>
      </c>
      <c r="E31" s="159" t="s">
        <v>67</v>
      </c>
      <c r="F31" s="159" t="s">
        <v>526</v>
      </c>
      <c r="G31" s="160" t="s">
        <v>42</v>
      </c>
      <c r="H31" s="161" t="s">
        <v>1589</v>
      </c>
      <c r="I31" s="162">
        <v>342</v>
      </c>
      <c r="J31" s="159">
        <v>107.7</v>
      </c>
      <c r="K31" s="163">
        <v>109</v>
      </c>
      <c r="L31" s="164">
        <f t="shared" si="0"/>
        <v>216.7</v>
      </c>
      <c r="M31" s="165">
        <f t="shared" si="1"/>
        <v>0.63362573099415198</v>
      </c>
      <c r="N31" s="122"/>
    </row>
    <row r="32" spans="2:14" x14ac:dyDescent="0.25">
      <c r="B32" s="121"/>
      <c r="C32" s="159">
        <v>38</v>
      </c>
      <c r="D32" s="159">
        <v>13</v>
      </c>
      <c r="E32" s="159" t="s">
        <v>67</v>
      </c>
      <c r="F32" s="159" t="s">
        <v>526</v>
      </c>
      <c r="G32" s="160" t="s">
        <v>42</v>
      </c>
      <c r="H32" s="161" t="s">
        <v>1501</v>
      </c>
      <c r="I32" s="162">
        <v>287</v>
      </c>
      <c r="J32" s="159">
        <v>78.3</v>
      </c>
      <c r="K32" s="163">
        <v>78.099999999999994</v>
      </c>
      <c r="L32" s="164">
        <f t="shared" si="0"/>
        <v>156.39999999999998</v>
      </c>
      <c r="M32" s="165">
        <f t="shared" si="1"/>
        <v>0.54494773519163753</v>
      </c>
      <c r="N32" s="122"/>
    </row>
    <row r="33" spans="2:14" x14ac:dyDescent="0.25">
      <c r="B33" s="121"/>
      <c r="C33" s="160">
        <v>39</v>
      </c>
      <c r="D33" s="160">
        <v>3</v>
      </c>
      <c r="E33" s="160" t="s">
        <v>68</v>
      </c>
      <c r="F33" s="159" t="s">
        <v>526</v>
      </c>
      <c r="G33" s="160" t="s">
        <v>483</v>
      </c>
      <c r="H33" s="161" t="s">
        <v>806</v>
      </c>
      <c r="I33" s="162">
        <v>355</v>
      </c>
      <c r="J33" s="159">
        <v>103.7</v>
      </c>
      <c r="K33" s="163">
        <v>106.4</v>
      </c>
      <c r="L33" s="164">
        <f t="shared" si="0"/>
        <v>210.10000000000002</v>
      </c>
      <c r="M33" s="165">
        <f t="shared" si="1"/>
        <v>0.59183098591549299</v>
      </c>
      <c r="N33" s="122"/>
    </row>
    <row r="34" spans="2:14" x14ac:dyDescent="0.25">
      <c r="B34" s="121"/>
      <c r="C34" s="159">
        <v>40</v>
      </c>
      <c r="D34" s="159">
        <v>11</v>
      </c>
      <c r="E34" s="159" t="s">
        <v>68</v>
      </c>
      <c r="F34" s="159" t="s">
        <v>526</v>
      </c>
      <c r="G34" s="160" t="s">
        <v>42</v>
      </c>
      <c r="H34" s="161" t="s">
        <v>1590</v>
      </c>
      <c r="I34" s="162">
        <v>356</v>
      </c>
      <c r="J34" s="159">
        <v>99.1</v>
      </c>
      <c r="K34" s="166">
        <v>99.5</v>
      </c>
      <c r="L34" s="164">
        <f t="shared" si="0"/>
        <v>198.6</v>
      </c>
      <c r="M34" s="167">
        <f t="shared" si="1"/>
        <v>0.55786516853932577</v>
      </c>
      <c r="N34" s="122"/>
    </row>
    <row r="35" spans="2:14" x14ac:dyDescent="0.25">
      <c r="B35" s="121"/>
      <c r="C35" s="159">
        <v>41</v>
      </c>
      <c r="D35" s="159">
        <v>19</v>
      </c>
      <c r="E35" s="159" t="s">
        <v>75</v>
      </c>
      <c r="F35" s="159" t="s">
        <v>526</v>
      </c>
      <c r="G35" s="160" t="s">
        <v>42</v>
      </c>
      <c r="H35" s="161" t="s">
        <v>1156</v>
      </c>
      <c r="I35" s="162">
        <v>279</v>
      </c>
      <c r="J35" s="159">
        <v>73.3</v>
      </c>
      <c r="K35" s="163">
        <v>73.400000000000006</v>
      </c>
      <c r="L35" s="164">
        <f t="shared" si="0"/>
        <v>146.69999999999999</v>
      </c>
      <c r="M35" s="165">
        <f t="shared" si="1"/>
        <v>0.52580645161290318</v>
      </c>
      <c r="N35" s="122"/>
    </row>
    <row r="36" spans="2:14" x14ac:dyDescent="0.25">
      <c r="B36" s="121"/>
      <c r="C36" s="159">
        <v>42</v>
      </c>
      <c r="D36" s="159">
        <v>5</v>
      </c>
      <c r="E36" s="159" t="s">
        <v>67</v>
      </c>
      <c r="F36" s="159" t="s">
        <v>526</v>
      </c>
      <c r="G36" s="160" t="s">
        <v>483</v>
      </c>
      <c r="H36" s="161" t="s">
        <v>1591</v>
      </c>
      <c r="I36" s="162">
        <v>327</v>
      </c>
      <c r="J36" s="159">
        <v>87.4</v>
      </c>
      <c r="K36" s="163">
        <v>88.8</v>
      </c>
      <c r="L36" s="164">
        <f t="shared" si="0"/>
        <v>176.2</v>
      </c>
      <c r="M36" s="165">
        <f t="shared" si="1"/>
        <v>0.53883792048929657</v>
      </c>
      <c r="N36" s="122"/>
    </row>
    <row r="37" spans="2:14" x14ac:dyDescent="0.25">
      <c r="B37" s="121"/>
      <c r="C37" s="159">
        <v>43</v>
      </c>
      <c r="D37" s="159">
        <v>18</v>
      </c>
      <c r="E37" s="159" t="s">
        <v>67</v>
      </c>
      <c r="F37" s="159" t="s">
        <v>526</v>
      </c>
      <c r="G37" s="160" t="s">
        <v>483</v>
      </c>
      <c r="H37" s="161" t="s">
        <v>1592</v>
      </c>
      <c r="I37" s="162">
        <v>277</v>
      </c>
      <c r="J37" s="159">
        <v>78.5</v>
      </c>
      <c r="K37" s="163">
        <v>76.900000000000006</v>
      </c>
      <c r="L37" s="164">
        <f t="shared" si="0"/>
        <v>155.4</v>
      </c>
      <c r="M37" s="165">
        <f t="shared" si="1"/>
        <v>0.56101083032490973</v>
      </c>
      <c r="N37" s="122"/>
    </row>
    <row r="38" spans="2:14" x14ac:dyDescent="0.25">
      <c r="B38" s="121"/>
      <c r="C38" s="159">
        <v>44</v>
      </c>
      <c r="D38" s="159">
        <v>2</v>
      </c>
      <c r="E38" s="159" t="s">
        <v>68</v>
      </c>
      <c r="F38" s="159" t="s">
        <v>526</v>
      </c>
      <c r="G38" s="159" t="s">
        <v>483</v>
      </c>
      <c r="H38" s="168" t="s">
        <v>1593</v>
      </c>
      <c r="I38" s="169">
        <v>263</v>
      </c>
      <c r="J38" s="159">
        <v>70.2</v>
      </c>
      <c r="K38" s="163">
        <v>71</v>
      </c>
      <c r="L38" s="164">
        <f t="shared" si="0"/>
        <v>141.19999999999999</v>
      </c>
      <c r="M38" s="165">
        <f t="shared" si="1"/>
        <v>0.53688212927756651</v>
      </c>
      <c r="N38" s="122"/>
    </row>
    <row r="39" spans="2:14" x14ac:dyDescent="0.25">
      <c r="B39" s="121"/>
      <c r="C39" s="159">
        <v>45</v>
      </c>
      <c r="D39" s="159">
        <v>12</v>
      </c>
      <c r="E39" s="159" t="s">
        <v>68</v>
      </c>
      <c r="F39" s="159" t="s">
        <v>526</v>
      </c>
      <c r="G39" s="160" t="s">
        <v>483</v>
      </c>
      <c r="H39" s="161" t="s">
        <v>1594</v>
      </c>
      <c r="I39" s="162">
        <v>309</v>
      </c>
      <c r="J39" s="159">
        <v>77.5</v>
      </c>
      <c r="K39" s="163">
        <v>78.5</v>
      </c>
      <c r="L39" s="164">
        <f t="shared" si="0"/>
        <v>156</v>
      </c>
      <c r="M39" s="165">
        <f t="shared" si="1"/>
        <v>0.50485436893203883</v>
      </c>
      <c r="N39" s="122"/>
    </row>
    <row r="40" spans="2:14" x14ac:dyDescent="0.25">
      <c r="B40" s="121"/>
      <c r="C40" s="159">
        <v>46</v>
      </c>
      <c r="D40" s="159">
        <v>10</v>
      </c>
      <c r="E40" s="159" t="s">
        <v>68</v>
      </c>
      <c r="F40" s="159" t="s">
        <v>526</v>
      </c>
      <c r="G40" s="160" t="s">
        <v>42</v>
      </c>
      <c r="H40" s="161" t="s">
        <v>662</v>
      </c>
      <c r="I40" s="162">
        <v>471</v>
      </c>
      <c r="J40" s="159">
        <v>144.69999999999999</v>
      </c>
      <c r="K40" s="163">
        <v>146.6</v>
      </c>
      <c r="L40" s="164">
        <f t="shared" si="0"/>
        <v>291.29999999999995</v>
      </c>
      <c r="M40" s="165">
        <f t="shared" si="1"/>
        <v>0.6184713375796177</v>
      </c>
      <c r="N40" s="122"/>
    </row>
    <row r="41" spans="2:14" x14ac:dyDescent="0.25">
      <c r="B41" s="121"/>
      <c r="C41" s="159">
        <v>47</v>
      </c>
      <c r="D41" s="159">
        <v>16</v>
      </c>
      <c r="E41" s="159" t="s">
        <v>68</v>
      </c>
      <c r="F41" s="159" t="s">
        <v>526</v>
      </c>
      <c r="G41" s="160" t="s">
        <v>483</v>
      </c>
      <c r="H41" s="161" t="s">
        <v>1595</v>
      </c>
      <c r="I41" s="162">
        <v>391</v>
      </c>
      <c r="J41" s="159">
        <v>98.2</v>
      </c>
      <c r="K41" s="163">
        <v>97.4</v>
      </c>
      <c r="L41" s="164">
        <f t="shared" si="0"/>
        <v>195.60000000000002</v>
      </c>
      <c r="M41" s="165">
        <f t="shared" si="1"/>
        <v>0.50025575447570336</v>
      </c>
      <c r="N41" s="122"/>
    </row>
    <row r="42" spans="2:14" x14ac:dyDescent="0.25">
      <c r="B42" s="121"/>
      <c r="C42" s="160">
        <v>48</v>
      </c>
      <c r="D42" s="160">
        <v>21</v>
      </c>
      <c r="E42" s="160" t="s">
        <v>68</v>
      </c>
      <c r="F42" s="159" t="s">
        <v>526</v>
      </c>
      <c r="G42" s="160" t="s">
        <v>42</v>
      </c>
      <c r="H42" s="161" t="s">
        <v>1596</v>
      </c>
      <c r="I42" s="162">
        <v>370</v>
      </c>
      <c r="J42" s="159">
        <v>104.8</v>
      </c>
      <c r="K42" s="163">
        <v>104.7</v>
      </c>
      <c r="L42" s="164">
        <f t="shared" si="0"/>
        <v>209.5</v>
      </c>
      <c r="M42" s="165">
        <f t="shared" si="1"/>
        <v>0.56621621621621621</v>
      </c>
      <c r="N42" s="122"/>
    </row>
    <row r="43" spans="2:14" x14ac:dyDescent="0.25">
      <c r="B43" s="121"/>
      <c r="C43" s="159">
        <v>49</v>
      </c>
      <c r="D43" s="159">
        <v>6</v>
      </c>
      <c r="E43" s="159" t="s">
        <v>75</v>
      </c>
      <c r="F43" s="159" t="s">
        <v>526</v>
      </c>
      <c r="G43" s="160" t="s">
        <v>483</v>
      </c>
      <c r="H43" s="161" t="s">
        <v>1597</v>
      </c>
      <c r="I43" s="162">
        <v>361</v>
      </c>
      <c r="J43" s="159">
        <v>109.2</v>
      </c>
      <c r="K43" s="163">
        <v>109.5</v>
      </c>
      <c r="L43" s="164">
        <f t="shared" si="0"/>
        <v>218.7</v>
      </c>
      <c r="M43" s="165">
        <f t="shared" si="1"/>
        <v>0.60581717451523542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302"/>
      <c r="D66" s="302">
        <f>+COUNT($D$22:$D$65)</f>
        <v>21</v>
      </c>
      <c r="E66" s="302"/>
      <c r="F66" s="373"/>
      <c r="G66" s="373"/>
      <c r="H66" s="149"/>
      <c r="I66" s="148">
        <f>SUM($I$22:$I$65)</f>
        <v>7254</v>
      </c>
      <c r="J66" s="150">
        <f>SUM($J$22:$J$65)</f>
        <v>2011.2</v>
      </c>
      <c r="K66" s="151">
        <f>SUM($K$22:$K$65)</f>
        <v>2024.5000000000002</v>
      </c>
      <c r="L66" s="148">
        <f>SUM($L$22:$L$65)</f>
        <v>4035.6999999999985</v>
      </c>
      <c r="M66" s="178">
        <f t="shared" si="1"/>
        <v>0.55634132892197385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96.28</v>
      </c>
      <c r="I71" s="119">
        <v>92.279999999999987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18.18</v>
      </c>
      <c r="I72" s="119">
        <v>51.9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36</v>
      </c>
      <c r="I73" s="119">
        <v>165.2</v>
      </c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36</v>
      </c>
      <c r="I74" s="119">
        <v>35.24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22.86</v>
      </c>
      <c r="I75" s="119">
        <v>22.04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72</v>
      </c>
      <c r="I76" s="119">
        <v>30.2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144</v>
      </c>
      <c r="I77" s="119">
        <v>22.86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36</v>
      </c>
      <c r="I78" s="119">
        <v>24.02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36</v>
      </c>
      <c r="I79" s="119">
        <v>26.42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53.34</v>
      </c>
      <c r="I80" s="119">
        <v>50.559999999999995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36</v>
      </c>
      <c r="I81" s="119">
        <v>34.74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36</v>
      </c>
      <c r="I82" s="119">
        <v>11.34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22.66</v>
      </c>
      <c r="I83" s="119">
        <v>20.46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587.2600000000001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21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26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H71" sqref="H71:H83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0.55785997357992079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225.22666666666666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396</v>
      </c>
      <c r="F8" s="344"/>
      <c r="G8" s="344"/>
      <c r="H8" s="345"/>
      <c r="I8" s="146" t="s">
        <v>487</v>
      </c>
      <c r="J8" s="346" t="s">
        <v>847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69057</v>
      </c>
      <c r="F9" s="344"/>
      <c r="G9" s="344"/>
      <c r="H9" s="345"/>
      <c r="I9" s="146" t="s">
        <v>88</v>
      </c>
      <c r="J9" s="209" t="s">
        <v>1551</v>
      </c>
      <c r="K9" s="305" t="s">
        <v>490</v>
      </c>
      <c r="L9" s="369" t="s">
        <v>1552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303" t="s">
        <v>569</v>
      </c>
      <c r="E12" s="384">
        <v>46073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81</v>
      </c>
      <c r="F13" s="349"/>
      <c r="H13" s="117"/>
      <c r="I13" s="123"/>
      <c r="J13" s="215" t="s">
        <v>483</v>
      </c>
      <c r="K13" s="304">
        <f>+COUNTIF($G$22:$G$66,"VQ")*2</f>
        <v>12</v>
      </c>
      <c r="L13" s="304">
        <f>+SUMIF($G$23:$G$65,"VQ",$L$23:$L$65)</f>
        <v>1204.8999999999999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15</v>
      </c>
      <c r="F14" s="350"/>
      <c r="H14" s="117"/>
      <c r="I14" s="123"/>
      <c r="J14" s="215" t="s">
        <v>42</v>
      </c>
      <c r="K14" s="304">
        <f>+COUNTIF($G$22:$G$66,"NT")*2</f>
        <v>0</v>
      </c>
      <c r="L14" s="304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6056</v>
      </c>
      <c r="F15" s="350"/>
      <c r="H15" s="117"/>
      <c r="I15" s="123"/>
      <c r="J15" s="215" t="s">
        <v>484</v>
      </c>
      <c r="K15" s="304">
        <f>+COUNTIF($G$22:$G$66,"NO")*2</f>
        <v>0</v>
      </c>
      <c r="L15" s="304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3378.4</v>
      </c>
      <c r="F16" s="350"/>
      <c r="H16" s="117"/>
      <c r="I16" s="123"/>
      <c r="J16" s="215" t="s">
        <v>485</v>
      </c>
      <c r="K16" s="304">
        <f>+COUNTIF($G$22:$G$66,"TO")*2</f>
        <v>0</v>
      </c>
      <c r="L16" s="304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0.55785997357992079</v>
      </c>
      <c r="F17" s="350"/>
      <c r="G17" s="124"/>
      <c r="H17" s="125"/>
      <c r="I17" s="123"/>
      <c r="J17" s="215" t="s">
        <v>486</v>
      </c>
      <c r="K17" s="304">
        <f>+COUNTIF($G$22:$G$66,"VA")*2</f>
        <v>0</v>
      </c>
      <c r="L17" s="304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225.22666666666666</v>
      </c>
      <c r="F18" s="353"/>
      <c r="G18" s="124"/>
      <c r="H18" s="125"/>
      <c r="I18" s="123"/>
      <c r="J18" s="215" t="s">
        <v>44</v>
      </c>
      <c r="K18" s="304">
        <f>+COUNTIF($G$22:$G$66,"MEJ")*2</f>
        <v>18</v>
      </c>
      <c r="L18" s="304">
        <f>+SUMIF($G$23:$G$65,"MEJ",$L$23:$L$65)</f>
        <v>2173.5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50</v>
      </c>
      <c r="D23" s="152">
        <v>5</v>
      </c>
      <c r="E23" s="152" t="s">
        <v>67</v>
      </c>
      <c r="F23" s="152" t="s">
        <v>526</v>
      </c>
      <c r="G23" s="153" t="s">
        <v>44</v>
      </c>
      <c r="H23" s="154" t="s">
        <v>1542</v>
      </c>
      <c r="I23" s="155">
        <v>402</v>
      </c>
      <c r="J23" s="152">
        <v>118.2</v>
      </c>
      <c r="K23" s="156">
        <v>120</v>
      </c>
      <c r="L23" s="157">
        <f t="shared" ref="L23:L65" si="0">+J23+K23</f>
        <v>238.2</v>
      </c>
      <c r="M23" s="158">
        <f t="shared" ref="M23:M66" si="1">+L23/I23</f>
        <v>0.59253731343283578</v>
      </c>
      <c r="N23" s="122"/>
    </row>
    <row r="24" spans="2:14" x14ac:dyDescent="0.25">
      <c r="B24" s="121"/>
      <c r="C24" s="159">
        <v>51</v>
      </c>
      <c r="D24" s="159">
        <v>4</v>
      </c>
      <c r="E24" s="159" t="s">
        <v>67</v>
      </c>
      <c r="F24" s="159" t="s">
        <v>526</v>
      </c>
      <c r="G24" s="160" t="s">
        <v>483</v>
      </c>
      <c r="H24" s="161" t="s">
        <v>1361</v>
      </c>
      <c r="I24" s="162">
        <v>371</v>
      </c>
      <c r="J24" s="159">
        <v>94.7</v>
      </c>
      <c r="K24" s="163">
        <v>95.3</v>
      </c>
      <c r="L24" s="164">
        <f t="shared" si="0"/>
        <v>190</v>
      </c>
      <c r="M24" s="165">
        <f t="shared" si="1"/>
        <v>0.5121293800539084</v>
      </c>
      <c r="N24" s="122"/>
    </row>
    <row r="25" spans="2:14" x14ac:dyDescent="0.25">
      <c r="B25" s="121"/>
      <c r="C25" s="159">
        <v>52</v>
      </c>
      <c r="D25" s="159">
        <v>3</v>
      </c>
      <c r="E25" s="159" t="s">
        <v>67</v>
      </c>
      <c r="F25" s="159" t="s">
        <v>526</v>
      </c>
      <c r="G25" s="160" t="s">
        <v>483</v>
      </c>
      <c r="H25" s="161" t="s">
        <v>1251</v>
      </c>
      <c r="I25" s="162">
        <v>373</v>
      </c>
      <c r="J25" s="159">
        <v>102.5</v>
      </c>
      <c r="K25" s="163">
        <v>103.3</v>
      </c>
      <c r="L25" s="164">
        <f t="shared" si="0"/>
        <v>205.8</v>
      </c>
      <c r="M25" s="165">
        <f t="shared" si="1"/>
        <v>0.55174262734584456</v>
      </c>
      <c r="N25" s="122"/>
    </row>
    <row r="26" spans="2:14" x14ac:dyDescent="0.25">
      <c r="B26" s="121"/>
      <c r="C26" s="159">
        <v>53</v>
      </c>
      <c r="D26" s="159">
        <v>2</v>
      </c>
      <c r="E26" s="159" t="s">
        <v>75</v>
      </c>
      <c r="F26" s="159" t="s">
        <v>526</v>
      </c>
      <c r="G26" s="160" t="s">
        <v>44</v>
      </c>
      <c r="H26" s="161" t="s">
        <v>1543</v>
      </c>
      <c r="I26" s="162">
        <v>409</v>
      </c>
      <c r="J26" s="159">
        <v>116</v>
      </c>
      <c r="K26" s="163">
        <v>118</v>
      </c>
      <c r="L26" s="164">
        <f t="shared" si="0"/>
        <v>234</v>
      </c>
      <c r="M26" s="165">
        <f t="shared" si="1"/>
        <v>0.57212713936430315</v>
      </c>
      <c r="N26" s="122"/>
    </row>
    <row r="27" spans="2:14" x14ac:dyDescent="0.25">
      <c r="B27" s="121"/>
      <c r="C27" s="159">
        <v>54</v>
      </c>
      <c r="D27" s="159">
        <v>6</v>
      </c>
      <c r="E27" s="159" t="s">
        <v>67</v>
      </c>
      <c r="F27" s="159" t="s">
        <v>526</v>
      </c>
      <c r="G27" s="160" t="s">
        <v>483</v>
      </c>
      <c r="H27" s="161" t="s">
        <v>775</v>
      </c>
      <c r="I27" s="162">
        <v>379</v>
      </c>
      <c r="J27" s="159">
        <v>98.2</v>
      </c>
      <c r="K27" s="163">
        <v>97.5</v>
      </c>
      <c r="L27" s="164">
        <f t="shared" si="0"/>
        <v>195.7</v>
      </c>
      <c r="M27" s="165">
        <f t="shared" si="1"/>
        <v>0.51635883905013191</v>
      </c>
      <c r="N27" s="122"/>
    </row>
    <row r="28" spans="2:14" x14ac:dyDescent="0.25">
      <c r="B28" s="121"/>
      <c r="C28" s="159">
        <v>55</v>
      </c>
      <c r="D28" s="159">
        <v>13</v>
      </c>
      <c r="E28" s="159" t="s">
        <v>75</v>
      </c>
      <c r="F28" s="159" t="s">
        <v>526</v>
      </c>
      <c r="G28" s="160" t="s">
        <v>44</v>
      </c>
      <c r="H28" s="161" t="s">
        <v>1544</v>
      </c>
      <c r="I28" s="162">
        <v>422</v>
      </c>
      <c r="J28" s="159">
        <v>124.4</v>
      </c>
      <c r="K28" s="163">
        <v>127.5</v>
      </c>
      <c r="L28" s="164">
        <f t="shared" si="0"/>
        <v>251.9</v>
      </c>
      <c r="M28" s="165">
        <f t="shared" si="1"/>
        <v>0.59691943127962088</v>
      </c>
      <c r="N28" s="122"/>
    </row>
    <row r="29" spans="2:14" x14ac:dyDescent="0.25">
      <c r="B29" s="121"/>
      <c r="C29" s="160">
        <v>56</v>
      </c>
      <c r="D29" s="160">
        <v>9</v>
      </c>
      <c r="E29" s="160" t="s">
        <v>68</v>
      </c>
      <c r="F29" s="160" t="s">
        <v>526</v>
      </c>
      <c r="G29" s="160" t="s">
        <v>44</v>
      </c>
      <c r="H29" s="161" t="s">
        <v>1366</v>
      </c>
      <c r="I29" s="162">
        <v>391</v>
      </c>
      <c r="J29" s="159">
        <v>108.8</v>
      </c>
      <c r="K29" s="163">
        <v>107.6</v>
      </c>
      <c r="L29" s="164">
        <f t="shared" si="0"/>
        <v>216.39999999999998</v>
      </c>
      <c r="M29" s="165">
        <f t="shared" si="1"/>
        <v>0.55345268542199477</v>
      </c>
      <c r="N29" s="122"/>
    </row>
    <row r="30" spans="2:14" x14ac:dyDescent="0.25">
      <c r="B30" s="121"/>
      <c r="C30" s="160">
        <v>57</v>
      </c>
      <c r="D30" s="160">
        <v>11</v>
      </c>
      <c r="E30" s="160" t="s">
        <v>67</v>
      </c>
      <c r="F30" s="160" t="s">
        <v>526</v>
      </c>
      <c r="G30" s="160" t="s">
        <v>44</v>
      </c>
      <c r="H30" s="161" t="s">
        <v>1545</v>
      </c>
      <c r="I30" s="162">
        <v>401</v>
      </c>
      <c r="J30" s="159">
        <v>118.9</v>
      </c>
      <c r="K30" s="163">
        <v>118.3</v>
      </c>
      <c r="L30" s="164">
        <f t="shared" si="0"/>
        <v>237.2</v>
      </c>
      <c r="M30" s="165">
        <f t="shared" si="1"/>
        <v>0.59152119700748129</v>
      </c>
      <c r="N30" s="122"/>
    </row>
    <row r="31" spans="2:14" x14ac:dyDescent="0.25">
      <c r="B31" s="121"/>
      <c r="C31" s="159">
        <v>58</v>
      </c>
      <c r="D31" s="159">
        <v>1</v>
      </c>
      <c r="E31" s="159" t="s">
        <v>75</v>
      </c>
      <c r="F31" s="159" t="s">
        <v>526</v>
      </c>
      <c r="G31" s="160" t="s">
        <v>44</v>
      </c>
      <c r="H31" s="161" t="s">
        <v>1546</v>
      </c>
      <c r="I31" s="162">
        <v>536</v>
      </c>
      <c r="J31" s="159">
        <v>148.5</v>
      </c>
      <c r="K31" s="163">
        <v>150.69999999999999</v>
      </c>
      <c r="L31" s="164">
        <f t="shared" si="0"/>
        <v>299.2</v>
      </c>
      <c r="M31" s="165">
        <f t="shared" si="1"/>
        <v>0.55820895522388059</v>
      </c>
      <c r="N31" s="122"/>
    </row>
    <row r="32" spans="2:14" x14ac:dyDescent="0.25">
      <c r="B32" s="121"/>
      <c r="C32" s="159">
        <v>59</v>
      </c>
      <c r="D32" s="159">
        <v>12</v>
      </c>
      <c r="E32" s="159" t="s">
        <v>68</v>
      </c>
      <c r="F32" s="159" t="s">
        <v>526</v>
      </c>
      <c r="G32" s="160" t="s">
        <v>483</v>
      </c>
      <c r="H32" s="161" t="s">
        <v>465</v>
      </c>
      <c r="I32" s="162">
        <v>381</v>
      </c>
      <c r="J32" s="159">
        <v>98.4</v>
      </c>
      <c r="K32" s="163">
        <v>100.1</v>
      </c>
      <c r="L32" s="164">
        <f t="shared" si="0"/>
        <v>198.5</v>
      </c>
      <c r="M32" s="165">
        <f t="shared" si="1"/>
        <v>0.52099737532808399</v>
      </c>
      <c r="N32" s="122"/>
    </row>
    <row r="33" spans="2:14" x14ac:dyDescent="0.25">
      <c r="B33" s="121"/>
      <c r="C33" s="160">
        <v>60</v>
      </c>
      <c r="D33" s="160">
        <v>8</v>
      </c>
      <c r="E33" s="160" t="s">
        <v>75</v>
      </c>
      <c r="F33" s="160" t="s">
        <v>526</v>
      </c>
      <c r="G33" s="160" t="s">
        <v>44</v>
      </c>
      <c r="H33" s="161" t="s">
        <v>1547</v>
      </c>
      <c r="I33" s="162">
        <v>410</v>
      </c>
      <c r="J33" s="159">
        <v>118.3</v>
      </c>
      <c r="K33" s="163">
        <v>117.9</v>
      </c>
      <c r="L33" s="164">
        <f t="shared" si="0"/>
        <v>236.2</v>
      </c>
      <c r="M33" s="165">
        <f t="shared" si="1"/>
        <v>0.57609756097560971</v>
      </c>
      <c r="N33" s="122"/>
    </row>
    <row r="34" spans="2:14" x14ac:dyDescent="0.25">
      <c r="B34" s="121"/>
      <c r="C34" s="159">
        <v>61</v>
      </c>
      <c r="D34" s="159">
        <v>10</v>
      </c>
      <c r="E34" s="159" t="s">
        <v>67</v>
      </c>
      <c r="F34" s="159" t="s">
        <v>526</v>
      </c>
      <c r="G34" s="160" t="s">
        <v>483</v>
      </c>
      <c r="H34" s="161" t="s">
        <v>1548</v>
      </c>
      <c r="I34" s="162">
        <v>369</v>
      </c>
      <c r="J34" s="159">
        <v>97.4</v>
      </c>
      <c r="K34" s="166">
        <v>96.9</v>
      </c>
      <c r="L34" s="164">
        <f t="shared" si="0"/>
        <v>194.3</v>
      </c>
      <c r="M34" s="167">
        <f t="shared" si="1"/>
        <v>0.52655826558265584</v>
      </c>
      <c r="N34" s="122"/>
    </row>
    <row r="35" spans="2:14" x14ac:dyDescent="0.25">
      <c r="B35" s="121"/>
      <c r="C35" s="159">
        <v>62</v>
      </c>
      <c r="D35" s="159">
        <v>7</v>
      </c>
      <c r="E35" s="159" t="s">
        <v>75</v>
      </c>
      <c r="F35" s="159" t="s">
        <v>526</v>
      </c>
      <c r="G35" s="160" t="s">
        <v>44</v>
      </c>
      <c r="H35" s="161" t="s">
        <v>835</v>
      </c>
      <c r="I35" s="162">
        <v>408</v>
      </c>
      <c r="J35" s="159">
        <v>116</v>
      </c>
      <c r="K35" s="163">
        <v>116.5</v>
      </c>
      <c r="L35" s="164">
        <f t="shared" si="0"/>
        <v>232.5</v>
      </c>
      <c r="M35" s="165">
        <f t="shared" si="1"/>
        <v>0.56985294117647056</v>
      </c>
      <c r="N35" s="122"/>
    </row>
    <row r="36" spans="2:14" x14ac:dyDescent="0.25">
      <c r="B36" s="121"/>
      <c r="C36" s="159">
        <v>63</v>
      </c>
      <c r="D36" s="159">
        <v>15</v>
      </c>
      <c r="E36" s="159" t="s">
        <v>75</v>
      </c>
      <c r="F36" s="159" t="s">
        <v>526</v>
      </c>
      <c r="G36" s="160" t="s">
        <v>483</v>
      </c>
      <c r="H36" s="161" t="s">
        <v>1549</v>
      </c>
      <c r="I36" s="162">
        <v>393</v>
      </c>
      <c r="J36" s="159">
        <v>111</v>
      </c>
      <c r="K36" s="163">
        <v>109.6</v>
      </c>
      <c r="L36" s="164">
        <f t="shared" si="0"/>
        <v>220.6</v>
      </c>
      <c r="M36" s="165">
        <f t="shared" si="1"/>
        <v>0.56132315521628495</v>
      </c>
      <c r="N36" s="122"/>
    </row>
    <row r="37" spans="2:14" x14ac:dyDescent="0.25">
      <c r="B37" s="121"/>
      <c r="C37" s="159">
        <v>64</v>
      </c>
      <c r="D37" s="159">
        <v>14</v>
      </c>
      <c r="E37" s="159" t="s">
        <v>67</v>
      </c>
      <c r="F37" s="159" t="s">
        <v>526</v>
      </c>
      <c r="G37" s="160" t="s">
        <v>44</v>
      </c>
      <c r="H37" s="161" t="s">
        <v>1550</v>
      </c>
      <c r="I37" s="162">
        <v>411</v>
      </c>
      <c r="J37" s="159">
        <v>114.3</v>
      </c>
      <c r="K37" s="163">
        <v>113.6</v>
      </c>
      <c r="L37" s="164">
        <f t="shared" si="0"/>
        <v>227.89999999999998</v>
      </c>
      <c r="M37" s="165">
        <f t="shared" si="1"/>
        <v>0.55450121654501217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302"/>
      <c r="D66" s="302">
        <f>+COUNT($D$22:$D$65)</f>
        <v>15</v>
      </c>
      <c r="E66" s="302"/>
      <c r="F66" s="373"/>
      <c r="G66" s="373"/>
      <c r="H66" s="149"/>
      <c r="I66" s="148">
        <f>SUM($I$22:$I$65)</f>
        <v>6056</v>
      </c>
      <c r="J66" s="150">
        <f>SUM($J$22:$J$65)</f>
        <v>1685.6</v>
      </c>
      <c r="K66" s="151">
        <f>SUM($K$22:$K$65)</f>
        <v>1692.8</v>
      </c>
      <c r="L66" s="148">
        <f>SUM($L$22:$L$65)</f>
        <v>3378.4</v>
      </c>
      <c r="M66" s="178">
        <f t="shared" si="1"/>
        <v>0.55785997357992079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/>
      <c r="I71" s="119"/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/>
      <c r="I72" s="119"/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/>
      <c r="I73" s="119"/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/>
      <c r="I74" s="119"/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/>
      <c r="I75" s="119"/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/>
      <c r="I76" s="119"/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/>
      <c r="I77" s="119"/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/>
      <c r="I78" s="119"/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/>
      <c r="I79" s="119"/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/>
      <c r="I80" s="119"/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/>
      <c r="I81" s="119"/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/>
      <c r="I82" s="119"/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/>
      <c r="I83" s="119"/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0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15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25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E69" zoomScale="90" zoomScaleNormal="90" workbookViewId="0">
      <selection activeCell="K76" sqref="K76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0.55029312488896787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206.50666666666666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1561</v>
      </c>
      <c r="F8" s="344"/>
      <c r="G8" s="344"/>
      <c r="H8" s="345"/>
      <c r="I8" s="146" t="s">
        <v>487</v>
      </c>
      <c r="J8" s="346" t="s">
        <v>1562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40398</v>
      </c>
      <c r="F9" s="344"/>
      <c r="G9" s="344"/>
      <c r="H9" s="345"/>
      <c r="I9" s="146" t="s">
        <v>88</v>
      </c>
      <c r="J9" s="209" t="s">
        <v>1563</v>
      </c>
      <c r="K9" s="305" t="s">
        <v>490</v>
      </c>
      <c r="L9" s="369" t="s">
        <v>1564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303" t="s">
        <v>569</v>
      </c>
      <c r="E12" s="384">
        <v>46073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82</v>
      </c>
      <c r="F13" s="349"/>
      <c r="H13" s="117"/>
      <c r="I13" s="123"/>
      <c r="J13" s="215" t="s">
        <v>483</v>
      </c>
      <c r="K13" s="304">
        <f>+COUNTIF($G$22:$G$66,"VQ")*2</f>
        <v>10</v>
      </c>
      <c r="L13" s="304">
        <f>+SUMIF($G$23:$G$65,"VQ",$L$23:$L$65)</f>
        <v>928.3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15</v>
      </c>
      <c r="F14" s="350"/>
      <c r="H14" s="117"/>
      <c r="I14" s="123"/>
      <c r="J14" s="215" t="s">
        <v>42</v>
      </c>
      <c r="K14" s="304">
        <f>+COUNTIF($G$22:$G$66,"NT")*2</f>
        <v>14</v>
      </c>
      <c r="L14" s="304">
        <f>+SUMIF($G$23:$G$65,"NT",$L$23:$L$65)</f>
        <v>1450.3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5629</v>
      </c>
      <c r="F15" s="350"/>
      <c r="H15" s="117"/>
      <c r="I15" s="123"/>
      <c r="J15" s="215" t="s">
        <v>484</v>
      </c>
      <c r="K15" s="304">
        <f>+COUNTIF($G$22:$G$66,"NO")*2</f>
        <v>0</v>
      </c>
      <c r="L15" s="304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3097.6</v>
      </c>
      <c r="F16" s="350"/>
      <c r="H16" s="117"/>
      <c r="I16" s="123"/>
      <c r="J16" s="215" t="s">
        <v>485</v>
      </c>
      <c r="K16" s="304">
        <f>+COUNTIF($G$22:$G$66,"TO")*2</f>
        <v>0</v>
      </c>
      <c r="L16" s="304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0.55029312488896787</v>
      </c>
      <c r="F17" s="350"/>
      <c r="G17" s="124"/>
      <c r="H17" s="125"/>
      <c r="I17" s="123"/>
      <c r="J17" s="215" t="s">
        <v>486</v>
      </c>
      <c r="K17" s="304">
        <f>+COUNTIF($G$22:$G$66,"VA")*2</f>
        <v>0</v>
      </c>
      <c r="L17" s="304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206.50666666666666</v>
      </c>
      <c r="F18" s="353"/>
      <c r="G18" s="124"/>
      <c r="H18" s="125"/>
      <c r="I18" s="123"/>
      <c r="J18" s="215" t="s">
        <v>44</v>
      </c>
      <c r="K18" s="304">
        <f>+COUNTIF($G$22:$G$66,"MEJ")*2</f>
        <v>6</v>
      </c>
      <c r="L18" s="304">
        <f>+SUMIF($G$23:$G$65,"MEJ",$L$23:$L$65)</f>
        <v>719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65</v>
      </c>
      <c r="D23" s="152">
        <v>2</v>
      </c>
      <c r="E23" s="152" t="s">
        <v>68</v>
      </c>
      <c r="F23" s="152" t="s">
        <v>526</v>
      </c>
      <c r="G23" s="153" t="s">
        <v>483</v>
      </c>
      <c r="H23" s="154" t="s">
        <v>1553</v>
      </c>
      <c r="I23" s="155">
        <v>341</v>
      </c>
      <c r="J23" s="152">
        <v>87.8</v>
      </c>
      <c r="K23" s="156">
        <v>86.6</v>
      </c>
      <c r="L23" s="157">
        <f t="shared" ref="L23:L65" si="0">+J23+K23</f>
        <v>174.39999999999998</v>
      </c>
      <c r="M23" s="158">
        <f t="shared" ref="M23:M66" si="1">+L23/I23</f>
        <v>0.51143695014662749</v>
      </c>
      <c r="N23" s="122"/>
    </row>
    <row r="24" spans="2:14" x14ac:dyDescent="0.25">
      <c r="B24" s="121"/>
      <c r="C24" s="159">
        <v>66</v>
      </c>
      <c r="D24" s="159">
        <v>5</v>
      </c>
      <c r="E24" s="159" t="s">
        <v>67</v>
      </c>
      <c r="F24" s="159" t="s">
        <v>526</v>
      </c>
      <c r="G24" s="160" t="s">
        <v>44</v>
      </c>
      <c r="H24" s="161" t="s">
        <v>1554</v>
      </c>
      <c r="I24" s="162">
        <v>412</v>
      </c>
      <c r="J24" s="159">
        <v>115.4</v>
      </c>
      <c r="K24" s="163">
        <v>115</v>
      </c>
      <c r="L24" s="164">
        <f t="shared" si="0"/>
        <v>230.4</v>
      </c>
      <c r="M24" s="165">
        <f t="shared" si="1"/>
        <v>0.5592233009708738</v>
      </c>
      <c r="N24" s="122"/>
    </row>
    <row r="25" spans="2:14" x14ac:dyDescent="0.25">
      <c r="B25" s="121"/>
      <c r="C25" s="159">
        <v>67</v>
      </c>
      <c r="D25" s="159">
        <v>8</v>
      </c>
      <c r="E25" s="159" t="s">
        <v>68</v>
      </c>
      <c r="F25" s="159" t="s">
        <v>526</v>
      </c>
      <c r="G25" s="160" t="s">
        <v>44</v>
      </c>
      <c r="H25" s="161" t="s">
        <v>41</v>
      </c>
      <c r="I25" s="162">
        <v>435</v>
      </c>
      <c r="J25" s="159">
        <v>127.2</v>
      </c>
      <c r="K25" s="163">
        <v>130.19999999999999</v>
      </c>
      <c r="L25" s="164">
        <f t="shared" si="0"/>
        <v>257.39999999999998</v>
      </c>
      <c r="M25" s="165">
        <f t="shared" si="1"/>
        <v>0.5917241379310344</v>
      </c>
      <c r="N25" s="122"/>
    </row>
    <row r="26" spans="2:14" x14ac:dyDescent="0.25">
      <c r="B26" s="121"/>
      <c r="C26" s="159">
        <v>68</v>
      </c>
      <c r="D26" s="159">
        <v>11</v>
      </c>
      <c r="E26" s="159" t="s">
        <v>68</v>
      </c>
      <c r="F26" s="159" t="s">
        <v>526</v>
      </c>
      <c r="G26" s="160" t="s">
        <v>483</v>
      </c>
      <c r="H26" s="161" t="s">
        <v>1555</v>
      </c>
      <c r="I26" s="162">
        <v>420</v>
      </c>
      <c r="J26" s="159">
        <v>117.3</v>
      </c>
      <c r="K26" s="163">
        <v>118.4</v>
      </c>
      <c r="L26" s="164">
        <f t="shared" si="0"/>
        <v>235.7</v>
      </c>
      <c r="M26" s="165">
        <f t="shared" si="1"/>
        <v>0.56119047619047613</v>
      </c>
      <c r="N26" s="122"/>
    </row>
    <row r="27" spans="2:14" x14ac:dyDescent="0.25">
      <c r="B27" s="121"/>
      <c r="C27" s="159">
        <v>69</v>
      </c>
      <c r="D27" s="159">
        <v>3</v>
      </c>
      <c r="E27" s="159" t="s">
        <v>67</v>
      </c>
      <c r="F27" s="159" t="s">
        <v>526</v>
      </c>
      <c r="G27" s="160" t="s">
        <v>42</v>
      </c>
      <c r="H27" s="161" t="s">
        <v>57</v>
      </c>
      <c r="I27" s="162">
        <v>383</v>
      </c>
      <c r="J27" s="159">
        <v>106.3</v>
      </c>
      <c r="K27" s="163">
        <v>104.9</v>
      </c>
      <c r="L27" s="164">
        <f t="shared" si="0"/>
        <v>211.2</v>
      </c>
      <c r="M27" s="165">
        <f t="shared" si="1"/>
        <v>0.55143603133159269</v>
      </c>
      <c r="N27" s="122"/>
    </row>
    <row r="28" spans="2:14" x14ac:dyDescent="0.25">
      <c r="B28" s="121"/>
      <c r="C28" s="159">
        <v>70</v>
      </c>
      <c r="D28" s="159">
        <v>4</v>
      </c>
      <c r="E28" s="159" t="s">
        <v>67</v>
      </c>
      <c r="F28" s="159" t="s">
        <v>526</v>
      </c>
      <c r="G28" s="160" t="s">
        <v>42</v>
      </c>
      <c r="H28" s="161" t="s">
        <v>1556</v>
      </c>
      <c r="I28" s="162">
        <v>393</v>
      </c>
      <c r="J28" s="159">
        <v>108.7</v>
      </c>
      <c r="K28" s="163">
        <v>106.9</v>
      </c>
      <c r="L28" s="164">
        <f t="shared" si="0"/>
        <v>215.60000000000002</v>
      </c>
      <c r="M28" s="165">
        <f t="shared" si="1"/>
        <v>0.54860050890585244</v>
      </c>
      <c r="N28" s="122"/>
    </row>
    <row r="29" spans="2:14" x14ac:dyDescent="0.25">
      <c r="B29" s="121"/>
      <c r="C29" s="160">
        <v>71</v>
      </c>
      <c r="D29" s="160">
        <v>7</v>
      </c>
      <c r="E29" s="160" t="s">
        <v>67</v>
      </c>
      <c r="F29" s="159" t="s">
        <v>526</v>
      </c>
      <c r="G29" s="160" t="s">
        <v>483</v>
      </c>
      <c r="H29" s="161" t="s">
        <v>1557</v>
      </c>
      <c r="I29" s="162">
        <v>343</v>
      </c>
      <c r="J29" s="159">
        <v>90.6</v>
      </c>
      <c r="K29" s="163">
        <v>88.8</v>
      </c>
      <c r="L29" s="164">
        <f t="shared" si="0"/>
        <v>179.39999999999998</v>
      </c>
      <c r="M29" s="165">
        <f t="shared" si="1"/>
        <v>0.52303206997084539</v>
      </c>
      <c r="N29" s="122"/>
    </row>
    <row r="30" spans="2:14" x14ac:dyDescent="0.25">
      <c r="B30" s="121"/>
      <c r="C30" s="160">
        <v>72</v>
      </c>
      <c r="D30" s="160">
        <v>6</v>
      </c>
      <c r="E30" s="160" t="s">
        <v>67</v>
      </c>
      <c r="F30" s="159" t="s">
        <v>526</v>
      </c>
      <c r="G30" s="160" t="s">
        <v>483</v>
      </c>
      <c r="H30" s="161" t="s">
        <v>1554</v>
      </c>
      <c r="I30" s="162">
        <v>352</v>
      </c>
      <c r="J30" s="159">
        <v>93.5</v>
      </c>
      <c r="K30" s="163">
        <v>92.8</v>
      </c>
      <c r="L30" s="164">
        <f t="shared" si="0"/>
        <v>186.3</v>
      </c>
      <c r="M30" s="165">
        <f t="shared" si="1"/>
        <v>0.52926136363636367</v>
      </c>
      <c r="N30" s="122"/>
    </row>
    <row r="31" spans="2:14" x14ac:dyDescent="0.25">
      <c r="B31" s="121"/>
      <c r="C31" s="159">
        <v>73</v>
      </c>
      <c r="D31" s="159">
        <v>1</v>
      </c>
      <c r="E31" s="159" t="s">
        <v>68</v>
      </c>
      <c r="F31" s="159" t="s">
        <v>526</v>
      </c>
      <c r="G31" s="160" t="s">
        <v>44</v>
      </c>
      <c r="H31" s="161" t="s">
        <v>309</v>
      </c>
      <c r="I31" s="162">
        <v>410</v>
      </c>
      <c r="J31" s="159">
        <v>115.3</v>
      </c>
      <c r="K31" s="163">
        <v>115.9</v>
      </c>
      <c r="L31" s="164">
        <f t="shared" si="0"/>
        <v>231.2</v>
      </c>
      <c r="M31" s="165">
        <f t="shared" si="1"/>
        <v>0.56390243902439019</v>
      </c>
      <c r="N31" s="122"/>
    </row>
    <row r="32" spans="2:14" x14ac:dyDescent="0.25">
      <c r="B32" s="121"/>
      <c r="C32" s="159">
        <v>74</v>
      </c>
      <c r="D32" s="159">
        <v>14</v>
      </c>
      <c r="E32" s="159" t="s">
        <v>67</v>
      </c>
      <c r="F32" s="159" t="s">
        <v>526</v>
      </c>
      <c r="G32" s="160" t="s">
        <v>483</v>
      </c>
      <c r="H32" s="161" t="s">
        <v>1558</v>
      </c>
      <c r="I32" s="162">
        <v>290</v>
      </c>
      <c r="J32" s="159">
        <v>76.5</v>
      </c>
      <c r="K32" s="163">
        <v>76</v>
      </c>
      <c r="L32" s="164">
        <f t="shared" si="0"/>
        <v>152.5</v>
      </c>
      <c r="M32" s="165">
        <f t="shared" si="1"/>
        <v>0.52586206896551724</v>
      </c>
      <c r="N32" s="122"/>
    </row>
    <row r="33" spans="2:14" x14ac:dyDescent="0.25">
      <c r="B33" s="121"/>
      <c r="C33" s="160">
        <v>75</v>
      </c>
      <c r="D33" s="160">
        <v>10</v>
      </c>
      <c r="E33" s="160" t="s">
        <v>67</v>
      </c>
      <c r="F33" s="159" t="s">
        <v>526</v>
      </c>
      <c r="G33" s="160" t="s">
        <v>42</v>
      </c>
      <c r="H33" s="161" t="s">
        <v>1559</v>
      </c>
      <c r="I33" s="162">
        <v>351</v>
      </c>
      <c r="J33" s="159">
        <v>98.1</v>
      </c>
      <c r="K33" s="163">
        <v>96.3</v>
      </c>
      <c r="L33" s="164">
        <f t="shared" si="0"/>
        <v>194.39999999999998</v>
      </c>
      <c r="M33" s="165">
        <f t="shared" si="1"/>
        <v>0.55384615384615377</v>
      </c>
      <c r="N33" s="122"/>
    </row>
    <row r="34" spans="2:14" x14ac:dyDescent="0.25">
      <c r="B34" s="121"/>
      <c r="C34" s="159">
        <v>76</v>
      </c>
      <c r="D34" s="159">
        <v>12</v>
      </c>
      <c r="E34" s="159" t="s">
        <v>75</v>
      </c>
      <c r="F34" s="159" t="s">
        <v>526</v>
      </c>
      <c r="G34" s="160" t="s">
        <v>42</v>
      </c>
      <c r="H34" s="161" t="s">
        <v>41</v>
      </c>
      <c r="I34" s="162">
        <v>318</v>
      </c>
      <c r="J34" s="159">
        <v>83.6</v>
      </c>
      <c r="K34" s="166">
        <v>83.7</v>
      </c>
      <c r="L34" s="164">
        <f t="shared" si="0"/>
        <v>167.3</v>
      </c>
      <c r="M34" s="167">
        <f t="shared" si="1"/>
        <v>0.52610062893081766</v>
      </c>
      <c r="N34" s="122"/>
    </row>
    <row r="35" spans="2:14" x14ac:dyDescent="0.25">
      <c r="B35" s="121"/>
      <c r="C35" s="159">
        <v>77</v>
      </c>
      <c r="D35" s="159">
        <v>13</v>
      </c>
      <c r="E35" s="159" t="s">
        <v>67</v>
      </c>
      <c r="F35" s="159" t="s">
        <v>526</v>
      </c>
      <c r="G35" s="160" t="s">
        <v>42</v>
      </c>
      <c r="H35" s="161" t="s">
        <v>535</v>
      </c>
      <c r="I35" s="162">
        <v>391</v>
      </c>
      <c r="J35" s="159">
        <v>114.2</v>
      </c>
      <c r="K35" s="163">
        <v>115.4</v>
      </c>
      <c r="L35" s="164">
        <f t="shared" si="0"/>
        <v>229.60000000000002</v>
      </c>
      <c r="M35" s="165">
        <f t="shared" si="1"/>
        <v>0.58721227621483385</v>
      </c>
      <c r="N35" s="122"/>
    </row>
    <row r="36" spans="2:14" x14ac:dyDescent="0.25">
      <c r="B36" s="121"/>
      <c r="C36" s="159">
        <v>78</v>
      </c>
      <c r="D36" s="159">
        <v>9</v>
      </c>
      <c r="E36" s="159" t="s">
        <v>68</v>
      </c>
      <c r="F36" s="159" t="s">
        <v>526</v>
      </c>
      <c r="G36" s="160" t="s">
        <v>42</v>
      </c>
      <c r="H36" s="161" t="s">
        <v>41</v>
      </c>
      <c r="I36" s="162">
        <v>379</v>
      </c>
      <c r="J36" s="159">
        <v>112.2</v>
      </c>
      <c r="K36" s="163">
        <v>113.3</v>
      </c>
      <c r="L36" s="164">
        <f t="shared" si="0"/>
        <v>225.5</v>
      </c>
      <c r="M36" s="165">
        <f t="shared" si="1"/>
        <v>0.5949868073878628</v>
      </c>
      <c r="N36" s="122"/>
    </row>
    <row r="37" spans="2:14" x14ac:dyDescent="0.25">
      <c r="B37" s="121"/>
      <c r="C37" s="159">
        <v>78</v>
      </c>
      <c r="D37" s="159">
        <v>15</v>
      </c>
      <c r="E37" s="159" t="s">
        <v>67</v>
      </c>
      <c r="F37" s="159" t="s">
        <v>526</v>
      </c>
      <c r="G37" s="160" t="s">
        <v>42</v>
      </c>
      <c r="H37" s="161" t="s">
        <v>1560</v>
      </c>
      <c r="I37" s="162">
        <v>411</v>
      </c>
      <c r="J37" s="159">
        <v>103.2</v>
      </c>
      <c r="K37" s="163">
        <v>103.5</v>
      </c>
      <c r="L37" s="164">
        <f t="shared" si="0"/>
        <v>206.7</v>
      </c>
      <c r="M37" s="165">
        <f t="shared" si="1"/>
        <v>0.50291970802919705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302"/>
      <c r="D66" s="302">
        <f>+COUNT($D$22:$D$65)</f>
        <v>15</v>
      </c>
      <c r="E66" s="302"/>
      <c r="F66" s="373"/>
      <c r="G66" s="373"/>
      <c r="H66" s="149"/>
      <c r="I66" s="148">
        <f>SUM($I$22:$I$65)</f>
        <v>5629</v>
      </c>
      <c r="J66" s="150">
        <f>SUM($J$22:$J$65)</f>
        <v>1549.8999999999999</v>
      </c>
      <c r="K66" s="151">
        <f>SUM($K$22:$K$65)</f>
        <v>1547.6999999999998</v>
      </c>
      <c r="L66" s="148">
        <f>SUM($L$22:$L$65)</f>
        <v>3097.6</v>
      </c>
      <c r="M66" s="178">
        <f t="shared" si="1"/>
        <v>0.55029312488896787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60.92</v>
      </c>
      <c r="I71" s="119">
        <v>58.1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30</v>
      </c>
      <c r="I72" s="119">
        <v>39.82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28</v>
      </c>
      <c r="I73" s="119">
        <v>117.98</v>
      </c>
      <c r="J73" s="181">
        <v>2</v>
      </c>
      <c r="K73" s="185">
        <v>9.5</v>
      </c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30</v>
      </c>
      <c r="I74" s="119">
        <v>33.08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18.98</v>
      </c>
      <c r="I75" s="119">
        <v>18.100000000000001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60</v>
      </c>
      <c r="I76" s="119">
        <v>22.94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90</v>
      </c>
      <c r="I77" s="119">
        <v>18.760000000000002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30</v>
      </c>
      <c r="I78" s="119">
        <v>21.96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30</v>
      </c>
      <c r="I79" s="119">
        <v>22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40.36</v>
      </c>
      <c r="I80" s="119">
        <v>37.74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30</v>
      </c>
      <c r="I81" s="119">
        <v>27.68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30</v>
      </c>
      <c r="I82" s="119">
        <v>9.4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18.239999999999998</v>
      </c>
      <c r="I83" s="119">
        <v>16.940000000000001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444.5</v>
      </c>
      <c r="J84" s="187">
        <f>SUM(J71:J83)</f>
        <v>2</v>
      </c>
      <c r="K84" s="186">
        <f>SUM(K71:K83)</f>
        <v>9.5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15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24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L9" sqref="L9:M9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0.54854881266490763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194.04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1561</v>
      </c>
      <c r="F8" s="344"/>
      <c r="G8" s="344"/>
      <c r="H8" s="345"/>
      <c r="I8" s="146" t="s">
        <v>487</v>
      </c>
      <c r="J8" s="346" t="s">
        <v>1561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40398</v>
      </c>
      <c r="F9" s="344"/>
      <c r="G9" s="344"/>
      <c r="H9" s="345"/>
      <c r="I9" s="146" t="s">
        <v>88</v>
      </c>
      <c r="J9" s="209" t="s">
        <v>1578</v>
      </c>
      <c r="K9" s="305" t="s">
        <v>490</v>
      </c>
      <c r="L9" s="369" t="s">
        <v>1579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303" t="s">
        <v>569</v>
      </c>
      <c r="E12" s="384">
        <v>46073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83</v>
      </c>
      <c r="F13" s="349"/>
      <c r="H13" s="117"/>
      <c r="I13" s="123"/>
      <c r="J13" s="215" t="s">
        <v>483</v>
      </c>
      <c r="K13" s="304">
        <f>+COUNTIF($G$22:$G$66,"VQ")*2</f>
        <v>10</v>
      </c>
      <c r="L13" s="304">
        <f>+SUMIF($G$23:$G$65,"VQ",$L$23:$L$65)</f>
        <v>920.69999999999993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15</v>
      </c>
      <c r="F14" s="350"/>
      <c r="H14" s="117"/>
      <c r="I14" s="123"/>
      <c r="J14" s="215" t="s">
        <v>42</v>
      </c>
      <c r="K14" s="304">
        <f>+COUNTIF($G$22:$G$66,"NT")*2</f>
        <v>20</v>
      </c>
      <c r="L14" s="304">
        <f>+SUMIF($G$23:$G$65,"NT",$L$23:$L$65)</f>
        <v>1989.9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5306</v>
      </c>
      <c r="F15" s="350"/>
      <c r="H15" s="117"/>
      <c r="I15" s="123"/>
      <c r="J15" s="215" t="s">
        <v>484</v>
      </c>
      <c r="K15" s="304">
        <f>+COUNTIF($G$22:$G$66,"NO")*2</f>
        <v>0</v>
      </c>
      <c r="L15" s="304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2910.6</v>
      </c>
      <c r="F16" s="350"/>
      <c r="H16" s="117"/>
      <c r="I16" s="123"/>
      <c r="J16" s="215" t="s">
        <v>485</v>
      </c>
      <c r="K16" s="304">
        <f>+COUNTIF($G$22:$G$66,"TO")*2</f>
        <v>0</v>
      </c>
      <c r="L16" s="304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0.54854881266490763</v>
      </c>
      <c r="F17" s="350"/>
      <c r="G17" s="124"/>
      <c r="H17" s="125"/>
      <c r="I17" s="123"/>
      <c r="J17" s="215" t="s">
        <v>486</v>
      </c>
      <c r="K17" s="304">
        <f>+COUNTIF($G$22:$G$66,"VA")*2</f>
        <v>0</v>
      </c>
      <c r="L17" s="304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194.04</v>
      </c>
      <c r="F18" s="353"/>
      <c r="G18" s="124"/>
      <c r="H18" s="125"/>
      <c r="I18" s="123"/>
      <c r="J18" s="215" t="s">
        <v>44</v>
      </c>
      <c r="K18" s="304">
        <f>+COUNTIF($G$22:$G$66,"MEJ")*2</f>
        <v>0</v>
      </c>
      <c r="L18" s="304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80</v>
      </c>
      <c r="D23" s="152">
        <v>14</v>
      </c>
      <c r="E23" s="152" t="s">
        <v>67</v>
      </c>
      <c r="F23" s="152" t="s">
        <v>526</v>
      </c>
      <c r="G23" s="153" t="s">
        <v>483</v>
      </c>
      <c r="H23" s="154" t="s">
        <v>1565</v>
      </c>
      <c r="I23" s="155">
        <v>342</v>
      </c>
      <c r="J23" s="152">
        <v>96.5</v>
      </c>
      <c r="K23" s="156">
        <v>95.7</v>
      </c>
      <c r="L23" s="157">
        <f t="shared" ref="L23:L65" si="0">+J23+K23</f>
        <v>192.2</v>
      </c>
      <c r="M23" s="158">
        <f t="shared" ref="M23:M66" si="1">+L23/I23</f>
        <v>0.56198830409356726</v>
      </c>
      <c r="N23" s="122"/>
    </row>
    <row r="24" spans="2:14" x14ac:dyDescent="0.25">
      <c r="B24" s="121"/>
      <c r="C24" s="159">
        <v>81</v>
      </c>
      <c r="D24" s="159">
        <v>2</v>
      </c>
      <c r="E24" s="159" t="s">
        <v>68</v>
      </c>
      <c r="F24" s="159" t="s">
        <v>526</v>
      </c>
      <c r="G24" s="160" t="s">
        <v>483</v>
      </c>
      <c r="H24" s="161" t="s">
        <v>239</v>
      </c>
      <c r="I24" s="162">
        <v>365</v>
      </c>
      <c r="J24" s="159">
        <v>103.5</v>
      </c>
      <c r="K24" s="163">
        <v>102.8</v>
      </c>
      <c r="L24" s="164">
        <f t="shared" si="0"/>
        <v>206.3</v>
      </c>
      <c r="M24" s="165">
        <f t="shared" si="1"/>
        <v>0.56520547945205479</v>
      </c>
      <c r="N24" s="122"/>
    </row>
    <row r="25" spans="2:14" x14ac:dyDescent="0.25">
      <c r="B25" s="121"/>
      <c r="C25" s="159">
        <v>82</v>
      </c>
      <c r="D25" s="159">
        <v>4</v>
      </c>
      <c r="E25" s="159" t="s">
        <v>68</v>
      </c>
      <c r="F25" s="159" t="s">
        <v>526</v>
      </c>
      <c r="G25" s="160" t="s">
        <v>42</v>
      </c>
      <c r="H25" s="161" t="s">
        <v>1566</v>
      </c>
      <c r="I25" s="162">
        <v>409</v>
      </c>
      <c r="J25" s="159">
        <v>112.3</v>
      </c>
      <c r="K25" s="163">
        <v>112.3</v>
      </c>
      <c r="L25" s="164">
        <f t="shared" si="0"/>
        <v>224.6</v>
      </c>
      <c r="M25" s="165">
        <f t="shared" si="1"/>
        <v>0.54914425427872859</v>
      </c>
      <c r="N25" s="122"/>
    </row>
    <row r="26" spans="2:14" x14ac:dyDescent="0.25">
      <c r="B26" s="121"/>
      <c r="C26" s="159">
        <v>83</v>
      </c>
      <c r="D26" s="159">
        <v>8</v>
      </c>
      <c r="E26" s="159" t="s">
        <v>68</v>
      </c>
      <c r="F26" s="159" t="s">
        <v>526</v>
      </c>
      <c r="G26" s="160" t="s">
        <v>42</v>
      </c>
      <c r="H26" s="161" t="s">
        <v>1567</v>
      </c>
      <c r="I26" s="162">
        <v>338</v>
      </c>
      <c r="J26" s="159">
        <v>91.7</v>
      </c>
      <c r="K26" s="163">
        <v>91.3</v>
      </c>
      <c r="L26" s="164">
        <f t="shared" si="0"/>
        <v>183</v>
      </c>
      <c r="M26" s="165">
        <f t="shared" si="1"/>
        <v>0.54142011834319526</v>
      </c>
      <c r="N26" s="122"/>
    </row>
    <row r="27" spans="2:14" x14ac:dyDescent="0.25">
      <c r="B27" s="121"/>
      <c r="C27" s="159">
        <v>84</v>
      </c>
      <c r="D27" s="159">
        <v>10</v>
      </c>
      <c r="E27" s="159" t="s">
        <v>67</v>
      </c>
      <c r="F27" s="159" t="s">
        <v>526</v>
      </c>
      <c r="G27" s="160" t="s">
        <v>483</v>
      </c>
      <c r="H27" s="161" t="s">
        <v>1311</v>
      </c>
      <c r="I27" s="162">
        <v>319</v>
      </c>
      <c r="J27" s="159">
        <v>87.9</v>
      </c>
      <c r="K27" s="163">
        <v>87.9</v>
      </c>
      <c r="L27" s="164">
        <f t="shared" si="0"/>
        <v>175.8</v>
      </c>
      <c r="M27" s="165">
        <f t="shared" si="1"/>
        <v>0.55109717868338559</v>
      </c>
      <c r="N27" s="122"/>
    </row>
    <row r="28" spans="2:14" x14ac:dyDescent="0.25">
      <c r="B28" s="121"/>
      <c r="C28" s="159">
        <v>85</v>
      </c>
      <c r="D28" s="159">
        <v>5</v>
      </c>
      <c r="E28" s="159" t="s">
        <v>67</v>
      </c>
      <c r="F28" s="159" t="s">
        <v>526</v>
      </c>
      <c r="G28" s="160" t="s">
        <v>483</v>
      </c>
      <c r="H28" s="161" t="s">
        <v>1568</v>
      </c>
      <c r="I28" s="162">
        <v>345</v>
      </c>
      <c r="J28" s="159">
        <v>90.9</v>
      </c>
      <c r="K28" s="163">
        <v>89.6</v>
      </c>
      <c r="L28" s="164">
        <f t="shared" si="0"/>
        <v>180.5</v>
      </c>
      <c r="M28" s="165">
        <f t="shared" si="1"/>
        <v>0.52318840579710146</v>
      </c>
      <c r="N28" s="122"/>
    </row>
    <row r="29" spans="2:14" x14ac:dyDescent="0.25">
      <c r="B29" s="121"/>
      <c r="C29" s="160">
        <v>86</v>
      </c>
      <c r="D29" s="160">
        <v>11</v>
      </c>
      <c r="E29" s="160" t="s">
        <v>67</v>
      </c>
      <c r="F29" s="159" t="s">
        <v>526</v>
      </c>
      <c r="G29" s="160" t="s">
        <v>42</v>
      </c>
      <c r="H29" s="161" t="s">
        <v>1569</v>
      </c>
      <c r="I29" s="162">
        <v>330</v>
      </c>
      <c r="J29" s="159">
        <v>91.2</v>
      </c>
      <c r="K29" s="163">
        <v>89.9</v>
      </c>
      <c r="L29" s="164">
        <f t="shared" si="0"/>
        <v>181.10000000000002</v>
      </c>
      <c r="M29" s="165">
        <f t="shared" si="1"/>
        <v>0.54878787878787882</v>
      </c>
      <c r="N29" s="122"/>
    </row>
    <row r="30" spans="2:14" x14ac:dyDescent="0.25">
      <c r="B30" s="121"/>
      <c r="C30" s="160">
        <v>87</v>
      </c>
      <c r="D30" s="160">
        <v>6</v>
      </c>
      <c r="E30" s="160" t="s">
        <v>68</v>
      </c>
      <c r="F30" s="159" t="s">
        <v>526</v>
      </c>
      <c r="G30" s="160" t="s">
        <v>42</v>
      </c>
      <c r="H30" s="161" t="s">
        <v>1570</v>
      </c>
      <c r="I30" s="162">
        <v>326</v>
      </c>
      <c r="J30" s="159">
        <v>88.5</v>
      </c>
      <c r="K30" s="163">
        <v>89.8</v>
      </c>
      <c r="L30" s="164">
        <f t="shared" si="0"/>
        <v>178.3</v>
      </c>
      <c r="M30" s="165">
        <f t="shared" si="1"/>
        <v>0.54693251533742338</v>
      </c>
      <c r="N30" s="122"/>
    </row>
    <row r="31" spans="2:14" x14ac:dyDescent="0.25">
      <c r="B31" s="121"/>
      <c r="C31" s="159">
        <v>88</v>
      </c>
      <c r="D31" s="159">
        <v>1</v>
      </c>
      <c r="E31" s="159" t="s">
        <v>67</v>
      </c>
      <c r="F31" s="159" t="s">
        <v>526</v>
      </c>
      <c r="G31" s="160" t="s">
        <v>42</v>
      </c>
      <c r="H31" s="161" t="s">
        <v>1571</v>
      </c>
      <c r="I31" s="162">
        <v>374</v>
      </c>
      <c r="J31" s="159">
        <v>103.4</v>
      </c>
      <c r="K31" s="163">
        <v>104</v>
      </c>
      <c r="L31" s="164">
        <f t="shared" si="0"/>
        <v>207.4</v>
      </c>
      <c r="M31" s="165">
        <f t="shared" si="1"/>
        <v>0.55454545454545456</v>
      </c>
      <c r="N31" s="122"/>
    </row>
    <row r="32" spans="2:14" x14ac:dyDescent="0.25">
      <c r="B32" s="121"/>
      <c r="C32" s="159">
        <v>89</v>
      </c>
      <c r="D32" s="159">
        <v>13</v>
      </c>
      <c r="E32" s="159" t="s">
        <v>68</v>
      </c>
      <c r="F32" s="159" t="s">
        <v>526</v>
      </c>
      <c r="G32" s="160" t="s">
        <v>42</v>
      </c>
      <c r="H32" s="161" t="s">
        <v>1572</v>
      </c>
      <c r="I32" s="162">
        <v>390</v>
      </c>
      <c r="J32" s="159">
        <v>106.8</v>
      </c>
      <c r="K32" s="163">
        <v>108</v>
      </c>
      <c r="L32" s="164">
        <f t="shared" si="0"/>
        <v>214.8</v>
      </c>
      <c r="M32" s="165">
        <f t="shared" si="1"/>
        <v>0.55076923076923079</v>
      </c>
      <c r="N32" s="122"/>
    </row>
    <row r="33" spans="2:14" x14ac:dyDescent="0.25">
      <c r="B33" s="121"/>
      <c r="C33" s="160">
        <v>90</v>
      </c>
      <c r="D33" s="160">
        <v>12</v>
      </c>
      <c r="E33" s="160" t="s">
        <v>67</v>
      </c>
      <c r="F33" s="159" t="s">
        <v>526</v>
      </c>
      <c r="G33" s="160" t="s">
        <v>42</v>
      </c>
      <c r="H33" s="161" t="s">
        <v>1573</v>
      </c>
      <c r="I33" s="162">
        <v>314</v>
      </c>
      <c r="J33" s="159">
        <v>89.4</v>
      </c>
      <c r="K33" s="163">
        <v>89.9</v>
      </c>
      <c r="L33" s="164">
        <f t="shared" si="0"/>
        <v>179.3</v>
      </c>
      <c r="M33" s="165">
        <f t="shared" si="1"/>
        <v>0.57101910828025482</v>
      </c>
      <c r="N33" s="122"/>
    </row>
    <row r="34" spans="2:14" x14ac:dyDescent="0.25">
      <c r="B34" s="121"/>
      <c r="C34" s="159">
        <v>91</v>
      </c>
      <c r="D34" s="159">
        <v>15</v>
      </c>
      <c r="E34" s="159" t="s">
        <v>67</v>
      </c>
      <c r="F34" s="159" t="s">
        <v>526</v>
      </c>
      <c r="G34" s="160" t="s">
        <v>42</v>
      </c>
      <c r="H34" s="161" t="s">
        <v>1574</v>
      </c>
      <c r="I34" s="162">
        <v>383</v>
      </c>
      <c r="J34" s="159">
        <v>104.5</v>
      </c>
      <c r="K34" s="166">
        <v>102.7</v>
      </c>
      <c r="L34" s="164">
        <f t="shared" si="0"/>
        <v>207.2</v>
      </c>
      <c r="M34" s="167">
        <f t="shared" si="1"/>
        <v>0.54099216710182763</v>
      </c>
      <c r="N34" s="122"/>
    </row>
    <row r="35" spans="2:14" x14ac:dyDescent="0.25">
      <c r="B35" s="121"/>
      <c r="C35" s="159">
        <v>92</v>
      </c>
      <c r="D35" s="159">
        <v>7</v>
      </c>
      <c r="E35" s="159" t="s">
        <v>68</v>
      </c>
      <c r="F35" s="159" t="s">
        <v>526</v>
      </c>
      <c r="G35" s="160" t="s">
        <v>42</v>
      </c>
      <c r="H35" s="161" t="s">
        <v>1575</v>
      </c>
      <c r="I35" s="162">
        <v>361</v>
      </c>
      <c r="J35" s="159">
        <v>103.9</v>
      </c>
      <c r="K35" s="163">
        <v>103.3</v>
      </c>
      <c r="L35" s="164">
        <f t="shared" si="0"/>
        <v>207.2</v>
      </c>
      <c r="M35" s="165">
        <f t="shared" si="1"/>
        <v>0.57396121883656503</v>
      </c>
      <c r="N35" s="122"/>
    </row>
    <row r="36" spans="2:14" x14ac:dyDescent="0.25">
      <c r="B36" s="121"/>
      <c r="C36" s="159">
        <v>93</v>
      </c>
      <c r="D36" s="159">
        <v>3</v>
      </c>
      <c r="E36" s="159" t="s">
        <v>68</v>
      </c>
      <c r="F36" s="159" t="s">
        <v>526</v>
      </c>
      <c r="G36" s="160" t="s">
        <v>42</v>
      </c>
      <c r="H36" s="161" t="s">
        <v>1576</v>
      </c>
      <c r="I36" s="162">
        <v>381</v>
      </c>
      <c r="J36" s="159">
        <v>103.9</v>
      </c>
      <c r="K36" s="163">
        <v>103.1</v>
      </c>
      <c r="L36" s="164">
        <f t="shared" si="0"/>
        <v>207</v>
      </c>
      <c r="M36" s="165">
        <f t="shared" si="1"/>
        <v>0.54330708661417326</v>
      </c>
      <c r="N36" s="122"/>
    </row>
    <row r="37" spans="2:14" x14ac:dyDescent="0.25">
      <c r="B37" s="121"/>
      <c r="C37" s="159">
        <v>94</v>
      </c>
      <c r="D37" s="159">
        <v>9</v>
      </c>
      <c r="E37" s="159" t="s">
        <v>67</v>
      </c>
      <c r="F37" s="159" t="s">
        <v>526</v>
      </c>
      <c r="G37" s="160" t="s">
        <v>483</v>
      </c>
      <c r="H37" s="161" t="s">
        <v>1577</v>
      </c>
      <c r="I37" s="162">
        <v>329</v>
      </c>
      <c r="J37" s="159">
        <v>83.1</v>
      </c>
      <c r="K37" s="163">
        <v>82.8</v>
      </c>
      <c r="L37" s="164">
        <f t="shared" si="0"/>
        <v>165.89999999999998</v>
      </c>
      <c r="M37" s="165">
        <f t="shared" si="1"/>
        <v>0.50425531914893607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302"/>
      <c r="D66" s="302">
        <f>+COUNT($D$22:$D$65)</f>
        <v>15</v>
      </c>
      <c r="E66" s="302"/>
      <c r="F66" s="373"/>
      <c r="G66" s="373"/>
      <c r="H66" s="149"/>
      <c r="I66" s="148">
        <f>SUM($I$22:$I$65)</f>
        <v>5306</v>
      </c>
      <c r="J66" s="150">
        <f>SUM($J$22:$J$65)</f>
        <v>1457.5</v>
      </c>
      <c r="K66" s="151">
        <f>SUM($K$22:$K$65)</f>
        <v>1453.1</v>
      </c>
      <c r="L66" s="148">
        <f>SUM($L$22:$L$65)</f>
        <v>2910.6</v>
      </c>
      <c r="M66" s="178">
        <f t="shared" si="1"/>
        <v>0.54854881266490763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/>
      <c r="I71" s="119"/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/>
      <c r="I72" s="119"/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/>
      <c r="I73" s="119"/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/>
      <c r="I74" s="119"/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/>
      <c r="I75" s="119"/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/>
      <c r="I76" s="119"/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/>
      <c r="I77" s="119"/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/>
      <c r="I78" s="119"/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/>
      <c r="I79" s="119"/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/>
      <c r="I80" s="119"/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/>
      <c r="I81" s="119"/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/>
      <c r="I82" s="119"/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/>
      <c r="I83" s="119"/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0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15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23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A18" zoomScale="90" zoomScaleNormal="90" workbookViewId="0">
      <selection activeCell="J28" sqref="J28:K43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0.56167797655768037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216.78095238095236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1598</v>
      </c>
      <c r="F8" s="344"/>
      <c r="G8" s="344"/>
      <c r="H8" s="345"/>
      <c r="I8" s="146" t="s">
        <v>487</v>
      </c>
      <c r="J8" s="346" t="s">
        <v>563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27345</v>
      </c>
      <c r="F9" s="344"/>
      <c r="G9" s="344"/>
      <c r="H9" s="345"/>
      <c r="I9" s="146" t="s">
        <v>88</v>
      </c>
      <c r="J9" s="209" t="s">
        <v>1599</v>
      </c>
      <c r="K9" s="309" t="s">
        <v>490</v>
      </c>
      <c r="L9" s="369" t="s">
        <v>1600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307" t="s">
        <v>569</v>
      </c>
      <c r="E12" s="384">
        <v>46076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84</v>
      </c>
      <c r="F13" s="349"/>
      <c r="H13" s="117"/>
      <c r="I13" s="123"/>
      <c r="J13" s="215" t="s">
        <v>483</v>
      </c>
      <c r="K13" s="308">
        <f>+COUNTIF($G$22:$G$66,"VQ")*2</f>
        <v>8</v>
      </c>
      <c r="L13" s="308">
        <f>+SUMIF($G$23:$G$65,"VQ",$L$23:$L$65)</f>
        <v>788.4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21</v>
      </c>
      <c r="F14" s="350"/>
      <c r="H14" s="117"/>
      <c r="I14" s="123"/>
      <c r="J14" s="215" t="s">
        <v>42</v>
      </c>
      <c r="K14" s="308">
        <f>+COUNTIF($G$22:$G$66,"NT")*2</f>
        <v>32</v>
      </c>
      <c r="L14" s="308">
        <f>+SUMIF($G$23:$G$65,"NT",$L$23:$L$65)</f>
        <v>3467.2999999999993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8105</v>
      </c>
      <c r="F15" s="350"/>
      <c r="H15" s="117"/>
      <c r="I15" s="123"/>
      <c r="J15" s="215" t="s">
        <v>484</v>
      </c>
      <c r="K15" s="308">
        <f>+COUNTIF($G$22:$G$66,"NO")*2</f>
        <v>0</v>
      </c>
      <c r="L15" s="308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4552.3999999999996</v>
      </c>
      <c r="F16" s="350"/>
      <c r="H16" s="117"/>
      <c r="I16" s="123"/>
      <c r="J16" s="215" t="s">
        <v>485</v>
      </c>
      <c r="K16" s="308">
        <f>+COUNTIF($G$22:$G$66,"TO")*2</f>
        <v>0</v>
      </c>
      <c r="L16" s="308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0.56167797655768037</v>
      </c>
      <c r="F17" s="350"/>
      <c r="G17" s="124"/>
      <c r="H17" s="125"/>
      <c r="I17" s="123"/>
      <c r="J17" s="215" t="s">
        <v>486</v>
      </c>
      <c r="K17" s="308">
        <f>+COUNTIF($G$22:$G$66,"VA")*2</f>
        <v>2</v>
      </c>
      <c r="L17" s="308">
        <f>+SUMIF($G$23:$G$65,"VA",$L$23:$L$65)</f>
        <v>296.70000000000005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216.78095238095236</v>
      </c>
      <c r="F18" s="353"/>
      <c r="G18" s="124"/>
      <c r="H18" s="125"/>
      <c r="I18" s="123"/>
      <c r="J18" s="215" t="s">
        <v>44</v>
      </c>
      <c r="K18" s="308">
        <f>+COUNTIF($G$22:$G$66,"MEJ")*2</f>
        <v>0</v>
      </c>
      <c r="L18" s="308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</v>
      </c>
      <c r="D23" s="152">
        <v>18</v>
      </c>
      <c r="E23" s="152" t="s">
        <v>67</v>
      </c>
      <c r="F23" s="152" t="s">
        <v>526</v>
      </c>
      <c r="G23" s="153" t="s">
        <v>42</v>
      </c>
      <c r="H23" s="154" t="s">
        <v>1321</v>
      </c>
      <c r="I23" s="155">
        <v>381</v>
      </c>
      <c r="J23" s="152">
        <v>107.8</v>
      </c>
      <c r="K23" s="156">
        <v>107.1</v>
      </c>
      <c r="L23" s="157">
        <f t="shared" ref="L23:L65" si="0">+J23+K23</f>
        <v>214.89999999999998</v>
      </c>
      <c r="M23" s="158">
        <f t="shared" ref="M23:M66" si="1">+L23/I23</f>
        <v>0.56404199475065608</v>
      </c>
      <c r="N23" s="122"/>
    </row>
    <row r="24" spans="2:14" x14ac:dyDescent="0.25">
      <c r="B24" s="121"/>
      <c r="C24" s="159">
        <v>2</v>
      </c>
      <c r="D24" s="159">
        <v>12</v>
      </c>
      <c r="E24" s="159" t="s">
        <v>67</v>
      </c>
      <c r="F24" s="159" t="s">
        <v>526</v>
      </c>
      <c r="G24" s="160" t="s">
        <v>42</v>
      </c>
      <c r="H24" s="161" t="s">
        <v>1601</v>
      </c>
      <c r="I24" s="162">
        <v>449</v>
      </c>
      <c r="J24" s="159">
        <v>127</v>
      </c>
      <c r="K24" s="163">
        <v>126.3</v>
      </c>
      <c r="L24" s="164">
        <f t="shared" si="0"/>
        <v>253.3</v>
      </c>
      <c r="M24" s="165">
        <f t="shared" si="1"/>
        <v>0.56414253897550115</v>
      </c>
      <c r="N24" s="122"/>
    </row>
    <row r="25" spans="2:14" x14ac:dyDescent="0.25">
      <c r="B25" s="121"/>
      <c r="C25" s="159">
        <v>3</v>
      </c>
      <c r="D25" s="159">
        <v>4</v>
      </c>
      <c r="E25" s="159" t="s">
        <v>68</v>
      </c>
      <c r="F25" s="159" t="s">
        <v>526</v>
      </c>
      <c r="G25" s="160" t="s">
        <v>42</v>
      </c>
      <c r="H25" s="161" t="s">
        <v>1602</v>
      </c>
      <c r="I25" s="162">
        <v>389</v>
      </c>
      <c r="J25" s="159">
        <v>109.9</v>
      </c>
      <c r="K25" s="163">
        <v>110.8</v>
      </c>
      <c r="L25" s="164">
        <f t="shared" si="0"/>
        <v>220.7</v>
      </c>
      <c r="M25" s="165">
        <f t="shared" si="1"/>
        <v>0.56735218508997431</v>
      </c>
      <c r="N25" s="122"/>
    </row>
    <row r="26" spans="2:14" x14ac:dyDescent="0.25">
      <c r="B26" s="121"/>
      <c r="C26" s="159">
        <v>4</v>
      </c>
      <c r="D26" s="159">
        <v>14</v>
      </c>
      <c r="E26" s="159" t="s">
        <v>67</v>
      </c>
      <c r="F26" s="159" t="s">
        <v>526</v>
      </c>
      <c r="G26" s="160" t="s">
        <v>483</v>
      </c>
      <c r="H26" s="161" t="s">
        <v>1603</v>
      </c>
      <c r="I26" s="162">
        <v>321</v>
      </c>
      <c r="J26" s="159">
        <v>91.6</v>
      </c>
      <c r="K26" s="163">
        <v>92.4</v>
      </c>
      <c r="L26" s="164">
        <f t="shared" si="0"/>
        <v>184</v>
      </c>
      <c r="M26" s="165">
        <f t="shared" si="1"/>
        <v>0.57320872274143297</v>
      </c>
      <c r="N26" s="122"/>
    </row>
    <row r="27" spans="2:14" x14ac:dyDescent="0.25">
      <c r="B27" s="121"/>
      <c r="C27" s="159">
        <v>5</v>
      </c>
      <c r="D27" s="159">
        <v>16</v>
      </c>
      <c r="E27" s="159" t="s">
        <v>67</v>
      </c>
      <c r="F27" s="159" t="s">
        <v>526</v>
      </c>
      <c r="G27" s="160" t="s">
        <v>42</v>
      </c>
      <c r="H27" s="161" t="s">
        <v>41</v>
      </c>
      <c r="I27" s="162">
        <v>337</v>
      </c>
      <c r="J27" s="159">
        <v>98.4</v>
      </c>
      <c r="K27" s="163">
        <v>86.7</v>
      </c>
      <c r="L27" s="164">
        <f t="shared" si="0"/>
        <v>185.10000000000002</v>
      </c>
      <c r="M27" s="165">
        <f t="shared" si="1"/>
        <v>0.54925816023738883</v>
      </c>
      <c r="N27" s="122"/>
    </row>
    <row r="28" spans="2:14" x14ac:dyDescent="0.25">
      <c r="B28" s="121"/>
      <c r="C28" s="159">
        <v>6</v>
      </c>
      <c r="D28" s="159">
        <v>11</v>
      </c>
      <c r="E28" s="159" t="s">
        <v>75</v>
      </c>
      <c r="F28" s="159" t="s">
        <v>526</v>
      </c>
      <c r="G28" s="160" t="s">
        <v>42</v>
      </c>
      <c r="H28" s="161" t="s">
        <v>41</v>
      </c>
      <c r="I28" s="162">
        <v>338</v>
      </c>
      <c r="J28" s="159">
        <v>97.1</v>
      </c>
      <c r="K28" s="163">
        <v>96.6</v>
      </c>
      <c r="L28" s="164">
        <f t="shared" si="0"/>
        <v>193.7</v>
      </c>
      <c r="M28" s="165">
        <f t="shared" si="1"/>
        <v>0.57307692307692304</v>
      </c>
      <c r="N28" s="122"/>
    </row>
    <row r="29" spans="2:14" x14ac:dyDescent="0.25">
      <c r="B29" s="121"/>
      <c r="C29" s="160">
        <v>7</v>
      </c>
      <c r="D29" s="160">
        <v>7</v>
      </c>
      <c r="E29" s="160" t="s">
        <v>67</v>
      </c>
      <c r="F29" s="159" t="s">
        <v>526</v>
      </c>
      <c r="G29" s="160" t="s">
        <v>42</v>
      </c>
      <c r="H29" s="161" t="s">
        <v>1604</v>
      </c>
      <c r="I29" s="162">
        <v>375</v>
      </c>
      <c r="J29" s="159">
        <v>108.1</v>
      </c>
      <c r="K29" s="163">
        <v>107.4</v>
      </c>
      <c r="L29" s="164">
        <f t="shared" si="0"/>
        <v>215.5</v>
      </c>
      <c r="M29" s="165">
        <f t="shared" si="1"/>
        <v>0.57466666666666666</v>
      </c>
      <c r="N29" s="122"/>
    </row>
    <row r="30" spans="2:14" x14ac:dyDescent="0.25">
      <c r="B30" s="121"/>
      <c r="C30" s="160">
        <v>8</v>
      </c>
      <c r="D30" s="160">
        <v>3</v>
      </c>
      <c r="E30" s="160" t="s">
        <v>75</v>
      </c>
      <c r="F30" s="159" t="s">
        <v>526</v>
      </c>
      <c r="G30" s="160" t="s">
        <v>42</v>
      </c>
      <c r="H30" s="161" t="s">
        <v>1605</v>
      </c>
      <c r="I30" s="162">
        <v>406</v>
      </c>
      <c r="J30" s="159">
        <v>113.1</v>
      </c>
      <c r="K30" s="163">
        <v>113</v>
      </c>
      <c r="L30" s="164">
        <f t="shared" si="0"/>
        <v>226.1</v>
      </c>
      <c r="M30" s="165">
        <f t="shared" si="1"/>
        <v>0.55689655172413788</v>
      </c>
      <c r="N30" s="122"/>
    </row>
    <row r="31" spans="2:14" x14ac:dyDescent="0.25">
      <c r="B31" s="121"/>
      <c r="C31" s="159">
        <v>9</v>
      </c>
      <c r="D31" s="159">
        <v>15</v>
      </c>
      <c r="E31" s="159" t="s">
        <v>75</v>
      </c>
      <c r="F31" s="159" t="s">
        <v>526</v>
      </c>
      <c r="G31" s="160" t="s">
        <v>42</v>
      </c>
      <c r="H31" s="161" t="s">
        <v>1606</v>
      </c>
      <c r="I31" s="162">
        <v>434</v>
      </c>
      <c r="J31" s="159">
        <v>116.1</v>
      </c>
      <c r="K31" s="163">
        <v>115.1</v>
      </c>
      <c r="L31" s="164">
        <f t="shared" si="0"/>
        <v>231.2</v>
      </c>
      <c r="M31" s="165">
        <f t="shared" si="1"/>
        <v>0.53271889400921657</v>
      </c>
      <c r="N31" s="122"/>
    </row>
    <row r="32" spans="2:14" x14ac:dyDescent="0.25">
      <c r="B32" s="121"/>
      <c r="C32" s="159">
        <v>10</v>
      </c>
      <c r="D32" s="159">
        <v>17</v>
      </c>
      <c r="E32" s="159" t="s">
        <v>67</v>
      </c>
      <c r="F32" s="159" t="s">
        <v>526</v>
      </c>
      <c r="G32" s="160" t="s">
        <v>42</v>
      </c>
      <c r="H32" s="161" t="s">
        <v>1607</v>
      </c>
      <c r="I32" s="162">
        <v>379</v>
      </c>
      <c r="J32" s="159">
        <v>109.9</v>
      </c>
      <c r="K32" s="163">
        <v>109.4</v>
      </c>
      <c r="L32" s="164">
        <f t="shared" si="0"/>
        <v>219.3</v>
      </c>
      <c r="M32" s="165">
        <f t="shared" si="1"/>
        <v>0.57862796833773089</v>
      </c>
      <c r="N32" s="122"/>
    </row>
    <row r="33" spans="2:14" x14ac:dyDescent="0.25">
      <c r="B33" s="121"/>
      <c r="C33" s="160">
        <v>11</v>
      </c>
      <c r="D33" s="160">
        <v>2</v>
      </c>
      <c r="E33" s="160" t="s">
        <v>68</v>
      </c>
      <c r="F33" s="159" t="s">
        <v>526</v>
      </c>
      <c r="G33" s="160" t="s">
        <v>42</v>
      </c>
      <c r="H33" s="161" t="s">
        <v>1608</v>
      </c>
      <c r="I33" s="162">
        <v>368</v>
      </c>
      <c r="J33" s="159">
        <v>104.1</v>
      </c>
      <c r="K33" s="163">
        <v>103.3</v>
      </c>
      <c r="L33" s="164">
        <f t="shared" si="0"/>
        <v>207.39999999999998</v>
      </c>
      <c r="M33" s="165">
        <f t="shared" si="1"/>
        <v>0.56358695652173907</v>
      </c>
      <c r="N33" s="122"/>
    </row>
    <row r="34" spans="2:14" x14ac:dyDescent="0.25">
      <c r="B34" s="121"/>
      <c r="C34" s="159">
        <v>12</v>
      </c>
      <c r="D34" s="159">
        <v>9</v>
      </c>
      <c r="E34" s="159" t="s">
        <v>68</v>
      </c>
      <c r="F34" s="159" t="s">
        <v>526</v>
      </c>
      <c r="G34" s="160" t="s">
        <v>42</v>
      </c>
      <c r="H34" s="161" t="s">
        <v>1609</v>
      </c>
      <c r="I34" s="162">
        <v>371</v>
      </c>
      <c r="J34" s="159">
        <v>103.2</v>
      </c>
      <c r="K34" s="166">
        <v>103.4</v>
      </c>
      <c r="L34" s="164">
        <f t="shared" si="0"/>
        <v>206.60000000000002</v>
      </c>
      <c r="M34" s="167">
        <f t="shared" si="1"/>
        <v>0.55687331536388152</v>
      </c>
      <c r="N34" s="122"/>
    </row>
    <row r="35" spans="2:14" x14ac:dyDescent="0.25">
      <c r="B35" s="121"/>
      <c r="C35" s="159">
        <v>13</v>
      </c>
      <c r="D35" s="159">
        <v>13</v>
      </c>
      <c r="E35" s="159" t="s">
        <v>75</v>
      </c>
      <c r="F35" s="159" t="s">
        <v>526</v>
      </c>
      <c r="G35" s="160" t="s">
        <v>486</v>
      </c>
      <c r="H35" s="161" t="s">
        <v>502</v>
      </c>
      <c r="I35" s="162">
        <v>542</v>
      </c>
      <c r="J35" s="159">
        <v>147.9</v>
      </c>
      <c r="K35" s="163">
        <v>148.80000000000001</v>
      </c>
      <c r="L35" s="164">
        <f t="shared" si="0"/>
        <v>296.70000000000005</v>
      </c>
      <c r="M35" s="165">
        <f t="shared" si="1"/>
        <v>0.54741697416974178</v>
      </c>
      <c r="N35" s="122"/>
    </row>
    <row r="36" spans="2:14" x14ac:dyDescent="0.25">
      <c r="B36" s="121"/>
      <c r="C36" s="159">
        <v>14</v>
      </c>
      <c r="D36" s="159">
        <v>8</v>
      </c>
      <c r="E36" s="159" t="s">
        <v>68</v>
      </c>
      <c r="F36" s="159" t="s">
        <v>526</v>
      </c>
      <c r="G36" s="160" t="s">
        <v>42</v>
      </c>
      <c r="H36" s="161" t="s">
        <v>1610</v>
      </c>
      <c r="I36" s="162">
        <v>401</v>
      </c>
      <c r="J36" s="159">
        <v>113</v>
      </c>
      <c r="K36" s="163">
        <v>111.2</v>
      </c>
      <c r="L36" s="164">
        <f t="shared" si="0"/>
        <v>224.2</v>
      </c>
      <c r="M36" s="165">
        <f t="shared" si="1"/>
        <v>0.55910224438902745</v>
      </c>
      <c r="N36" s="122"/>
    </row>
    <row r="37" spans="2:14" x14ac:dyDescent="0.25">
      <c r="B37" s="121"/>
      <c r="C37" s="159">
        <v>15</v>
      </c>
      <c r="D37" s="159">
        <v>1</v>
      </c>
      <c r="E37" s="159" t="s">
        <v>75</v>
      </c>
      <c r="F37" s="159" t="s">
        <v>526</v>
      </c>
      <c r="G37" s="160" t="s">
        <v>42</v>
      </c>
      <c r="H37" s="161" t="s">
        <v>41</v>
      </c>
      <c r="I37" s="162">
        <v>444</v>
      </c>
      <c r="J37" s="159">
        <v>128.5</v>
      </c>
      <c r="K37" s="163">
        <v>129</v>
      </c>
      <c r="L37" s="164">
        <f t="shared" si="0"/>
        <v>257.5</v>
      </c>
      <c r="M37" s="165">
        <f t="shared" si="1"/>
        <v>0.57995495495495497</v>
      </c>
      <c r="N37" s="122"/>
    </row>
    <row r="38" spans="2:14" x14ac:dyDescent="0.25">
      <c r="B38" s="121"/>
      <c r="C38" s="159">
        <v>16</v>
      </c>
      <c r="D38" s="159">
        <v>10</v>
      </c>
      <c r="E38" s="159" t="s">
        <v>67</v>
      </c>
      <c r="F38" s="159" t="s">
        <v>750</v>
      </c>
      <c r="G38" s="159" t="s">
        <v>42</v>
      </c>
      <c r="H38" s="168" t="s">
        <v>1611</v>
      </c>
      <c r="I38" s="169">
        <v>340</v>
      </c>
      <c r="J38" s="159">
        <v>96.3</v>
      </c>
      <c r="K38" s="163">
        <v>94.7</v>
      </c>
      <c r="L38" s="164">
        <f t="shared" si="0"/>
        <v>191</v>
      </c>
      <c r="M38" s="165">
        <f t="shared" si="1"/>
        <v>0.56176470588235294</v>
      </c>
      <c r="N38" s="122"/>
    </row>
    <row r="39" spans="2:14" x14ac:dyDescent="0.25">
      <c r="B39" s="121"/>
      <c r="C39" s="159">
        <v>17</v>
      </c>
      <c r="D39" s="159">
        <v>20</v>
      </c>
      <c r="E39" s="159" t="s">
        <v>67</v>
      </c>
      <c r="F39" s="159" t="s">
        <v>526</v>
      </c>
      <c r="G39" s="160" t="s">
        <v>483</v>
      </c>
      <c r="H39" s="161" t="s">
        <v>1303</v>
      </c>
      <c r="I39" s="162">
        <v>342</v>
      </c>
      <c r="J39" s="159">
        <v>99.4</v>
      </c>
      <c r="K39" s="163">
        <v>96.5</v>
      </c>
      <c r="L39" s="164">
        <f t="shared" si="0"/>
        <v>195.9</v>
      </c>
      <c r="M39" s="165">
        <f t="shared" si="1"/>
        <v>0.57280701754385965</v>
      </c>
      <c r="N39" s="122"/>
    </row>
    <row r="40" spans="2:14" x14ac:dyDescent="0.25">
      <c r="B40" s="121"/>
      <c r="C40" s="159">
        <v>18</v>
      </c>
      <c r="D40" s="159">
        <v>21</v>
      </c>
      <c r="E40" s="159" t="s">
        <v>75</v>
      </c>
      <c r="F40" s="159" t="s">
        <v>526</v>
      </c>
      <c r="G40" s="160" t="s">
        <v>42</v>
      </c>
      <c r="H40" s="161" t="s">
        <v>1612</v>
      </c>
      <c r="I40" s="162">
        <v>368</v>
      </c>
      <c r="J40" s="159">
        <v>101.1</v>
      </c>
      <c r="K40" s="163">
        <v>101</v>
      </c>
      <c r="L40" s="164">
        <f t="shared" si="0"/>
        <v>202.1</v>
      </c>
      <c r="M40" s="165">
        <f t="shared" si="1"/>
        <v>0.54918478260869563</v>
      </c>
      <c r="N40" s="122"/>
    </row>
    <row r="41" spans="2:14" x14ac:dyDescent="0.25">
      <c r="B41" s="121"/>
      <c r="C41" s="159">
        <v>19</v>
      </c>
      <c r="D41" s="159">
        <v>5</v>
      </c>
      <c r="E41" s="159" t="s">
        <v>67</v>
      </c>
      <c r="F41" s="159" t="s">
        <v>526</v>
      </c>
      <c r="G41" s="160" t="s">
        <v>483</v>
      </c>
      <c r="H41" s="161" t="s">
        <v>1613</v>
      </c>
      <c r="I41" s="162">
        <v>374</v>
      </c>
      <c r="J41" s="159">
        <v>101.8</v>
      </c>
      <c r="K41" s="163">
        <v>100.2</v>
      </c>
      <c r="L41" s="164">
        <f t="shared" si="0"/>
        <v>202</v>
      </c>
      <c r="M41" s="165">
        <f t="shared" si="1"/>
        <v>0.5401069518716578</v>
      </c>
      <c r="N41" s="122"/>
    </row>
    <row r="42" spans="2:14" x14ac:dyDescent="0.25">
      <c r="B42" s="121"/>
      <c r="C42" s="160">
        <v>20</v>
      </c>
      <c r="D42" s="160">
        <v>6</v>
      </c>
      <c r="E42" s="160" t="s">
        <v>68</v>
      </c>
      <c r="F42" s="160" t="s">
        <v>526</v>
      </c>
      <c r="G42" s="160" t="s">
        <v>483</v>
      </c>
      <c r="H42" s="161" t="s">
        <v>1614</v>
      </c>
      <c r="I42" s="162">
        <v>360</v>
      </c>
      <c r="J42" s="159">
        <v>103.5</v>
      </c>
      <c r="K42" s="163">
        <v>103</v>
      </c>
      <c r="L42" s="164">
        <f t="shared" si="0"/>
        <v>206.5</v>
      </c>
      <c r="M42" s="165">
        <f t="shared" si="1"/>
        <v>0.57361111111111107</v>
      </c>
      <c r="N42" s="122"/>
    </row>
    <row r="43" spans="2:14" x14ac:dyDescent="0.25">
      <c r="B43" s="121"/>
      <c r="C43" s="159">
        <v>21</v>
      </c>
      <c r="D43" s="159">
        <v>19</v>
      </c>
      <c r="E43" s="159" t="s">
        <v>68</v>
      </c>
      <c r="F43" s="159" t="s">
        <v>526</v>
      </c>
      <c r="G43" s="160" t="s">
        <v>42</v>
      </c>
      <c r="H43" s="161" t="s">
        <v>336</v>
      </c>
      <c r="I43" s="162">
        <v>386</v>
      </c>
      <c r="J43" s="159">
        <v>109.7</v>
      </c>
      <c r="K43" s="163">
        <v>109</v>
      </c>
      <c r="L43" s="164">
        <f t="shared" si="0"/>
        <v>218.7</v>
      </c>
      <c r="M43" s="165">
        <f t="shared" si="1"/>
        <v>0.56658031088082894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306"/>
      <c r="D66" s="306">
        <f>+COUNT($D$22:$D$65)</f>
        <v>21</v>
      </c>
      <c r="E66" s="306"/>
      <c r="F66" s="373"/>
      <c r="G66" s="373"/>
      <c r="H66" s="149"/>
      <c r="I66" s="148">
        <f>SUM($I$22:$I$65)</f>
        <v>8105</v>
      </c>
      <c r="J66" s="150">
        <f>SUM($J$22:$J$65)</f>
        <v>2287.5</v>
      </c>
      <c r="K66" s="151">
        <f>SUM($K$22:$K$65)</f>
        <v>2264.9</v>
      </c>
      <c r="L66" s="148">
        <f>SUM($L$22:$L$65)</f>
        <v>4552.3999999999996</v>
      </c>
      <c r="M66" s="178">
        <f t="shared" si="1"/>
        <v>0.56167797655768037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39.72</v>
      </c>
      <c r="I71" s="119">
        <v>38.04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21</v>
      </c>
      <c r="I72" s="119">
        <v>30.72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21</v>
      </c>
      <c r="I73" s="119">
        <v>103.86</v>
      </c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21</v>
      </c>
      <c r="I74" s="119">
        <v>22.7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18.38</v>
      </c>
      <c r="I75" s="119">
        <v>17.52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42</v>
      </c>
      <c r="I76" s="119">
        <v>18.7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84</v>
      </c>
      <c r="I77" s="119">
        <v>14.2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21</v>
      </c>
      <c r="I78" s="119">
        <v>17.98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21</v>
      </c>
      <c r="I79" s="119">
        <v>16.3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31.32</v>
      </c>
      <c r="I80" s="119">
        <v>29.62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21</v>
      </c>
      <c r="I81" s="119">
        <v>19.520000000000003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21</v>
      </c>
      <c r="I82" s="119">
        <v>7.22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10.24</v>
      </c>
      <c r="I83" s="119">
        <v>9.24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345.62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21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22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Q95"/>
  <sheetViews>
    <sheetView zoomScale="90" zoomScaleNormal="90" workbookViewId="0">
      <selection activeCell="P33" sqref="P33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0.58597160738818499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213.26111111111109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566</v>
      </c>
      <c r="F8" s="344"/>
      <c r="G8" s="344"/>
      <c r="H8" s="345"/>
      <c r="I8" s="146" t="s">
        <v>487</v>
      </c>
      <c r="J8" s="346" t="s">
        <v>1616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28012</v>
      </c>
      <c r="F9" s="344"/>
      <c r="G9" s="344"/>
      <c r="H9" s="345"/>
      <c r="I9" s="146" t="s">
        <v>88</v>
      </c>
      <c r="J9" s="209" t="s">
        <v>1615</v>
      </c>
      <c r="K9" s="309" t="s">
        <v>490</v>
      </c>
      <c r="L9" s="369" t="s">
        <v>1617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307" t="s">
        <v>569</v>
      </c>
      <c r="E12" s="384">
        <v>46076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85</v>
      </c>
      <c r="F13" s="349"/>
      <c r="H13" s="117"/>
      <c r="I13" s="123"/>
      <c r="J13" s="215" t="s">
        <v>483</v>
      </c>
      <c r="K13" s="308">
        <f>+COUNTIF($G$22:$G$66,"VQ")*2</f>
        <v>14</v>
      </c>
      <c r="L13" s="308">
        <f>+SUMIF($G$23:$G$65,"VQ",$L$23:$L$65)</f>
        <v>1183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18</v>
      </c>
      <c r="F14" s="350"/>
      <c r="H14" s="117"/>
      <c r="I14" s="123"/>
      <c r="J14" s="215" t="s">
        <v>42</v>
      </c>
      <c r="K14" s="308">
        <f>+COUNTIF($G$22:$G$66,"NT")*2</f>
        <v>0</v>
      </c>
      <c r="L14" s="308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6551</v>
      </c>
      <c r="F15" s="350"/>
      <c r="H15" s="117"/>
      <c r="I15" s="123"/>
      <c r="J15" s="215" t="s">
        <v>484</v>
      </c>
      <c r="K15" s="308">
        <f>+COUNTIF($G$22:$G$66,"NO")*2</f>
        <v>0</v>
      </c>
      <c r="L15" s="308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3838.7</v>
      </c>
      <c r="F16" s="350"/>
      <c r="H16" s="117"/>
      <c r="I16" s="123"/>
      <c r="J16" s="215" t="s">
        <v>485</v>
      </c>
      <c r="K16" s="308">
        <f>+COUNTIF($G$22:$G$66,"TO")*2</f>
        <v>0</v>
      </c>
      <c r="L16" s="308">
        <f>+SUMIF($G$23:$G$65,"TO",$L$23:$L$65)</f>
        <v>0</v>
      </c>
      <c r="N16" s="122"/>
    </row>
    <row r="17" spans="2:17" x14ac:dyDescent="0.25">
      <c r="B17" s="121"/>
      <c r="C17" s="348" t="s">
        <v>481</v>
      </c>
      <c r="D17" s="348"/>
      <c r="E17" s="352">
        <f>+M66</f>
        <v>0.58597160738818499</v>
      </c>
      <c r="F17" s="350"/>
      <c r="G17" s="124"/>
      <c r="H17" s="125"/>
      <c r="I17" s="123"/>
      <c r="J17" s="215" t="s">
        <v>486</v>
      </c>
      <c r="K17" s="308">
        <f>+COUNTIF($G$22:$G$66,"VA")*2</f>
        <v>0</v>
      </c>
      <c r="L17" s="308">
        <f>+SUMIF($G$23:$G$65,"VA",$L$23:$L$65)</f>
        <v>0</v>
      </c>
      <c r="N17" s="122"/>
    </row>
    <row r="18" spans="2:17" x14ac:dyDescent="0.25">
      <c r="B18" s="121"/>
      <c r="C18" s="348" t="s">
        <v>482</v>
      </c>
      <c r="D18" s="348"/>
      <c r="E18" s="353">
        <f>+L66/D66</f>
        <v>213.26111111111109</v>
      </c>
      <c r="F18" s="353"/>
      <c r="G18" s="124"/>
      <c r="H18" s="125"/>
      <c r="I18" s="123"/>
      <c r="J18" s="215" t="s">
        <v>44</v>
      </c>
      <c r="K18" s="308">
        <f>+COUNTIF($G$22:$G$66,"MEJ")*2</f>
        <v>22</v>
      </c>
      <c r="L18" s="308">
        <f>+SUMIF($G$23:$G$65,"MEJ",$L$23:$L$65)</f>
        <v>2655.7000000000003</v>
      </c>
      <c r="N18" s="122"/>
    </row>
    <row r="19" spans="2:17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7" ht="9.9499999999999993" customHeight="1" thickTop="1" x14ac:dyDescent="0.25">
      <c r="B20" s="121"/>
      <c r="N20" s="122"/>
    </row>
    <row r="21" spans="2:17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7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7" x14ac:dyDescent="0.25">
      <c r="B23" s="121"/>
      <c r="C23" s="152">
        <v>22</v>
      </c>
      <c r="D23" s="152">
        <v>9</v>
      </c>
      <c r="E23" s="152" t="s">
        <v>67</v>
      </c>
      <c r="F23" s="152" t="s">
        <v>526</v>
      </c>
      <c r="G23" s="153" t="s">
        <v>483</v>
      </c>
      <c r="H23" s="154" t="s">
        <v>1618</v>
      </c>
      <c r="I23" s="155">
        <v>282</v>
      </c>
      <c r="J23" s="152">
        <v>81.2</v>
      </c>
      <c r="K23" s="156">
        <v>81.5</v>
      </c>
      <c r="L23" s="157">
        <f t="shared" ref="L23:L65" si="0">+J23+K23</f>
        <v>162.69999999999999</v>
      </c>
      <c r="M23" s="158">
        <f t="shared" ref="M23:M66" si="1">+L23/I23</f>
        <v>0.57695035460992905</v>
      </c>
      <c r="N23" s="122"/>
    </row>
    <row r="24" spans="2:17" x14ac:dyDescent="0.25">
      <c r="B24" s="121"/>
      <c r="C24" s="159">
        <v>23</v>
      </c>
      <c r="D24" s="159">
        <v>5</v>
      </c>
      <c r="E24" s="159" t="s">
        <v>68</v>
      </c>
      <c r="F24" s="159" t="s">
        <v>526</v>
      </c>
      <c r="G24" s="160" t="s">
        <v>483</v>
      </c>
      <c r="H24" s="161" t="s">
        <v>1619</v>
      </c>
      <c r="I24" s="162">
        <v>296</v>
      </c>
      <c r="J24" s="159">
        <v>83.1</v>
      </c>
      <c r="K24" s="163">
        <v>82.2</v>
      </c>
      <c r="L24" s="164">
        <f t="shared" si="0"/>
        <v>165.3</v>
      </c>
      <c r="M24" s="165">
        <f t="shared" si="1"/>
        <v>0.55844594594594599</v>
      </c>
      <c r="N24" s="122"/>
    </row>
    <row r="25" spans="2:17" x14ac:dyDescent="0.25">
      <c r="B25" s="121"/>
      <c r="C25" s="159">
        <v>24</v>
      </c>
      <c r="D25" s="159">
        <v>11</v>
      </c>
      <c r="E25" s="159" t="s">
        <v>67</v>
      </c>
      <c r="F25" s="159" t="s">
        <v>526</v>
      </c>
      <c r="G25" s="160" t="s">
        <v>483</v>
      </c>
      <c r="H25" s="161" t="s">
        <v>1620</v>
      </c>
      <c r="I25" s="162">
        <v>328</v>
      </c>
      <c r="J25" s="159">
        <v>96.4</v>
      </c>
      <c r="K25" s="163">
        <v>94.6</v>
      </c>
      <c r="L25" s="164">
        <f t="shared" si="0"/>
        <v>191</v>
      </c>
      <c r="M25" s="165">
        <f t="shared" si="1"/>
        <v>0.58231707317073167</v>
      </c>
      <c r="N25" s="122"/>
    </row>
    <row r="26" spans="2:17" x14ac:dyDescent="0.25">
      <c r="B26" s="121"/>
      <c r="C26" s="159">
        <v>25</v>
      </c>
      <c r="D26" s="159">
        <v>3</v>
      </c>
      <c r="E26" s="159" t="s">
        <v>68</v>
      </c>
      <c r="F26" s="159" t="s">
        <v>526</v>
      </c>
      <c r="G26" s="160" t="s">
        <v>44</v>
      </c>
      <c r="H26" s="161" t="s">
        <v>1621</v>
      </c>
      <c r="I26" s="162">
        <v>388</v>
      </c>
      <c r="J26" s="260">
        <v>115.1</v>
      </c>
      <c r="K26" s="163">
        <v>113.9</v>
      </c>
      <c r="L26" s="164">
        <f t="shared" si="0"/>
        <v>229</v>
      </c>
      <c r="M26" s="165">
        <f t="shared" si="1"/>
        <v>0.59020618556701032</v>
      </c>
      <c r="N26" s="122"/>
    </row>
    <row r="27" spans="2:17" x14ac:dyDescent="0.25">
      <c r="B27" s="121"/>
      <c r="C27" s="159">
        <v>26</v>
      </c>
      <c r="D27" s="159">
        <v>8</v>
      </c>
      <c r="E27" s="159" t="s">
        <v>68</v>
      </c>
      <c r="F27" s="159" t="s">
        <v>526</v>
      </c>
      <c r="G27" s="160" t="s">
        <v>483</v>
      </c>
      <c r="H27" s="161" t="s">
        <v>1622</v>
      </c>
      <c r="I27" s="162">
        <v>274</v>
      </c>
      <c r="J27" s="159">
        <v>75.7</v>
      </c>
      <c r="K27" s="163">
        <v>74.7</v>
      </c>
      <c r="L27" s="164">
        <f t="shared" si="0"/>
        <v>150.4</v>
      </c>
      <c r="M27" s="165">
        <f t="shared" si="1"/>
        <v>0.54890510948905114</v>
      </c>
      <c r="N27" s="122"/>
    </row>
    <row r="28" spans="2:17" x14ac:dyDescent="0.25">
      <c r="B28" s="121"/>
      <c r="C28" s="159">
        <v>27</v>
      </c>
      <c r="D28" s="159">
        <v>7</v>
      </c>
      <c r="E28" s="159" t="s">
        <v>67</v>
      </c>
      <c r="F28" s="159" t="s">
        <v>526</v>
      </c>
      <c r="G28" s="160" t="s">
        <v>483</v>
      </c>
      <c r="H28" s="161" t="s">
        <v>450</v>
      </c>
      <c r="I28" s="162">
        <v>290</v>
      </c>
      <c r="J28" s="159">
        <v>78.8</v>
      </c>
      <c r="K28" s="163">
        <v>77.900000000000006</v>
      </c>
      <c r="L28" s="164">
        <f t="shared" si="0"/>
        <v>156.69999999999999</v>
      </c>
      <c r="M28" s="165">
        <f t="shared" si="1"/>
        <v>0.54034482758620683</v>
      </c>
      <c r="N28" s="122"/>
    </row>
    <row r="29" spans="2:17" x14ac:dyDescent="0.25">
      <c r="B29" s="121"/>
      <c r="C29" s="160">
        <v>28</v>
      </c>
      <c r="D29" s="160">
        <v>13</v>
      </c>
      <c r="E29" s="160" t="s">
        <v>68</v>
      </c>
      <c r="F29" s="159" t="s">
        <v>526</v>
      </c>
      <c r="G29" s="160" t="s">
        <v>44</v>
      </c>
      <c r="H29" s="161" t="s">
        <v>1623</v>
      </c>
      <c r="I29" s="162">
        <v>437</v>
      </c>
      <c r="J29" s="260">
        <v>134.30000000000001</v>
      </c>
      <c r="K29" s="261">
        <v>133.1</v>
      </c>
      <c r="L29" s="164">
        <f t="shared" si="0"/>
        <v>267.39999999999998</v>
      </c>
      <c r="M29" s="165">
        <f t="shared" si="1"/>
        <v>0.61189931350114413</v>
      </c>
      <c r="N29" s="122"/>
    </row>
    <row r="30" spans="2:17" x14ac:dyDescent="0.25">
      <c r="B30" s="121"/>
      <c r="C30" s="160">
        <v>29</v>
      </c>
      <c r="D30" s="160">
        <v>18</v>
      </c>
      <c r="E30" s="160" t="s">
        <v>75</v>
      </c>
      <c r="F30" s="159" t="s">
        <v>526</v>
      </c>
      <c r="G30" s="160" t="s">
        <v>44</v>
      </c>
      <c r="H30" s="161" t="s">
        <v>1624</v>
      </c>
      <c r="I30" s="162">
        <v>409</v>
      </c>
      <c r="J30" s="260">
        <v>123.8</v>
      </c>
      <c r="K30" s="261">
        <v>123.8</v>
      </c>
      <c r="L30" s="164">
        <f t="shared" si="0"/>
        <v>247.6</v>
      </c>
      <c r="M30" s="165">
        <f t="shared" si="1"/>
        <v>0.60537897310513444</v>
      </c>
      <c r="N30" s="122"/>
    </row>
    <row r="31" spans="2:17" x14ac:dyDescent="0.25">
      <c r="B31" s="121"/>
      <c r="C31" s="159">
        <v>30</v>
      </c>
      <c r="D31" s="159">
        <v>2</v>
      </c>
      <c r="E31" s="159" t="s">
        <v>68</v>
      </c>
      <c r="F31" s="159" t="s">
        <v>526</v>
      </c>
      <c r="G31" s="160" t="s">
        <v>44</v>
      </c>
      <c r="H31" s="161" t="s">
        <v>1625</v>
      </c>
      <c r="I31" s="162">
        <v>380</v>
      </c>
      <c r="J31" s="159">
        <v>112.7</v>
      </c>
      <c r="K31" s="163">
        <v>111.5</v>
      </c>
      <c r="L31" s="164">
        <f t="shared" si="0"/>
        <v>224.2</v>
      </c>
      <c r="M31" s="165">
        <f t="shared" si="1"/>
        <v>0.59</v>
      </c>
      <c r="N31" s="122"/>
    </row>
    <row r="32" spans="2:17" x14ac:dyDescent="0.25">
      <c r="B32" s="121"/>
      <c r="C32" s="159">
        <v>31</v>
      </c>
      <c r="D32" s="159">
        <v>15</v>
      </c>
      <c r="E32" s="159" t="s">
        <v>68</v>
      </c>
      <c r="F32" s="159" t="s">
        <v>526</v>
      </c>
      <c r="G32" s="160" t="s">
        <v>483</v>
      </c>
      <c r="H32" s="161" t="s">
        <v>1626</v>
      </c>
      <c r="I32" s="162">
        <v>333</v>
      </c>
      <c r="J32" s="159">
        <v>92.4</v>
      </c>
      <c r="K32" s="163">
        <v>92.2</v>
      </c>
      <c r="L32" s="164">
        <f t="shared" si="0"/>
        <v>184.60000000000002</v>
      </c>
      <c r="M32" s="165">
        <f t="shared" si="1"/>
        <v>0.55435435435435443</v>
      </c>
      <c r="N32" s="122"/>
      <c r="P32" s="117" t="s">
        <v>1633</v>
      </c>
      <c r="Q32" s="117" t="s">
        <v>1632</v>
      </c>
    </row>
    <row r="33" spans="2:17" x14ac:dyDescent="0.25">
      <c r="B33" s="121"/>
      <c r="C33" s="160">
        <v>32</v>
      </c>
      <c r="D33" s="160">
        <v>4</v>
      </c>
      <c r="E33" s="160" t="s">
        <v>68</v>
      </c>
      <c r="F33" s="159" t="s">
        <v>526</v>
      </c>
      <c r="G33" s="160" t="s">
        <v>44</v>
      </c>
      <c r="H33" s="161" t="s">
        <v>1627</v>
      </c>
      <c r="I33" s="162">
        <v>444</v>
      </c>
      <c r="J33" s="260">
        <v>139.5</v>
      </c>
      <c r="K33" s="261">
        <v>140</v>
      </c>
      <c r="L33" s="164">
        <f t="shared" si="0"/>
        <v>279.5</v>
      </c>
      <c r="M33" s="165">
        <f t="shared" si="1"/>
        <v>0.62950450450450446</v>
      </c>
      <c r="N33" s="122"/>
      <c r="P33" s="117">
        <v>21</v>
      </c>
      <c r="Q33" s="117">
        <v>1954</v>
      </c>
    </row>
    <row r="34" spans="2:17" x14ac:dyDescent="0.25">
      <c r="B34" s="121"/>
      <c r="C34" s="159">
        <v>33</v>
      </c>
      <c r="D34" s="159">
        <v>12</v>
      </c>
      <c r="E34" s="159" t="s">
        <v>68</v>
      </c>
      <c r="F34" s="159" t="s">
        <v>526</v>
      </c>
      <c r="G34" s="160" t="s">
        <v>483</v>
      </c>
      <c r="H34" s="161" t="s">
        <v>1628</v>
      </c>
      <c r="I34" s="162">
        <v>327</v>
      </c>
      <c r="J34" s="159">
        <v>86.5</v>
      </c>
      <c r="K34" s="166">
        <v>85.8</v>
      </c>
      <c r="L34" s="164">
        <f t="shared" si="0"/>
        <v>172.3</v>
      </c>
      <c r="M34" s="167">
        <f t="shared" si="1"/>
        <v>0.52691131498470956</v>
      </c>
      <c r="N34" s="122"/>
    </row>
    <row r="35" spans="2:17" x14ac:dyDescent="0.25">
      <c r="B35" s="121"/>
      <c r="C35" s="159">
        <v>34</v>
      </c>
      <c r="D35" s="159">
        <v>17</v>
      </c>
      <c r="E35" s="159" t="s">
        <v>67</v>
      </c>
      <c r="F35" s="159" t="s">
        <v>526</v>
      </c>
      <c r="G35" s="160" t="s">
        <v>44</v>
      </c>
      <c r="H35" s="161" t="s">
        <v>1629</v>
      </c>
      <c r="I35" s="162">
        <v>399</v>
      </c>
      <c r="J35" s="260">
        <v>118.3</v>
      </c>
      <c r="K35" s="261">
        <v>117.4</v>
      </c>
      <c r="L35" s="164">
        <f t="shared" si="0"/>
        <v>235.7</v>
      </c>
      <c r="M35" s="165">
        <f t="shared" si="1"/>
        <v>0.59072681704260643</v>
      </c>
      <c r="N35" s="122"/>
    </row>
    <row r="36" spans="2:17" x14ac:dyDescent="0.25">
      <c r="B36" s="121"/>
      <c r="C36" s="159">
        <v>35</v>
      </c>
      <c r="D36" s="159">
        <v>16</v>
      </c>
      <c r="E36" s="159" t="s">
        <v>75</v>
      </c>
      <c r="F36" s="159" t="s">
        <v>526</v>
      </c>
      <c r="G36" s="160" t="s">
        <v>44</v>
      </c>
      <c r="H36" s="161" t="s">
        <v>970</v>
      </c>
      <c r="I36" s="162">
        <v>434</v>
      </c>
      <c r="J36" s="260">
        <v>127.4</v>
      </c>
      <c r="K36" s="261">
        <v>126.3</v>
      </c>
      <c r="L36" s="164">
        <f t="shared" si="0"/>
        <v>253.7</v>
      </c>
      <c r="M36" s="165">
        <f t="shared" si="1"/>
        <v>0.58456221198156677</v>
      </c>
      <c r="N36" s="122"/>
    </row>
    <row r="37" spans="2:17" x14ac:dyDescent="0.25">
      <c r="B37" s="121"/>
      <c r="C37" s="159">
        <v>36</v>
      </c>
      <c r="D37" s="159">
        <v>14</v>
      </c>
      <c r="E37" s="159" t="s">
        <v>68</v>
      </c>
      <c r="F37" s="159" t="s">
        <v>526</v>
      </c>
      <c r="G37" s="160" t="s">
        <v>44</v>
      </c>
      <c r="H37" s="161" t="s">
        <v>1630</v>
      </c>
      <c r="I37" s="162">
        <v>363</v>
      </c>
      <c r="J37" s="159">
        <v>109.4</v>
      </c>
      <c r="K37" s="163">
        <v>109.8</v>
      </c>
      <c r="L37" s="164">
        <f t="shared" si="0"/>
        <v>219.2</v>
      </c>
      <c r="M37" s="165">
        <f t="shared" si="1"/>
        <v>0.60385674931129474</v>
      </c>
      <c r="N37" s="122"/>
    </row>
    <row r="38" spans="2:17" x14ac:dyDescent="0.25">
      <c r="B38" s="121"/>
      <c r="C38" s="159">
        <v>37</v>
      </c>
      <c r="D38" s="159">
        <v>1</v>
      </c>
      <c r="E38" s="159" t="s">
        <v>75</v>
      </c>
      <c r="F38" s="159" t="s">
        <v>526</v>
      </c>
      <c r="G38" s="159" t="s">
        <v>44</v>
      </c>
      <c r="H38" s="168" t="s">
        <v>95</v>
      </c>
      <c r="I38" s="169">
        <v>412</v>
      </c>
      <c r="J38" s="260">
        <v>125.9</v>
      </c>
      <c r="K38" s="261">
        <v>126.4</v>
      </c>
      <c r="L38" s="164">
        <f t="shared" si="0"/>
        <v>252.3</v>
      </c>
      <c r="M38" s="165">
        <f t="shared" si="1"/>
        <v>0.61237864077669901</v>
      </c>
      <c r="N38" s="122"/>
    </row>
    <row r="39" spans="2:17" x14ac:dyDescent="0.25">
      <c r="B39" s="121"/>
      <c r="C39" s="159">
        <v>38</v>
      </c>
      <c r="D39" s="159">
        <v>6</v>
      </c>
      <c r="E39" s="159" t="s">
        <v>68</v>
      </c>
      <c r="F39" s="159" t="s">
        <v>526</v>
      </c>
      <c r="G39" s="160" t="s">
        <v>44</v>
      </c>
      <c r="H39" s="161" t="s">
        <v>1460</v>
      </c>
      <c r="I39" s="162">
        <v>356</v>
      </c>
      <c r="J39" s="159">
        <v>106.9</v>
      </c>
      <c r="K39" s="163">
        <v>106.8</v>
      </c>
      <c r="L39" s="164">
        <f t="shared" si="0"/>
        <v>213.7</v>
      </c>
      <c r="M39" s="165">
        <f t="shared" si="1"/>
        <v>0.60028089887640446</v>
      </c>
      <c r="N39" s="122"/>
    </row>
    <row r="40" spans="2:17" x14ac:dyDescent="0.25">
      <c r="B40" s="121"/>
      <c r="C40" s="159">
        <v>39</v>
      </c>
      <c r="D40" s="159">
        <v>10</v>
      </c>
      <c r="E40" s="159" t="s">
        <v>68</v>
      </c>
      <c r="F40" s="159" t="s">
        <v>526</v>
      </c>
      <c r="G40" s="160" t="s">
        <v>44</v>
      </c>
      <c r="H40" s="161" t="s">
        <v>1631</v>
      </c>
      <c r="I40" s="162">
        <v>399</v>
      </c>
      <c r="J40" s="260">
        <v>116.2</v>
      </c>
      <c r="K40" s="261">
        <v>117.2</v>
      </c>
      <c r="L40" s="164">
        <f t="shared" si="0"/>
        <v>233.4</v>
      </c>
      <c r="M40" s="165">
        <f t="shared" si="1"/>
        <v>0.58496240601503757</v>
      </c>
      <c r="N40" s="122"/>
    </row>
    <row r="41" spans="2:17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7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7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7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7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7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7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7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306"/>
      <c r="D66" s="306">
        <f>+COUNT($D$22:$D$65)</f>
        <v>18</v>
      </c>
      <c r="E66" s="306"/>
      <c r="F66" s="373"/>
      <c r="G66" s="373"/>
      <c r="H66" s="149"/>
      <c r="I66" s="148">
        <f>SUM($I$22:$I$65)</f>
        <v>6551</v>
      </c>
      <c r="J66" s="150">
        <f>SUM($J$22:$J$65)</f>
        <v>1923.6000000000004</v>
      </c>
      <c r="K66" s="151">
        <f>SUM($K$22:$K$65)</f>
        <v>1915.1000000000001</v>
      </c>
      <c r="L66" s="148">
        <f>SUM($L$22:$L$65)</f>
        <v>3838.7</v>
      </c>
      <c r="M66" s="178">
        <f t="shared" si="1"/>
        <v>0.58597160738818499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34.58</v>
      </c>
      <c r="I71" s="119">
        <v>33.379999999999995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18</v>
      </c>
      <c r="I72" s="119">
        <v>24.68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18</v>
      </c>
      <c r="I73" s="119">
        <v>87.8</v>
      </c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18</v>
      </c>
      <c r="I74" s="119">
        <v>18.64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9.4</v>
      </c>
      <c r="I75" s="119">
        <v>8.9600000000000009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36</v>
      </c>
      <c r="I76" s="119">
        <v>14.8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72</v>
      </c>
      <c r="I77" s="119">
        <v>10.1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18</v>
      </c>
      <c r="I78" s="119">
        <v>14.72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18</v>
      </c>
      <c r="I79" s="119">
        <v>12.78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22.82</v>
      </c>
      <c r="I80" s="119">
        <v>21.72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18</v>
      </c>
      <c r="I81" s="119">
        <v>17.36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18</v>
      </c>
      <c r="I82" s="119">
        <v>5.56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10</v>
      </c>
      <c r="I83" s="119">
        <v>9.3000000000000007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279.8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18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21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102"/>
  <sheetViews>
    <sheetView view="pageBreakPreview" topLeftCell="A73" zoomScale="60" zoomScaleNormal="90" workbookViewId="0">
      <selection activeCell="I90" sqref="I90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+M73</f>
        <v>0.59061702046571896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+L73/D73</f>
        <v>309.94400000000002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303</v>
      </c>
      <c r="F8" s="344"/>
      <c r="G8" s="344"/>
      <c r="H8" s="345"/>
      <c r="I8" s="146" t="s">
        <v>487</v>
      </c>
      <c r="J8" s="346" t="s">
        <v>1673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45003</v>
      </c>
      <c r="F9" s="344"/>
      <c r="G9" s="344"/>
      <c r="H9" s="345"/>
      <c r="I9" s="146" t="s">
        <v>88</v>
      </c>
      <c r="J9" s="209" t="s">
        <v>1674</v>
      </c>
      <c r="K9" s="313" t="s">
        <v>490</v>
      </c>
      <c r="L9" s="369">
        <v>9140774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311" t="s">
        <v>569</v>
      </c>
      <c r="E12" s="384">
        <v>46077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86</v>
      </c>
      <c r="F13" s="349"/>
      <c r="H13" s="117"/>
      <c r="I13" s="123"/>
      <c r="J13" s="215" t="s">
        <v>483</v>
      </c>
      <c r="K13" s="312">
        <f>+COUNTIF($G$22:$G$73,"VQ")*2</f>
        <v>42</v>
      </c>
      <c r="L13" s="312">
        <f>+SUMIF($G$23:$G$72,"VQ",$L$23:$L$72)</f>
        <v>6053.9999999999991</v>
      </c>
      <c r="N13" s="122"/>
    </row>
    <row r="14" spans="2:14" x14ac:dyDescent="0.25">
      <c r="B14" s="121"/>
      <c r="C14" s="348" t="s">
        <v>478</v>
      </c>
      <c r="D14" s="348"/>
      <c r="E14" s="350">
        <f>+D73</f>
        <v>50</v>
      </c>
      <c r="F14" s="350"/>
      <c r="H14" s="117"/>
      <c r="I14" s="123"/>
      <c r="J14" s="215" t="s">
        <v>42</v>
      </c>
      <c r="K14" s="312">
        <f>+COUNTIF($G$22:$G$73,"NT")*2</f>
        <v>58</v>
      </c>
      <c r="L14" s="312">
        <f>+SUMIF($G$23:$G$72,"NT",$L$23:$L$72)</f>
        <v>9443.1999999999989</v>
      </c>
      <c r="N14" s="122"/>
    </row>
    <row r="15" spans="2:14" x14ac:dyDescent="0.25">
      <c r="B15" s="121"/>
      <c r="C15" s="348" t="s">
        <v>479</v>
      </c>
      <c r="D15" s="348"/>
      <c r="E15" s="351">
        <f>+I73</f>
        <v>26239</v>
      </c>
      <c r="F15" s="350"/>
      <c r="H15" s="117"/>
      <c r="I15" s="123"/>
      <c r="J15" s="215" t="s">
        <v>484</v>
      </c>
      <c r="K15" s="312">
        <f>+COUNTIF($G$22:$G$73,"NO")*2</f>
        <v>0</v>
      </c>
      <c r="L15" s="312">
        <f>+SUMIF($G$23:$G$72,"NO",$L$23:$L$72)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+L73</f>
        <v>15497.2</v>
      </c>
      <c r="F16" s="350"/>
      <c r="H16" s="117"/>
      <c r="I16" s="123"/>
      <c r="J16" s="215" t="s">
        <v>485</v>
      </c>
      <c r="K16" s="312">
        <f>+COUNTIF($G$22:$G$73,"TO")*2</f>
        <v>0</v>
      </c>
      <c r="L16" s="312">
        <f>+SUMIF($G$23:$G$72,"TO",$L$23:$L$72)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+M73</f>
        <v>0.59061702046571896</v>
      </c>
      <c r="F17" s="350"/>
      <c r="G17" s="124"/>
      <c r="H17" s="125"/>
      <c r="I17" s="123"/>
      <c r="J17" s="215" t="s">
        <v>486</v>
      </c>
      <c r="K17" s="312">
        <f>+COUNTIF($G$22:$G$73,"VA")*2</f>
        <v>0</v>
      </c>
      <c r="L17" s="312">
        <f>+SUMIF($G$23:$G$72,"VA",$L$23:$L$72)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+L73/D73</f>
        <v>309.94400000000002</v>
      </c>
      <c r="F18" s="353"/>
      <c r="G18" s="124"/>
      <c r="H18" s="125"/>
      <c r="I18" s="123"/>
      <c r="J18" s="215" t="s">
        <v>44</v>
      </c>
      <c r="K18" s="312">
        <f>+COUNTIF($G$22:$G$73,"MEJ")*2</f>
        <v>0</v>
      </c>
      <c r="L18" s="312">
        <f>+SUMIF($G$23:$G$72,"MEJ",$L$23:$L$72)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</v>
      </c>
      <c r="D23" s="152">
        <v>11</v>
      </c>
      <c r="E23" s="152" t="s">
        <v>68</v>
      </c>
      <c r="F23" s="152" t="s">
        <v>130</v>
      </c>
      <c r="G23" s="153" t="s">
        <v>42</v>
      </c>
      <c r="H23" s="154" t="s">
        <v>978</v>
      </c>
      <c r="I23" s="155">
        <v>522</v>
      </c>
      <c r="J23" s="152">
        <v>156.5</v>
      </c>
      <c r="K23" s="156">
        <v>153.4</v>
      </c>
      <c r="L23" s="157">
        <f t="shared" ref="L23:L72" si="0">+J23+K23</f>
        <v>309.89999999999998</v>
      </c>
      <c r="M23" s="158">
        <f t="shared" ref="M23:M73" si="1">+L23/I23</f>
        <v>0.59367816091954018</v>
      </c>
      <c r="N23" s="122"/>
    </row>
    <row r="24" spans="2:14" x14ac:dyDescent="0.25">
      <c r="B24" s="121"/>
      <c r="C24" s="159">
        <v>2</v>
      </c>
      <c r="D24" s="159">
        <v>3</v>
      </c>
      <c r="E24" s="159" t="s">
        <v>67</v>
      </c>
      <c r="F24" s="159" t="s">
        <v>62</v>
      </c>
      <c r="G24" s="160" t="s">
        <v>483</v>
      </c>
      <c r="H24" s="161" t="s">
        <v>1634</v>
      </c>
      <c r="I24" s="162">
        <v>488</v>
      </c>
      <c r="J24" s="159">
        <v>147.1</v>
      </c>
      <c r="K24" s="163">
        <v>148</v>
      </c>
      <c r="L24" s="164">
        <f t="shared" si="0"/>
        <v>295.10000000000002</v>
      </c>
      <c r="M24" s="165">
        <f t="shared" si="1"/>
        <v>0.60471311475409839</v>
      </c>
      <c r="N24" s="122"/>
    </row>
    <row r="25" spans="2:14" x14ac:dyDescent="0.25">
      <c r="B25" s="121"/>
      <c r="C25" s="159">
        <v>3</v>
      </c>
      <c r="D25" s="159">
        <v>19</v>
      </c>
      <c r="E25" s="159" t="s">
        <v>67</v>
      </c>
      <c r="F25" s="159" t="s">
        <v>130</v>
      </c>
      <c r="G25" s="160" t="s">
        <v>42</v>
      </c>
      <c r="H25" s="161" t="s">
        <v>1635</v>
      </c>
      <c r="I25" s="162">
        <v>512</v>
      </c>
      <c r="J25" s="159">
        <v>154.19999999999999</v>
      </c>
      <c r="K25" s="163">
        <v>153.9</v>
      </c>
      <c r="L25" s="164">
        <f t="shared" si="0"/>
        <v>308.10000000000002</v>
      </c>
      <c r="M25" s="165">
        <f t="shared" si="1"/>
        <v>0.60175781250000004</v>
      </c>
      <c r="N25" s="122"/>
    </row>
    <row r="26" spans="2:14" x14ac:dyDescent="0.25">
      <c r="B26" s="121"/>
      <c r="C26" s="159">
        <v>4</v>
      </c>
      <c r="D26" s="159">
        <v>10</v>
      </c>
      <c r="E26" s="159" t="s">
        <v>67</v>
      </c>
      <c r="F26" s="159" t="s">
        <v>62</v>
      </c>
      <c r="G26" s="160" t="s">
        <v>483</v>
      </c>
      <c r="H26" s="161" t="s">
        <v>1636</v>
      </c>
      <c r="I26" s="162">
        <v>454</v>
      </c>
      <c r="J26" s="159">
        <v>132</v>
      </c>
      <c r="K26" s="163">
        <v>130.9</v>
      </c>
      <c r="L26" s="164">
        <f t="shared" si="0"/>
        <v>262.89999999999998</v>
      </c>
      <c r="M26" s="165">
        <f t="shared" si="1"/>
        <v>0.57907488986784139</v>
      </c>
      <c r="N26" s="122"/>
    </row>
    <row r="27" spans="2:14" x14ac:dyDescent="0.25">
      <c r="B27" s="121"/>
      <c r="C27" s="159">
        <v>5</v>
      </c>
      <c r="D27" s="159">
        <v>25</v>
      </c>
      <c r="E27" s="159" t="s">
        <v>67</v>
      </c>
      <c r="F27" s="159" t="s">
        <v>62</v>
      </c>
      <c r="G27" s="160" t="s">
        <v>483</v>
      </c>
      <c r="H27" s="161" t="s">
        <v>275</v>
      </c>
      <c r="I27" s="162">
        <v>424</v>
      </c>
      <c r="J27" s="159">
        <v>124.8</v>
      </c>
      <c r="K27" s="163">
        <v>125.6</v>
      </c>
      <c r="L27" s="164">
        <f t="shared" si="0"/>
        <v>250.39999999999998</v>
      </c>
      <c r="M27" s="165">
        <f t="shared" si="1"/>
        <v>0.59056603773584904</v>
      </c>
      <c r="N27" s="122"/>
    </row>
    <row r="28" spans="2:14" x14ac:dyDescent="0.25">
      <c r="B28" s="121"/>
      <c r="C28" s="159">
        <v>6</v>
      </c>
      <c r="D28" s="159">
        <v>2</v>
      </c>
      <c r="E28" s="159" t="s">
        <v>67</v>
      </c>
      <c r="F28" s="159" t="s">
        <v>62</v>
      </c>
      <c r="G28" s="160" t="s">
        <v>483</v>
      </c>
      <c r="H28" s="161" t="s">
        <v>1637</v>
      </c>
      <c r="I28" s="162">
        <v>556</v>
      </c>
      <c r="J28" s="159">
        <v>159.80000000000001</v>
      </c>
      <c r="K28" s="163">
        <v>160.9</v>
      </c>
      <c r="L28" s="164">
        <f t="shared" si="0"/>
        <v>320.70000000000005</v>
      </c>
      <c r="M28" s="165">
        <f t="shared" si="1"/>
        <v>0.57679856115107919</v>
      </c>
      <c r="N28" s="122"/>
    </row>
    <row r="29" spans="2:14" x14ac:dyDescent="0.25">
      <c r="B29" s="121"/>
      <c r="C29" s="160">
        <v>7</v>
      </c>
      <c r="D29" s="160">
        <v>6</v>
      </c>
      <c r="E29" s="160" t="s">
        <v>67</v>
      </c>
      <c r="F29" s="160" t="s">
        <v>130</v>
      </c>
      <c r="G29" s="160" t="s">
        <v>42</v>
      </c>
      <c r="H29" s="161" t="s">
        <v>1638</v>
      </c>
      <c r="I29" s="162">
        <v>534</v>
      </c>
      <c r="J29" s="159">
        <v>166.6</v>
      </c>
      <c r="K29" s="163">
        <v>161.69999999999999</v>
      </c>
      <c r="L29" s="164">
        <f t="shared" si="0"/>
        <v>328.29999999999995</v>
      </c>
      <c r="M29" s="165">
        <f t="shared" si="1"/>
        <v>0.61479400749063662</v>
      </c>
      <c r="N29" s="122"/>
    </row>
    <row r="30" spans="2:14" x14ac:dyDescent="0.25">
      <c r="B30" s="121"/>
      <c r="C30" s="160">
        <v>8</v>
      </c>
      <c r="D30" s="160">
        <v>12</v>
      </c>
      <c r="E30" s="160" t="s">
        <v>75</v>
      </c>
      <c r="F30" s="160" t="s">
        <v>62</v>
      </c>
      <c r="G30" s="160" t="s">
        <v>483</v>
      </c>
      <c r="H30" s="161" t="s">
        <v>1639</v>
      </c>
      <c r="I30" s="162">
        <v>476</v>
      </c>
      <c r="J30" s="159">
        <v>141.80000000000001</v>
      </c>
      <c r="K30" s="163">
        <v>142.30000000000001</v>
      </c>
      <c r="L30" s="164">
        <f t="shared" si="0"/>
        <v>284.10000000000002</v>
      </c>
      <c r="M30" s="165">
        <f t="shared" si="1"/>
        <v>0.59684873949579842</v>
      </c>
      <c r="N30" s="122"/>
    </row>
    <row r="31" spans="2:14" x14ac:dyDescent="0.25">
      <c r="B31" s="121"/>
      <c r="C31" s="159">
        <v>9</v>
      </c>
      <c r="D31" s="159">
        <v>28</v>
      </c>
      <c r="E31" s="159" t="s">
        <v>67</v>
      </c>
      <c r="F31" s="159" t="s">
        <v>130</v>
      </c>
      <c r="G31" s="160" t="s">
        <v>42</v>
      </c>
      <c r="H31" s="161" t="s">
        <v>1401</v>
      </c>
      <c r="I31" s="162">
        <v>614</v>
      </c>
      <c r="J31" s="159">
        <v>177.6</v>
      </c>
      <c r="K31" s="163">
        <v>177.3</v>
      </c>
      <c r="L31" s="164">
        <f t="shared" si="0"/>
        <v>354.9</v>
      </c>
      <c r="M31" s="165">
        <f t="shared" si="1"/>
        <v>0.57801302931596088</v>
      </c>
      <c r="N31" s="122"/>
    </row>
    <row r="32" spans="2:14" x14ac:dyDescent="0.25">
      <c r="B32" s="121"/>
      <c r="C32" s="159">
        <v>10</v>
      </c>
      <c r="D32" s="159">
        <v>20</v>
      </c>
      <c r="E32" s="159" t="s">
        <v>67</v>
      </c>
      <c r="F32" s="159" t="s">
        <v>130</v>
      </c>
      <c r="G32" s="160" t="s">
        <v>42</v>
      </c>
      <c r="H32" s="161" t="s">
        <v>1640</v>
      </c>
      <c r="I32" s="162">
        <v>508</v>
      </c>
      <c r="J32" s="159">
        <v>147</v>
      </c>
      <c r="K32" s="163">
        <v>144.30000000000001</v>
      </c>
      <c r="L32" s="164">
        <f t="shared" si="0"/>
        <v>291.3</v>
      </c>
      <c r="M32" s="165">
        <f t="shared" si="1"/>
        <v>0.57342519685039373</v>
      </c>
      <c r="N32" s="122"/>
    </row>
    <row r="33" spans="2:14" x14ac:dyDescent="0.25">
      <c r="B33" s="121"/>
      <c r="C33" s="160">
        <v>11</v>
      </c>
      <c r="D33" s="160">
        <v>15</v>
      </c>
      <c r="E33" s="160" t="s">
        <v>67</v>
      </c>
      <c r="F33" s="160" t="s">
        <v>62</v>
      </c>
      <c r="G33" s="160" t="s">
        <v>483</v>
      </c>
      <c r="H33" s="161" t="s">
        <v>1641</v>
      </c>
      <c r="I33" s="162">
        <v>443</v>
      </c>
      <c r="J33" s="159">
        <v>125.4</v>
      </c>
      <c r="K33" s="163">
        <v>127</v>
      </c>
      <c r="L33" s="164">
        <f t="shared" si="0"/>
        <v>252.4</v>
      </c>
      <c r="M33" s="165">
        <f t="shared" si="1"/>
        <v>0.56975169300225736</v>
      </c>
      <c r="N33" s="122"/>
    </row>
    <row r="34" spans="2:14" x14ac:dyDescent="0.25">
      <c r="B34" s="121"/>
      <c r="C34" s="159">
        <v>12</v>
      </c>
      <c r="D34" s="159">
        <v>21</v>
      </c>
      <c r="E34" s="159" t="s">
        <v>68</v>
      </c>
      <c r="F34" s="159" t="s">
        <v>130</v>
      </c>
      <c r="G34" s="160" t="s">
        <v>42</v>
      </c>
      <c r="H34" s="161" t="s">
        <v>1642</v>
      </c>
      <c r="I34" s="162">
        <v>578</v>
      </c>
      <c r="J34" s="159">
        <v>171.2</v>
      </c>
      <c r="K34" s="166">
        <v>175.3</v>
      </c>
      <c r="L34" s="164">
        <f t="shared" si="0"/>
        <v>346.5</v>
      </c>
      <c r="M34" s="167">
        <f t="shared" si="1"/>
        <v>0.59948096885813151</v>
      </c>
      <c r="N34" s="122"/>
    </row>
    <row r="35" spans="2:14" x14ac:dyDescent="0.25">
      <c r="B35" s="121"/>
      <c r="C35" s="159">
        <v>13</v>
      </c>
      <c r="D35" s="159">
        <v>26</v>
      </c>
      <c r="E35" s="159" t="s">
        <v>67</v>
      </c>
      <c r="F35" s="159" t="s">
        <v>130</v>
      </c>
      <c r="G35" s="160" t="s">
        <v>42</v>
      </c>
      <c r="H35" s="161" t="s">
        <v>654</v>
      </c>
      <c r="I35" s="162">
        <v>504</v>
      </c>
      <c r="J35" s="159">
        <v>145.80000000000001</v>
      </c>
      <c r="K35" s="163">
        <v>144</v>
      </c>
      <c r="L35" s="164">
        <f t="shared" si="0"/>
        <v>289.8</v>
      </c>
      <c r="M35" s="165">
        <f t="shared" si="1"/>
        <v>0.57500000000000007</v>
      </c>
      <c r="N35" s="122"/>
    </row>
    <row r="36" spans="2:14" x14ac:dyDescent="0.25">
      <c r="B36" s="121"/>
      <c r="C36" s="159">
        <v>14</v>
      </c>
      <c r="D36" s="159">
        <v>18</v>
      </c>
      <c r="E36" s="159" t="s">
        <v>67</v>
      </c>
      <c r="F36" s="159" t="s">
        <v>62</v>
      </c>
      <c r="G36" s="160" t="s">
        <v>483</v>
      </c>
      <c r="H36" s="161" t="s">
        <v>1643</v>
      </c>
      <c r="I36" s="162">
        <v>508</v>
      </c>
      <c r="J36" s="159">
        <v>149.19999999999999</v>
      </c>
      <c r="K36" s="163">
        <v>147.19999999999999</v>
      </c>
      <c r="L36" s="164">
        <f t="shared" si="0"/>
        <v>296.39999999999998</v>
      </c>
      <c r="M36" s="165">
        <f t="shared" si="1"/>
        <v>0.58346456692913384</v>
      </c>
      <c r="N36" s="122"/>
    </row>
    <row r="37" spans="2:14" x14ac:dyDescent="0.25">
      <c r="B37" s="121"/>
      <c r="C37" s="159">
        <v>15</v>
      </c>
      <c r="D37" s="159">
        <v>22</v>
      </c>
      <c r="E37" s="159" t="s">
        <v>68</v>
      </c>
      <c r="F37" s="159" t="s">
        <v>130</v>
      </c>
      <c r="G37" s="160" t="s">
        <v>42</v>
      </c>
      <c r="H37" s="161" t="s">
        <v>1644</v>
      </c>
      <c r="I37" s="162">
        <v>604</v>
      </c>
      <c r="J37" s="159">
        <v>179.4</v>
      </c>
      <c r="K37" s="163">
        <v>177.1</v>
      </c>
      <c r="L37" s="164">
        <f t="shared" si="0"/>
        <v>356.5</v>
      </c>
      <c r="M37" s="165">
        <f t="shared" si="1"/>
        <v>0.59023178807947019</v>
      </c>
      <c r="N37" s="122"/>
    </row>
    <row r="38" spans="2:14" x14ac:dyDescent="0.25">
      <c r="B38" s="121"/>
      <c r="C38" s="159">
        <v>16</v>
      </c>
      <c r="D38" s="159">
        <v>23</v>
      </c>
      <c r="E38" s="159" t="s">
        <v>67</v>
      </c>
      <c r="F38" s="159" t="s">
        <v>62</v>
      </c>
      <c r="G38" s="159" t="s">
        <v>483</v>
      </c>
      <c r="H38" s="168" t="s">
        <v>1645</v>
      </c>
      <c r="I38" s="169">
        <v>497</v>
      </c>
      <c r="J38" s="159">
        <v>146.9</v>
      </c>
      <c r="K38" s="163">
        <v>146.1</v>
      </c>
      <c r="L38" s="164">
        <f t="shared" si="0"/>
        <v>293</v>
      </c>
      <c r="M38" s="165">
        <f t="shared" si="1"/>
        <v>0.58953722334004022</v>
      </c>
      <c r="N38" s="122"/>
    </row>
    <row r="39" spans="2:14" x14ac:dyDescent="0.25">
      <c r="B39" s="121"/>
      <c r="C39" s="159">
        <v>17</v>
      </c>
      <c r="D39" s="159">
        <v>5</v>
      </c>
      <c r="E39" s="159" t="s">
        <v>68</v>
      </c>
      <c r="F39" s="159" t="s">
        <v>130</v>
      </c>
      <c r="G39" s="160" t="s">
        <v>42</v>
      </c>
      <c r="H39" s="161" t="s">
        <v>1646</v>
      </c>
      <c r="I39" s="162">
        <v>552</v>
      </c>
      <c r="J39" s="159">
        <v>167.9</v>
      </c>
      <c r="K39" s="163">
        <v>169.9</v>
      </c>
      <c r="L39" s="164">
        <f t="shared" si="0"/>
        <v>337.8</v>
      </c>
      <c r="M39" s="165">
        <f t="shared" si="1"/>
        <v>0.61195652173913051</v>
      </c>
      <c r="N39" s="122"/>
    </row>
    <row r="40" spans="2:14" x14ac:dyDescent="0.25">
      <c r="B40" s="121"/>
      <c r="C40" s="159">
        <v>18</v>
      </c>
      <c r="D40" s="159">
        <v>1</v>
      </c>
      <c r="E40" s="159" t="s">
        <v>75</v>
      </c>
      <c r="F40" s="159" t="s">
        <v>130</v>
      </c>
      <c r="G40" s="160" t="s">
        <v>42</v>
      </c>
      <c r="H40" s="161" t="s">
        <v>1647</v>
      </c>
      <c r="I40" s="162">
        <v>580</v>
      </c>
      <c r="J40" s="159">
        <v>171.6</v>
      </c>
      <c r="K40" s="163">
        <v>171.2</v>
      </c>
      <c r="L40" s="164">
        <f t="shared" si="0"/>
        <v>342.79999999999995</v>
      </c>
      <c r="M40" s="165">
        <f t="shared" si="1"/>
        <v>0.59103448275862058</v>
      </c>
      <c r="N40" s="122"/>
    </row>
    <row r="41" spans="2:14" x14ac:dyDescent="0.25">
      <c r="B41" s="121"/>
      <c r="C41" s="159">
        <v>19</v>
      </c>
      <c r="D41" s="159">
        <v>14</v>
      </c>
      <c r="E41" s="159" t="s">
        <v>67</v>
      </c>
      <c r="F41" s="159" t="s">
        <v>130</v>
      </c>
      <c r="G41" s="160" t="s">
        <v>42</v>
      </c>
      <c r="H41" s="161" t="s">
        <v>1648</v>
      </c>
      <c r="I41" s="162">
        <v>582</v>
      </c>
      <c r="J41" s="159">
        <v>174.6</v>
      </c>
      <c r="K41" s="163">
        <v>174.5</v>
      </c>
      <c r="L41" s="164">
        <f t="shared" si="0"/>
        <v>349.1</v>
      </c>
      <c r="M41" s="165">
        <f t="shared" si="1"/>
        <v>0.59982817869415817</v>
      </c>
      <c r="N41" s="122"/>
    </row>
    <row r="42" spans="2:14" x14ac:dyDescent="0.25">
      <c r="B42" s="121"/>
      <c r="C42" s="160">
        <v>20</v>
      </c>
      <c r="D42" s="160">
        <v>7</v>
      </c>
      <c r="E42" s="160" t="s">
        <v>68</v>
      </c>
      <c r="F42" s="160" t="s">
        <v>130</v>
      </c>
      <c r="G42" s="160" t="s">
        <v>42</v>
      </c>
      <c r="H42" s="161" t="s">
        <v>1649</v>
      </c>
      <c r="I42" s="162">
        <v>568</v>
      </c>
      <c r="J42" s="159">
        <v>165.5</v>
      </c>
      <c r="K42" s="163">
        <v>164</v>
      </c>
      <c r="L42" s="164">
        <f t="shared" si="0"/>
        <v>329.5</v>
      </c>
      <c r="M42" s="165">
        <f t="shared" si="1"/>
        <v>0.58010563380281688</v>
      </c>
      <c r="N42" s="122"/>
    </row>
    <row r="43" spans="2:14" x14ac:dyDescent="0.25">
      <c r="B43" s="121"/>
      <c r="C43" s="159">
        <v>21</v>
      </c>
      <c r="D43" s="159">
        <v>8</v>
      </c>
      <c r="E43" s="159" t="s">
        <v>68</v>
      </c>
      <c r="F43" s="159" t="s">
        <v>130</v>
      </c>
      <c r="G43" s="160" t="s">
        <v>42</v>
      </c>
      <c r="H43" s="161" t="s">
        <v>1650</v>
      </c>
      <c r="I43" s="162">
        <v>576</v>
      </c>
      <c r="J43" s="159">
        <v>174.4</v>
      </c>
      <c r="K43" s="163">
        <v>171.6</v>
      </c>
      <c r="L43" s="164">
        <f t="shared" si="0"/>
        <v>346</v>
      </c>
      <c r="M43" s="165">
        <f t="shared" si="1"/>
        <v>0.60069444444444442</v>
      </c>
      <c r="N43" s="122"/>
    </row>
    <row r="44" spans="2:14" x14ac:dyDescent="0.25">
      <c r="B44" s="121"/>
      <c r="C44" s="160">
        <v>22</v>
      </c>
      <c r="D44" s="160">
        <v>24</v>
      </c>
      <c r="E44" s="160" t="s">
        <v>68</v>
      </c>
      <c r="F44" s="160" t="s">
        <v>130</v>
      </c>
      <c r="G44" s="160" t="s">
        <v>42</v>
      </c>
      <c r="H44" s="161" t="s">
        <v>429</v>
      </c>
      <c r="I44" s="162">
        <v>508</v>
      </c>
      <c r="J44" s="159">
        <v>150.9</v>
      </c>
      <c r="K44" s="163">
        <v>149.5</v>
      </c>
      <c r="L44" s="164">
        <f t="shared" si="0"/>
        <v>300.39999999999998</v>
      </c>
      <c r="M44" s="165">
        <f t="shared" si="1"/>
        <v>0.59133858267716533</v>
      </c>
      <c r="N44" s="122"/>
    </row>
    <row r="45" spans="2:14" x14ac:dyDescent="0.25">
      <c r="B45" s="121"/>
      <c r="C45" s="160">
        <v>23</v>
      </c>
      <c r="D45" s="160">
        <v>16</v>
      </c>
      <c r="E45" s="160" t="s">
        <v>67</v>
      </c>
      <c r="F45" s="160" t="s">
        <v>130</v>
      </c>
      <c r="G45" s="160" t="s">
        <v>42</v>
      </c>
      <c r="H45" s="161" t="s">
        <v>1651</v>
      </c>
      <c r="I45" s="162">
        <v>548</v>
      </c>
      <c r="J45" s="159">
        <v>160.80000000000001</v>
      </c>
      <c r="K45" s="163">
        <v>162.69999999999999</v>
      </c>
      <c r="L45" s="164">
        <f t="shared" si="0"/>
        <v>323.5</v>
      </c>
      <c r="M45" s="165">
        <f t="shared" si="1"/>
        <v>0.59032846715328469</v>
      </c>
      <c r="N45" s="122"/>
    </row>
    <row r="46" spans="2:14" x14ac:dyDescent="0.25">
      <c r="B46" s="121"/>
      <c r="C46" s="160">
        <v>24</v>
      </c>
      <c r="D46" s="160">
        <v>9</v>
      </c>
      <c r="E46" s="160" t="s">
        <v>67</v>
      </c>
      <c r="F46" s="160" t="s">
        <v>130</v>
      </c>
      <c r="G46" s="160" t="s">
        <v>42</v>
      </c>
      <c r="H46" s="161" t="s">
        <v>1652</v>
      </c>
      <c r="I46" s="162">
        <v>568</v>
      </c>
      <c r="J46" s="159">
        <v>167.5</v>
      </c>
      <c r="K46" s="163">
        <v>163.1</v>
      </c>
      <c r="L46" s="164">
        <f t="shared" si="0"/>
        <v>330.6</v>
      </c>
      <c r="M46" s="165">
        <f t="shared" si="1"/>
        <v>0.58204225352112682</v>
      </c>
      <c r="N46" s="122"/>
    </row>
    <row r="47" spans="2:14" x14ac:dyDescent="0.25">
      <c r="B47" s="121"/>
      <c r="C47" s="160">
        <v>25</v>
      </c>
      <c r="D47" s="160">
        <v>13</v>
      </c>
      <c r="E47" s="160" t="s">
        <v>67</v>
      </c>
      <c r="F47" s="160" t="s">
        <v>62</v>
      </c>
      <c r="G47" s="160" t="s">
        <v>483</v>
      </c>
      <c r="H47" s="161" t="s">
        <v>1653</v>
      </c>
      <c r="I47" s="162">
        <v>536</v>
      </c>
      <c r="J47" s="159">
        <v>161.69999999999999</v>
      </c>
      <c r="K47" s="163">
        <v>158.30000000000001</v>
      </c>
      <c r="L47" s="164">
        <f t="shared" si="0"/>
        <v>320</v>
      </c>
      <c r="M47" s="165">
        <f t="shared" si="1"/>
        <v>0.59701492537313428</v>
      </c>
      <c r="N47" s="122"/>
    </row>
    <row r="48" spans="2:14" x14ac:dyDescent="0.25">
      <c r="B48" s="121"/>
      <c r="C48" s="160">
        <v>26</v>
      </c>
      <c r="D48" s="160">
        <v>4</v>
      </c>
      <c r="E48" s="160" t="s">
        <v>67</v>
      </c>
      <c r="F48" s="160" t="s">
        <v>62</v>
      </c>
      <c r="G48" s="160" t="s">
        <v>483</v>
      </c>
      <c r="H48" s="161" t="s">
        <v>1654</v>
      </c>
      <c r="I48" s="162">
        <v>520</v>
      </c>
      <c r="J48" s="159">
        <v>151.4</v>
      </c>
      <c r="K48" s="163">
        <v>150.1</v>
      </c>
      <c r="L48" s="164">
        <f t="shared" si="0"/>
        <v>301.5</v>
      </c>
      <c r="M48" s="165">
        <f t="shared" si="1"/>
        <v>0.57980769230769236</v>
      </c>
      <c r="N48" s="122"/>
    </row>
    <row r="49" spans="2:14" x14ac:dyDescent="0.25">
      <c r="B49" s="121"/>
      <c r="C49" s="160">
        <v>27</v>
      </c>
      <c r="D49" s="160">
        <v>17</v>
      </c>
      <c r="E49" s="160" t="s">
        <v>67</v>
      </c>
      <c r="F49" s="160" t="s">
        <v>62</v>
      </c>
      <c r="G49" s="160" t="s">
        <v>483</v>
      </c>
      <c r="H49" s="161" t="s">
        <v>1655</v>
      </c>
      <c r="I49" s="162">
        <v>457</v>
      </c>
      <c r="J49" s="159">
        <v>137.1</v>
      </c>
      <c r="K49" s="163">
        <v>136.5</v>
      </c>
      <c r="L49" s="164">
        <f t="shared" si="0"/>
        <v>273.60000000000002</v>
      </c>
      <c r="M49" s="165">
        <f t="shared" si="1"/>
        <v>0.59868708971553619</v>
      </c>
      <c r="N49" s="122"/>
    </row>
    <row r="50" spans="2:14" x14ac:dyDescent="0.25">
      <c r="B50" s="121"/>
      <c r="C50" s="160">
        <v>28</v>
      </c>
      <c r="D50" s="160">
        <v>27</v>
      </c>
      <c r="E50" s="160" t="s">
        <v>67</v>
      </c>
      <c r="F50" s="160" t="s">
        <v>62</v>
      </c>
      <c r="G50" s="160" t="s">
        <v>483</v>
      </c>
      <c r="H50" s="161" t="s">
        <v>1656</v>
      </c>
      <c r="I50" s="162">
        <v>485</v>
      </c>
      <c r="J50" s="159">
        <v>141.4</v>
      </c>
      <c r="K50" s="163">
        <v>143.30000000000001</v>
      </c>
      <c r="L50" s="164">
        <f t="shared" ref="L50:L56" si="2">+J50+K50</f>
        <v>284.70000000000005</v>
      </c>
      <c r="M50" s="165">
        <f t="shared" ref="M50:M56" si="3">+L50/I50</f>
        <v>0.58701030927835063</v>
      </c>
      <c r="N50" s="122"/>
    </row>
    <row r="51" spans="2:14" x14ac:dyDescent="0.25">
      <c r="B51" s="121"/>
      <c r="C51" s="160">
        <v>29</v>
      </c>
      <c r="D51" s="160">
        <v>35</v>
      </c>
      <c r="E51" s="160" t="s">
        <v>75</v>
      </c>
      <c r="F51" s="160" t="s">
        <v>130</v>
      </c>
      <c r="G51" s="160" t="s">
        <v>42</v>
      </c>
      <c r="H51" s="161" t="s">
        <v>1657</v>
      </c>
      <c r="I51" s="162">
        <v>590</v>
      </c>
      <c r="J51" s="159">
        <v>173.5</v>
      </c>
      <c r="K51" s="163">
        <v>174.1</v>
      </c>
      <c r="L51" s="164">
        <f t="shared" si="2"/>
        <v>347.6</v>
      </c>
      <c r="M51" s="165">
        <f t="shared" si="3"/>
        <v>0.58915254237288139</v>
      </c>
      <c r="N51" s="122"/>
    </row>
    <row r="52" spans="2:14" x14ac:dyDescent="0.25">
      <c r="B52" s="121"/>
      <c r="C52" s="160">
        <v>30</v>
      </c>
      <c r="D52" s="160">
        <v>41</v>
      </c>
      <c r="E52" s="160" t="s">
        <v>67</v>
      </c>
      <c r="F52" s="160" t="s">
        <v>62</v>
      </c>
      <c r="G52" s="160" t="s">
        <v>483</v>
      </c>
      <c r="H52" s="161" t="s">
        <v>1553</v>
      </c>
      <c r="I52" s="162">
        <v>504</v>
      </c>
      <c r="J52" s="159">
        <v>151.69999999999999</v>
      </c>
      <c r="K52" s="163">
        <v>150.6</v>
      </c>
      <c r="L52" s="164">
        <f t="shared" si="2"/>
        <v>302.29999999999995</v>
      </c>
      <c r="M52" s="165">
        <f t="shared" si="3"/>
        <v>0.59980158730158717</v>
      </c>
      <c r="N52" s="122"/>
    </row>
    <row r="53" spans="2:14" x14ac:dyDescent="0.25">
      <c r="B53" s="121"/>
      <c r="C53" s="160">
        <v>31</v>
      </c>
      <c r="D53" s="160">
        <v>30</v>
      </c>
      <c r="E53" s="160" t="s">
        <v>68</v>
      </c>
      <c r="F53" s="160" t="s">
        <v>130</v>
      </c>
      <c r="G53" s="160" t="s">
        <v>42</v>
      </c>
      <c r="H53" s="161" t="s">
        <v>787</v>
      </c>
      <c r="I53" s="162">
        <v>518</v>
      </c>
      <c r="J53" s="159">
        <v>140.80000000000001</v>
      </c>
      <c r="K53" s="163">
        <v>144.1</v>
      </c>
      <c r="L53" s="164">
        <f t="shared" si="2"/>
        <v>284.89999999999998</v>
      </c>
      <c r="M53" s="165">
        <f t="shared" si="3"/>
        <v>0.54999999999999993</v>
      </c>
      <c r="N53" s="122"/>
    </row>
    <row r="54" spans="2:14" x14ac:dyDescent="0.25">
      <c r="B54" s="121"/>
      <c r="C54" s="160">
        <v>32</v>
      </c>
      <c r="D54" s="160">
        <v>39</v>
      </c>
      <c r="E54" s="160" t="s">
        <v>68</v>
      </c>
      <c r="F54" s="160" t="s">
        <v>130</v>
      </c>
      <c r="G54" s="160" t="s">
        <v>42</v>
      </c>
      <c r="H54" s="161" t="s">
        <v>1658</v>
      </c>
      <c r="I54" s="162">
        <v>495</v>
      </c>
      <c r="J54" s="159">
        <v>145.9</v>
      </c>
      <c r="K54" s="163">
        <v>146.6</v>
      </c>
      <c r="L54" s="164">
        <f t="shared" si="2"/>
        <v>292.5</v>
      </c>
      <c r="M54" s="165">
        <f t="shared" si="3"/>
        <v>0.59090909090909094</v>
      </c>
      <c r="N54" s="122"/>
    </row>
    <row r="55" spans="2:14" x14ac:dyDescent="0.25">
      <c r="B55" s="121"/>
      <c r="C55" s="160">
        <v>33</v>
      </c>
      <c r="D55" s="160">
        <v>43</v>
      </c>
      <c r="E55" s="160" t="s">
        <v>68</v>
      </c>
      <c r="F55" s="160" t="s">
        <v>62</v>
      </c>
      <c r="G55" s="160" t="s">
        <v>483</v>
      </c>
      <c r="H55" s="161" t="s">
        <v>1659</v>
      </c>
      <c r="I55" s="162">
        <v>487</v>
      </c>
      <c r="J55" s="159">
        <v>146.6</v>
      </c>
      <c r="K55" s="163">
        <v>145.6</v>
      </c>
      <c r="L55" s="164">
        <f t="shared" si="2"/>
        <v>292.2</v>
      </c>
      <c r="M55" s="165">
        <f t="shared" si="3"/>
        <v>0.6</v>
      </c>
      <c r="N55" s="122"/>
    </row>
    <row r="56" spans="2:14" x14ac:dyDescent="0.25">
      <c r="B56" s="121"/>
      <c r="C56" s="160">
        <v>34</v>
      </c>
      <c r="D56" s="160">
        <v>33</v>
      </c>
      <c r="E56" s="160" t="s">
        <v>67</v>
      </c>
      <c r="F56" s="160" t="s">
        <v>130</v>
      </c>
      <c r="G56" s="160" t="s">
        <v>42</v>
      </c>
      <c r="H56" s="161" t="s">
        <v>1660</v>
      </c>
      <c r="I56" s="162">
        <v>504</v>
      </c>
      <c r="J56" s="159">
        <v>151.1</v>
      </c>
      <c r="K56" s="163">
        <v>153.4</v>
      </c>
      <c r="L56" s="164">
        <f t="shared" si="2"/>
        <v>304.5</v>
      </c>
      <c r="M56" s="165">
        <f t="shared" si="3"/>
        <v>0.60416666666666663</v>
      </c>
      <c r="N56" s="122"/>
    </row>
    <row r="57" spans="2:14" x14ac:dyDescent="0.25">
      <c r="B57" s="121"/>
      <c r="C57" s="159">
        <v>35</v>
      </c>
      <c r="D57" s="159">
        <v>50</v>
      </c>
      <c r="E57" s="159" t="s">
        <v>67</v>
      </c>
      <c r="F57" s="159" t="s">
        <v>62</v>
      </c>
      <c r="G57" s="160" t="s">
        <v>483</v>
      </c>
      <c r="H57" s="161" t="s">
        <v>1661</v>
      </c>
      <c r="I57" s="162">
        <v>477</v>
      </c>
      <c r="J57" s="159">
        <v>146.69999999999999</v>
      </c>
      <c r="K57" s="163">
        <v>147.80000000000001</v>
      </c>
      <c r="L57" s="164">
        <f t="shared" si="0"/>
        <v>294.5</v>
      </c>
      <c r="M57" s="165">
        <f t="shared" si="1"/>
        <v>0.61740041928721179</v>
      </c>
      <c r="N57" s="122"/>
    </row>
    <row r="58" spans="2:14" x14ac:dyDescent="0.25">
      <c r="B58" s="121"/>
      <c r="C58" s="159">
        <v>36</v>
      </c>
      <c r="D58" s="159">
        <v>36</v>
      </c>
      <c r="E58" s="159" t="s">
        <v>75</v>
      </c>
      <c r="F58" s="159" t="s">
        <v>130</v>
      </c>
      <c r="G58" s="160" t="s">
        <v>42</v>
      </c>
      <c r="H58" s="168" t="s">
        <v>1365</v>
      </c>
      <c r="I58" s="169">
        <v>528</v>
      </c>
      <c r="J58" s="159">
        <v>157</v>
      </c>
      <c r="K58" s="163">
        <v>155.9</v>
      </c>
      <c r="L58" s="164">
        <f t="shared" si="0"/>
        <v>312.89999999999998</v>
      </c>
      <c r="M58" s="165">
        <f t="shared" si="1"/>
        <v>0.59261363636363629</v>
      </c>
      <c r="N58" s="122"/>
    </row>
    <row r="59" spans="2:14" x14ac:dyDescent="0.25">
      <c r="B59" s="121"/>
      <c r="C59" s="159">
        <v>37</v>
      </c>
      <c r="D59" s="160">
        <v>31</v>
      </c>
      <c r="E59" s="160" t="s">
        <v>67</v>
      </c>
      <c r="F59" s="160" t="s">
        <v>62</v>
      </c>
      <c r="G59" s="160" t="s">
        <v>483</v>
      </c>
      <c r="H59" s="168" t="s">
        <v>268</v>
      </c>
      <c r="I59" s="169">
        <v>467</v>
      </c>
      <c r="J59" s="159">
        <v>134.30000000000001</v>
      </c>
      <c r="K59" s="163">
        <v>135.6</v>
      </c>
      <c r="L59" s="164">
        <f t="shared" si="0"/>
        <v>269.89999999999998</v>
      </c>
      <c r="M59" s="165">
        <f t="shared" si="1"/>
        <v>0.57794432548179864</v>
      </c>
      <c r="N59" s="122"/>
    </row>
    <row r="60" spans="2:14" x14ac:dyDescent="0.25">
      <c r="B60" s="121"/>
      <c r="C60" s="159">
        <v>38</v>
      </c>
      <c r="D60" s="160">
        <v>44</v>
      </c>
      <c r="E60" s="160" t="s">
        <v>67</v>
      </c>
      <c r="F60" s="160" t="s">
        <v>130</v>
      </c>
      <c r="G60" s="160" t="s">
        <v>42</v>
      </c>
      <c r="H60" s="168" t="s">
        <v>1662</v>
      </c>
      <c r="I60" s="169">
        <v>574</v>
      </c>
      <c r="J60" s="159">
        <v>173.7</v>
      </c>
      <c r="K60" s="163">
        <v>173.7</v>
      </c>
      <c r="L60" s="164">
        <f t="shared" si="0"/>
        <v>347.4</v>
      </c>
      <c r="M60" s="165">
        <f t="shared" si="1"/>
        <v>0.60522648083623687</v>
      </c>
      <c r="N60" s="122"/>
    </row>
    <row r="61" spans="2:14" x14ac:dyDescent="0.25">
      <c r="B61" s="121"/>
      <c r="C61" s="159">
        <v>39</v>
      </c>
      <c r="D61" s="160">
        <v>29</v>
      </c>
      <c r="E61" s="160" t="s">
        <v>68</v>
      </c>
      <c r="F61" s="160" t="s">
        <v>130</v>
      </c>
      <c r="G61" s="160" t="s">
        <v>42</v>
      </c>
      <c r="H61" s="168" t="s">
        <v>1663</v>
      </c>
      <c r="I61" s="169">
        <v>584</v>
      </c>
      <c r="J61" s="159">
        <v>169.8</v>
      </c>
      <c r="K61" s="163">
        <v>170</v>
      </c>
      <c r="L61" s="164">
        <f t="shared" si="0"/>
        <v>339.8</v>
      </c>
      <c r="M61" s="165">
        <f t="shared" si="1"/>
        <v>0.58184931506849313</v>
      </c>
      <c r="N61" s="122"/>
    </row>
    <row r="62" spans="2:14" x14ac:dyDescent="0.25">
      <c r="B62" s="121"/>
      <c r="C62" s="159">
        <v>40</v>
      </c>
      <c r="D62" s="160">
        <v>34</v>
      </c>
      <c r="E62" s="160" t="s">
        <v>75</v>
      </c>
      <c r="F62" s="160" t="s">
        <v>130</v>
      </c>
      <c r="G62" s="160" t="s">
        <v>42</v>
      </c>
      <c r="H62" s="168" t="s">
        <v>1555</v>
      </c>
      <c r="I62" s="169">
        <v>574</v>
      </c>
      <c r="J62" s="159">
        <v>169</v>
      </c>
      <c r="K62" s="163">
        <v>169.4</v>
      </c>
      <c r="L62" s="164">
        <f t="shared" si="0"/>
        <v>338.4</v>
      </c>
      <c r="M62" s="165">
        <f t="shared" si="1"/>
        <v>0.58954703832752609</v>
      </c>
      <c r="N62" s="122"/>
    </row>
    <row r="63" spans="2:14" x14ac:dyDescent="0.25">
      <c r="B63" s="121"/>
      <c r="C63" s="159">
        <v>41</v>
      </c>
      <c r="D63" s="160">
        <v>40</v>
      </c>
      <c r="E63" s="160" t="s">
        <v>67</v>
      </c>
      <c r="F63" s="160" t="s">
        <v>130</v>
      </c>
      <c r="G63" s="160" t="s">
        <v>42</v>
      </c>
      <c r="H63" s="168" t="s">
        <v>1664</v>
      </c>
      <c r="I63" s="169">
        <v>514</v>
      </c>
      <c r="J63" s="159">
        <v>149.9</v>
      </c>
      <c r="K63" s="163">
        <v>150.80000000000001</v>
      </c>
      <c r="L63" s="164">
        <f t="shared" si="0"/>
        <v>300.70000000000005</v>
      </c>
      <c r="M63" s="165">
        <f t="shared" si="1"/>
        <v>0.58501945525291843</v>
      </c>
      <c r="N63" s="122"/>
    </row>
    <row r="64" spans="2:14" x14ac:dyDescent="0.25">
      <c r="B64" s="121"/>
      <c r="C64" s="159">
        <v>42</v>
      </c>
      <c r="D64" s="159">
        <v>38</v>
      </c>
      <c r="E64" s="159" t="s">
        <v>67</v>
      </c>
      <c r="F64" s="159" t="s">
        <v>62</v>
      </c>
      <c r="G64" s="160" t="s">
        <v>483</v>
      </c>
      <c r="H64" s="168" t="s">
        <v>1665</v>
      </c>
      <c r="I64" s="169">
        <v>470</v>
      </c>
      <c r="J64" s="159">
        <v>136</v>
      </c>
      <c r="K64" s="163">
        <v>135.69999999999999</v>
      </c>
      <c r="L64" s="164">
        <f t="shared" si="0"/>
        <v>271.7</v>
      </c>
      <c r="M64" s="165">
        <f t="shared" si="1"/>
        <v>0.57808510638297872</v>
      </c>
      <c r="N64" s="122"/>
    </row>
    <row r="65" spans="2:14" x14ac:dyDescent="0.25">
      <c r="B65" s="121"/>
      <c r="C65" s="159">
        <v>43</v>
      </c>
      <c r="D65" s="159">
        <v>37</v>
      </c>
      <c r="E65" s="159" t="s">
        <v>67</v>
      </c>
      <c r="F65" s="159" t="s">
        <v>130</v>
      </c>
      <c r="G65" s="160" t="s">
        <v>42</v>
      </c>
      <c r="H65" s="168" t="s">
        <v>1666</v>
      </c>
      <c r="I65" s="169">
        <v>516</v>
      </c>
      <c r="J65" s="159">
        <v>157.80000000000001</v>
      </c>
      <c r="K65" s="163">
        <v>158.1</v>
      </c>
      <c r="L65" s="164">
        <f t="shared" si="0"/>
        <v>315.89999999999998</v>
      </c>
      <c r="M65" s="165">
        <f t="shared" si="1"/>
        <v>0.61220930232558135</v>
      </c>
      <c r="N65" s="122"/>
    </row>
    <row r="66" spans="2:14" x14ac:dyDescent="0.25">
      <c r="B66" s="121"/>
      <c r="C66" s="159">
        <v>44</v>
      </c>
      <c r="D66" s="170">
        <v>32</v>
      </c>
      <c r="E66" s="170" t="s">
        <v>68</v>
      </c>
      <c r="F66" s="170" t="s">
        <v>130</v>
      </c>
      <c r="G66" s="171" t="s">
        <v>42</v>
      </c>
      <c r="H66" s="168" t="s">
        <v>1667</v>
      </c>
      <c r="I66" s="169">
        <v>594</v>
      </c>
      <c r="J66" s="159">
        <v>174.6</v>
      </c>
      <c r="K66" s="163">
        <v>174.3</v>
      </c>
      <c r="L66" s="164">
        <f t="shared" si="0"/>
        <v>348.9</v>
      </c>
      <c r="M66" s="165">
        <f t="shared" si="1"/>
        <v>0.58737373737373733</v>
      </c>
      <c r="N66" s="122"/>
    </row>
    <row r="67" spans="2:14" x14ac:dyDescent="0.25">
      <c r="B67" s="121"/>
      <c r="C67" s="159">
        <v>45</v>
      </c>
      <c r="D67" s="170">
        <v>48</v>
      </c>
      <c r="E67" s="170" t="s">
        <v>67</v>
      </c>
      <c r="F67" s="170" t="s">
        <v>62</v>
      </c>
      <c r="G67" s="171" t="s">
        <v>483</v>
      </c>
      <c r="H67" s="168" t="s">
        <v>1668</v>
      </c>
      <c r="I67" s="169">
        <v>560</v>
      </c>
      <c r="J67" s="159">
        <v>164.4</v>
      </c>
      <c r="K67" s="163">
        <v>161.9</v>
      </c>
      <c r="L67" s="164">
        <f t="shared" si="0"/>
        <v>326.3</v>
      </c>
      <c r="M67" s="165">
        <f t="shared" si="1"/>
        <v>0.58267857142857149</v>
      </c>
      <c r="N67" s="122"/>
    </row>
    <row r="68" spans="2:14" x14ac:dyDescent="0.25">
      <c r="B68" s="121"/>
      <c r="C68" s="159">
        <v>46</v>
      </c>
      <c r="D68" s="170">
        <v>47</v>
      </c>
      <c r="E68" s="170" t="s">
        <v>67</v>
      </c>
      <c r="F68" s="170" t="s">
        <v>130</v>
      </c>
      <c r="G68" s="171" t="s">
        <v>42</v>
      </c>
      <c r="H68" s="168" t="s">
        <v>1669</v>
      </c>
      <c r="I68" s="169">
        <v>584</v>
      </c>
      <c r="J68" s="159">
        <v>174.1</v>
      </c>
      <c r="K68" s="163">
        <v>175.1</v>
      </c>
      <c r="L68" s="164">
        <f t="shared" si="0"/>
        <v>349.2</v>
      </c>
      <c r="M68" s="165">
        <f t="shared" si="1"/>
        <v>0.59794520547945207</v>
      </c>
      <c r="N68" s="122"/>
    </row>
    <row r="69" spans="2:14" x14ac:dyDescent="0.25">
      <c r="B69" s="121"/>
      <c r="C69" s="159">
        <v>47</v>
      </c>
      <c r="D69" s="170">
        <v>42</v>
      </c>
      <c r="E69" s="170" t="s">
        <v>67</v>
      </c>
      <c r="F69" s="170" t="s">
        <v>130</v>
      </c>
      <c r="G69" s="170" t="s">
        <v>42</v>
      </c>
      <c r="H69" s="168" t="s">
        <v>1670</v>
      </c>
      <c r="I69" s="169">
        <v>546</v>
      </c>
      <c r="J69" s="159">
        <v>159.5</v>
      </c>
      <c r="K69" s="159">
        <v>156</v>
      </c>
      <c r="L69" s="164">
        <f t="shared" si="0"/>
        <v>315.5</v>
      </c>
      <c r="M69" s="165">
        <f t="shared" si="1"/>
        <v>0.57783882783882778</v>
      </c>
      <c r="N69" s="122"/>
    </row>
    <row r="70" spans="2:14" x14ac:dyDescent="0.25">
      <c r="B70" s="121"/>
      <c r="C70" s="159">
        <v>48</v>
      </c>
      <c r="D70" s="170">
        <v>49</v>
      </c>
      <c r="E70" s="170" t="s">
        <v>68</v>
      </c>
      <c r="F70" s="170" t="s">
        <v>62</v>
      </c>
      <c r="G70" s="170" t="s">
        <v>483</v>
      </c>
      <c r="H70" s="205" t="s">
        <v>1044</v>
      </c>
      <c r="I70" s="169">
        <v>440</v>
      </c>
      <c r="J70" s="159">
        <v>131.1</v>
      </c>
      <c r="K70" s="159">
        <v>130.6</v>
      </c>
      <c r="L70" s="164">
        <f t="shared" si="0"/>
        <v>261.7</v>
      </c>
      <c r="M70" s="165">
        <f t="shared" si="1"/>
        <v>0.59477272727272723</v>
      </c>
      <c r="N70" s="122"/>
    </row>
    <row r="71" spans="2:14" x14ac:dyDescent="0.25">
      <c r="B71" s="121"/>
      <c r="C71" s="159">
        <v>49</v>
      </c>
      <c r="D71" s="170">
        <v>46</v>
      </c>
      <c r="E71" s="170" t="s">
        <v>67</v>
      </c>
      <c r="F71" s="170" t="s">
        <v>62</v>
      </c>
      <c r="G71" s="170" t="s">
        <v>483</v>
      </c>
      <c r="H71" s="168" t="s">
        <v>1671</v>
      </c>
      <c r="I71" s="169">
        <v>516</v>
      </c>
      <c r="J71" s="159">
        <v>157</v>
      </c>
      <c r="K71" s="163">
        <v>153.19999999999999</v>
      </c>
      <c r="L71" s="164">
        <f t="shared" si="0"/>
        <v>310.2</v>
      </c>
      <c r="M71" s="165">
        <f t="shared" si="1"/>
        <v>0.60116279069767442</v>
      </c>
      <c r="N71" s="122"/>
    </row>
    <row r="72" spans="2:14" x14ac:dyDescent="0.25">
      <c r="B72" s="121"/>
      <c r="C72" s="172">
        <v>50</v>
      </c>
      <c r="D72" s="173">
        <v>45</v>
      </c>
      <c r="E72" s="173" t="s">
        <v>67</v>
      </c>
      <c r="F72" s="173" t="s">
        <v>62</v>
      </c>
      <c r="G72" s="173" t="s">
        <v>483</v>
      </c>
      <c r="H72" s="174" t="s">
        <v>1672</v>
      </c>
      <c r="I72" s="175">
        <v>495</v>
      </c>
      <c r="J72" s="172">
        <v>146.9</v>
      </c>
      <c r="K72" s="206">
        <v>143.5</v>
      </c>
      <c r="L72" s="176">
        <f t="shared" si="0"/>
        <v>290.39999999999998</v>
      </c>
      <c r="M72" s="177">
        <f t="shared" si="1"/>
        <v>0.58666666666666667</v>
      </c>
      <c r="N72" s="122"/>
    </row>
    <row r="73" spans="2:14" x14ac:dyDescent="0.25">
      <c r="B73" s="121"/>
      <c r="C73" s="310"/>
      <c r="D73" s="310">
        <f>+COUNT($D$22:$D$72)</f>
        <v>50</v>
      </c>
      <c r="E73" s="310"/>
      <c r="F73" s="373"/>
      <c r="G73" s="373"/>
      <c r="H73" s="149"/>
      <c r="I73" s="148">
        <f>SUM($I$22:$I$72)</f>
        <v>26239</v>
      </c>
      <c r="J73" s="150">
        <f>SUM($J$22:$J$72)</f>
        <v>7761.5</v>
      </c>
      <c r="K73" s="151">
        <f>SUM($K$22:$K$72)</f>
        <v>7735.7000000000016</v>
      </c>
      <c r="L73" s="148">
        <f>SUM($L$22:$L$72)</f>
        <v>15497.2</v>
      </c>
      <c r="M73" s="178">
        <f t="shared" si="1"/>
        <v>0.59061702046571896</v>
      </c>
      <c r="N73" s="122"/>
    </row>
    <row r="74" spans="2:14" ht="16.5" thickBot="1" x14ac:dyDescent="0.3">
      <c r="B74" s="129"/>
      <c r="C74" s="130"/>
      <c r="D74" s="130"/>
      <c r="E74" s="130"/>
      <c r="F74" s="130"/>
      <c r="G74" s="130"/>
      <c r="H74" s="131"/>
      <c r="I74" s="130"/>
      <c r="J74" s="131"/>
      <c r="K74" s="130"/>
      <c r="L74" s="130"/>
      <c r="M74" s="130"/>
      <c r="N74" s="132"/>
    </row>
    <row r="75" spans="2:14" ht="17.25" thickTop="1" thickBot="1" x14ac:dyDescent="0.3">
      <c r="B75" s="133"/>
      <c r="C75" s="133"/>
      <c r="D75" s="133"/>
      <c r="E75" s="133"/>
      <c r="F75" s="133"/>
      <c r="G75" s="133"/>
      <c r="H75" s="134"/>
      <c r="I75" s="133"/>
      <c r="J75" s="134"/>
      <c r="K75" s="133"/>
      <c r="L75" s="133"/>
      <c r="M75" s="133"/>
      <c r="N75" s="133"/>
    </row>
    <row r="76" spans="2:14" ht="16.5" thickTop="1" x14ac:dyDescent="0.25">
      <c r="B76" s="135"/>
      <c r="C76" s="133"/>
      <c r="D76" s="133"/>
      <c r="E76" s="133"/>
      <c r="F76" s="133"/>
      <c r="G76" s="133"/>
      <c r="H76" s="134"/>
      <c r="I76" s="133"/>
      <c r="J76" s="134"/>
      <c r="K76" s="133"/>
      <c r="L76" s="133"/>
      <c r="M76" s="133"/>
      <c r="N76" s="136"/>
    </row>
    <row r="77" spans="2:14" ht="32.25" customHeight="1" x14ac:dyDescent="0.25">
      <c r="B77" s="121"/>
      <c r="D77" s="374" t="s">
        <v>12</v>
      </c>
      <c r="E77" s="375"/>
      <c r="F77" s="375"/>
      <c r="G77" s="375"/>
      <c r="H77" s="180" t="s">
        <v>491</v>
      </c>
      <c r="I77" s="183" t="s">
        <v>489</v>
      </c>
      <c r="J77" s="200" t="s">
        <v>54</v>
      </c>
      <c r="K77" s="201" t="s">
        <v>492</v>
      </c>
      <c r="N77" s="122"/>
    </row>
    <row r="78" spans="2:14" x14ac:dyDescent="0.25">
      <c r="B78" s="121"/>
      <c r="D78" s="367" t="s">
        <v>59</v>
      </c>
      <c r="E78" s="368"/>
      <c r="F78" s="368"/>
      <c r="G78" s="368"/>
      <c r="H78" s="181">
        <v>119.17999999999999</v>
      </c>
      <c r="I78" s="119">
        <v>114.41999999999999</v>
      </c>
      <c r="J78" s="181"/>
      <c r="K78" s="185"/>
      <c r="N78" s="122"/>
    </row>
    <row r="79" spans="2:14" x14ac:dyDescent="0.25">
      <c r="B79" s="121"/>
      <c r="D79" s="367" t="s">
        <v>15</v>
      </c>
      <c r="E79" s="368"/>
      <c r="F79" s="368"/>
      <c r="G79" s="368"/>
      <c r="H79" s="181">
        <v>50</v>
      </c>
      <c r="I79" s="119">
        <v>89.7</v>
      </c>
      <c r="J79" s="181"/>
      <c r="K79" s="185"/>
      <c r="N79" s="122"/>
    </row>
    <row r="80" spans="2:14" x14ac:dyDescent="0.25">
      <c r="B80" s="121"/>
      <c r="D80" s="367" t="s">
        <v>13</v>
      </c>
      <c r="E80" s="368"/>
      <c r="F80" s="368"/>
      <c r="G80" s="368"/>
      <c r="H80" s="181">
        <v>49</v>
      </c>
      <c r="I80" s="119">
        <v>300.62</v>
      </c>
      <c r="J80" s="181">
        <v>1</v>
      </c>
      <c r="K80" s="185">
        <v>7.18</v>
      </c>
      <c r="N80" s="122"/>
    </row>
    <row r="81" spans="2:14" x14ac:dyDescent="0.25">
      <c r="B81" s="121"/>
      <c r="D81" s="367" t="s">
        <v>16</v>
      </c>
      <c r="E81" s="368"/>
      <c r="F81" s="368"/>
      <c r="G81" s="368"/>
      <c r="H81" s="181">
        <v>50</v>
      </c>
      <c r="I81" s="119">
        <v>66.2</v>
      </c>
      <c r="J81" s="181"/>
      <c r="K81" s="185"/>
      <c r="N81" s="122"/>
    </row>
    <row r="82" spans="2:14" x14ac:dyDescent="0.25">
      <c r="B82" s="121"/>
      <c r="D82" s="367" t="s">
        <v>60</v>
      </c>
      <c r="E82" s="368"/>
      <c r="F82" s="368"/>
      <c r="G82" s="368"/>
      <c r="H82" s="181">
        <v>44.239999999999995</v>
      </c>
      <c r="I82" s="119">
        <v>41.06</v>
      </c>
      <c r="J82" s="181"/>
      <c r="K82" s="185"/>
      <c r="N82" s="122"/>
    </row>
    <row r="83" spans="2:14" x14ac:dyDescent="0.25">
      <c r="B83" s="121"/>
      <c r="D83" s="367" t="s">
        <v>14</v>
      </c>
      <c r="E83" s="368"/>
      <c r="F83" s="368"/>
      <c r="G83" s="368"/>
      <c r="H83" s="181">
        <v>100</v>
      </c>
      <c r="I83" s="119">
        <f>22.98+22.19</f>
        <v>45.17</v>
      </c>
      <c r="J83" s="181"/>
      <c r="K83" s="185"/>
      <c r="N83" s="122"/>
    </row>
    <row r="84" spans="2:14" x14ac:dyDescent="0.25">
      <c r="B84" s="121"/>
      <c r="D84" s="367" t="s">
        <v>20</v>
      </c>
      <c r="E84" s="368"/>
      <c r="F84" s="368"/>
      <c r="G84" s="368"/>
      <c r="H84" s="181">
        <v>400</v>
      </c>
      <c r="I84" s="119">
        <v>36.090000000000003</v>
      </c>
      <c r="J84" s="181"/>
      <c r="K84" s="185"/>
      <c r="N84" s="122"/>
    </row>
    <row r="85" spans="2:14" x14ac:dyDescent="0.25">
      <c r="B85" s="121"/>
      <c r="D85" s="367" t="s">
        <v>17</v>
      </c>
      <c r="E85" s="368"/>
      <c r="F85" s="368"/>
      <c r="G85" s="368"/>
      <c r="H85" s="181">
        <v>50</v>
      </c>
      <c r="I85" s="119">
        <v>64.319999999999993</v>
      </c>
      <c r="J85" s="181"/>
      <c r="K85" s="185"/>
      <c r="N85" s="122"/>
    </row>
    <row r="86" spans="2:14" x14ac:dyDescent="0.25">
      <c r="B86" s="121"/>
      <c r="D86" s="367" t="s">
        <v>61</v>
      </c>
      <c r="E86" s="368"/>
      <c r="F86" s="368"/>
      <c r="G86" s="368"/>
      <c r="H86" s="181">
        <v>50</v>
      </c>
      <c r="I86" s="119">
        <f>20.84+22.08+10.14</f>
        <v>53.06</v>
      </c>
      <c r="J86" s="181"/>
      <c r="K86" s="185"/>
      <c r="N86" s="122"/>
    </row>
    <row r="87" spans="2:14" x14ac:dyDescent="0.25">
      <c r="B87" s="121"/>
      <c r="D87" s="367" t="s">
        <v>48</v>
      </c>
      <c r="E87" s="368"/>
      <c r="F87" s="368"/>
      <c r="G87" s="368"/>
      <c r="H87" s="181">
        <v>89.139999999999986</v>
      </c>
      <c r="I87" s="119">
        <v>85.22</v>
      </c>
      <c r="J87" s="181"/>
      <c r="K87" s="185"/>
      <c r="N87" s="122"/>
    </row>
    <row r="88" spans="2:14" x14ac:dyDescent="0.25">
      <c r="B88" s="121"/>
      <c r="D88" s="367" t="s">
        <v>19</v>
      </c>
      <c r="E88" s="368"/>
      <c r="F88" s="368"/>
      <c r="G88" s="368"/>
      <c r="H88" s="181">
        <v>50</v>
      </c>
      <c r="I88" s="119">
        <v>74.710000000000008</v>
      </c>
      <c r="J88" s="181"/>
      <c r="K88" s="185"/>
      <c r="N88" s="122"/>
    </row>
    <row r="89" spans="2:14" x14ac:dyDescent="0.25">
      <c r="B89" s="121"/>
      <c r="D89" s="367" t="s">
        <v>18</v>
      </c>
      <c r="E89" s="368"/>
      <c r="F89" s="368"/>
      <c r="G89" s="368"/>
      <c r="H89" s="181">
        <v>50</v>
      </c>
      <c r="I89" s="119">
        <f>8.06+8.5</f>
        <v>16.560000000000002</v>
      </c>
      <c r="J89" s="181"/>
      <c r="K89" s="185"/>
      <c r="N89" s="122"/>
    </row>
    <row r="90" spans="2:14" x14ac:dyDescent="0.25">
      <c r="B90" s="121"/>
      <c r="D90" s="367" t="s">
        <v>49</v>
      </c>
      <c r="E90" s="368"/>
      <c r="F90" s="368"/>
      <c r="G90" s="368"/>
      <c r="H90" s="181">
        <v>23.24</v>
      </c>
      <c r="I90" s="119">
        <v>21.76</v>
      </c>
      <c r="J90" s="181"/>
      <c r="K90" s="185"/>
      <c r="N90" s="122"/>
    </row>
    <row r="91" spans="2:14" x14ac:dyDescent="0.25">
      <c r="B91" s="121"/>
      <c r="D91" s="370" t="s">
        <v>21</v>
      </c>
      <c r="E91" s="371"/>
      <c r="F91" s="371"/>
      <c r="G91" s="372"/>
      <c r="H91" s="182"/>
      <c r="I91" s="184">
        <f>SUM(I78:I90)</f>
        <v>1008.8899999999999</v>
      </c>
      <c r="J91" s="187">
        <f>SUM(J78:J90)</f>
        <v>1</v>
      </c>
      <c r="K91" s="186">
        <f>SUM(K78:K90)</f>
        <v>7.18</v>
      </c>
      <c r="N91" s="122"/>
    </row>
    <row r="92" spans="2:14" ht="16.5" thickBot="1" x14ac:dyDescent="0.3">
      <c r="B92" s="129"/>
      <c r="C92" s="130"/>
      <c r="D92" s="130"/>
      <c r="E92" s="130"/>
      <c r="F92" s="130"/>
      <c r="G92" s="130"/>
      <c r="H92" s="131"/>
      <c r="I92" s="130"/>
      <c r="J92" s="131"/>
      <c r="K92" s="130"/>
      <c r="L92" s="130"/>
      <c r="M92" s="130"/>
      <c r="N92" s="132"/>
    </row>
    <row r="93" spans="2:14" ht="16.5" thickTop="1" x14ac:dyDescent="0.25">
      <c r="B93" s="121"/>
      <c r="G93" s="137"/>
      <c r="H93" s="138"/>
      <c r="I93" s="137"/>
      <c r="J93" s="138"/>
      <c r="N93" s="122"/>
    </row>
    <row r="94" spans="2:14" ht="15.75" customHeight="1" x14ac:dyDescent="0.25">
      <c r="B94" s="121"/>
      <c r="F94" s="365" t="s">
        <v>22</v>
      </c>
      <c r="G94" s="365"/>
      <c r="H94" s="188" t="s">
        <v>33</v>
      </c>
      <c r="I94" s="180" t="s">
        <v>31</v>
      </c>
      <c r="N94" s="122"/>
    </row>
    <row r="95" spans="2:14" x14ac:dyDescent="0.25">
      <c r="B95" s="121"/>
      <c r="F95" s="366" t="s">
        <v>23</v>
      </c>
      <c r="G95" s="366"/>
      <c r="H95" s="190"/>
      <c r="I95" s="191"/>
      <c r="N95" s="122"/>
    </row>
    <row r="96" spans="2:14" x14ac:dyDescent="0.25">
      <c r="B96" s="121"/>
      <c r="F96" s="378" t="s">
        <v>24</v>
      </c>
      <c r="G96" s="378"/>
      <c r="H96" s="192">
        <f>+D73</f>
        <v>50</v>
      </c>
      <c r="I96" s="193"/>
      <c r="N96" s="122"/>
    </row>
    <row r="97" spans="2:14" x14ac:dyDescent="0.25">
      <c r="B97" s="121"/>
      <c r="F97" s="378" t="s">
        <v>34</v>
      </c>
      <c r="G97" s="378"/>
      <c r="H97" s="194"/>
      <c r="I97" s="193"/>
      <c r="N97" s="122"/>
    </row>
    <row r="98" spans="2:14" x14ac:dyDescent="0.25">
      <c r="B98" s="121"/>
      <c r="F98" s="378" t="s">
        <v>35</v>
      </c>
      <c r="G98" s="378"/>
      <c r="H98" s="194"/>
      <c r="I98" s="193"/>
      <c r="N98" s="122"/>
    </row>
    <row r="99" spans="2:14" x14ac:dyDescent="0.25">
      <c r="B99" s="121"/>
      <c r="F99" s="379" t="s">
        <v>29</v>
      </c>
      <c r="G99" s="379"/>
      <c r="H99" s="195"/>
      <c r="I99" s="196"/>
      <c r="N99" s="122"/>
    </row>
    <row r="100" spans="2:14" x14ac:dyDescent="0.25">
      <c r="B100" s="121"/>
      <c r="F100" s="380" t="s">
        <v>21</v>
      </c>
      <c r="G100" s="380"/>
      <c r="H100" s="189"/>
      <c r="I100" s="182">
        <f>SUM(I95:I99)</f>
        <v>0</v>
      </c>
      <c r="N100" s="122"/>
    </row>
    <row r="101" spans="2:14" ht="16.5" thickBot="1" x14ac:dyDescent="0.3">
      <c r="B101" s="129"/>
      <c r="C101" s="130"/>
      <c r="D101" s="130"/>
      <c r="E101" s="130"/>
      <c r="F101" s="130"/>
      <c r="G101" s="130"/>
      <c r="H101" s="131"/>
      <c r="I101" s="130"/>
      <c r="J101" s="131"/>
      <c r="K101" s="130"/>
      <c r="L101" s="130"/>
      <c r="M101" s="130"/>
      <c r="N101" s="132"/>
    </row>
    <row r="102" spans="2:14" ht="16.5" thickTop="1" x14ac:dyDescent="0.25">
      <c r="I102" s="139"/>
    </row>
  </sheetData>
  <mergeCells count="52">
    <mergeCell ref="F98:G98"/>
    <mergeCell ref="F99:G99"/>
    <mergeCell ref="F100:G100"/>
    <mergeCell ref="D90:G90"/>
    <mergeCell ref="D91:G91"/>
    <mergeCell ref="F94:G94"/>
    <mergeCell ref="F95:G95"/>
    <mergeCell ref="F96:G96"/>
    <mergeCell ref="F97:G97"/>
    <mergeCell ref="D89:G89"/>
    <mergeCell ref="D78:G78"/>
    <mergeCell ref="D79:G79"/>
    <mergeCell ref="D80:G80"/>
    <mergeCell ref="D81:G81"/>
    <mergeCell ref="D82:G82"/>
    <mergeCell ref="D83:G83"/>
    <mergeCell ref="D84:G84"/>
    <mergeCell ref="D85:G85"/>
    <mergeCell ref="D86:G86"/>
    <mergeCell ref="D87:G87"/>
    <mergeCell ref="D88:G88"/>
    <mergeCell ref="J21:J22"/>
    <mergeCell ref="K21:K22"/>
    <mergeCell ref="L21:L22"/>
    <mergeCell ref="M21:M22"/>
    <mergeCell ref="F73:G73"/>
    <mergeCell ref="H21:H22"/>
    <mergeCell ref="I21:I22"/>
    <mergeCell ref="D77:G77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72">
    <cfRule type="cellIs" dxfId="20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rowBreaks count="1" manualBreakCount="1">
    <brk id="74" min="1" max="13" man="1"/>
  </rowBreaks>
  <drawing r:id="rId2"/>
  <legacyDrawing r:id="rId3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B1" zoomScale="90" zoomScaleNormal="90" workbookViewId="0">
      <selection activeCell="I73" sqref="I73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0.56550798150082049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210.58888888888887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1358</v>
      </c>
      <c r="F8" s="344"/>
      <c r="G8" s="344"/>
      <c r="H8" s="345"/>
      <c r="I8" s="146" t="s">
        <v>487</v>
      </c>
      <c r="J8" s="346" t="s">
        <v>1358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65705</v>
      </c>
      <c r="F9" s="344"/>
      <c r="G9" s="344"/>
      <c r="H9" s="345"/>
      <c r="I9" s="146" t="s">
        <v>88</v>
      </c>
      <c r="J9" s="209" t="s">
        <v>1686</v>
      </c>
      <c r="K9" s="313" t="s">
        <v>490</v>
      </c>
      <c r="L9" s="369" t="s">
        <v>1687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311" t="s">
        <v>569</v>
      </c>
      <c r="E12" s="384">
        <v>46077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87</v>
      </c>
      <c r="F13" s="349"/>
      <c r="H13" s="117"/>
      <c r="I13" s="123"/>
      <c r="J13" s="215" t="s">
        <v>483</v>
      </c>
      <c r="K13" s="312">
        <f>+COUNTIF($G$22:$G$66,"VQ")*2</f>
        <v>0</v>
      </c>
      <c r="L13" s="312">
        <f>+SUMIF($G$23:$G$65,"VQ",$L$23:$L$65)</f>
        <v>0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18</v>
      </c>
      <c r="F14" s="350"/>
      <c r="H14" s="117"/>
      <c r="I14" s="123"/>
      <c r="J14" s="215" t="s">
        <v>42</v>
      </c>
      <c r="K14" s="312">
        <f>+COUNTIF($G$22:$G$66,"NT")*2</f>
        <v>0</v>
      </c>
      <c r="L14" s="312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6703</v>
      </c>
      <c r="F15" s="350"/>
      <c r="H15" s="117"/>
      <c r="I15" s="123"/>
      <c r="J15" s="215" t="s">
        <v>484</v>
      </c>
      <c r="K15" s="312">
        <f>+COUNTIF($G$22:$G$66,"NO")*2</f>
        <v>0</v>
      </c>
      <c r="L15" s="312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3790.6</v>
      </c>
      <c r="F16" s="350"/>
      <c r="H16" s="117"/>
      <c r="I16" s="123"/>
      <c r="J16" s="215" t="s">
        <v>485</v>
      </c>
      <c r="K16" s="312">
        <f>+COUNTIF($G$22:$G$66,"TO")*2</f>
        <v>0</v>
      </c>
      <c r="L16" s="312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0.56550798150082049</v>
      </c>
      <c r="F17" s="350"/>
      <c r="G17" s="124"/>
      <c r="H17" s="125"/>
      <c r="I17" s="123"/>
      <c r="J17" s="215" t="s">
        <v>486</v>
      </c>
      <c r="K17" s="312">
        <f>+COUNTIF($G$22:$G$66,"VA")*2</f>
        <v>0</v>
      </c>
      <c r="L17" s="312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210.58888888888887</v>
      </c>
      <c r="F18" s="353"/>
      <c r="G18" s="124"/>
      <c r="H18" s="125"/>
      <c r="I18" s="123"/>
      <c r="J18" s="215" t="s">
        <v>44</v>
      </c>
      <c r="K18" s="312">
        <f>+COUNTIF($G$22:$G$66,"MEJ")*2</f>
        <v>36</v>
      </c>
      <c r="L18" s="312">
        <f>+SUMIF($G$23:$G$65,"MEJ",$L$23:$L$65)</f>
        <v>3790.6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51</v>
      </c>
      <c r="D23" s="152">
        <v>2</v>
      </c>
      <c r="E23" s="152" t="s">
        <v>67</v>
      </c>
      <c r="F23" s="152" t="s">
        <v>81</v>
      </c>
      <c r="G23" s="153" t="s">
        <v>44</v>
      </c>
      <c r="H23" s="154" t="s">
        <v>1675</v>
      </c>
      <c r="I23" s="155">
        <v>327</v>
      </c>
      <c r="J23" s="152">
        <v>87.3</v>
      </c>
      <c r="K23" s="156">
        <v>86.6</v>
      </c>
      <c r="L23" s="157">
        <f t="shared" ref="L23:L65" si="0">+J23+K23</f>
        <v>173.89999999999998</v>
      </c>
      <c r="M23" s="158">
        <f t="shared" ref="M23:M66" si="1">+L23/I23</f>
        <v>0.53180428134556568</v>
      </c>
      <c r="N23" s="122"/>
    </row>
    <row r="24" spans="2:14" x14ac:dyDescent="0.25">
      <c r="B24" s="121"/>
      <c r="C24" s="159">
        <v>52</v>
      </c>
      <c r="D24" s="159">
        <v>10</v>
      </c>
      <c r="E24" s="159" t="s">
        <v>67</v>
      </c>
      <c r="F24" s="159" t="s">
        <v>81</v>
      </c>
      <c r="G24" s="160" t="s">
        <v>44</v>
      </c>
      <c r="H24" s="161" t="s">
        <v>1676</v>
      </c>
      <c r="I24" s="162">
        <v>375</v>
      </c>
      <c r="J24" s="159">
        <v>106.9</v>
      </c>
      <c r="K24" s="163">
        <v>106</v>
      </c>
      <c r="L24" s="164">
        <f t="shared" si="0"/>
        <v>212.9</v>
      </c>
      <c r="M24" s="165">
        <f t="shared" si="1"/>
        <v>0.56773333333333331</v>
      </c>
      <c r="N24" s="122"/>
    </row>
    <row r="25" spans="2:14" x14ac:dyDescent="0.25">
      <c r="B25" s="121"/>
      <c r="C25" s="159">
        <v>53</v>
      </c>
      <c r="D25" s="159">
        <v>1</v>
      </c>
      <c r="E25" s="159" t="s">
        <v>67</v>
      </c>
      <c r="F25" s="159" t="s">
        <v>81</v>
      </c>
      <c r="G25" s="160" t="s">
        <v>44</v>
      </c>
      <c r="H25" s="161" t="s">
        <v>672</v>
      </c>
      <c r="I25" s="162">
        <v>357</v>
      </c>
      <c r="J25" s="159">
        <v>105.4</v>
      </c>
      <c r="K25" s="163">
        <v>104.4</v>
      </c>
      <c r="L25" s="164">
        <f t="shared" si="0"/>
        <v>209.8</v>
      </c>
      <c r="M25" s="165">
        <f t="shared" si="1"/>
        <v>0.58767507002801123</v>
      </c>
      <c r="N25" s="122"/>
    </row>
    <row r="26" spans="2:14" x14ac:dyDescent="0.25">
      <c r="B26" s="121"/>
      <c r="C26" s="159">
        <v>54</v>
      </c>
      <c r="D26" s="159">
        <v>13</v>
      </c>
      <c r="E26" s="159" t="s">
        <v>67</v>
      </c>
      <c r="F26" s="159" t="s">
        <v>81</v>
      </c>
      <c r="G26" s="160" t="s">
        <v>44</v>
      </c>
      <c r="H26" s="161" t="s">
        <v>1677</v>
      </c>
      <c r="I26" s="162">
        <v>379</v>
      </c>
      <c r="J26" s="159">
        <v>104.1</v>
      </c>
      <c r="K26" s="163">
        <v>103.9</v>
      </c>
      <c r="L26" s="164">
        <f t="shared" si="0"/>
        <v>208</v>
      </c>
      <c r="M26" s="165">
        <f t="shared" si="1"/>
        <v>0.54881266490765168</v>
      </c>
      <c r="N26" s="122"/>
    </row>
    <row r="27" spans="2:14" x14ac:dyDescent="0.25">
      <c r="B27" s="121"/>
      <c r="C27" s="159">
        <v>55</v>
      </c>
      <c r="D27" s="159">
        <v>6</v>
      </c>
      <c r="E27" s="159" t="s">
        <v>67</v>
      </c>
      <c r="F27" s="159" t="s">
        <v>81</v>
      </c>
      <c r="G27" s="160" t="s">
        <v>44</v>
      </c>
      <c r="H27" s="161" t="s">
        <v>1678</v>
      </c>
      <c r="I27" s="162">
        <v>376</v>
      </c>
      <c r="J27" s="159">
        <v>109.3</v>
      </c>
      <c r="K27" s="163">
        <v>108</v>
      </c>
      <c r="L27" s="164">
        <f t="shared" si="0"/>
        <v>217.3</v>
      </c>
      <c r="M27" s="165">
        <f t="shared" si="1"/>
        <v>0.5779255319148936</v>
      </c>
      <c r="N27" s="122"/>
    </row>
    <row r="28" spans="2:14" x14ac:dyDescent="0.25">
      <c r="B28" s="121"/>
      <c r="C28" s="159">
        <v>56</v>
      </c>
      <c r="D28" s="159">
        <v>11</v>
      </c>
      <c r="E28" s="159" t="s">
        <v>67</v>
      </c>
      <c r="F28" s="159" t="s">
        <v>81</v>
      </c>
      <c r="G28" s="160" t="s">
        <v>44</v>
      </c>
      <c r="H28" s="161" t="s">
        <v>1164</v>
      </c>
      <c r="I28" s="162">
        <v>353</v>
      </c>
      <c r="J28" s="159">
        <v>102.4</v>
      </c>
      <c r="K28" s="163">
        <v>100.9</v>
      </c>
      <c r="L28" s="164">
        <f t="shared" si="0"/>
        <v>203.3</v>
      </c>
      <c r="M28" s="165">
        <f t="shared" si="1"/>
        <v>0.5759206798866856</v>
      </c>
      <c r="N28" s="122"/>
    </row>
    <row r="29" spans="2:14" x14ac:dyDescent="0.25">
      <c r="B29" s="121"/>
      <c r="C29" s="160">
        <v>57</v>
      </c>
      <c r="D29" s="160">
        <v>14</v>
      </c>
      <c r="E29" s="160" t="s">
        <v>67</v>
      </c>
      <c r="F29" s="160" t="s">
        <v>81</v>
      </c>
      <c r="G29" s="160" t="s">
        <v>44</v>
      </c>
      <c r="H29" s="161" t="s">
        <v>1679</v>
      </c>
      <c r="I29" s="162">
        <v>355</v>
      </c>
      <c r="J29" s="159">
        <v>102.6</v>
      </c>
      <c r="K29" s="163">
        <v>101.2</v>
      </c>
      <c r="L29" s="164">
        <f t="shared" si="0"/>
        <v>203.8</v>
      </c>
      <c r="M29" s="165">
        <f t="shared" si="1"/>
        <v>0.57408450704225356</v>
      </c>
      <c r="N29" s="122"/>
    </row>
    <row r="30" spans="2:14" x14ac:dyDescent="0.25">
      <c r="B30" s="121"/>
      <c r="C30" s="160">
        <v>58</v>
      </c>
      <c r="D30" s="160">
        <v>9</v>
      </c>
      <c r="E30" s="160" t="s">
        <v>67</v>
      </c>
      <c r="F30" s="160" t="s">
        <v>81</v>
      </c>
      <c r="G30" s="160" t="s">
        <v>44</v>
      </c>
      <c r="H30" s="161" t="s">
        <v>990</v>
      </c>
      <c r="I30" s="162">
        <v>350</v>
      </c>
      <c r="J30" s="159">
        <v>102.6</v>
      </c>
      <c r="K30" s="163">
        <v>102</v>
      </c>
      <c r="L30" s="164">
        <f t="shared" si="0"/>
        <v>204.6</v>
      </c>
      <c r="M30" s="165">
        <f t="shared" si="1"/>
        <v>0.58457142857142852</v>
      </c>
      <c r="N30" s="122"/>
    </row>
    <row r="31" spans="2:14" x14ac:dyDescent="0.25">
      <c r="B31" s="121"/>
      <c r="C31" s="159">
        <v>59</v>
      </c>
      <c r="D31" s="159">
        <v>15</v>
      </c>
      <c r="E31" s="159" t="s">
        <v>67</v>
      </c>
      <c r="F31" s="159" t="s">
        <v>81</v>
      </c>
      <c r="G31" s="160" t="s">
        <v>44</v>
      </c>
      <c r="H31" s="161" t="s">
        <v>978</v>
      </c>
      <c r="I31" s="162">
        <v>419</v>
      </c>
      <c r="J31" s="159">
        <v>118.4</v>
      </c>
      <c r="K31" s="163">
        <v>117.8</v>
      </c>
      <c r="L31" s="164">
        <f t="shared" si="0"/>
        <v>236.2</v>
      </c>
      <c r="M31" s="165">
        <f t="shared" si="1"/>
        <v>0.56372315035799525</v>
      </c>
      <c r="N31" s="122"/>
    </row>
    <row r="32" spans="2:14" x14ac:dyDescent="0.25">
      <c r="B32" s="121"/>
      <c r="C32" s="159">
        <v>60</v>
      </c>
      <c r="D32" s="159">
        <v>16</v>
      </c>
      <c r="E32" s="159" t="s">
        <v>68</v>
      </c>
      <c r="F32" s="159" t="s">
        <v>81</v>
      </c>
      <c r="G32" s="160" t="s">
        <v>44</v>
      </c>
      <c r="H32" s="161" t="s">
        <v>1680</v>
      </c>
      <c r="I32" s="162">
        <v>360</v>
      </c>
      <c r="J32" s="159">
        <v>103.5</v>
      </c>
      <c r="K32" s="163">
        <v>104.4</v>
      </c>
      <c r="L32" s="164">
        <f t="shared" si="0"/>
        <v>207.9</v>
      </c>
      <c r="M32" s="165">
        <f t="shared" si="1"/>
        <v>0.57750000000000001</v>
      </c>
      <c r="N32" s="122"/>
    </row>
    <row r="33" spans="2:14" x14ac:dyDescent="0.25">
      <c r="B33" s="121"/>
      <c r="C33" s="160">
        <v>61</v>
      </c>
      <c r="D33" s="160">
        <v>3</v>
      </c>
      <c r="E33" s="160" t="s">
        <v>67</v>
      </c>
      <c r="F33" s="160" t="s">
        <v>81</v>
      </c>
      <c r="G33" s="160" t="s">
        <v>44</v>
      </c>
      <c r="H33" s="161" t="s">
        <v>214</v>
      </c>
      <c r="I33" s="162">
        <v>473</v>
      </c>
      <c r="J33" s="159">
        <v>129.80000000000001</v>
      </c>
      <c r="K33" s="163">
        <v>131.19999999999999</v>
      </c>
      <c r="L33" s="164">
        <f t="shared" si="0"/>
        <v>261</v>
      </c>
      <c r="M33" s="165">
        <f t="shared" si="1"/>
        <v>0.55179704016913322</v>
      </c>
      <c r="N33" s="122"/>
    </row>
    <row r="34" spans="2:14" x14ac:dyDescent="0.25">
      <c r="B34" s="121"/>
      <c r="C34" s="159">
        <v>62</v>
      </c>
      <c r="D34" s="159">
        <v>7</v>
      </c>
      <c r="E34" s="159" t="s">
        <v>67</v>
      </c>
      <c r="F34" s="159" t="s">
        <v>81</v>
      </c>
      <c r="G34" s="160" t="s">
        <v>44</v>
      </c>
      <c r="H34" s="161" t="s">
        <v>1681</v>
      </c>
      <c r="I34" s="162">
        <v>433</v>
      </c>
      <c r="J34" s="159">
        <v>125.5</v>
      </c>
      <c r="K34" s="166">
        <v>124.8</v>
      </c>
      <c r="L34" s="164">
        <f t="shared" si="0"/>
        <v>250.3</v>
      </c>
      <c r="M34" s="167">
        <f t="shared" si="1"/>
        <v>0.57806004618937645</v>
      </c>
      <c r="N34" s="122"/>
    </row>
    <row r="35" spans="2:14" x14ac:dyDescent="0.25">
      <c r="B35" s="121"/>
      <c r="C35" s="159">
        <v>63</v>
      </c>
      <c r="D35" s="159">
        <v>5</v>
      </c>
      <c r="E35" s="159" t="s">
        <v>67</v>
      </c>
      <c r="F35" s="159" t="s">
        <v>81</v>
      </c>
      <c r="G35" s="160" t="s">
        <v>44</v>
      </c>
      <c r="H35" s="161" t="s">
        <v>1682</v>
      </c>
      <c r="I35" s="162">
        <v>367</v>
      </c>
      <c r="J35" s="159">
        <v>99.5</v>
      </c>
      <c r="K35" s="163">
        <v>100.2</v>
      </c>
      <c r="L35" s="164">
        <f t="shared" si="0"/>
        <v>199.7</v>
      </c>
      <c r="M35" s="165">
        <f t="shared" si="1"/>
        <v>0.54414168937329699</v>
      </c>
      <c r="N35" s="122"/>
    </row>
    <row r="36" spans="2:14" x14ac:dyDescent="0.25">
      <c r="B36" s="121"/>
      <c r="C36" s="159">
        <v>64</v>
      </c>
      <c r="D36" s="159">
        <v>8</v>
      </c>
      <c r="E36" s="159" t="s">
        <v>67</v>
      </c>
      <c r="F36" s="159" t="s">
        <v>81</v>
      </c>
      <c r="G36" s="160" t="s">
        <v>44</v>
      </c>
      <c r="H36" s="161" t="s">
        <v>1583</v>
      </c>
      <c r="I36" s="162">
        <v>400</v>
      </c>
      <c r="J36" s="159">
        <v>117.3</v>
      </c>
      <c r="K36" s="163">
        <v>118.7</v>
      </c>
      <c r="L36" s="164">
        <f t="shared" si="0"/>
        <v>236</v>
      </c>
      <c r="M36" s="165">
        <f t="shared" si="1"/>
        <v>0.59</v>
      </c>
      <c r="N36" s="122"/>
    </row>
    <row r="37" spans="2:14" x14ac:dyDescent="0.25">
      <c r="B37" s="121"/>
      <c r="C37" s="159">
        <v>65</v>
      </c>
      <c r="D37" s="159">
        <v>12</v>
      </c>
      <c r="E37" s="159" t="s">
        <v>67</v>
      </c>
      <c r="F37" s="159" t="s">
        <v>81</v>
      </c>
      <c r="G37" s="160" t="s">
        <v>44</v>
      </c>
      <c r="H37" s="161" t="s">
        <v>41</v>
      </c>
      <c r="I37" s="162">
        <v>306</v>
      </c>
      <c r="J37" s="159">
        <v>84.9</v>
      </c>
      <c r="K37" s="163">
        <v>83.6</v>
      </c>
      <c r="L37" s="164">
        <f t="shared" si="0"/>
        <v>168.5</v>
      </c>
      <c r="M37" s="165">
        <f t="shared" si="1"/>
        <v>0.55065359477124187</v>
      </c>
      <c r="N37" s="122"/>
    </row>
    <row r="38" spans="2:14" x14ac:dyDescent="0.25">
      <c r="B38" s="121"/>
      <c r="C38" s="159">
        <v>66</v>
      </c>
      <c r="D38" s="159">
        <v>17</v>
      </c>
      <c r="E38" s="159" t="s">
        <v>68</v>
      </c>
      <c r="F38" s="159" t="s">
        <v>81</v>
      </c>
      <c r="G38" s="159" t="s">
        <v>44</v>
      </c>
      <c r="H38" s="168" t="s">
        <v>1683</v>
      </c>
      <c r="I38" s="169">
        <v>403</v>
      </c>
      <c r="J38" s="159">
        <v>111.5</v>
      </c>
      <c r="K38" s="163">
        <v>111.1</v>
      </c>
      <c r="L38" s="164">
        <f t="shared" si="0"/>
        <v>222.6</v>
      </c>
      <c r="M38" s="165">
        <f t="shared" si="1"/>
        <v>0.55235732009925553</v>
      </c>
      <c r="N38" s="122"/>
    </row>
    <row r="39" spans="2:14" x14ac:dyDescent="0.25">
      <c r="B39" s="121"/>
      <c r="C39" s="159">
        <v>67</v>
      </c>
      <c r="D39" s="159">
        <v>18</v>
      </c>
      <c r="E39" s="159" t="s">
        <v>67</v>
      </c>
      <c r="F39" s="159" t="s">
        <v>81</v>
      </c>
      <c r="G39" s="160" t="s">
        <v>44</v>
      </c>
      <c r="H39" s="161" t="s">
        <v>1684</v>
      </c>
      <c r="I39" s="162">
        <v>319</v>
      </c>
      <c r="J39" s="159">
        <v>90.4</v>
      </c>
      <c r="K39" s="163">
        <v>90.4</v>
      </c>
      <c r="L39" s="164">
        <f t="shared" si="0"/>
        <v>180.8</v>
      </c>
      <c r="M39" s="165">
        <f t="shared" si="1"/>
        <v>0.56677115987460813</v>
      </c>
      <c r="N39" s="122"/>
    </row>
    <row r="40" spans="2:14" x14ac:dyDescent="0.25">
      <c r="B40" s="121"/>
      <c r="C40" s="159">
        <v>68</v>
      </c>
      <c r="D40" s="159">
        <v>4</v>
      </c>
      <c r="E40" s="159" t="s">
        <v>75</v>
      </c>
      <c r="F40" s="159" t="s">
        <v>81</v>
      </c>
      <c r="G40" s="160" t="s">
        <v>44</v>
      </c>
      <c r="H40" s="161" t="s">
        <v>1685</v>
      </c>
      <c r="I40" s="162">
        <v>351</v>
      </c>
      <c r="J40" s="159">
        <v>97.3</v>
      </c>
      <c r="K40" s="163">
        <v>96.7</v>
      </c>
      <c r="L40" s="164">
        <f t="shared" si="0"/>
        <v>194</v>
      </c>
      <c r="M40" s="165">
        <f t="shared" si="1"/>
        <v>0.55270655270655267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310"/>
      <c r="D66" s="310">
        <f>+COUNT($D$22:$D$65)</f>
        <v>18</v>
      </c>
      <c r="E66" s="310"/>
      <c r="F66" s="373"/>
      <c r="G66" s="373"/>
      <c r="H66" s="149"/>
      <c r="I66" s="148">
        <f>SUM($I$22:$I$65)</f>
        <v>6703</v>
      </c>
      <c r="J66" s="150">
        <f>SUM($J$22:$J$65)</f>
        <v>1898.7</v>
      </c>
      <c r="K66" s="151">
        <f>SUM($K$22:$K$65)</f>
        <v>1891.9</v>
      </c>
      <c r="L66" s="148">
        <f>SUM($L$22:$L$65)</f>
        <v>3790.6</v>
      </c>
      <c r="M66" s="178">
        <f t="shared" si="1"/>
        <v>0.56550798150082049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49.42</v>
      </c>
      <c r="I71" s="119">
        <v>46.78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18</v>
      </c>
      <c r="I72" s="119">
        <f>13.68+11.16</f>
        <v>24.84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18</v>
      </c>
      <c r="I73" s="119">
        <v>74.259999999999991</v>
      </c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18</v>
      </c>
      <c r="I74" s="119">
        <v>20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12.64</v>
      </c>
      <c r="I75" s="119">
        <v>11.94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36</v>
      </c>
      <c r="I76" s="119">
        <v>14.98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72</v>
      </c>
      <c r="I77" s="119">
        <v>12.02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18</v>
      </c>
      <c r="I78" s="119">
        <v>13.12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18</v>
      </c>
      <c r="I79" s="119">
        <v>12.78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24.14</v>
      </c>
      <c r="I80" s="119">
        <v>22.8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18</v>
      </c>
      <c r="I81" s="119">
        <v>17.8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18</v>
      </c>
      <c r="I82" s="119">
        <v>5.68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9.24</v>
      </c>
      <c r="I83" s="119">
        <v>8.3800000000000008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285.38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18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19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A5" zoomScale="90" zoomScaleNormal="90" workbookViewId="0">
      <selection activeCell="F31" sqref="F31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0.55825940008449515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165.17500000000001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625</v>
      </c>
      <c r="F8" s="344"/>
      <c r="G8" s="344"/>
      <c r="H8" s="345"/>
      <c r="I8" s="146" t="s">
        <v>487</v>
      </c>
      <c r="J8" s="346" t="s">
        <v>1416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41927</v>
      </c>
      <c r="F9" s="344"/>
      <c r="G9" s="344"/>
      <c r="H9" s="345"/>
      <c r="I9" s="146" t="s">
        <v>88</v>
      </c>
      <c r="J9" s="209" t="s">
        <v>1692</v>
      </c>
      <c r="K9" s="314" t="s">
        <v>490</v>
      </c>
      <c r="L9" s="369" t="s">
        <v>1693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315" t="s">
        <v>569</v>
      </c>
      <c r="E12" s="384">
        <v>46079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88</v>
      </c>
      <c r="F13" s="349"/>
      <c r="H13" s="117"/>
      <c r="I13" s="123"/>
      <c r="J13" s="215" t="s">
        <v>483</v>
      </c>
      <c r="K13" s="316">
        <f>+COUNTIF($G$22:$G$66,"VQ")*2</f>
        <v>8</v>
      </c>
      <c r="L13" s="316">
        <f>+SUMIF($G$23:$G$65,"VQ",$L$23:$L$65)</f>
        <v>655.5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8</v>
      </c>
      <c r="F14" s="350"/>
      <c r="H14" s="117"/>
      <c r="I14" s="123"/>
      <c r="J14" s="215" t="s">
        <v>42</v>
      </c>
      <c r="K14" s="316">
        <f>+COUNTIF($G$22:$G$66,"NT")*2</f>
        <v>6</v>
      </c>
      <c r="L14" s="316">
        <f>+SUMIF($G$23:$G$65,"NT",$L$23:$L$65)</f>
        <v>470.9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2367</v>
      </c>
      <c r="F15" s="350"/>
      <c r="H15" s="117"/>
      <c r="I15" s="123"/>
      <c r="J15" s="215" t="s">
        <v>484</v>
      </c>
      <c r="K15" s="316">
        <f>+COUNTIF($G$22:$G$66,"NO")*2</f>
        <v>0</v>
      </c>
      <c r="L15" s="316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1321.4</v>
      </c>
      <c r="F16" s="350"/>
      <c r="H16" s="117"/>
      <c r="I16" s="123"/>
      <c r="J16" s="215" t="s">
        <v>485</v>
      </c>
      <c r="K16" s="316">
        <f>+COUNTIF($G$22:$G$66,"TO")*2</f>
        <v>0</v>
      </c>
      <c r="L16" s="316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0.55825940008449515</v>
      </c>
      <c r="F17" s="350"/>
      <c r="G17" s="124"/>
      <c r="H17" s="125"/>
      <c r="I17" s="123"/>
      <c r="J17" s="215" t="s">
        <v>486</v>
      </c>
      <c r="K17" s="316">
        <f>+COUNTIF($G$22:$G$66,"VA")*2</f>
        <v>0</v>
      </c>
      <c r="L17" s="316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165.17500000000001</v>
      </c>
      <c r="F18" s="353"/>
      <c r="G18" s="124"/>
      <c r="H18" s="125"/>
      <c r="I18" s="123"/>
      <c r="J18" s="215" t="s">
        <v>44</v>
      </c>
      <c r="K18" s="316">
        <f>+COUNTIF($G$22:$G$66,"MEJ")*2</f>
        <v>2</v>
      </c>
      <c r="L18" s="316">
        <f>+SUMIF($G$23:$G$65,"MEJ",$L$23:$L$65)</f>
        <v>195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</v>
      </c>
      <c r="D23" s="152">
        <v>6</v>
      </c>
      <c r="E23" s="152" t="s">
        <v>67</v>
      </c>
      <c r="F23" s="152" t="s">
        <v>526</v>
      </c>
      <c r="G23" s="153" t="s">
        <v>483</v>
      </c>
      <c r="H23" s="154" t="s">
        <v>596</v>
      </c>
      <c r="I23" s="155">
        <v>310</v>
      </c>
      <c r="J23" s="152">
        <v>80.599999999999994</v>
      </c>
      <c r="K23" s="156">
        <v>79.5</v>
      </c>
      <c r="L23" s="157">
        <f t="shared" ref="L23:L65" si="0">+J23+K23</f>
        <v>160.1</v>
      </c>
      <c r="M23" s="158">
        <f t="shared" ref="M23:M66" si="1">+L23/I23</f>
        <v>0.51645161290322583</v>
      </c>
      <c r="N23" s="122"/>
    </row>
    <row r="24" spans="2:14" x14ac:dyDescent="0.25">
      <c r="B24" s="121"/>
      <c r="C24" s="159">
        <v>2</v>
      </c>
      <c r="D24" s="159">
        <v>7</v>
      </c>
      <c r="E24" s="159" t="s">
        <v>75</v>
      </c>
      <c r="F24" s="159" t="s">
        <v>526</v>
      </c>
      <c r="G24" s="160" t="s">
        <v>44</v>
      </c>
      <c r="H24" s="161" t="s">
        <v>1688</v>
      </c>
      <c r="I24" s="162">
        <v>350</v>
      </c>
      <c r="J24" s="159">
        <v>98.1</v>
      </c>
      <c r="K24" s="163">
        <v>96.9</v>
      </c>
      <c r="L24" s="164">
        <f t="shared" si="0"/>
        <v>195</v>
      </c>
      <c r="M24" s="165">
        <f t="shared" si="1"/>
        <v>0.55714285714285716</v>
      </c>
      <c r="N24" s="122"/>
    </row>
    <row r="25" spans="2:14" x14ac:dyDescent="0.25">
      <c r="B25" s="121"/>
      <c r="C25" s="159">
        <v>3</v>
      </c>
      <c r="D25" s="159">
        <v>5</v>
      </c>
      <c r="E25" s="159" t="s">
        <v>68</v>
      </c>
      <c r="F25" s="159" t="s">
        <v>526</v>
      </c>
      <c r="G25" s="160" t="s">
        <v>42</v>
      </c>
      <c r="H25" s="161" t="s">
        <v>1689</v>
      </c>
      <c r="I25" s="162">
        <v>325</v>
      </c>
      <c r="J25" s="159">
        <v>89.6</v>
      </c>
      <c r="K25" s="163">
        <v>90.3</v>
      </c>
      <c r="L25" s="164">
        <f t="shared" si="0"/>
        <v>179.89999999999998</v>
      </c>
      <c r="M25" s="165">
        <f t="shared" si="1"/>
        <v>0.55353846153846142</v>
      </c>
      <c r="N25" s="122"/>
    </row>
    <row r="26" spans="2:14" x14ac:dyDescent="0.25">
      <c r="B26" s="121"/>
      <c r="C26" s="159">
        <v>4</v>
      </c>
      <c r="D26" s="159">
        <v>3</v>
      </c>
      <c r="E26" s="159" t="s">
        <v>67</v>
      </c>
      <c r="F26" s="159" t="s">
        <v>526</v>
      </c>
      <c r="G26" s="160" t="s">
        <v>483</v>
      </c>
      <c r="H26" s="161" t="s">
        <v>377</v>
      </c>
      <c r="I26" s="162">
        <v>285</v>
      </c>
      <c r="J26" s="159">
        <v>80.900000000000006</v>
      </c>
      <c r="K26" s="163">
        <v>80.599999999999994</v>
      </c>
      <c r="L26" s="164">
        <f t="shared" si="0"/>
        <v>161.5</v>
      </c>
      <c r="M26" s="165">
        <f t="shared" si="1"/>
        <v>0.56666666666666665</v>
      </c>
      <c r="N26" s="122"/>
    </row>
    <row r="27" spans="2:14" x14ac:dyDescent="0.25">
      <c r="B27" s="121"/>
      <c r="C27" s="159">
        <v>5</v>
      </c>
      <c r="D27" s="159">
        <v>8</v>
      </c>
      <c r="E27" s="159" t="s">
        <v>68</v>
      </c>
      <c r="F27" s="159" t="s">
        <v>526</v>
      </c>
      <c r="G27" s="160" t="s">
        <v>483</v>
      </c>
      <c r="H27" s="161" t="s">
        <v>381</v>
      </c>
      <c r="I27" s="162">
        <v>282</v>
      </c>
      <c r="J27" s="159">
        <v>80.099999999999994</v>
      </c>
      <c r="K27" s="163">
        <v>79.400000000000006</v>
      </c>
      <c r="L27" s="164">
        <f t="shared" si="0"/>
        <v>159.5</v>
      </c>
      <c r="M27" s="165">
        <f t="shared" si="1"/>
        <v>0.56560283687943258</v>
      </c>
      <c r="N27" s="122"/>
    </row>
    <row r="28" spans="2:14" x14ac:dyDescent="0.25">
      <c r="B28" s="121"/>
      <c r="C28" s="159">
        <v>6</v>
      </c>
      <c r="D28" s="159">
        <v>2</v>
      </c>
      <c r="E28" s="159" t="s">
        <v>75</v>
      </c>
      <c r="F28" s="159" t="s">
        <v>526</v>
      </c>
      <c r="G28" s="160" t="s">
        <v>42</v>
      </c>
      <c r="H28" s="161" t="s">
        <v>1690</v>
      </c>
      <c r="I28" s="162">
        <v>267</v>
      </c>
      <c r="J28" s="159">
        <v>74.099999999999994</v>
      </c>
      <c r="K28" s="163">
        <v>72.5</v>
      </c>
      <c r="L28" s="164">
        <f t="shared" si="0"/>
        <v>146.6</v>
      </c>
      <c r="M28" s="165">
        <f t="shared" si="1"/>
        <v>0.54906367041198501</v>
      </c>
      <c r="N28" s="122"/>
    </row>
    <row r="29" spans="2:14" x14ac:dyDescent="0.25">
      <c r="B29" s="121"/>
      <c r="C29" s="160">
        <v>7</v>
      </c>
      <c r="D29" s="160">
        <v>1</v>
      </c>
      <c r="E29" s="160" t="s">
        <v>67</v>
      </c>
      <c r="F29" s="160" t="s">
        <v>526</v>
      </c>
      <c r="G29" s="160" t="s">
        <v>42</v>
      </c>
      <c r="H29" s="161" t="s">
        <v>393</v>
      </c>
      <c r="I29" s="162">
        <v>251</v>
      </c>
      <c r="J29" s="159">
        <v>71.7</v>
      </c>
      <c r="K29" s="163">
        <v>72.7</v>
      </c>
      <c r="L29" s="164">
        <f t="shared" si="0"/>
        <v>144.4</v>
      </c>
      <c r="M29" s="165">
        <f t="shared" si="1"/>
        <v>0.57529880478087647</v>
      </c>
      <c r="N29" s="122"/>
    </row>
    <row r="30" spans="2:14" x14ac:dyDescent="0.25">
      <c r="B30" s="121"/>
      <c r="C30" s="160">
        <v>8</v>
      </c>
      <c r="D30" s="160">
        <v>4</v>
      </c>
      <c r="E30" s="160" t="s">
        <v>67</v>
      </c>
      <c r="F30" s="160" t="s">
        <v>526</v>
      </c>
      <c r="G30" s="160" t="s">
        <v>483</v>
      </c>
      <c r="H30" s="161" t="s">
        <v>1691</v>
      </c>
      <c r="I30" s="162">
        <v>297</v>
      </c>
      <c r="J30" s="159">
        <v>87.4</v>
      </c>
      <c r="K30" s="163">
        <v>87</v>
      </c>
      <c r="L30" s="164">
        <f t="shared" si="0"/>
        <v>174.4</v>
      </c>
      <c r="M30" s="165">
        <f t="shared" si="1"/>
        <v>0.58720538720538717</v>
      </c>
      <c r="N30" s="122"/>
    </row>
    <row r="31" spans="2:14" x14ac:dyDescent="0.25">
      <c r="B31" s="121"/>
      <c r="C31" s="159"/>
      <c r="D31" s="159"/>
      <c r="E31" s="159"/>
      <c r="F31" s="159"/>
      <c r="G31" s="160"/>
      <c r="H31" s="161"/>
      <c r="I31" s="162"/>
      <c r="J31" s="159"/>
      <c r="K31" s="163"/>
      <c r="L31" s="164">
        <f t="shared" si="0"/>
        <v>0</v>
      </c>
      <c r="M31" s="165" t="e">
        <f t="shared" si="1"/>
        <v>#DIV/0!</v>
      </c>
      <c r="N31" s="122"/>
    </row>
    <row r="32" spans="2:14" x14ac:dyDescent="0.25">
      <c r="B32" s="121"/>
      <c r="C32" s="159"/>
      <c r="D32" s="159"/>
      <c r="E32" s="159"/>
      <c r="F32" s="159"/>
      <c r="G32" s="160"/>
      <c r="H32" s="161"/>
      <c r="I32" s="162"/>
      <c r="J32" s="159"/>
      <c r="K32" s="163"/>
      <c r="L32" s="164">
        <f t="shared" si="0"/>
        <v>0</v>
      </c>
      <c r="M32" s="165" t="e">
        <f t="shared" si="1"/>
        <v>#DIV/0!</v>
      </c>
      <c r="N32" s="122"/>
    </row>
    <row r="33" spans="2:14" x14ac:dyDescent="0.25">
      <c r="B33" s="121"/>
      <c r="C33" s="160"/>
      <c r="D33" s="160"/>
      <c r="E33" s="160"/>
      <c r="F33" s="160"/>
      <c r="G33" s="160"/>
      <c r="H33" s="161"/>
      <c r="I33" s="162"/>
      <c r="J33" s="159"/>
      <c r="K33" s="163"/>
      <c r="L33" s="164">
        <f t="shared" si="0"/>
        <v>0</v>
      </c>
      <c r="M33" s="165" t="e">
        <f t="shared" si="1"/>
        <v>#DIV/0!</v>
      </c>
      <c r="N33" s="122"/>
    </row>
    <row r="34" spans="2:14" x14ac:dyDescent="0.25">
      <c r="B34" s="121"/>
      <c r="C34" s="159"/>
      <c r="D34" s="159"/>
      <c r="E34" s="159"/>
      <c r="F34" s="159"/>
      <c r="G34" s="160"/>
      <c r="H34" s="161"/>
      <c r="I34" s="162"/>
      <c r="J34" s="159"/>
      <c r="K34" s="166"/>
      <c r="L34" s="164">
        <f t="shared" si="0"/>
        <v>0</v>
      </c>
      <c r="M34" s="167" t="e">
        <f t="shared" si="1"/>
        <v>#DIV/0!</v>
      </c>
      <c r="N34" s="122"/>
    </row>
    <row r="35" spans="2:14" x14ac:dyDescent="0.25">
      <c r="B35" s="121"/>
      <c r="C35" s="159"/>
      <c r="D35" s="159"/>
      <c r="E35" s="159"/>
      <c r="F35" s="159"/>
      <c r="G35" s="160"/>
      <c r="H35" s="161"/>
      <c r="I35" s="162"/>
      <c r="J35" s="159"/>
      <c r="K35" s="163"/>
      <c r="L35" s="164">
        <f t="shared" si="0"/>
        <v>0</v>
      </c>
      <c r="M35" s="165" t="e">
        <f t="shared" si="1"/>
        <v>#DIV/0!</v>
      </c>
      <c r="N35" s="122"/>
    </row>
    <row r="36" spans="2:14" x14ac:dyDescent="0.25">
      <c r="B36" s="121"/>
      <c r="C36" s="159"/>
      <c r="D36" s="159"/>
      <c r="E36" s="159"/>
      <c r="F36" s="159"/>
      <c r="G36" s="160"/>
      <c r="H36" s="161"/>
      <c r="I36" s="162"/>
      <c r="J36" s="159"/>
      <c r="K36" s="163"/>
      <c r="L36" s="164">
        <f t="shared" si="0"/>
        <v>0</v>
      </c>
      <c r="M36" s="165" t="e">
        <f t="shared" si="1"/>
        <v>#DIV/0!</v>
      </c>
      <c r="N36" s="122"/>
    </row>
    <row r="37" spans="2:14" x14ac:dyDescent="0.25">
      <c r="B37" s="121"/>
      <c r="C37" s="159"/>
      <c r="D37" s="159"/>
      <c r="E37" s="159"/>
      <c r="F37" s="159"/>
      <c r="G37" s="160"/>
      <c r="H37" s="161"/>
      <c r="I37" s="162"/>
      <c r="J37" s="159"/>
      <c r="K37" s="163"/>
      <c r="L37" s="164">
        <f t="shared" si="0"/>
        <v>0</v>
      </c>
      <c r="M37" s="165" t="e">
        <f t="shared" si="1"/>
        <v>#DIV/0!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317"/>
      <c r="D66" s="317">
        <f>+COUNT($D$22:$D$65)</f>
        <v>8</v>
      </c>
      <c r="E66" s="317"/>
      <c r="F66" s="373"/>
      <c r="G66" s="373"/>
      <c r="H66" s="149"/>
      <c r="I66" s="148">
        <f>SUM($I$22:$I$65)</f>
        <v>2367</v>
      </c>
      <c r="J66" s="150">
        <f>SUM($J$22:$J$65)</f>
        <v>662.5</v>
      </c>
      <c r="K66" s="151">
        <f>SUM($K$22:$K$65)</f>
        <v>658.9</v>
      </c>
      <c r="L66" s="148">
        <f>SUM($L$22:$L$65)</f>
        <v>1321.4</v>
      </c>
      <c r="M66" s="178">
        <f t="shared" si="1"/>
        <v>0.55825940008449515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14.9</v>
      </c>
      <c r="I71" s="119">
        <v>14.5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8</v>
      </c>
      <c r="I72" s="119">
        <v>9.7200000000000006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8</v>
      </c>
      <c r="I73" s="119">
        <v>32.700000000000003</v>
      </c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8</v>
      </c>
      <c r="I74" s="119">
        <v>7.6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5.0599999999999996</v>
      </c>
      <c r="I75" s="119">
        <v>4.68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16</v>
      </c>
      <c r="I76" s="119">
        <v>5.18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32</v>
      </c>
      <c r="I77" s="119">
        <v>4.1399999999999997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8</v>
      </c>
      <c r="I78" s="119">
        <v>6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8</v>
      </c>
      <c r="I79" s="119">
        <v>4.5199999999999996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9.6199999999999992</v>
      </c>
      <c r="I80" s="119">
        <v>8.94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8</v>
      </c>
      <c r="I81" s="119">
        <v>5.98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8</v>
      </c>
      <c r="I82" s="119">
        <v>2.4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4.4800000000000004</v>
      </c>
      <c r="I83" s="119">
        <v>4.0999999999999996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110.46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8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18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A4" zoomScale="90" zoomScaleNormal="90" workbookViewId="0">
      <selection activeCell="F30" sqref="F30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0.55630815035355419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213.54285714285717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566</v>
      </c>
      <c r="F8" s="344"/>
      <c r="G8" s="344"/>
      <c r="H8" s="345"/>
      <c r="I8" s="146" t="s">
        <v>487</v>
      </c>
      <c r="J8" s="346" t="s">
        <v>1699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28012</v>
      </c>
      <c r="F9" s="344"/>
      <c r="G9" s="344"/>
      <c r="H9" s="345"/>
      <c r="I9" s="146" t="s">
        <v>88</v>
      </c>
      <c r="J9" s="209" t="s">
        <v>1700</v>
      </c>
      <c r="K9" s="314" t="s">
        <v>490</v>
      </c>
      <c r="L9" s="369" t="s">
        <v>1701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315" t="s">
        <v>569</v>
      </c>
      <c r="E12" s="384">
        <v>46079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89</v>
      </c>
      <c r="F13" s="349"/>
      <c r="H13" s="117"/>
      <c r="I13" s="123"/>
      <c r="J13" s="215" t="s">
        <v>483</v>
      </c>
      <c r="K13" s="316">
        <f>+COUNTIF($G$22:$G$66,"VQ")*2</f>
        <v>2</v>
      </c>
      <c r="L13" s="316">
        <f>+SUMIF($G$23:$G$65,"VQ",$L$23:$L$65)</f>
        <v>180.9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7</v>
      </c>
      <c r="F14" s="350"/>
      <c r="H14" s="117"/>
      <c r="I14" s="123"/>
      <c r="J14" s="215" t="s">
        <v>42</v>
      </c>
      <c r="K14" s="316">
        <f>+COUNTIF($G$22:$G$66,"NT")*2</f>
        <v>0</v>
      </c>
      <c r="L14" s="316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2687</v>
      </c>
      <c r="F15" s="350"/>
      <c r="H15" s="117"/>
      <c r="I15" s="123"/>
      <c r="J15" s="215" t="s">
        <v>484</v>
      </c>
      <c r="K15" s="316">
        <f>+COUNTIF($G$22:$G$66,"NO")*2</f>
        <v>0</v>
      </c>
      <c r="L15" s="316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1494.8000000000002</v>
      </c>
      <c r="F16" s="350"/>
      <c r="H16" s="117"/>
      <c r="I16" s="123"/>
      <c r="J16" s="215" t="s">
        <v>485</v>
      </c>
      <c r="K16" s="316">
        <f>+COUNTIF($G$22:$G$66,"TO")*2</f>
        <v>0</v>
      </c>
      <c r="L16" s="316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0.55630815035355419</v>
      </c>
      <c r="F17" s="350"/>
      <c r="G17" s="124"/>
      <c r="H17" s="125"/>
      <c r="I17" s="123"/>
      <c r="J17" s="215" t="s">
        <v>486</v>
      </c>
      <c r="K17" s="316">
        <f>+COUNTIF($G$22:$G$66,"VA")*2</f>
        <v>0</v>
      </c>
      <c r="L17" s="316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213.54285714285717</v>
      </c>
      <c r="F18" s="353"/>
      <c r="G18" s="124"/>
      <c r="H18" s="125"/>
      <c r="I18" s="123"/>
      <c r="J18" s="215" t="s">
        <v>44</v>
      </c>
      <c r="K18" s="316">
        <f>+COUNTIF($G$22:$G$66,"MEJ")*2</f>
        <v>12</v>
      </c>
      <c r="L18" s="316">
        <f>+SUMIF($G$23:$G$65,"MEJ",$L$23:$L$65)</f>
        <v>1313.9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9</v>
      </c>
      <c r="D23" s="152">
        <v>1</v>
      </c>
      <c r="E23" s="152" t="s">
        <v>75</v>
      </c>
      <c r="F23" s="152" t="s">
        <v>526</v>
      </c>
      <c r="G23" s="153" t="s">
        <v>44</v>
      </c>
      <c r="H23" s="154" t="s">
        <v>1694</v>
      </c>
      <c r="I23" s="155">
        <v>399</v>
      </c>
      <c r="J23" s="152">
        <v>105.3</v>
      </c>
      <c r="K23" s="156">
        <v>105.5</v>
      </c>
      <c r="L23" s="157">
        <f t="shared" ref="L23:L65" si="0">+J23+K23</f>
        <v>210.8</v>
      </c>
      <c r="M23" s="158">
        <f t="shared" ref="M23:M66" si="1">+L23/I23</f>
        <v>0.52832080200501252</v>
      </c>
      <c r="N23" s="122"/>
    </row>
    <row r="24" spans="2:14" x14ac:dyDescent="0.25">
      <c r="B24" s="121"/>
      <c r="C24" s="159">
        <v>10</v>
      </c>
      <c r="D24" s="159">
        <v>3</v>
      </c>
      <c r="E24" s="159" t="s">
        <v>75</v>
      </c>
      <c r="F24" s="159" t="s">
        <v>526</v>
      </c>
      <c r="G24" s="160" t="s">
        <v>44</v>
      </c>
      <c r="H24" s="161" t="s">
        <v>1695</v>
      </c>
      <c r="I24" s="162">
        <v>337</v>
      </c>
      <c r="J24" s="159">
        <v>94.4</v>
      </c>
      <c r="K24" s="163">
        <v>94.4</v>
      </c>
      <c r="L24" s="164">
        <f t="shared" si="0"/>
        <v>188.8</v>
      </c>
      <c r="M24" s="165">
        <f t="shared" si="1"/>
        <v>0.56023738872403561</v>
      </c>
      <c r="N24" s="122"/>
    </row>
    <row r="25" spans="2:14" x14ac:dyDescent="0.25">
      <c r="B25" s="121"/>
      <c r="C25" s="159">
        <v>11</v>
      </c>
      <c r="D25" s="159">
        <v>4</v>
      </c>
      <c r="E25" s="159" t="s">
        <v>75</v>
      </c>
      <c r="F25" s="159" t="s">
        <v>526</v>
      </c>
      <c r="G25" s="160" t="s">
        <v>44</v>
      </c>
      <c r="H25" s="161" t="s">
        <v>1696</v>
      </c>
      <c r="I25" s="162">
        <v>370</v>
      </c>
      <c r="J25" s="159">
        <v>106</v>
      </c>
      <c r="K25" s="163">
        <v>105.8</v>
      </c>
      <c r="L25" s="164">
        <f t="shared" si="0"/>
        <v>211.8</v>
      </c>
      <c r="M25" s="165">
        <f t="shared" si="1"/>
        <v>0.57243243243243247</v>
      </c>
      <c r="N25" s="122"/>
    </row>
    <row r="26" spans="2:14" x14ac:dyDescent="0.25">
      <c r="B26" s="121"/>
      <c r="C26" s="159">
        <v>12</v>
      </c>
      <c r="D26" s="159">
        <v>7</v>
      </c>
      <c r="E26" s="159" t="s">
        <v>75</v>
      </c>
      <c r="F26" s="159" t="s">
        <v>526</v>
      </c>
      <c r="G26" s="160" t="s">
        <v>44</v>
      </c>
      <c r="H26" s="161" t="s">
        <v>1697</v>
      </c>
      <c r="I26" s="162">
        <v>408</v>
      </c>
      <c r="J26" s="159">
        <v>118.9</v>
      </c>
      <c r="K26" s="163">
        <v>119.2</v>
      </c>
      <c r="L26" s="164">
        <f t="shared" si="0"/>
        <v>238.10000000000002</v>
      </c>
      <c r="M26" s="165">
        <f t="shared" si="1"/>
        <v>0.58357843137254906</v>
      </c>
      <c r="N26" s="122"/>
    </row>
    <row r="27" spans="2:14" x14ac:dyDescent="0.25">
      <c r="B27" s="121"/>
      <c r="C27" s="159">
        <v>13</v>
      </c>
      <c r="D27" s="159">
        <v>2</v>
      </c>
      <c r="E27" s="159" t="s">
        <v>75</v>
      </c>
      <c r="F27" s="159" t="s">
        <v>526</v>
      </c>
      <c r="G27" s="160" t="s">
        <v>44</v>
      </c>
      <c r="H27" s="161" t="s">
        <v>310</v>
      </c>
      <c r="I27" s="162">
        <v>447</v>
      </c>
      <c r="J27" s="159">
        <v>124.1</v>
      </c>
      <c r="K27" s="163">
        <v>123.7</v>
      </c>
      <c r="L27" s="164">
        <f t="shared" si="0"/>
        <v>247.8</v>
      </c>
      <c r="M27" s="165">
        <f t="shared" si="1"/>
        <v>0.55436241610738257</v>
      </c>
      <c r="N27" s="122"/>
    </row>
    <row r="28" spans="2:14" x14ac:dyDescent="0.25">
      <c r="B28" s="121"/>
      <c r="C28" s="159">
        <v>14</v>
      </c>
      <c r="D28" s="159">
        <v>6</v>
      </c>
      <c r="E28" s="159" t="s">
        <v>75</v>
      </c>
      <c r="F28" s="159" t="s">
        <v>526</v>
      </c>
      <c r="G28" s="160" t="s">
        <v>483</v>
      </c>
      <c r="H28" s="161" t="s">
        <v>1698</v>
      </c>
      <c r="I28" s="162">
        <v>330</v>
      </c>
      <c r="J28" s="159">
        <v>91.4</v>
      </c>
      <c r="K28" s="163">
        <v>89.5</v>
      </c>
      <c r="L28" s="164">
        <f t="shared" si="0"/>
        <v>180.9</v>
      </c>
      <c r="M28" s="165">
        <f t="shared" si="1"/>
        <v>0.54818181818181821</v>
      </c>
      <c r="N28" s="122"/>
    </row>
    <row r="29" spans="2:14" x14ac:dyDescent="0.25">
      <c r="B29" s="121"/>
      <c r="C29" s="160">
        <v>15</v>
      </c>
      <c r="D29" s="160">
        <v>5</v>
      </c>
      <c r="E29" s="160" t="s">
        <v>75</v>
      </c>
      <c r="F29" s="160" t="s">
        <v>526</v>
      </c>
      <c r="G29" s="160" t="s">
        <v>44</v>
      </c>
      <c r="H29" s="161" t="s">
        <v>427</v>
      </c>
      <c r="I29" s="162">
        <v>396</v>
      </c>
      <c r="J29" s="159">
        <v>108.2</v>
      </c>
      <c r="K29" s="163">
        <v>108.4</v>
      </c>
      <c r="L29" s="164">
        <f t="shared" si="0"/>
        <v>216.60000000000002</v>
      </c>
      <c r="M29" s="165">
        <f t="shared" si="1"/>
        <v>0.54696969696969699</v>
      </c>
      <c r="N29" s="122"/>
    </row>
    <row r="30" spans="2:14" x14ac:dyDescent="0.25">
      <c r="B30" s="121"/>
      <c r="C30" s="160"/>
      <c r="D30" s="160"/>
      <c r="E30" s="160"/>
      <c r="F30" s="160"/>
      <c r="G30" s="160"/>
      <c r="H30" s="161"/>
      <c r="I30" s="162"/>
      <c r="J30" s="159"/>
      <c r="K30" s="163"/>
      <c r="L30" s="164">
        <f t="shared" si="0"/>
        <v>0</v>
      </c>
      <c r="M30" s="165" t="e">
        <f t="shared" si="1"/>
        <v>#DIV/0!</v>
      </c>
      <c r="N30" s="122"/>
    </row>
    <row r="31" spans="2:14" x14ac:dyDescent="0.25">
      <c r="B31" s="121"/>
      <c r="C31" s="159"/>
      <c r="D31" s="159"/>
      <c r="E31" s="159"/>
      <c r="F31" s="159"/>
      <c r="G31" s="160"/>
      <c r="H31" s="161"/>
      <c r="I31" s="162"/>
      <c r="J31" s="159"/>
      <c r="K31" s="163"/>
      <c r="L31" s="164">
        <f t="shared" si="0"/>
        <v>0</v>
      </c>
      <c r="M31" s="165" t="e">
        <f t="shared" si="1"/>
        <v>#DIV/0!</v>
      </c>
      <c r="N31" s="122"/>
    </row>
    <row r="32" spans="2:14" x14ac:dyDescent="0.25">
      <c r="B32" s="121"/>
      <c r="C32" s="159"/>
      <c r="D32" s="159"/>
      <c r="E32" s="159"/>
      <c r="F32" s="159"/>
      <c r="G32" s="160"/>
      <c r="H32" s="161"/>
      <c r="I32" s="162"/>
      <c r="J32" s="159"/>
      <c r="K32" s="163"/>
      <c r="L32" s="164">
        <f t="shared" si="0"/>
        <v>0</v>
      </c>
      <c r="M32" s="165" t="e">
        <f t="shared" si="1"/>
        <v>#DIV/0!</v>
      </c>
      <c r="N32" s="122"/>
    </row>
    <row r="33" spans="2:14" x14ac:dyDescent="0.25">
      <c r="B33" s="121"/>
      <c r="C33" s="160"/>
      <c r="D33" s="160"/>
      <c r="E33" s="160"/>
      <c r="F33" s="160"/>
      <c r="G33" s="160"/>
      <c r="H33" s="161"/>
      <c r="I33" s="162"/>
      <c r="J33" s="159"/>
      <c r="K33" s="163"/>
      <c r="L33" s="164">
        <f t="shared" si="0"/>
        <v>0</v>
      </c>
      <c r="M33" s="165" t="e">
        <f t="shared" si="1"/>
        <v>#DIV/0!</v>
      </c>
      <c r="N33" s="122"/>
    </row>
    <row r="34" spans="2:14" x14ac:dyDescent="0.25">
      <c r="B34" s="121"/>
      <c r="C34" s="159"/>
      <c r="D34" s="159"/>
      <c r="E34" s="159"/>
      <c r="F34" s="159"/>
      <c r="G34" s="160"/>
      <c r="H34" s="161"/>
      <c r="I34" s="162"/>
      <c r="J34" s="159"/>
      <c r="K34" s="166"/>
      <c r="L34" s="164">
        <f t="shared" si="0"/>
        <v>0</v>
      </c>
      <c r="M34" s="167" t="e">
        <f t="shared" si="1"/>
        <v>#DIV/0!</v>
      </c>
      <c r="N34" s="122"/>
    </row>
    <row r="35" spans="2:14" x14ac:dyDescent="0.25">
      <c r="B35" s="121"/>
      <c r="C35" s="159"/>
      <c r="D35" s="159"/>
      <c r="E35" s="159"/>
      <c r="F35" s="159"/>
      <c r="G35" s="160"/>
      <c r="H35" s="161"/>
      <c r="I35" s="162"/>
      <c r="J35" s="159"/>
      <c r="K35" s="163"/>
      <c r="L35" s="164">
        <f t="shared" si="0"/>
        <v>0</v>
      </c>
      <c r="M35" s="165" t="e">
        <f t="shared" si="1"/>
        <v>#DIV/0!</v>
      </c>
      <c r="N35" s="122"/>
    </row>
    <row r="36" spans="2:14" x14ac:dyDescent="0.25">
      <c r="B36" s="121"/>
      <c r="C36" s="159"/>
      <c r="D36" s="159"/>
      <c r="E36" s="159"/>
      <c r="F36" s="159"/>
      <c r="G36" s="160"/>
      <c r="H36" s="161"/>
      <c r="I36" s="162"/>
      <c r="J36" s="159"/>
      <c r="K36" s="163"/>
      <c r="L36" s="164">
        <f t="shared" si="0"/>
        <v>0</v>
      </c>
      <c r="M36" s="165" t="e">
        <f t="shared" si="1"/>
        <v>#DIV/0!</v>
      </c>
      <c r="N36" s="122"/>
    </row>
    <row r="37" spans="2:14" x14ac:dyDescent="0.25">
      <c r="B37" s="121"/>
      <c r="C37" s="159"/>
      <c r="D37" s="159"/>
      <c r="E37" s="159"/>
      <c r="F37" s="159"/>
      <c r="G37" s="160"/>
      <c r="H37" s="161"/>
      <c r="I37" s="162"/>
      <c r="J37" s="159"/>
      <c r="K37" s="163"/>
      <c r="L37" s="164">
        <f t="shared" si="0"/>
        <v>0</v>
      </c>
      <c r="M37" s="165" t="e">
        <f t="shared" si="1"/>
        <v>#DIV/0!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317"/>
      <c r="D66" s="317">
        <f>+COUNT($D$22:$D$65)</f>
        <v>7</v>
      </c>
      <c r="E66" s="317"/>
      <c r="F66" s="373"/>
      <c r="G66" s="373"/>
      <c r="H66" s="149"/>
      <c r="I66" s="148">
        <f>SUM($I$22:$I$65)</f>
        <v>2687</v>
      </c>
      <c r="J66" s="150">
        <f>SUM($J$22:$J$65)</f>
        <v>748.30000000000007</v>
      </c>
      <c r="K66" s="151">
        <f>SUM($K$22:$K$65)</f>
        <v>746.5</v>
      </c>
      <c r="L66" s="148">
        <f>SUM($L$22:$L$65)</f>
        <v>1494.8000000000002</v>
      </c>
      <c r="M66" s="178">
        <f t="shared" si="1"/>
        <v>0.55630815035355419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26.14</v>
      </c>
      <c r="I71" s="119">
        <v>25.1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18</v>
      </c>
      <c r="I72" s="119">
        <v>28.48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17</v>
      </c>
      <c r="I73" s="119">
        <v>86.039999999999992</v>
      </c>
      <c r="J73" s="181">
        <v>1</v>
      </c>
      <c r="K73" s="185">
        <v>5.76</v>
      </c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18</v>
      </c>
      <c r="I74" s="119">
        <v>19.899999999999999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9.2200000000000006</v>
      </c>
      <c r="I75" s="119">
        <v>10.52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35</v>
      </c>
      <c r="I76" s="119">
        <v>15.66</v>
      </c>
      <c r="J76" s="181">
        <v>1</v>
      </c>
      <c r="K76" s="185">
        <v>0.34</v>
      </c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72</v>
      </c>
      <c r="I77" s="119">
        <v>11.4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18</v>
      </c>
      <c r="I78" s="119">
        <v>14.7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18</v>
      </c>
      <c r="I79" s="119">
        <v>14.46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24.42</v>
      </c>
      <c r="I80" s="119">
        <v>23.22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18</v>
      </c>
      <c r="I81" s="119">
        <v>18.32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18</v>
      </c>
      <c r="I82" s="119">
        <v>5.62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13.1</v>
      </c>
      <c r="I83" s="119">
        <v>12.3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285.72000000000003</v>
      </c>
      <c r="J84" s="187">
        <f>SUM(J71:J83)</f>
        <v>2</v>
      </c>
      <c r="K84" s="186">
        <f>SUM(K71:K83)</f>
        <v>6.1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7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17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F34" sqref="F34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0.59377042038771499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247.81818181818178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566</v>
      </c>
      <c r="F8" s="344"/>
      <c r="G8" s="344"/>
      <c r="H8" s="345"/>
      <c r="I8" s="146" t="s">
        <v>487</v>
      </c>
      <c r="J8" s="346" t="s">
        <v>618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28012</v>
      </c>
      <c r="F9" s="344"/>
      <c r="G9" s="344"/>
      <c r="H9" s="345"/>
      <c r="I9" s="146" t="s">
        <v>88</v>
      </c>
      <c r="J9" s="209" t="s">
        <v>1708</v>
      </c>
      <c r="K9" s="314" t="s">
        <v>490</v>
      </c>
      <c r="L9" s="369" t="s">
        <v>1709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315" t="s">
        <v>569</v>
      </c>
      <c r="E12" s="384">
        <v>46079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90</v>
      </c>
      <c r="F13" s="349"/>
      <c r="H13" s="117"/>
      <c r="I13" s="123"/>
      <c r="J13" s="215" t="s">
        <v>483</v>
      </c>
      <c r="K13" s="316">
        <f>+COUNTIF($G$22:$G$66,"VQ")*2</f>
        <v>0</v>
      </c>
      <c r="L13" s="316">
        <f>+SUMIF($G$23:$G$65,"VQ",$L$23:$L$65)</f>
        <v>0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11</v>
      </c>
      <c r="F14" s="350"/>
      <c r="H14" s="117"/>
      <c r="I14" s="123"/>
      <c r="J14" s="215" t="s">
        <v>42</v>
      </c>
      <c r="K14" s="316">
        <f>+COUNTIF($G$22:$G$66,"NT")*2</f>
        <v>0</v>
      </c>
      <c r="L14" s="316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4591</v>
      </c>
      <c r="F15" s="350"/>
      <c r="H15" s="117"/>
      <c r="I15" s="123"/>
      <c r="J15" s="215" t="s">
        <v>484</v>
      </c>
      <c r="K15" s="316">
        <f>+COUNTIF($G$22:$G$66,"NO")*2</f>
        <v>0</v>
      </c>
      <c r="L15" s="316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2725.9999999999995</v>
      </c>
      <c r="F16" s="350"/>
      <c r="H16" s="117"/>
      <c r="I16" s="123"/>
      <c r="J16" s="215" t="s">
        <v>485</v>
      </c>
      <c r="K16" s="316">
        <f>+COUNTIF($G$22:$G$66,"TO")*2</f>
        <v>0</v>
      </c>
      <c r="L16" s="316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0.59377042038771499</v>
      </c>
      <c r="F17" s="350"/>
      <c r="G17" s="124"/>
      <c r="H17" s="125"/>
      <c r="I17" s="123"/>
      <c r="J17" s="215" t="s">
        <v>486</v>
      </c>
      <c r="K17" s="316">
        <f>+COUNTIF($G$22:$G$66,"VA")*2</f>
        <v>0</v>
      </c>
      <c r="L17" s="316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247.81818181818178</v>
      </c>
      <c r="F18" s="353"/>
      <c r="G18" s="124"/>
      <c r="H18" s="125"/>
      <c r="I18" s="123"/>
      <c r="J18" s="215" t="s">
        <v>44</v>
      </c>
      <c r="K18" s="316">
        <f>+COUNTIF($G$22:$G$66,"MEJ")*2</f>
        <v>22</v>
      </c>
      <c r="L18" s="316">
        <f>+SUMIF($G$23:$G$65,"MEJ",$L$23:$L$65)</f>
        <v>2725.9999999999995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16</v>
      </c>
      <c r="D23" s="152">
        <v>2</v>
      </c>
      <c r="E23" s="152" t="s">
        <v>67</v>
      </c>
      <c r="F23" s="152" t="s">
        <v>526</v>
      </c>
      <c r="G23" s="153" t="s">
        <v>44</v>
      </c>
      <c r="H23" s="154" t="s">
        <v>1702</v>
      </c>
      <c r="I23" s="155">
        <v>411</v>
      </c>
      <c r="J23" s="152">
        <v>124.7</v>
      </c>
      <c r="K23" s="156">
        <v>123.9</v>
      </c>
      <c r="L23" s="157">
        <f t="shared" ref="L23:L65" si="0">+J23+K23</f>
        <v>248.60000000000002</v>
      </c>
      <c r="M23" s="158">
        <f t="shared" ref="M23:M66" si="1">+L23/I23</f>
        <v>0.60486618004866188</v>
      </c>
      <c r="N23" s="122"/>
    </row>
    <row r="24" spans="2:14" x14ac:dyDescent="0.25">
      <c r="B24" s="121"/>
      <c r="C24" s="159">
        <v>17</v>
      </c>
      <c r="D24" s="159">
        <v>1</v>
      </c>
      <c r="E24" s="159" t="s">
        <v>68</v>
      </c>
      <c r="F24" s="159" t="s">
        <v>526</v>
      </c>
      <c r="G24" s="160" t="s">
        <v>44</v>
      </c>
      <c r="H24" s="161" t="s">
        <v>1703</v>
      </c>
      <c r="I24" s="162">
        <v>441</v>
      </c>
      <c r="J24" s="159">
        <v>126.6</v>
      </c>
      <c r="K24" s="163">
        <v>123.8</v>
      </c>
      <c r="L24" s="164">
        <f t="shared" si="0"/>
        <v>250.39999999999998</v>
      </c>
      <c r="M24" s="165">
        <f t="shared" si="1"/>
        <v>0.56780045351473918</v>
      </c>
      <c r="N24" s="122"/>
    </row>
    <row r="25" spans="2:14" x14ac:dyDescent="0.25">
      <c r="B25" s="121"/>
      <c r="C25" s="159">
        <v>18</v>
      </c>
      <c r="D25" s="159">
        <v>5</v>
      </c>
      <c r="E25" s="159" t="s">
        <v>75</v>
      </c>
      <c r="F25" s="159" t="s">
        <v>526</v>
      </c>
      <c r="G25" s="160" t="s">
        <v>44</v>
      </c>
      <c r="H25" s="161" t="s">
        <v>1630</v>
      </c>
      <c r="I25" s="162">
        <v>463</v>
      </c>
      <c r="J25" s="159">
        <v>139.4</v>
      </c>
      <c r="K25" s="163">
        <v>139.69999999999999</v>
      </c>
      <c r="L25" s="164">
        <f t="shared" si="0"/>
        <v>279.10000000000002</v>
      </c>
      <c r="M25" s="165">
        <f t="shared" si="1"/>
        <v>0.60280777537796981</v>
      </c>
      <c r="N25" s="122"/>
    </row>
    <row r="26" spans="2:14" x14ac:dyDescent="0.25">
      <c r="B26" s="121"/>
      <c r="C26" s="159">
        <v>19</v>
      </c>
      <c r="D26" s="159">
        <v>8</v>
      </c>
      <c r="E26" s="159" t="s">
        <v>67</v>
      </c>
      <c r="F26" s="159" t="s">
        <v>526</v>
      </c>
      <c r="G26" s="160" t="s">
        <v>44</v>
      </c>
      <c r="H26" s="161" t="s">
        <v>1250</v>
      </c>
      <c r="I26" s="162">
        <v>406</v>
      </c>
      <c r="J26" s="159">
        <v>122.6</v>
      </c>
      <c r="K26" s="163">
        <v>121.3</v>
      </c>
      <c r="L26" s="164">
        <f t="shared" si="0"/>
        <v>243.89999999999998</v>
      </c>
      <c r="M26" s="165">
        <f t="shared" si="1"/>
        <v>0.60073891625615761</v>
      </c>
      <c r="N26" s="122"/>
    </row>
    <row r="27" spans="2:14" x14ac:dyDescent="0.25">
      <c r="B27" s="121"/>
      <c r="C27" s="159">
        <v>20</v>
      </c>
      <c r="D27" s="159">
        <v>6</v>
      </c>
      <c r="E27" s="159" t="s">
        <v>68</v>
      </c>
      <c r="F27" s="159" t="s">
        <v>526</v>
      </c>
      <c r="G27" s="160" t="s">
        <v>44</v>
      </c>
      <c r="H27" s="161" t="s">
        <v>1704</v>
      </c>
      <c r="I27" s="162">
        <v>473</v>
      </c>
      <c r="J27" s="159">
        <v>135.80000000000001</v>
      </c>
      <c r="K27" s="163">
        <v>134.30000000000001</v>
      </c>
      <c r="L27" s="164">
        <f t="shared" si="0"/>
        <v>270.10000000000002</v>
      </c>
      <c r="M27" s="165">
        <f t="shared" si="1"/>
        <v>0.57103594080338271</v>
      </c>
      <c r="N27" s="122"/>
    </row>
    <row r="28" spans="2:14" x14ac:dyDescent="0.25">
      <c r="B28" s="121"/>
      <c r="C28" s="159">
        <v>21</v>
      </c>
      <c r="D28" s="159">
        <v>7</v>
      </c>
      <c r="E28" s="159" t="s">
        <v>68</v>
      </c>
      <c r="F28" s="159" t="s">
        <v>526</v>
      </c>
      <c r="G28" s="160" t="s">
        <v>44</v>
      </c>
      <c r="H28" s="161" t="s">
        <v>41</v>
      </c>
      <c r="I28" s="162">
        <v>366</v>
      </c>
      <c r="J28" s="159">
        <v>111.4</v>
      </c>
      <c r="K28" s="163">
        <v>112.2</v>
      </c>
      <c r="L28" s="164">
        <f t="shared" si="0"/>
        <v>223.60000000000002</v>
      </c>
      <c r="M28" s="165">
        <f t="shared" si="1"/>
        <v>0.61092896174863398</v>
      </c>
      <c r="N28" s="122"/>
    </row>
    <row r="29" spans="2:14" x14ac:dyDescent="0.25">
      <c r="B29" s="121"/>
      <c r="C29" s="160">
        <v>22</v>
      </c>
      <c r="D29" s="160">
        <v>3</v>
      </c>
      <c r="E29" s="160" t="s">
        <v>75</v>
      </c>
      <c r="F29" s="160" t="s">
        <v>526</v>
      </c>
      <c r="G29" s="160" t="s">
        <v>44</v>
      </c>
      <c r="H29" s="161" t="s">
        <v>41</v>
      </c>
      <c r="I29" s="162">
        <v>426</v>
      </c>
      <c r="J29" s="159">
        <v>131.80000000000001</v>
      </c>
      <c r="K29" s="163">
        <v>128.6</v>
      </c>
      <c r="L29" s="164">
        <f t="shared" si="0"/>
        <v>260.39999999999998</v>
      </c>
      <c r="M29" s="165">
        <f t="shared" si="1"/>
        <v>0.61126760563380278</v>
      </c>
      <c r="N29" s="122"/>
    </row>
    <row r="30" spans="2:14" x14ac:dyDescent="0.25">
      <c r="B30" s="121"/>
      <c r="C30" s="160">
        <v>23</v>
      </c>
      <c r="D30" s="160">
        <v>10</v>
      </c>
      <c r="E30" s="160" t="s">
        <v>67</v>
      </c>
      <c r="F30" s="160" t="s">
        <v>526</v>
      </c>
      <c r="G30" s="160" t="s">
        <v>44</v>
      </c>
      <c r="H30" s="161" t="s">
        <v>620</v>
      </c>
      <c r="I30" s="162">
        <v>390</v>
      </c>
      <c r="J30" s="159">
        <v>114.4</v>
      </c>
      <c r="K30" s="163">
        <v>114.4</v>
      </c>
      <c r="L30" s="164">
        <f t="shared" si="0"/>
        <v>228.8</v>
      </c>
      <c r="M30" s="165">
        <f t="shared" si="1"/>
        <v>0.58666666666666667</v>
      </c>
      <c r="N30" s="122"/>
    </row>
    <row r="31" spans="2:14" x14ac:dyDescent="0.25">
      <c r="B31" s="121"/>
      <c r="C31" s="159">
        <v>24</v>
      </c>
      <c r="D31" s="159">
        <v>9</v>
      </c>
      <c r="E31" s="159" t="s">
        <v>67</v>
      </c>
      <c r="F31" s="159" t="s">
        <v>526</v>
      </c>
      <c r="G31" s="160" t="s">
        <v>44</v>
      </c>
      <c r="H31" s="161" t="s">
        <v>1705</v>
      </c>
      <c r="I31" s="162">
        <v>442</v>
      </c>
      <c r="J31" s="159">
        <v>131.6</v>
      </c>
      <c r="K31" s="163">
        <v>130.19999999999999</v>
      </c>
      <c r="L31" s="164">
        <f t="shared" si="0"/>
        <v>261.79999999999995</v>
      </c>
      <c r="M31" s="165">
        <f t="shared" si="1"/>
        <v>0.5923076923076922</v>
      </c>
      <c r="N31" s="122"/>
    </row>
    <row r="32" spans="2:14" x14ac:dyDescent="0.25">
      <c r="B32" s="121"/>
      <c r="C32" s="159">
        <v>25</v>
      </c>
      <c r="D32" s="159">
        <v>4</v>
      </c>
      <c r="E32" s="159" t="s">
        <v>67</v>
      </c>
      <c r="F32" s="159" t="s">
        <v>526</v>
      </c>
      <c r="G32" s="160" t="s">
        <v>44</v>
      </c>
      <c r="H32" s="161" t="s">
        <v>1706</v>
      </c>
      <c r="I32" s="162">
        <v>416</v>
      </c>
      <c r="J32" s="159">
        <v>119.8</v>
      </c>
      <c r="K32" s="163">
        <v>118.4</v>
      </c>
      <c r="L32" s="164">
        <f t="shared" si="0"/>
        <v>238.2</v>
      </c>
      <c r="M32" s="165">
        <f t="shared" si="1"/>
        <v>0.57259615384615381</v>
      </c>
      <c r="N32" s="122"/>
    </row>
    <row r="33" spans="2:14" x14ac:dyDescent="0.25">
      <c r="B33" s="121"/>
      <c r="C33" s="160">
        <v>26</v>
      </c>
      <c r="D33" s="160">
        <v>11</v>
      </c>
      <c r="E33" s="160" t="s">
        <v>68</v>
      </c>
      <c r="F33" s="160" t="s">
        <v>526</v>
      </c>
      <c r="G33" s="160" t="s">
        <v>44</v>
      </c>
      <c r="H33" s="161" t="s">
        <v>1707</v>
      </c>
      <c r="I33" s="162">
        <v>357</v>
      </c>
      <c r="J33" s="159">
        <v>111.2</v>
      </c>
      <c r="K33" s="163">
        <v>109.9</v>
      </c>
      <c r="L33" s="164">
        <f t="shared" si="0"/>
        <v>221.10000000000002</v>
      </c>
      <c r="M33" s="165">
        <f t="shared" si="1"/>
        <v>0.61932773109243699</v>
      </c>
      <c r="N33" s="122"/>
    </row>
    <row r="34" spans="2:14" x14ac:dyDescent="0.25">
      <c r="B34" s="121"/>
      <c r="C34" s="159"/>
      <c r="D34" s="159"/>
      <c r="E34" s="159"/>
      <c r="F34" s="159"/>
      <c r="G34" s="160"/>
      <c r="H34" s="161"/>
      <c r="I34" s="162"/>
      <c r="J34" s="159"/>
      <c r="K34" s="166"/>
      <c r="L34" s="164">
        <f t="shared" si="0"/>
        <v>0</v>
      </c>
      <c r="M34" s="167" t="e">
        <f t="shared" si="1"/>
        <v>#DIV/0!</v>
      </c>
      <c r="N34" s="122"/>
    </row>
    <row r="35" spans="2:14" x14ac:dyDescent="0.25">
      <c r="B35" s="121"/>
      <c r="C35" s="159"/>
      <c r="D35" s="159"/>
      <c r="E35" s="159"/>
      <c r="F35" s="159"/>
      <c r="G35" s="160"/>
      <c r="H35" s="161"/>
      <c r="I35" s="162"/>
      <c r="J35" s="159"/>
      <c r="K35" s="163"/>
      <c r="L35" s="164">
        <f t="shared" si="0"/>
        <v>0</v>
      </c>
      <c r="M35" s="165" t="e">
        <f t="shared" si="1"/>
        <v>#DIV/0!</v>
      </c>
      <c r="N35" s="122"/>
    </row>
    <row r="36" spans="2:14" x14ac:dyDescent="0.25">
      <c r="B36" s="121"/>
      <c r="C36" s="159"/>
      <c r="D36" s="159"/>
      <c r="E36" s="159"/>
      <c r="F36" s="159"/>
      <c r="G36" s="160"/>
      <c r="H36" s="161"/>
      <c r="I36" s="162"/>
      <c r="J36" s="159"/>
      <c r="K36" s="163"/>
      <c r="L36" s="164">
        <f t="shared" si="0"/>
        <v>0</v>
      </c>
      <c r="M36" s="165" t="e">
        <f t="shared" si="1"/>
        <v>#DIV/0!</v>
      </c>
      <c r="N36" s="122"/>
    </row>
    <row r="37" spans="2:14" x14ac:dyDescent="0.25">
      <c r="B37" s="121"/>
      <c r="C37" s="159"/>
      <c r="D37" s="159"/>
      <c r="E37" s="159"/>
      <c r="F37" s="159"/>
      <c r="G37" s="160"/>
      <c r="H37" s="161"/>
      <c r="I37" s="162"/>
      <c r="J37" s="159"/>
      <c r="K37" s="163"/>
      <c r="L37" s="164">
        <f t="shared" si="0"/>
        <v>0</v>
      </c>
      <c r="M37" s="165" t="e">
        <f t="shared" si="1"/>
        <v>#DIV/0!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317"/>
      <c r="D66" s="317">
        <f>+COUNT($D$22:$D$65)</f>
        <v>11</v>
      </c>
      <c r="E66" s="317"/>
      <c r="F66" s="373"/>
      <c r="G66" s="373"/>
      <c r="H66" s="149"/>
      <c r="I66" s="148">
        <f>SUM($I$22:$I$65)</f>
        <v>4591</v>
      </c>
      <c r="J66" s="150">
        <f>SUM($J$22:$J$65)</f>
        <v>1369.3000000000002</v>
      </c>
      <c r="K66" s="151">
        <f>SUM($K$22:$K$65)</f>
        <v>1356.7000000000003</v>
      </c>
      <c r="L66" s="148">
        <f>SUM($L$22:$L$65)</f>
        <v>2725.9999999999995</v>
      </c>
      <c r="M66" s="178">
        <f t="shared" si="1"/>
        <v>0.59377042038771499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/>
      <c r="I71" s="119"/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/>
      <c r="I72" s="119"/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/>
      <c r="I73" s="119"/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/>
      <c r="I74" s="119"/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/>
      <c r="I75" s="119"/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/>
      <c r="I76" s="119"/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/>
      <c r="I77" s="119"/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/>
      <c r="I78" s="119"/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/>
      <c r="I79" s="119"/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/>
      <c r="I80" s="119"/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/>
      <c r="I81" s="119"/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/>
      <c r="I82" s="119"/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/>
      <c r="I83" s="119"/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0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11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16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B1" zoomScale="90" zoomScaleNormal="90" workbookViewId="0">
      <selection activeCell="H71" sqref="H71:H83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0.57257952973720616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220.78666666666672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396</v>
      </c>
      <c r="F8" s="344"/>
      <c r="G8" s="344"/>
      <c r="H8" s="345"/>
      <c r="I8" s="146" t="s">
        <v>487</v>
      </c>
      <c r="J8" s="346" t="s">
        <v>847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69057</v>
      </c>
      <c r="F9" s="344"/>
      <c r="G9" s="344"/>
      <c r="H9" s="345"/>
      <c r="I9" s="146" t="s">
        <v>88</v>
      </c>
      <c r="J9" s="209" t="s">
        <v>1719</v>
      </c>
      <c r="K9" s="321" t="s">
        <v>490</v>
      </c>
      <c r="L9" s="369" t="s">
        <v>1720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319" t="s">
        <v>569</v>
      </c>
      <c r="E12" s="384">
        <v>46080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91</v>
      </c>
      <c r="F13" s="349"/>
      <c r="H13" s="117"/>
      <c r="I13" s="123"/>
      <c r="J13" s="215" t="s">
        <v>483</v>
      </c>
      <c r="K13" s="320">
        <f>+COUNTIF($G$22:$G$66,"VQ")*2</f>
        <v>10</v>
      </c>
      <c r="L13" s="320">
        <f>+SUMIF($G$23:$G$65,"VQ",$L$23:$L$65)</f>
        <v>1060.4000000000001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15</v>
      </c>
      <c r="F14" s="350"/>
      <c r="H14" s="117"/>
      <c r="I14" s="123"/>
      <c r="J14" s="215" t="s">
        <v>42</v>
      </c>
      <c r="K14" s="320">
        <f>+COUNTIF($G$22:$G$66,"NT")*2</f>
        <v>0</v>
      </c>
      <c r="L14" s="320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5784</v>
      </c>
      <c r="F15" s="350"/>
      <c r="H15" s="117"/>
      <c r="I15" s="123"/>
      <c r="J15" s="215" t="s">
        <v>484</v>
      </c>
      <c r="K15" s="320">
        <f>+COUNTIF($G$22:$G$66,"NO")*2</f>
        <v>0</v>
      </c>
      <c r="L15" s="320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3311.8000000000006</v>
      </c>
      <c r="F16" s="350"/>
      <c r="H16" s="117"/>
      <c r="I16" s="123"/>
      <c r="J16" s="215" t="s">
        <v>485</v>
      </c>
      <c r="K16" s="320">
        <f>+COUNTIF($G$22:$G$66,"TO")*2</f>
        <v>0</v>
      </c>
      <c r="L16" s="320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0.57257952973720616</v>
      </c>
      <c r="F17" s="350"/>
      <c r="G17" s="124"/>
      <c r="H17" s="125"/>
      <c r="I17" s="123"/>
      <c r="J17" s="215" t="s">
        <v>486</v>
      </c>
      <c r="K17" s="320">
        <f>+COUNTIF($G$22:$G$66,"VA")*2</f>
        <v>0</v>
      </c>
      <c r="L17" s="320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220.78666666666672</v>
      </c>
      <c r="F18" s="353"/>
      <c r="G18" s="124"/>
      <c r="H18" s="125"/>
      <c r="I18" s="123"/>
      <c r="J18" s="215" t="s">
        <v>44</v>
      </c>
      <c r="K18" s="320">
        <f>+COUNTIF($G$22:$G$66,"MEJ")*2</f>
        <v>20</v>
      </c>
      <c r="L18" s="320">
        <f>+SUMIF($G$23:$G$65,"MEJ",$L$23:$L$65)</f>
        <v>2251.3999999999996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56</v>
      </c>
      <c r="D23" s="152">
        <v>10</v>
      </c>
      <c r="E23" s="152" t="s">
        <v>68</v>
      </c>
      <c r="F23" s="152" t="s">
        <v>526</v>
      </c>
      <c r="G23" s="153" t="s">
        <v>44</v>
      </c>
      <c r="H23" s="154" t="s">
        <v>1710</v>
      </c>
      <c r="I23" s="155">
        <v>414</v>
      </c>
      <c r="J23" s="152">
        <v>110.7</v>
      </c>
      <c r="K23" s="156">
        <v>109.7</v>
      </c>
      <c r="L23" s="157">
        <f t="shared" ref="L23:L65" si="0">+J23+K23</f>
        <v>220.4</v>
      </c>
      <c r="M23" s="158">
        <f t="shared" ref="M23:M66" si="1">+L23/I23</f>
        <v>0.53236714975845412</v>
      </c>
      <c r="N23" s="122"/>
    </row>
    <row r="24" spans="2:14" x14ac:dyDescent="0.25">
      <c r="B24" s="121"/>
      <c r="C24" s="159">
        <v>68</v>
      </c>
      <c r="D24" s="159">
        <v>14</v>
      </c>
      <c r="E24" s="159" t="s">
        <v>68</v>
      </c>
      <c r="F24" s="159" t="s">
        <v>526</v>
      </c>
      <c r="G24" s="160" t="s">
        <v>44</v>
      </c>
      <c r="H24" s="161" t="s">
        <v>1711</v>
      </c>
      <c r="I24" s="162">
        <v>390</v>
      </c>
      <c r="J24" s="159">
        <v>107.5</v>
      </c>
      <c r="K24" s="163">
        <v>110.7</v>
      </c>
      <c r="L24" s="164">
        <f t="shared" si="0"/>
        <v>218.2</v>
      </c>
      <c r="M24" s="165">
        <f t="shared" si="1"/>
        <v>0.55948717948717941</v>
      </c>
      <c r="N24" s="122"/>
    </row>
    <row r="25" spans="2:14" x14ac:dyDescent="0.25">
      <c r="B25" s="121"/>
      <c r="C25" s="159">
        <v>69</v>
      </c>
      <c r="D25" s="159">
        <v>3</v>
      </c>
      <c r="E25" s="159" t="s">
        <v>67</v>
      </c>
      <c r="F25" s="159" t="s">
        <v>526</v>
      </c>
      <c r="G25" s="160" t="s">
        <v>44</v>
      </c>
      <c r="H25" s="161" t="s">
        <v>1712</v>
      </c>
      <c r="I25" s="162">
        <v>389</v>
      </c>
      <c r="J25" s="159">
        <v>107.1</v>
      </c>
      <c r="K25" s="163">
        <v>106.8</v>
      </c>
      <c r="L25" s="164">
        <f t="shared" si="0"/>
        <v>213.89999999999998</v>
      </c>
      <c r="M25" s="165">
        <f t="shared" si="1"/>
        <v>0.5498714652956298</v>
      </c>
      <c r="N25" s="122"/>
    </row>
    <row r="26" spans="2:14" x14ac:dyDescent="0.25">
      <c r="B26" s="121"/>
      <c r="C26" s="159">
        <v>70</v>
      </c>
      <c r="D26" s="159">
        <v>5</v>
      </c>
      <c r="E26" s="159" t="s">
        <v>75</v>
      </c>
      <c r="F26" s="159" t="s">
        <v>526</v>
      </c>
      <c r="G26" s="160" t="s">
        <v>483</v>
      </c>
      <c r="H26" s="161" t="s">
        <v>1713</v>
      </c>
      <c r="I26" s="162">
        <v>394</v>
      </c>
      <c r="J26" s="159">
        <v>105.5</v>
      </c>
      <c r="K26" s="163">
        <v>104.8</v>
      </c>
      <c r="L26" s="164">
        <f t="shared" si="0"/>
        <v>210.3</v>
      </c>
      <c r="M26" s="165">
        <f t="shared" si="1"/>
        <v>0.53375634517766501</v>
      </c>
      <c r="N26" s="122"/>
    </row>
    <row r="27" spans="2:14" x14ac:dyDescent="0.25">
      <c r="B27" s="121"/>
      <c r="C27" s="159">
        <v>71</v>
      </c>
      <c r="D27" s="159">
        <v>9</v>
      </c>
      <c r="E27" s="159" t="s">
        <v>67</v>
      </c>
      <c r="F27" s="159" t="s">
        <v>526</v>
      </c>
      <c r="G27" s="160" t="s">
        <v>483</v>
      </c>
      <c r="H27" s="161" t="s">
        <v>465</v>
      </c>
      <c r="I27" s="162">
        <v>365</v>
      </c>
      <c r="J27" s="159">
        <v>110.3</v>
      </c>
      <c r="K27" s="163">
        <v>110.9</v>
      </c>
      <c r="L27" s="164">
        <f t="shared" si="0"/>
        <v>221.2</v>
      </c>
      <c r="M27" s="165">
        <f t="shared" si="1"/>
        <v>0.60602739726027399</v>
      </c>
      <c r="N27" s="122"/>
    </row>
    <row r="28" spans="2:14" x14ac:dyDescent="0.25">
      <c r="B28" s="121"/>
      <c r="C28" s="159">
        <v>72</v>
      </c>
      <c r="D28" s="159">
        <v>11</v>
      </c>
      <c r="E28" s="159" t="s">
        <v>67</v>
      </c>
      <c r="F28" s="159" t="s">
        <v>526</v>
      </c>
      <c r="G28" s="160" t="s">
        <v>44</v>
      </c>
      <c r="H28" s="161" t="s">
        <v>1714</v>
      </c>
      <c r="I28" s="162">
        <v>374</v>
      </c>
      <c r="J28" s="159">
        <v>113.1</v>
      </c>
      <c r="K28" s="163">
        <v>114.3</v>
      </c>
      <c r="L28" s="164">
        <f t="shared" si="0"/>
        <v>227.39999999999998</v>
      </c>
      <c r="M28" s="165">
        <f t="shared" si="1"/>
        <v>0.60802139037433145</v>
      </c>
      <c r="N28" s="122"/>
    </row>
    <row r="29" spans="2:14" x14ac:dyDescent="0.25">
      <c r="B29" s="121"/>
      <c r="C29" s="160">
        <v>73</v>
      </c>
      <c r="D29" s="160">
        <v>15</v>
      </c>
      <c r="E29" s="160" t="s">
        <v>68</v>
      </c>
      <c r="F29" s="159" t="s">
        <v>526</v>
      </c>
      <c r="G29" s="160" t="s">
        <v>44</v>
      </c>
      <c r="H29" s="161" t="s">
        <v>1230</v>
      </c>
      <c r="I29" s="162">
        <v>394</v>
      </c>
      <c r="J29" s="159">
        <v>110.7</v>
      </c>
      <c r="K29" s="163">
        <v>109.5</v>
      </c>
      <c r="L29" s="164">
        <f t="shared" si="0"/>
        <v>220.2</v>
      </c>
      <c r="M29" s="165">
        <f t="shared" si="1"/>
        <v>0.5588832487309644</v>
      </c>
      <c r="N29" s="122"/>
    </row>
    <row r="30" spans="2:14" x14ac:dyDescent="0.25">
      <c r="B30" s="121"/>
      <c r="C30" s="160">
        <v>74</v>
      </c>
      <c r="D30" s="160">
        <v>8</v>
      </c>
      <c r="E30" s="160" t="s">
        <v>68</v>
      </c>
      <c r="F30" s="159" t="s">
        <v>526</v>
      </c>
      <c r="G30" s="160" t="s">
        <v>483</v>
      </c>
      <c r="H30" s="161" t="s">
        <v>1715</v>
      </c>
      <c r="I30" s="162">
        <v>375</v>
      </c>
      <c r="J30" s="159">
        <v>110.5</v>
      </c>
      <c r="K30" s="163">
        <v>112.5</v>
      </c>
      <c r="L30" s="164">
        <f t="shared" si="0"/>
        <v>223</v>
      </c>
      <c r="M30" s="165">
        <f t="shared" si="1"/>
        <v>0.59466666666666668</v>
      </c>
      <c r="N30" s="122"/>
    </row>
    <row r="31" spans="2:14" x14ac:dyDescent="0.25">
      <c r="B31" s="121"/>
      <c r="C31" s="159">
        <v>75</v>
      </c>
      <c r="D31" s="159">
        <v>13</v>
      </c>
      <c r="E31" s="159" t="s">
        <v>67</v>
      </c>
      <c r="F31" s="159" t="s">
        <v>526</v>
      </c>
      <c r="G31" s="160" t="s">
        <v>44</v>
      </c>
      <c r="H31" s="161" t="s">
        <v>1716</v>
      </c>
      <c r="I31" s="162">
        <v>382</v>
      </c>
      <c r="J31" s="159">
        <v>109.5</v>
      </c>
      <c r="K31" s="163">
        <v>109.8</v>
      </c>
      <c r="L31" s="164">
        <f t="shared" si="0"/>
        <v>219.3</v>
      </c>
      <c r="M31" s="165">
        <f t="shared" si="1"/>
        <v>0.57408376963350793</v>
      </c>
      <c r="N31" s="122"/>
    </row>
    <row r="32" spans="2:14" x14ac:dyDescent="0.25">
      <c r="B32" s="121"/>
      <c r="C32" s="159">
        <v>76</v>
      </c>
      <c r="D32" s="159">
        <v>7</v>
      </c>
      <c r="E32" s="159" t="s">
        <v>68</v>
      </c>
      <c r="F32" s="159" t="s">
        <v>526</v>
      </c>
      <c r="G32" s="160" t="s">
        <v>44</v>
      </c>
      <c r="H32" s="161" t="s">
        <v>1717</v>
      </c>
      <c r="I32" s="162">
        <v>397</v>
      </c>
      <c r="J32" s="159">
        <v>115.6</v>
      </c>
      <c r="K32" s="163">
        <v>116.8</v>
      </c>
      <c r="L32" s="164">
        <f t="shared" si="0"/>
        <v>232.39999999999998</v>
      </c>
      <c r="M32" s="165">
        <f t="shared" si="1"/>
        <v>0.58539042821158682</v>
      </c>
      <c r="N32" s="122"/>
    </row>
    <row r="33" spans="2:14" x14ac:dyDescent="0.25">
      <c r="B33" s="121"/>
      <c r="C33" s="160">
        <v>77</v>
      </c>
      <c r="D33" s="160">
        <v>2</v>
      </c>
      <c r="E33" s="160" t="s">
        <v>67</v>
      </c>
      <c r="F33" s="159" t="s">
        <v>526</v>
      </c>
      <c r="G33" s="160" t="s">
        <v>44</v>
      </c>
      <c r="H33" s="161" t="s">
        <v>837</v>
      </c>
      <c r="I33" s="162">
        <v>409</v>
      </c>
      <c r="J33" s="159">
        <v>118.3</v>
      </c>
      <c r="K33" s="163">
        <v>115.1</v>
      </c>
      <c r="L33" s="164">
        <f t="shared" si="0"/>
        <v>233.39999999999998</v>
      </c>
      <c r="M33" s="165">
        <f t="shared" si="1"/>
        <v>0.57066014669926646</v>
      </c>
      <c r="N33" s="122"/>
    </row>
    <row r="34" spans="2:14" x14ac:dyDescent="0.25">
      <c r="B34" s="121"/>
      <c r="C34" s="159">
        <v>78</v>
      </c>
      <c r="D34" s="159">
        <v>6</v>
      </c>
      <c r="E34" s="159" t="s">
        <v>75</v>
      </c>
      <c r="F34" s="159" t="s">
        <v>526</v>
      </c>
      <c r="G34" s="160" t="s">
        <v>483</v>
      </c>
      <c r="H34" s="161" t="s">
        <v>806</v>
      </c>
      <c r="I34" s="162">
        <v>365</v>
      </c>
      <c r="J34" s="159">
        <v>97.4</v>
      </c>
      <c r="K34" s="166">
        <v>97.6</v>
      </c>
      <c r="L34" s="164">
        <f t="shared" si="0"/>
        <v>195</v>
      </c>
      <c r="M34" s="167">
        <f t="shared" si="1"/>
        <v>0.53424657534246578</v>
      </c>
      <c r="N34" s="122"/>
    </row>
    <row r="35" spans="2:14" x14ac:dyDescent="0.25">
      <c r="B35" s="121"/>
      <c r="C35" s="159">
        <v>79</v>
      </c>
      <c r="D35" s="159">
        <v>12</v>
      </c>
      <c r="E35" s="159" t="s">
        <v>67</v>
      </c>
      <c r="F35" s="159" t="s">
        <v>526</v>
      </c>
      <c r="G35" s="160" t="s">
        <v>483</v>
      </c>
      <c r="H35" s="161" t="s">
        <v>1718</v>
      </c>
      <c r="I35" s="162">
        <v>353</v>
      </c>
      <c r="J35" s="159">
        <v>105.7</v>
      </c>
      <c r="K35" s="163">
        <v>105.2</v>
      </c>
      <c r="L35" s="164">
        <f t="shared" si="0"/>
        <v>210.9</v>
      </c>
      <c r="M35" s="165">
        <f t="shared" si="1"/>
        <v>0.59745042492917844</v>
      </c>
      <c r="N35" s="122"/>
    </row>
    <row r="36" spans="2:14" x14ac:dyDescent="0.25">
      <c r="B36" s="121"/>
      <c r="C36" s="159">
        <v>80</v>
      </c>
      <c r="D36" s="159">
        <v>1</v>
      </c>
      <c r="E36" s="159" t="s">
        <v>67</v>
      </c>
      <c r="F36" s="159" t="s">
        <v>526</v>
      </c>
      <c r="G36" s="160" t="s">
        <v>44</v>
      </c>
      <c r="H36" s="161" t="s">
        <v>344</v>
      </c>
      <c r="I36" s="162">
        <v>380</v>
      </c>
      <c r="J36" s="159">
        <v>116.3</v>
      </c>
      <c r="K36" s="163">
        <v>115.5</v>
      </c>
      <c r="L36" s="164">
        <f t="shared" si="0"/>
        <v>231.8</v>
      </c>
      <c r="M36" s="165">
        <f t="shared" si="1"/>
        <v>0.61</v>
      </c>
      <c r="N36" s="122"/>
    </row>
    <row r="37" spans="2:14" x14ac:dyDescent="0.25">
      <c r="B37" s="121"/>
      <c r="C37" s="159">
        <v>81</v>
      </c>
      <c r="D37" s="159">
        <v>4</v>
      </c>
      <c r="E37" s="159" t="s">
        <v>67</v>
      </c>
      <c r="F37" s="159" t="s">
        <v>526</v>
      </c>
      <c r="G37" s="160" t="s">
        <v>44</v>
      </c>
      <c r="H37" s="161" t="s">
        <v>1325</v>
      </c>
      <c r="I37" s="162">
        <v>403</v>
      </c>
      <c r="J37" s="159">
        <v>116.9</v>
      </c>
      <c r="K37" s="163">
        <v>117.5</v>
      </c>
      <c r="L37" s="164">
        <f t="shared" si="0"/>
        <v>234.4</v>
      </c>
      <c r="M37" s="165">
        <f t="shared" si="1"/>
        <v>0.58163771712158807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318"/>
      <c r="D66" s="318">
        <f>+COUNT($D$22:$D$65)</f>
        <v>15</v>
      </c>
      <c r="E66" s="318"/>
      <c r="F66" s="373"/>
      <c r="G66" s="373"/>
      <c r="H66" s="149"/>
      <c r="I66" s="148">
        <f>SUM($I$22:$I$65)</f>
        <v>5784</v>
      </c>
      <c r="J66" s="150">
        <f>SUM($J$22:$J$65)</f>
        <v>1655.1000000000001</v>
      </c>
      <c r="K66" s="151">
        <f>SUM($K$22:$K$65)</f>
        <v>1656.6999999999998</v>
      </c>
      <c r="L66" s="148">
        <f>SUM($L$22:$L$65)</f>
        <v>3311.8000000000006</v>
      </c>
      <c r="M66" s="178">
        <f t="shared" si="1"/>
        <v>0.57257952973720616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101.26</v>
      </c>
      <c r="I71" s="119">
        <v>118.48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45</v>
      </c>
      <c r="I72" s="119">
        <v>62.759999999999991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45</v>
      </c>
      <c r="I73" s="119">
        <v>241.06</v>
      </c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45</v>
      </c>
      <c r="I74" s="119">
        <v>47.3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33.54</v>
      </c>
      <c r="I75" s="119">
        <v>32.5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90</v>
      </c>
      <c r="I76" s="119">
        <v>37.619999999999997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180</v>
      </c>
      <c r="I77" s="119">
        <v>28.34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45</v>
      </c>
      <c r="I78" s="119">
        <v>33.14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45</v>
      </c>
      <c r="I79" s="119">
        <v>33.24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60.36</v>
      </c>
      <c r="I80" s="119">
        <v>56.16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45</v>
      </c>
      <c r="I81" s="119">
        <v>44.760000000000005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45</v>
      </c>
      <c r="I82" s="119">
        <v>14.579999999999998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23.98</v>
      </c>
      <c r="I83" s="119">
        <v>22.18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772.12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15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15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B1" zoomScale="90" zoomScaleNormal="90" workbookViewId="0">
      <selection activeCell="H71" sqref="H71:I83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0.56571911061075153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201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1561</v>
      </c>
      <c r="F8" s="344"/>
      <c r="G8" s="344"/>
      <c r="H8" s="345"/>
      <c r="I8" s="146" t="s">
        <v>487</v>
      </c>
      <c r="J8" s="346" t="s">
        <v>1009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40398</v>
      </c>
      <c r="F9" s="344"/>
      <c r="G9" s="344"/>
      <c r="H9" s="345"/>
      <c r="I9" s="146" t="s">
        <v>88</v>
      </c>
      <c r="J9" s="209" t="s">
        <v>1721</v>
      </c>
      <c r="K9" s="321" t="s">
        <v>490</v>
      </c>
      <c r="L9" s="369" t="s">
        <v>1722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319" t="s">
        <v>569</v>
      </c>
      <c r="E12" s="384">
        <v>46080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92</v>
      </c>
      <c r="F13" s="349"/>
      <c r="H13" s="117"/>
      <c r="I13" s="123"/>
      <c r="J13" s="215" t="s">
        <v>483</v>
      </c>
      <c r="K13" s="320">
        <f>+COUNTIF($G$22:$G$66,"VQ")*2</f>
        <v>10</v>
      </c>
      <c r="L13" s="320">
        <f>+SUMIF($G$23:$G$65,"VQ",$L$23:$L$65)</f>
        <v>932.90000000000009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10</v>
      </c>
      <c r="F14" s="350"/>
      <c r="H14" s="117"/>
      <c r="I14" s="123"/>
      <c r="J14" s="215" t="s">
        <v>42</v>
      </c>
      <c r="K14" s="320">
        <f>+COUNTIF($G$22:$G$66,"NT")*2</f>
        <v>0</v>
      </c>
      <c r="L14" s="320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3553</v>
      </c>
      <c r="F15" s="350"/>
      <c r="H15" s="117"/>
      <c r="I15" s="123"/>
      <c r="J15" s="215" t="s">
        <v>484</v>
      </c>
      <c r="K15" s="320">
        <f>+COUNTIF($G$22:$G$66,"NO")*2</f>
        <v>0</v>
      </c>
      <c r="L15" s="320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2010</v>
      </c>
      <c r="F16" s="350"/>
      <c r="H16" s="117"/>
      <c r="I16" s="123"/>
      <c r="J16" s="215" t="s">
        <v>485</v>
      </c>
      <c r="K16" s="320">
        <f>+COUNTIF($G$22:$G$66,"TO")*2</f>
        <v>0</v>
      </c>
      <c r="L16" s="320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0.56571911061075153</v>
      </c>
      <c r="F17" s="350"/>
      <c r="G17" s="124"/>
      <c r="H17" s="125"/>
      <c r="I17" s="123"/>
      <c r="J17" s="215" t="s">
        <v>486</v>
      </c>
      <c r="K17" s="320">
        <f>+COUNTIF($G$22:$G$66,"VA")*2</f>
        <v>0</v>
      </c>
      <c r="L17" s="320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201</v>
      </c>
      <c r="F18" s="353"/>
      <c r="G18" s="124"/>
      <c r="H18" s="125"/>
      <c r="I18" s="123"/>
      <c r="J18" s="215" t="s">
        <v>44</v>
      </c>
      <c r="K18" s="320">
        <f>+COUNTIF($G$22:$G$66,"MEJ")*2</f>
        <v>0</v>
      </c>
      <c r="L18" s="320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36</v>
      </c>
      <c r="D23" s="152">
        <v>2</v>
      </c>
      <c r="E23" s="152" t="s">
        <v>75</v>
      </c>
      <c r="F23" s="152" t="s">
        <v>526</v>
      </c>
      <c r="G23" s="153" t="s">
        <v>1723</v>
      </c>
      <c r="H23" s="154" t="s">
        <v>1724</v>
      </c>
      <c r="I23" s="155">
        <v>377</v>
      </c>
      <c r="J23" s="152">
        <v>110.7</v>
      </c>
      <c r="K23" s="156">
        <v>112</v>
      </c>
      <c r="L23" s="157">
        <f t="shared" ref="L23:L65" si="0">+J23+K23</f>
        <v>222.7</v>
      </c>
      <c r="M23" s="158">
        <f t="shared" ref="M23:M66" si="1">+L23/I23</f>
        <v>0.59071618037135276</v>
      </c>
      <c r="N23" s="122"/>
    </row>
    <row r="24" spans="2:14" x14ac:dyDescent="0.25">
      <c r="B24" s="121"/>
      <c r="C24" s="159">
        <v>37</v>
      </c>
      <c r="D24" s="159">
        <v>3</v>
      </c>
      <c r="E24" s="159" t="s">
        <v>75</v>
      </c>
      <c r="F24" s="159" t="s">
        <v>526</v>
      </c>
      <c r="G24" s="160" t="s">
        <v>1723</v>
      </c>
      <c r="H24" s="161" t="s">
        <v>1725</v>
      </c>
      <c r="I24" s="162">
        <v>384</v>
      </c>
      <c r="J24" s="159">
        <v>99.9</v>
      </c>
      <c r="K24" s="163">
        <v>101.1</v>
      </c>
      <c r="L24" s="164">
        <f t="shared" si="0"/>
        <v>201</v>
      </c>
      <c r="M24" s="165">
        <f t="shared" si="1"/>
        <v>0.5234375</v>
      </c>
      <c r="N24" s="122"/>
    </row>
    <row r="25" spans="2:14" x14ac:dyDescent="0.25">
      <c r="B25" s="121"/>
      <c r="C25" s="159">
        <v>38</v>
      </c>
      <c r="D25" s="159">
        <v>6</v>
      </c>
      <c r="E25" s="159" t="s">
        <v>68</v>
      </c>
      <c r="F25" s="159" t="s">
        <v>526</v>
      </c>
      <c r="G25" s="160" t="s">
        <v>1723</v>
      </c>
      <c r="H25" s="161" t="s">
        <v>1726</v>
      </c>
      <c r="I25" s="162">
        <v>396</v>
      </c>
      <c r="J25" s="159">
        <v>113.6</v>
      </c>
      <c r="K25" s="163">
        <v>113.8</v>
      </c>
      <c r="L25" s="164">
        <f t="shared" si="0"/>
        <v>227.39999999999998</v>
      </c>
      <c r="M25" s="165">
        <f t="shared" si="1"/>
        <v>0.57424242424242422</v>
      </c>
      <c r="N25" s="122"/>
    </row>
    <row r="26" spans="2:14" x14ac:dyDescent="0.25">
      <c r="B26" s="121"/>
      <c r="C26" s="159">
        <v>39</v>
      </c>
      <c r="D26" s="159">
        <v>4</v>
      </c>
      <c r="E26" s="159" t="s">
        <v>68</v>
      </c>
      <c r="F26" s="159" t="s">
        <v>526</v>
      </c>
      <c r="G26" s="160" t="s">
        <v>483</v>
      </c>
      <c r="H26" s="161" t="s">
        <v>1727</v>
      </c>
      <c r="I26" s="162">
        <v>356</v>
      </c>
      <c r="J26" s="159">
        <v>97.7</v>
      </c>
      <c r="K26" s="163">
        <v>96.5</v>
      </c>
      <c r="L26" s="164">
        <f t="shared" si="0"/>
        <v>194.2</v>
      </c>
      <c r="M26" s="165">
        <f t="shared" si="1"/>
        <v>0.54550561797752806</v>
      </c>
      <c r="N26" s="122"/>
    </row>
    <row r="27" spans="2:14" x14ac:dyDescent="0.25">
      <c r="B27" s="121"/>
      <c r="C27" s="159">
        <v>40</v>
      </c>
      <c r="D27" s="159">
        <v>7</v>
      </c>
      <c r="E27" s="159" t="s">
        <v>75</v>
      </c>
      <c r="F27" s="159" t="s">
        <v>526</v>
      </c>
      <c r="G27" s="160" t="s">
        <v>483</v>
      </c>
      <c r="H27" s="161" t="s">
        <v>1728</v>
      </c>
      <c r="I27" s="162">
        <v>371</v>
      </c>
      <c r="J27" s="159">
        <v>102.2</v>
      </c>
      <c r="K27" s="163">
        <v>102.5</v>
      </c>
      <c r="L27" s="164">
        <f t="shared" si="0"/>
        <v>204.7</v>
      </c>
      <c r="M27" s="165">
        <f t="shared" si="1"/>
        <v>0.55175202156334224</v>
      </c>
      <c r="N27" s="122"/>
    </row>
    <row r="28" spans="2:14" x14ac:dyDescent="0.25">
      <c r="B28" s="121"/>
      <c r="C28" s="159">
        <v>41</v>
      </c>
      <c r="D28" s="159">
        <v>9</v>
      </c>
      <c r="E28" s="159" t="s">
        <v>75</v>
      </c>
      <c r="F28" s="159" t="s">
        <v>526</v>
      </c>
      <c r="G28" s="160" t="s">
        <v>483</v>
      </c>
      <c r="H28" s="161" t="s">
        <v>1729</v>
      </c>
      <c r="I28" s="162">
        <v>310</v>
      </c>
      <c r="J28" s="159">
        <v>89.2</v>
      </c>
      <c r="K28" s="163">
        <v>89.1</v>
      </c>
      <c r="L28" s="164">
        <f t="shared" si="0"/>
        <v>178.3</v>
      </c>
      <c r="M28" s="165">
        <f t="shared" si="1"/>
        <v>0.57516129032258068</v>
      </c>
      <c r="N28" s="122"/>
    </row>
    <row r="29" spans="2:14" x14ac:dyDescent="0.25">
      <c r="B29" s="121"/>
      <c r="C29" s="160">
        <v>42</v>
      </c>
      <c r="D29" s="160">
        <v>5</v>
      </c>
      <c r="E29" s="160" t="s">
        <v>75</v>
      </c>
      <c r="F29" s="159" t="s">
        <v>526</v>
      </c>
      <c r="G29" s="160" t="s">
        <v>1723</v>
      </c>
      <c r="H29" s="161" t="s">
        <v>1730</v>
      </c>
      <c r="I29" s="162">
        <v>356</v>
      </c>
      <c r="J29" s="159">
        <v>100.8</v>
      </c>
      <c r="K29" s="163">
        <v>101.4</v>
      </c>
      <c r="L29" s="164">
        <f t="shared" si="0"/>
        <v>202.2</v>
      </c>
      <c r="M29" s="165">
        <f t="shared" si="1"/>
        <v>0.56797752808988766</v>
      </c>
      <c r="N29" s="122"/>
    </row>
    <row r="30" spans="2:14" x14ac:dyDescent="0.25">
      <c r="B30" s="121"/>
      <c r="C30" s="160">
        <v>43</v>
      </c>
      <c r="D30" s="160">
        <v>8</v>
      </c>
      <c r="E30" s="160" t="s">
        <v>75</v>
      </c>
      <c r="F30" s="159" t="s">
        <v>526</v>
      </c>
      <c r="G30" s="160" t="s">
        <v>1723</v>
      </c>
      <c r="H30" s="161" t="s">
        <v>1731</v>
      </c>
      <c r="I30" s="162">
        <v>389</v>
      </c>
      <c r="J30" s="159">
        <v>111.9</v>
      </c>
      <c r="K30" s="163">
        <v>111.9</v>
      </c>
      <c r="L30" s="164">
        <f t="shared" si="0"/>
        <v>223.8</v>
      </c>
      <c r="M30" s="165">
        <f t="shared" si="1"/>
        <v>0.57532133676092545</v>
      </c>
      <c r="N30" s="122"/>
    </row>
    <row r="31" spans="2:14" x14ac:dyDescent="0.25">
      <c r="B31" s="121"/>
      <c r="C31" s="159">
        <v>44</v>
      </c>
      <c r="D31" s="159">
        <v>1</v>
      </c>
      <c r="E31" s="159" t="s">
        <v>75</v>
      </c>
      <c r="F31" s="159" t="s">
        <v>526</v>
      </c>
      <c r="G31" s="160" t="s">
        <v>483</v>
      </c>
      <c r="H31" s="161" t="s">
        <v>1732</v>
      </c>
      <c r="I31" s="162">
        <v>328</v>
      </c>
      <c r="J31" s="159">
        <v>102.4</v>
      </c>
      <c r="K31" s="163">
        <v>101.2</v>
      </c>
      <c r="L31" s="164">
        <f t="shared" si="0"/>
        <v>203.60000000000002</v>
      </c>
      <c r="M31" s="165">
        <f t="shared" si="1"/>
        <v>0.62073170731707328</v>
      </c>
      <c r="N31" s="122"/>
    </row>
    <row r="32" spans="2:14" x14ac:dyDescent="0.25">
      <c r="B32" s="121"/>
      <c r="C32" s="159">
        <v>45</v>
      </c>
      <c r="D32" s="159">
        <v>10</v>
      </c>
      <c r="E32" s="159" t="s">
        <v>75</v>
      </c>
      <c r="F32" s="159" t="s">
        <v>526</v>
      </c>
      <c r="G32" s="160" t="s">
        <v>483</v>
      </c>
      <c r="H32" s="161" t="s">
        <v>1733</v>
      </c>
      <c r="I32" s="162">
        <v>286</v>
      </c>
      <c r="J32" s="159">
        <v>76.099999999999994</v>
      </c>
      <c r="K32" s="163">
        <v>76</v>
      </c>
      <c r="L32" s="164">
        <f t="shared" si="0"/>
        <v>152.1</v>
      </c>
      <c r="M32" s="165">
        <f t="shared" si="1"/>
        <v>0.53181818181818175</v>
      </c>
      <c r="N32" s="122"/>
    </row>
    <row r="33" spans="2:14" x14ac:dyDescent="0.25">
      <c r="B33" s="121"/>
      <c r="C33" s="160"/>
      <c r="D33" s="160"/>
      <c r="E33" s="160"/>
      <c r="F33" s="160"/>
      <c r="G33" s="160"/>
      <c r="H33" s="161"/>
      <c r="I33" s="162"/>
      <c r="J33" s="159"/>
      <c r="K33" s="163"/>
      <c r="L33" s="164">
        <f t="shared" si="0"/>
        <v>0</v>
      </c>
      <c r="M33" s="165" t="e">
        <f t="shared" si="1"/>
        <v>#DIV/0!</v>
      </c>
      <c r="N33" s="122"/>
    </row>
    <row r="34" spans="2:14" x14ac:dyDescent="0.25">
      <c r="B34" s="121"/>
      <c r="C34" s="159"/>
      <c r="D34" s="159"/>
      <c r="E34" s="159"/>
      <c r="F34" s="159"/>
      <c r="G34" s="160"/>
      <c r="H34" s="161"/>
      <c r="I34" s="162"/>
      <c r="J34" s="159"/>
      <c r="K34" s="166"/>
      <c r="L34" s="164">
        <f t="shared" si="0"/>
        <v>0</v>
      </c>
      <c r="M34" s="167" t="e">
        <f t="shared" si="1"/>
        <v>#DIV/0!</v>
      </c>
      <c r="N34" s="122"/>
    </row>
    <row r="35" spans="2:14" x14ac:dyDescent="0.25">
      <c r="B35" s="121"/>
      <c r="C35" s="159"/>
      <c r="D35" s="159"/>
      <c r="E35" s="159"/>
      <c r="F35" s="159"/>
      <c r="G35" s="160"/>
      <c r="H35" s="161"/>
      <c r="I35" s="162"/>
      <c r="J35" s="159"/>
      <c r="K35" s="163"/>
      <c r="L35" s="164">
        <f t="shared" si="0"/>
        <v>0</v>
      </c>
      <c r="M35" s="165" t="e">
        <f t="shared" si="1"/>
        <v>#DIV/0!</v>
      </c>
      <c r="N35" s="122"/>
    </row>
    <row r="36" spans="2:14" x14ac:dyDescent="0.25">
      <c r="B36" s="121"/>
      <c r="C36" s="159"/>
      <c r="D36" s="159"/>
      <c r="E36" s="159"/>
      <c r="F36" s="159"/>
      <c r="G36" s="160"/>
      <c r="H36" s="161"/>
      <c r="I36" s="162"/>
      <c r="J36" s="159"/>
      <c r="K36" s="163"/>
      <c r="L36" s="164">
        <f t="shared" si="0"/>
        <v>0</v>
      </c>
      <c r="M36" s="165" t="e">
        <f t="shared" si="1"/>
        <v>#DIV/0!</v>
      </c>
      <c r="N36" s="122"/>
    </row>
    <row r="37" spans="2:14" x14ac:dyDescent="0.25">
      <c r="B37" s="121"/>
      <c r="C37" s="159"/>
      <c r="D37" s="159"/>
      <c r="E37" s="159"/>
      <c r="F37" s="159"/>
      <c r="G37" s="160"/>
      <c r="H37" s="161"/>
      <c r="I37" s="162"/>
      <c r="J37" s="159"/>
      <c r="K37" s="163"/>
      <c r="L37" s="164">
        <f t="shared" si="0"/>
        <v>0</v>
      </c>
      <c r="M37" s="165" t="e">
        <f t="shared" si="1"/>
        <v>#DIV/0!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318"/>
      <c r="D66" s="318">
        <f>+COUNT($D$22:$D$65)</f>
        <v>10</v>
      </c>
      <c r="E66" s="318"/>
      <c r="F66" s="373"/>
      <c r="G66" s="373"/>
      <c r="H66" s="149"/>
      <c r="I66" s="148">
        <f>SUM($I$22:$I$65)</f>
        <v>3553</v>
      </c>
      <c r="J66" s="150">
        <f>SUM($J$22:$J$65)</f>
        <v>1004.5</v>
      </c>
      <c r="K66" s="151">
        <f>SUM($K$22:$K$65)</f>
        <v>1005.5</v>
      </c>
      <c r="L66" s="148">
        <f>SUM($L$22:$L$65)</f>
        <v>2010</v>
      </c>
      <c r="M66" s="178">
        <f t="shared" si="1"/>
        <v>0.56571911061075153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/>
      <c r="I71" s="119"/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/>
      <c r="I72" s="119"/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/>
      <c r="I73" s="119"/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/>
      <c r="I74" s="119"/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/>
      <c r="I75" s="119"/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/>
      <c r="I76" s="119"/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/>
      <c r="I77" s="119"/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/>
      <c r="I78" s="119"/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/>
      <c r="I79" s="119"/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/>
      <c r="I80" s="119"/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/>
      <c r="I81" s="119"/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/>
      <c r="I82" s="119"/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/>
      <c r="I83" s="119"/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0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10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14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B1" zoomScale="90" zoomScaleNormal="90" workbookViewId="0">
      <selection activeCell="I71" sqref="I71:I83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0.54862886048988291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206.065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1561</v>
      </c>
      <c r="F8" s="344"/>
      <c r="G8" s="344"/>
      <c r="H8" s="345"/>
      <c r="I8" s="146" t="s">
        <v>487</v>
      </c>
      <c r="J8" s="346" t="s">
        <v>1734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40398</v>
      </c>
      <c r="F9" s="344"/>
      <c r="G9" s="344"/>
      <c r="H9" s="345"/>
      <c r="I9" s="146" t="s">
        <v>88</v>
      </c>
      <c r="J9" s="209" t="s">
        <v>1735</v>
      </c>
      <c r="K9" s="321" t="s">
        <v>490</v>
      </c>
      <c r="L9" s="369" t="s">
        <v>1736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319" t="s">
        <v>569</v>
      </c>
      <c r="E12" s="384">
        <v>46080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93</v>
      </c>
      <c r="F13" s="349"/>
      <c r="H13" s="117"/>
      <c r="I13" s="123"/>
      <c r="J13" s="215" t="s">
        <v>483</v>
      </c>
      <c r="K13" s="320">
        <f>+COUNTIF($G$22:$G$66,"VQ")*2</f>
        <v>20</v>
      </c>
      <c r="L13" s="320">
        <f>+SUMIF($G$23:$G$65,"VQ",$L$23:$L$65)</f>
        <v>1945.3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20</v>
      </c>
      <c r="F14" s="350"/>
      <c r="H14" s="117"/>
      <c r="I14" s="123"/>
      <c r="J14" s="215" t="s">
        <v>42</v>
      </c>
      <c r="K14" s="320">
        <f>+COUNTIF($G$22:$G$66,"NT")*2</f>
        <v>6</v>
      </c>
      <c r="L14" s="320">
        <f>+SUMIF($G$23:$G$65,"NT",$L$23:$L$65)</f>
        <v>637.6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7512</v>
      </c>
      <c r="F15" s="350"/>
      <c r="H15" s="117"/>
      <c r="I15" s="123"/>
      <c r="J15" s="215" t="s">
        <v>484</v>
      </c>
      <c r="K15" s="320">
        <f>+COUNTIF($G$22:$G$66,"NO")*2</f>
        <v>0</v>
      </c>
      <c r="L15" s="320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4121.3</v>
      </c>
      <c r="F16" s="350"/>
      <c r="H16" s="117"/>
      <c r="I16" s="123"/>
      <c r="J16" s="215" t="s">
        <v>485</v>
      </c>
      <c r="K16" s="320">
        <f>+COUNTIF($G$22:$G$66,"TO")*2</f>
        <v>0</v>
      </c>
      <c r="L16" s="320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0.54862886048988291</v>
      </c>
      <c r="F17" s="350"/>
      <c r="G17" s="124"/>
      <c r="H17" s="125"/>
      <c r="I17" s="123"/>
      <c r="J17" s="215" t="s">
        <v>486</v>
      </c>
      <c r="K17" s="320">
        <f>+COUNTIF($G$22:$G$66,"VA")*2</f>
        <v>0</v>
      </c>
      <c r="L17" s="320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206.065</v>
      </c>
      <c r="F18" s="353"/>
      <c r="G18" s="124"/>
      <c r="H18" s="125"/>
      <c r="I18" s="123"/>
      <c r="J18" s="215" t="s">
        <v>44</v>
      </c>
      <c r="K18" s="320">
        <f>+COUNTIF($G$22:$G$66,"MEJ")*2</f>
        <v>14</v>
      </c>
      <c r="L18" s="320">
        <f>+SUMIF($G$23:$G$65,"MEJ",$L$23:$L$65)</f>
        <v>1538.4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16</v>
      </c>
      <c r="D23" s="152">
        <v>14</v>
      </c>
      <c r="E23" s="152" t="s">
        <v>75</v>
      </c>
      <c r="F23" s="152" t="s">
        <v>526</v>
      </c>
      <c r="G23" s="153" t="s">
        <v>44</v>
      </c>
      <c r="H23" s="154" t="s">
        <v>115</v>
      </c>
      <c r="I23" s="155">
        <v>396</v>
      </c>
      <c r="J23" s="152">
        <v>109.3</v>
      </c>
      <c r="K23" s="156">
        <v>108.8</v>
      </c>
      <c r="L23" s="157">
        <f t="shared" ref="L23:L65" si="0">+J23+K23</f>
        <v>218.1</v>
      </c>
      <c r="M23" s="158">
        <f t="shared" ref="M23:M66" si="1">+L23/I23</f>
        <v>0.55075757575757578</v>
      </c>
      <c r="N23" s="122"/>
    </row>
    <row r="24" spans="2:14" x14ac:dyDescent="0.25">
      <c r="B24" s="121"/>
      <c r="C24" s="159">
        <v>17</v>
      </c>
      <c r="D24" s="159">
        <v>3</v>
      </c>
      <c r="E24" s="159" t="s">
        <v>67</v>
      </c>
      <c r="F24" s="159" t="s">
        <v>526</v>
      </c>
      <c r="G24" s="160" t="s">
        <v>483</v>
      </c>
      <c r="H24" s="161" t="s">
        <v>1737</v>
      </c>
      <c r="I24" s="162">
        <v>321</v>
      </c>
      <c r="J24" s="159">
        <v>86.5</v>
      </c>
      <c r="K24" s="163">
        <v>87.4</v>
      </c>
      <c r="L24" s="164">
        <f t="shared" si="0"/>
        <v>173.9</v>
      </c>
      <c r="M24" s="165">
        <f t="shared" si="1"/>
        <v>0.54174454828660434</v>
      </c>
      <c r="N24" s="122"/>
    </row>
    <row r="25" spans="2:14" x14ac:dyDescent="0.25">
      <c r="B25" s="121"/>
      <c r="C25" s="159">
        <v>18</v>
      </c>
      <c r="D25" s="159">
        <v>10</v>
      </c>
      <c r="E25" s="159" t="s">
        <v>75</v>
      </c>
      <c r="F25" s="159" t="s">
        <v>526</v>
      </c>
      <c r="G25" s="160" t="s">
        <v>42</v>
      </c>
      <c r="H25" s="161" t="s">
        <v>1420</v>
      </c>
      <c r="I25" s="162">
        <v>376</v>
      </c>
      <c r="J25" s="159">
        <v>105.6</v>
      </c>
      <c r="K25" s="163">
        <v>105.5</v>
      </c>
      <c r="L25" s="164">
        <f t="shared" si="0"/>
        <v>211.1</v>
      </c>
      <c r="M25" s="165">
        <f t="shared" si="1"/>
        <v>0.56143617021276593</v>
      </c>
      <c r="N25" s="122"/>
    </row>
    <row r="26" spans="2:14" x14ac:dyDescent="0.25">
      <c r="B26" s="121"/>
      <c r="C26" s="159">
        <v>19</v>
      </c>
      <c r="D26" s="159">
        <v>9</v>
      </c>
      <c r="E26" s="159" t="s">
        <v>75</v>
      </c>
      <c r="F26" s="159" t="s">
        <v>526</v>
      </c>
      <c r="G26" s="160" t="s">
        <v>44</v>
      </c>
      <c r="H26" s="161" t="s">
        <v>99</v>
      </c>
      <c r="I26" s="162">
        <v>394</v>
      </c>
      <c r="J26" s="159">
        <v>109.1</v>
      </c>
      <c r="K26" s="163">
        <v>109</v>
      </c>
      <c r="L26" s="164">
        <f t="shared" si="0"/>
        <v>218.1</v>
      </c>
      <c r="M26" s="165">
        <f t="shared" si="1"/>
        <v>0.55355329949238574</v>
      </c>
      <c r="N26" s="122"/>
    </row>
    <row r="27" spans="2:14" x14ac:dyDescent="0.25">
      <c r="B27" s="121"/>
      <c r="C27" s="159">
        <v>20</v>
      </c>
      <c r="D27" s="159">
        <v>18</v>
      </c>
      <c r="E27" s="159" t="s">
        <v>75</v>
      </c>
      <c r="F27" s="159" t="s">
        <v>526</v>
      </c>
      <c r="G27" s="160" t="s">
        <v>44</v>
      </c>
      <c r="H27" s="161" t="s">
        <v>1738</v>
      </c>
      <c r="I27" s="162">
        <v>377</v>
      </c>
      <c r="J27" s="159">
        <v>99.4</v>
      </c>
      <c r="K27" s="163">
        <v>102.6</v>
      </c>
      <c r="L27" s="164">
        <f t="shared" si="0"/>
        <v>202</v>
      </c>
      <c r="M27" s="165">
        <f t="shared" si="1"/>
        <v>0.53580901856763929</v>
      </c>
      <c r="N27" s="122"/>
    </row>
    <row r="28" spans="2:14" x14ac:dyDescent="0.25">
      <c r="B28" s="121"/>
      <c r="C28" s="159">
        <v>21</v>
      </c>
      <c r="D28" s="159">
        <v>17</v>
      </c>
      <c r="E28" s="159" t="s">
        <v>67</v>
      </c>
      <c r="F28" s="159" t="s">
        <v>526</v>
      </c>
      <c r="G28" s="160" t="s">
        <v>44</v>
      </c>
      <c r="H28" s="161" t="s">
        <v>1739</v>
      </c>
      <c r="I28" s="162">
        <v>420</v>
      </c>
      <c r="J28" s="159">
        <v>117.1</v>
      </c>
      <c r="K28" s="163">
        <v>116.2</v>
      </c>
      <c r="L28" s="164">
        <f t="shared" si="0"/>
        <v>233.3</v>
      </c>
      <c r="M28" s="165">
        <f t="shared" si="1"/>
        <v>0.55547619047619046</v>
      </c>
      <c r="N28" s="122"/>
    </row>
    <row r="29" spans="2:14" x14ac:dyDescent="0.25">
      <c r="B29" s="121"/>
      <c r="C29" s="160">
        <v>22</v>
      </c>
      <c r="D29" s="160">
        <v>16</v>
      </c>
      <c r="E29" s="160" t="s">
        <v>75</v>
      </c>
      <c r="F29" s="159" t="s">
        <v>526</v>
      </c>
      <c r="G29" s="160" t="s">
        <v>483</v>
      </c>
      <c r="H29" s="161" t="s">
        <v>1340</v>
      </c>
      <c r="I29" s="162">
        <v>357</v>
      </c>
      <c r="J29" s="159">
        <v>96.7</v>
      </c>
      <c r="K29" s="163">
        <v>97.7</v>
      </c>
      <c r="L29" s="164">
        <f t="shared" si="0"/>
        <v>194.4</v>
      </c>
      <c r="M29" s="165">
        <f t="shared" si="1"/>
        <v>0.54453781512605048</v>
      </c>
      <c r="N29" s="122"/>
    </row>
    <row r="30" spans="2:14" x14ac:dyDescent="0.25">
      <c r="B30" s="121"/>
      <c r="C30" s="160">
        <v>23</v>
      </c>
      <c r="D30" s="160">
        <v>2</v>
      </c>
      <c r="E30" s="160" t="s">
        <v>75</v>
      </c>
      <c r="F30" s="159" t="s">
        <v>526</v>
      </c>
      <c r="G30" s="160" t="s">
        <v>44</v>
      </c>
      <c r="H30" s="161" t="s">
        <v>1740</v>
      </c>
      <c r="I30" s="162">
        <v>393</v>
      </c>
      <c r="J30" s="159">
        <v>110.4</v>
      </c>
      <c r="K30" s="163">
        <v>110.1</v>
      </c>
      <c r="L30" s="164">
        <f t="shared" si="0"/>
        <v>220.5</v>
      </c>
      <c r="M30" s="165">
        <f t="shared" si="1"/>
        <v>0.56106870229007633</v>
      </c>
      <c r="N30" s="122"/>
    </row>
    <row r="31" spans="2:14" x14ac:dyDescent="0.25">
      <c r="B31" s="121"/>
      <c r="C31" s="159">
        <v>24</v>
      </c>
      <c r="D31" s="159">
        <v>8</v>
      </c>
      <c r="E31" s="159" t="s">
        <v>75</v>
      </c>
      <c r="F31" s="159" t="s">
        <v>526</v>
      </c>
      <c r="G31" s="160" t="s">
        <v>483</v>
      </c>
      <c r="H31" s="161" t="s">
        <v>1741</v>
      </c>
      <c r="I31" s="162">
        <v>346</v>
      </c>
      <c r="J31" s="159">
        <v>93.6</v>
      </c>
      <c r="K31" s="163">
        <v>94.4</v>
      </c>
      <c r="L31" s="164">
        <f t="shared" si="0"/>
        <v>188</v>
      </c>
      <c r="M31" s="165">
        <f t="shared" si="1"/>
        <v>0.54335260115606931</v>
      </c>
      <c r="N31" s="122"/>
    </row>
    <row r="32" spans="2:14" x14ac:dyDescent="0.25">
      <c r="B32" s="121"/>
      <c r="C32" s="159">
        <v>25</v>
      </c>
      <c r="D32" s="159">
        <v>7</v>
      </c>
      <c r="E32" s="159" t="s">
        <v>75</v>
      </c>
      <c r="F32" s="159" t="s">
        <v>526</v>
      </c>
      <c r="G32" s="160" t="s">
        <v>483</v>
      </c>
      <c r="H32" s="161" t="s">
        <v>953</v>
      </c>
      <c r="I32" s="162">
        <v>359</v>
      </c>
      <c r="J32" s="159">
        <v>101.1</v>
      </c>
      <c r="K32" s="163">
        <v>100.7</v>
      </c>
      <c r="L32" s="164">
        <f t="shared" si="0"/>
        <v>201.8</v>
      </c>
      <c r="M32" s="165">
        <f t="shared" si="1"/>
        <v>0.56211699164345408</v>
      </c>
      <c r="N32" s="122"/>
    </row>
    <row r="33" spans="2:14" x14ac:dyDescent="0.25">
      <c r="B33" s="121"/>
      <c r="C33" s="160">
        <v>26</v>
      </c>
      <c r="D33" s="160">
        <v>20</v>
      </c>
      <c r="E33" s="160" t="s">
        <v>67</v>
      </c>
      <c r="F33" s="159" t="s">
        <v>526</v>
      </c>
      <c r="G33" s="160" t="s">
        <v>483</v>
      </c>
      <c r="H33" s="161" t="s">
        <v>1742</v>
      </c>
      <c r="I33" s="162">
        <v>368</v>
      </c>
      <c r="J33" s="159">
        <v>97.2</v>
      </c>
      <c r="K33" s="163">
        <v>92.3</v>
      </c>
      <c r="L33" s="164">
        <f t="shared" si="0"/>
        <v>189.5</v>
      </c>
      <c r="M33" s="165">
        <f t="shared" si="1"/>
        <v>0.51494565217391308</v>
      </c>
      <c r="N33" s="122"/>
    </row>
    <row r="34" spans="2:14" x14ac:dyDescent="0.25">
      <c r="B34" s="121"/>
      <c r="C34" s="159">
        <v>27</v>
      </c>
      <c r="D34" s="159">
        <v>4</v>
      </c>
      <c r="E34" s="159" t="s">
        <v>67</v>
      </c>
      <c r="F34" s="159" t="s">
        <v>526</v>
      </c>
      <c r="G34" s="160" t="s">
        <v>483</v>
      </c>
      <c r="H34" s="161" t="s">
        <v>1743</v>
      </c>
      <c r="I34" s="162">
        <v>365</v>
      </c>
      <c r="J34" s="159">
        <v>102.1</v>
      </c>
      <c r="K34" s="166">
        <v>101.9</v>
      </c>
      <c r="L34" s="164">
        <f t="shared" si="0"/>
        <v>204</v>
      </c>
      <c r="M34" s="167">
        <f t="shared" si="1"/>
        <v>0.55890410958904113</v>
      </c>
      <c r="N34" s="122"/>
    </row>
    <row r="35" spans="2:14" x14ac:dyDescent="0.25">
      <c r="B35" s="121"/>
      <c r="C35" s="159">
        <v>28</v>
      </c>
      <c r="D35" s="159">
        <v>15</v>
      </c>
      <c r="E35" s="159" t="s">
        <v>75</v>
      </c>
      <c r="F35" s="159" t="s">
        <v>526</v>
      </c>
      <c r="G35" s="160" t="s">
        <v>483</v>
      </c>
      <c r="H35" s="161" t="s">
        <v>1744</v>
      </c>
      <c r="I35" s="162">
        <v>417</v>
      </c>
      <c r="J35" s="159">
        <v>114.5</v>
      </c>
      <c r="K35" s="163">
        <v>114.2</v>
      </c>
      <c r="L35" s="164">
        <f t="shared" si="0"/>
        <v>228.7</v>
      </c>
      <c r="M35" s="165">
        <f t="shared" si="1"/>
        <v>0.54844124700239805</v>
      </c>
      <c r="N35" s="122"/>
    </row>
    <row r="36" spans="2:14" x14ac:dyDescent="0.25">
      <c r="B36" s="121"/>
      <c r="C36" s="159">
        <v>29</v>
      </c>
      <c r="D36" s="159">
        <v>11</v>
      </c>
      <c r="E36" s="159" t="s">
        <v>68</v>
      </c>
      <c r="F36" s="159" t="s">
        <v>526</v>
      </c>
      <c r="G36" s="160" t="s">
        <v>44</v>
      </c>
      <c r="H36" s="161" t="s">
        <v>1745</v>
      </c>
      <c r="I36" s="162">
        <v>417</v>
      </c>
      <c r="J36" s="159">
        <v>113.9</v>
      </c>
      <c r="K36" s="163">
        <v>114.1</v>
      </c>
      <c r="L36" s="164">
        <f t="shared" si="0"/>
        <v>228</v>
      </c>
      <c r="M36" s="165">
        <f t="shared" si="1"/>
        <v>0.5467625899280576</v>
      </c>
      <c r="N36" s="122"/>
    </row>
    <row r="37" spans="2:14" x14ac:dyDescent="0.25">
      <c r="B37" s="121"/>
      <c r="C37" s="159">
        <v>30</v>
      </c>
      <c r="D37" s="159">
        <v>19</v>
      </c>
      <c r="E37" s="159" t="s">
        <v>68</v>
      </c>
      <c r="F37" s="159" t="s">
        <v>526</v>
      </c>
      <c r="G37" s="160" t="s">
        <v>44</v>
      </c>
      <c r="H37" s="161" t="s">
        <v>1019</v>
      </c>
      <c r="I37" s="162">
        <v>388</v>
      </c>
      <c r="J37" s="159">
        <v>109.3</v>
      </c>
      <c r="K37" s="163">
        <v>109.1</v>
      </c>
      <c r="L37" s="164">
        <f t="shared" si="0"/>
        <v>218.39999999999998</v>
      </c>
      <c r="M37" s="165">
        <f t="shared" si="1"/>
        <v>0.56288659793814422</v>
      </c>
      <c r="N37" s="122"/>
    </row>
    <row r="38" spans="2:14" x14ac:dyDescent="0.25">
      <c r="B38" s="121"/>
      <c r="C38" s="159">
        <v>31</v>
      </c>
      <c r="D38" s="159">
        <v>1</v>
      </c>
      <c r="E38" s="159" t="s">
        <v>75</v>
      </c>
      <c r="F38" s="159" t="s">
        <v>526</v>
      </c>
      <c r="G38" s="159" t="s">
        <v>483</v>
      </c>
      <c r="H38" s="168" t="s">
        <v>1746</v>
      </c>
      <c r="I38" s="169">
        <v>377</v>
      </c>
      <c r="J38" s="159">
        <v>96.7</v>
      </c>
      <c r="K38" s="163">
        <v>97.3</v>
      </c>
      <c r="L38" s="164">
        <f t="shared" si="0"/>
        <v>194</v>
      </c>
      <c r="M38" s="165">
        <f t="shared" si="1"/>
        <v>0.51458885941644561</v>
      </c>
      <c r="N38" s="122"/>
    </row>
    <row r="39" spans="2:14" x14ac:dyDescent="0.25">
      <c r="B39" s="121"/>
      <c r="C39" s="159">
        <v>32</v>
      </c>
      <c r="D39" s="159">
        <v>13</v>
      </c>
      <c r="E39" s="159" t="s">
        <v>67</v>
      </c>
      <c r="F39" s="159" t="s">
        <v>526</v>
      </c>
      <c r="G39" s="160" t="s">
        <v>483</v>
      </c>
      <c r="H39" s="161" t="s">
        <v>1747</v>
      </c>
      <c r="I39" s="162">
        <v>329</v>
      </c>
      <c r="J39" s="159">
        <v>88</v>
      </c>
      <c r="K39" s="163">
        <v>89.7</v>
      </c>
      <c r="L39" s="164">
        <f t="shared" si="0"/>
        <v>177.7</v>
      </c>
      <c r="M39" s="165">
        <f t="shared" si="1"/>
        <v>0.54012158054711246</v>
      </c>
      <c r="N39" s="122"/>
    </row>
    <row r="40" spans="2:14" x14ac:dyDescent="0.25">
      <c r="B40" s="121"/>
      <c r="C40" s="159">
        <v>33</v>
      </c>
      <c r="D40" s="159">
        <v>12</v>
      </c>
      <c r="E40" s="159" t="s">
        <v>75</v>
      </c>
      <c r="F40" s="159" t="s">
        <v>526</v>
      </c>
      <c r="G40" s="160" t="s">
        <v>483</v>
      </c>
      <c r="H40" s="161" t="s">
        <v>1748</v>
      </c>
      <c r="I40" s="162">
        <v>347</v>
      </c>
      <c r="J40" s="159">
        <v>97.1</v>
      </c>
      <c r="K40" s="163">
        <v>96.2</v>
      </c>
      <c r="L40" s="164">
        <f t="shared" si="0"/>
        <v>193.3</v>
      </c>
      <c r="M40" s="165">
        <f t="shared" si="1"/>
        <v>0.55706051873198847</v>
      </c>
      <c r="N40" s="122"/>
    </row>
    <row r="41" spans="2:14" x14ac:dyDescent="0.25">
      <c r="B41" s="121"/>
      <c r="C41" s="159">
        <v>34</v>
      </c>
      <c r="D41" s="159">
        <v>5</v>
      </c>
      <c r="E41" s="159" t="s">
        <v>75</v>
      </c>
      <c r="F41" s="159" t="s">
        <v>526</v>
      </c>
      <c r="G41" s="160" t="s">
        <v>42</v>
      </c>
      <c r="H41" s="161" t="s">
        <v>1749</v>
      </c>
      <c r="I41" s="162">
        <v>402</v>
      </c>
      <c r="J41" s="159">
        <v>110.4</v>
      </c>
      <c r="K41" s="163">
        <v>110.1</v>
      </c>
      <c r="L41" s="164">
        <f t="shared" si="0"/>
        <v>220.5</v>
      </c>
      <c r="M41" s="165">
        <f t="shared" si="1"/>
        <v>0.54850746268656714</v>
      </c>
      <c r="N41" s="122"/>
    </row>
    <row r="42" spans="2:14" x14ac:dyDescent="0.25">
      <c r="B42" s="121"/>
      <c r="C42" s="160">
        <v>35</v>
      </c>
      <c r="D42" s="160">
        <v>6</v>
      </c>
      <c r="E42" s="160" t="s">
        <v>75</v>
      </c>
      <c r="F42" s="159" t="s">
        <v>526</v>
      </c>
      <c r="G42" s="160" t="s">
        <v>42</v>
      </c>
      <c r="H42" s="161" t="s">
        <v>1750</v>
      </c>
      <c r="I42" s="162">
        <v>363</v>
      </c>
      <c r="J42" s="159">
        <v>103.4</v>
      </c>
      <c r="K42" s="163">
        <v>102.6</v>
      </c>
      <c r="L42" s="164">
        <f t="shared" si="0"/>
        <v>206</v>
      </c>
      <c r="M42" s="165">
        <f t="shared" si="1"/>
        <v>0.56749311294765836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318"/>
      <c r="D66" s="318">
        <f>+COUNT($D$22:$D$65)</f>
        <v>20</v>
      </c>
      <c r="E66" s="318"/>
      <c r="F66" s="373"/>
      <c r="G66" s="373"/>
      <c r="H66" s="149"/>
      <c r="I66" s="148">
        <f>SUM($I$22:$I$65)</f>
        <v>7512</v>
      </c>
      <c r="J66" s="150">
        <f>SUM($J$22:$J$65)</f>
        <v>2061.4</v>
      </c>
      <c r="K66" s="151">
        <f>SUM($K$22:$K$65)</f>
        <v>2059.9</v>
      </c>
      <c r="L66" s="148">
        <f>SUM($L$22:$L$65)</f>
        <v>4121.3</v>
      </c>
      <c r="M66" s="178">
        <f t="shared" si="1"/>
        <v>0.54862886048988291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66.62</v>
      </c>
      <c r="I71" s="119">
        <v>65.42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30</v>
      </c>
      <c r="I72" s="119">
        <v>41.760000000000005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30</v>
      </c>
      <c r="I73" s="119">
        <v>155.23999999999998</v>
      </c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19.920000000000002</v>
      </c>
      <c r="I74" s="119">
        <v>30.240000000000002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60</v>
      </c>
      <c r="I75" s="119">
        <v>19.059999999999999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120</v>
      </c>
      <c r="I76" s="119">
        <v>26.18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30</v>
      </c>
      <c r="I77" s="119">
        <v>17.48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30</v>
      </c>
      <c r="I78" s="119">
        <v>21.240000000000002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39.099999999999994</v>
      </c>
      <c r="I79" s="119">
        <v>21.52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30</v>
      </c>
      <c r="I80" s="119">
        <v>36.659999999999997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30</v>
      </c>
      <c r="I81" s="119">
        <v>29.799999999999997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30</v>
      </c>
      <c r="I82" s="119">
        <v>9.2800000000000011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27.98</v>
      </c>
      <c r="I83" s="119">
        <v>16.420000000000002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490.3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20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13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F24" sqref="F24:F30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0.57139550264550276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215.98750000000004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396</v>
      </c>
      <c r="F8" s="344"/>
      <c r="G8" s="344"/>
      <c r="H8" s="345"/>
      <c r="I8" s="146" t="s">
        <v>487</v>
      </c>
      <c r="J8" s="346" t="s">
        <v>1751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69057</v>
      </c>
      <c r="F9" s="344"/>
      <c r="G9" s="344"/>
      <c r="H9" s="345"/>
      <c r="I9" s="146" t="s">
        <v>88</v>
      </c>
      <c r="J9" s="209" t="s">
        <v>1752</v>
      </c>
      <c r="K9" s="321" t="s">
        <v>490</v>
      </c>
      <c r="L9" s="369" t="s">
        <v>1753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319" t="s">
        <v>569</v>
      </c>
      <c r="E12" s="384">
        <v>46080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94</v>
      </c>
      <c r="F13" s="349"/>
      <c r="H13" s="117"/>
      <c r="I13" s="123"/>
      <c r="J13" s="215" t="s">
        <v>483</v>
      </c>
      <c r="K13" s="320">
        <f>+COUNTIF($G$22:$G$66,"VQ")*2</f>
        <v>0</v>
      </c>
      <c r="L13" s="320">
        <f>+SUMIF($G$23:$G$65,"VQ",$L$23:$L$65)</f>
        <v>0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8</v>
      </c>
      <c r="F14" s="350"/>
      <c r="H14" s="117"/>
      <c r="I14" s="123"/>
      <c r="J14" s="215" t="s">
        <v>42</v>
      </c>
      <c r="K14" s="320">
        <f>+COUNTIF($G$22:$G$66,"NT")*2</f>
        <v>0</v>
      </c>
      <c r="L14" s="320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3024</v>
      </c>
      <c r="F15" s="350"/>
      <c r="H15" s="117"/>
      <c r="I15" s="123"/>
      <c r="J15" s="215" t="s">
        <v>484</v>
      </c>
      <c r="K15" s="320">
        <f>+COUNTIF($G$22:$G$66,"NO")*2</f>
        <v>16</v>
      </c>
      <c r="L15" s="320">
        <f>+SUMIF($G$23:$G$65,"NO",$L$23:$L$65)</f>
        <v>1727.9000000000003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1727.9000000000003</v>
      </c>
      <c r="F16" s="350"/>
      <c r="H16" s="117"/>
      <c r="I16" s="123"/>
      <c r="J16" s="215" t="s">
        <v>485</v>
      </c>
      <c r="K16" s="320">
        <f>+COUNTIF($G$22:$G$66,"TO")*2</f>
        <v>0</v>
      </c>
      <c r="L16" s="320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0.57139550264550276</v>
      </c>
      <c r="F17" s="350"/>
      <c r="G17" s="124"/>
      <c r="H17" s="125"/>
      <c r="I17" s="123"/>
      <c r="J17" s="215" t="s">
        <v>486</v>
      </c>
      <c r="K17" s="320">
        <f>+COUNTIF($G$22:$G$66,"VA")*2</f>
        <v>0</v>
      </c>
      <c r="L17" s="320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215.98750000000004</v>
      </c>
      <c r="F18" s="353"/>
      <c r="G18" s="124"/>
      <c r="H18" s="125"/>
      <c r="I18" s="123"/>
      <c r="J18" s="215" t="s">
        <v>44</v>
      </c>
      <c r="K18" s="320">
        <f>+COUNTIF($G$22:$G$66,"MEJ")*2</f>
        <v>0</v>
      </c>
      <c r="L18" s="320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83</v>
      </c>
      <c r="D23" s="152">
        <v>4</v>
      </c>
      <c r="E23" s="152" t="s">
        <v>67</v>
      </c>
      <c r="F23" s="152" t="s">
        <v>750</v>
      </c>
      <c r="G23" s="153" t="s">
        <v>484</v>
      </c>
      <c r="H23" s="154" t="s">
        <v>1754</v>
      </c>
      <c r="I23" s="155">
        <v>386</v>
      </c>
      <c r="J23" s="152">
        <v>112.8</v>
      </c>
      <c r="K23" s="156">
        <v>112.7</v>
      </c>
      <c r="L23" s="157">
        <f t="shared" ref="L23:L65" si="0">+J23+K23</f>
        <v>225.5</v>
      </c>
      <c r="M23" s="158">
        <f t="shared" ref="M23:M66" si="1">+L23/I23</f>
        <v>0.58419689119170981</v>
      </c>
      <c r="N23" s="122"/>
    </row>
    <row r="24" spans="2:14" x14ac:dyDescent="0.25">
      <c r="B24" s="121"/>
      <c r="C24" s="159">
        <v>84</v>
      </c>
      <c r="D24" s="159">
        <v>1</v>
      </c>
      <c r="E24" s="159" t="s">
        <v>67</v>
      </c>
      <c r="F24" s="159" t="s">
        <v>750</v>
      </c>
      <c r="G24" s="160" t="s">
        <v>484</v>
      </c>
      <c r="H24" s="161" t="s">
        <v>1755</v>
      </c>
      <c r="I24" s="162">
        <v>368</v>
      </c>
      <c r="J24" s="159">
        <v>103.1</v>
      </c>
      <c r="K24" s="163">
        <v>103.2</v>
      </c>
      <c r="L24" s="164">
        <f t="shared" si="0"/>
        <v>206.3</v>
      </c>
      <c r="M24" s="165">
        <f t="shared" si="1"/>
        <v>0.56059782608695652</v>
      </c>
      <c r="N24" s="122"/>
    </row>
    <row r="25" spans="2:14" x14ac:dyDescent="0.25">
      <c r="B25" s="121"/>
      <c r="C25" s="159">
        <v>85</v>
      </c>
      <c r="D25" s="159">
        <v>7</v>
      </c>
      <c r="E25" s="159" t="s">
        <v>68</v>
      </c>
      <c r="F25" s="159" t="s">
        <v>750</v>
      </c>
      <c r="G25" s="160" t="s">
        <v>484</v>
      </c>
      <c r="H25" s="161" t="s">
        <v>1490</v>
      </c>
      <c r="I25" s="162">
        <v>374</v>
      </c>
      <c r="J25" s="159">
        <v>105.4</v>
      </c>
      <c r="K25" s="163">
        <v>106.2</v>
      </c>
      <c r="L25" s="164">
        <f t="shared" si="0"/>
        <v>211.60000000000002</v>
      </c>
      <c r="M25" s="165">
        <f t="shared" si="1"/>
        <v>0.56577540106951874</v>
      </c>
      <c r="N25" s="122"/>
    </row>
    <row r="26" spans="2:14" x14ac:dyDescent="0.25">
      <c r="B26" s="121"/>
      <c r="C26" s="159">
        <v>86</v>
      </c>
      <c r="D26" s="159">
        <v>6</v>
      </c>
      <c r="E26" s="159" t="s">
        <v>67</v>
      </c>
      <c r="F26" s="159" t="s">
        <v>750</v>
      </c>
      <c r="G26" s="160" t="s">
        <v>484</v>
      </c>
      <c r="H26" s="161" t="s">
        <v>1422</v>
      </c>
      <c r="I26" s="162">
        <v>380</v>
      </c>
      <c r="J26" s="159">
        <v>105</v>
      </c>
      <c r="K26" s="163">
        <v>104.7</v>
      </c>
      <c r="L26" s="164">
        <f t="shared" si="0"/>
        <v>209.7</v>
      </c>
      <c r="M26" s="165">
        <f t="shared" si="1"/>
        <v>0.55184210526315791</v>
      </c>
      <c r="N26" s="122"/>
    </row>
    <row r="27" spans="2:14" x14ac:dyDescent="0.25">
      <c r="B27" s="121"/>
      <c r="C27" s="159">
        <v>87</v>
      </c>
      <c r="D27" s="159">
        <v>3</v>
      </c>
      <c r="E27" s="159" t="s">
        <v>67</v>
      </c>
      <c r="F27" s="159" t="s">
        <v>750</v>
      </c>
      <c r="G27" s="160" t="s">
        <v>484</v>
      </c>
      <c r="H27" s="161" t="s">
        <v>1756</v>
      </c>
      <c r="I27" s="162">
        <v>384</v>
      </c>
      <c r="J27" s="159">
        <v>107.9</v>
      </c>
      <c r="K27" s="163">
        <v>109.1</v>
      </c>
      <c r="L27" s="164">
        <f t="shared" si="0"/>
        <v>217</v>
      </c>
      <c r="M27" s="165">
        <f t="shared" si="1"/>
        <v>0.56510416666666663</v>
      </c>
      <c r="N27" s="122"/>
    </row>
    <row r="28" spans="2:14" x14ac:dyDescent="0.25">
      <c r="B28" s="121"/>
      <c r="C28" s="159">
        <v>88</v>
      </c>
      <c r="D28" s="159">
        <v>8</v>
      </c>
      <c r="E28" s="159" t="s">
        <v>67</v>
      </c>
      <c r="F28" s="159" t="s">
        <v>750</v>
      </c>
      <c r="G28" s="160" t="s">
        <v>484</v>
      </c>
      <c r="H28" s="161" t="s">
        <v>1112</v>
      </c>
      <c r="I28" s="162">
        <v>373</v>
      </c>
      <c r="J28" s="159">
        <v>107.4</v>
      </c>
      <c r="K28" s="163">
        <v>108.2</v>
      </c>
      <c r="L28" s="164">
        <f t="shared" si="0"/>
        <v>215.60000000000002</v>
      </c>
      <c r="M28" s="165">
        <f t="shared" si="1"/>
        <v>0.57801608579088481</v>
      </c>
      <c r="N28" s="122"/>
    </row>
    <row r="29" spans="2:14" x14ac:dyDescent="0.25">
      <c r="B29" s="121"/>
      <c r="C29" s="160">
        <v>89</v>
      </c>
      <c r="D29" s="160">
        <v>5</v>
      </c>
      <c r="E29" s="160" t="s">
        <v>67</v>
      </c>
      <c r="F29" s="159" t="s">
        <v>750</v>
      </c>
      <c r="G29" s="160" t="s">
        <v>484</v>
      </c>
      <c r="H29" s="161" t="s">
        <v>1757</v>
      </c>
      <c r="I29" s="162">
        <v>380</v>
      </c>
      <c r="J29" s="159">
        <v>113.3</v>
      </c>
      <c r="K29" s="163">
        <v>112.6</v>
      </c>
      <c r="L29" s="164">
        <f t="shared" si="0"/>
        <v>225.89999999999998</v>
      </c>
      <c r="M29" s="165">
        <f t="shared" si="1"/>
        <v>0.59447368421052627</v>
      </c>
      <c r="N29" s="122"/>
    </row>
    <row r="30" spans="2:14" x14ac:dyDescent="0.25">
      <c r="B30" s="121"/>
      <c r="C30" s="160">
        <v>90</v>
      </c>
      <c r="D30" s="160">
        <v>2</v>
      </c>
      <c r="E30" s="160" t="s">
        <v>67</v>
      </c>
      <c r="F30" s="159" t="s">
        <v>750</v>
      </c>
      <c r="G30" s="160" t="s">
        <v>484</v>
      </c>
      <c r="H30" s="161" t="s">
        <v>1758</v>
      </c>
      <c r="I30" s="162">
        <v>379</v>
      </c>
      <c r="J30" s="159">
        <v>106.9</v>
      </c>
      <c r="K30" s="163">
        <v>109.4</v>
      </c>
      <c r="L30" s="164">
        <f t="shared" si="0"/>
        <v>216.3</v>
      </c>
      <c r="M30" s="165">
        <f t="shared" si="1"/>
        <v>0.57071240105540899</v>
      </c>
      <c r="N30" s="122"/>
    </row>
    <row r="31" spans="2:14" x14ac:dyDescent="0.25">
      <c r="B31" s="121"/>
      <c r="C31" s="159"/>
      <c r="D31" s="159"/>
      <c r="E31" s="159"/>
      <c r="F31" s="159"/>
      <c r="G31" s="160"/>
      <c r="H31" s="161"/>
      <c r="I31" s="162"/>
      <c r="J31" s="159"/>
      <c r="K31" s="163"/>
      <c r="L31" s="164">
        <f t="shared" si="0"/>
        <v>0</v>
      </c>
      <c r="M31" s="165" t="e">
        <f t="shared" si="1"/>
        <v>#DIV/0!</v>
      </c>
      <c r="N31" s="122"/>
    </row>
    <row r="32" spans="2:14" x14ac:dyDescent="0.25">
      <c r="B32" s="121"/>
      <c r="C32" s="159"/>
      <c r="D32" s="159"/>
      <c r="E32" s="159"/>
      <c r="F32" s="159"/>
      <c r="G32" s="160"/>
      <c r="H32" s="161"/>
      <c r="I32" s="162"/>
      <c r="J32" s="159"/>
      <c r="K32" s="163"/>
      <c r="L32" s="164">
        <f t="shared" si="0"/>
        <v>0</v>
      </c>
      <c r="M32" s="165" t="e">
        <f t="shared" si="1"/>
        <v>#DIV/0!</v>
      </c>
      <c r="N32" s="122"/>
    </row>
    <row r="33" spans="2:14" x14ac:dyDescent="0.25">
      <c r="B33" s="121"/>
      <c r="C33" s="160"/>
      <c r="D33" s="160"/>
      <c r="E33" s="160"/>
      <c r="F33" s="160"/>
      <c r="G33" s="160"/>
      <c r="H33" s="161"/>
      <c r="I33" s="162"/>
      <c r="J33" s="159"/>
      <c r="K33" s="163"/>
      <c r="L33" s="164">
        <f t="shared" si="0"/>
        <v>0</v>
      </c>
      <c r="M33" s="165" t="e">
        <f t="shared" si="1"/>
        <v>#DIV/0!</v>
      </c>
      <c r="N33" s="122"/>
    </row>
    <row r="34" spans="2:14" x14ac:dyDescent="0.25">
      <c r="B34" s="121"/>
      <c r="C34" s="159"/>
      <c r="D34" s="159"/>
      <c r="E34" s="159"/>
      <c r="F34" s="159"/>
      <c r="G34" s="160"/>
      <c r="H34" s="161"/>
      <c r="I34" s="162"/>
      <c r="J34" s="159"/>
      <c r="K34" s="166"/>
      <c r="L34" s="164">
        <f t="shared" si="0"/>
        <v>0</v>
      </c>
      <c r="M34" s="167" t="e">
        <f t="shared" si="1"/>
        <v>#DIV/0!</v>
      </c>
      <c r="N34" s="122"/>
    </row>
    <row r="35" spans="2:14" x14ac:dyDescent="0.25">
      <c r="B35" s="121"/>
      <c r="C35" s="159"/>
      <c r="D35" s="159"/>
      <c r="E35" s="159"/>
      <c r="F35" s="159"/>
      <c r="G35" s="160"/>
      <c r="H35" s="161"/>
      <c r="I35" s="162"/>
      <c r="J35" s="159"/>
      <c r="K35" s="163"/>
      <c r="L35" s="164">
        <f t="shared" si="0"/>
        <v>0</v>
      </c>
      <c r="M35" s="165" t="e">
        <f t="shared" si="1"/>
        <v>#DIV/0!</v>
      </c>
      <c r="N35" s="122"/>
    </row>
    <row r="36" spans="2:14" x14ac:dyDescent="0.25">
      <c r="B36" s="121"/>
      <c r="C36" s="159"/>
      <c r="D36" s="159"/>
      <c r="E36" s="159"/>
      <c r="F36" s="159"/>
      <c r="G36" s="160"/>
      <c r="H36" s="161"/>
      <c r="I36" s="162"/>
      <c r="J36" s="159"/>
      <c r="K36" s="163"/>
      <c r="L36" s="164">
        <f t="shared" si="0"/>
        <v>0</v>
      </c>
      <c r="M36" s="165" t="e">
        <f t="shared" si="1"/>
        <v>#DIV/0!</v>
      </c>
      <c r="N36" s="122"/>
    </row>
    <row r="37" spans="2:14" x14ac:dyDescent="0.25">
      <c r="B37" s="121"/>
      <c r="C37" s="159"/>
      <c r="D37" s="159"/>
      <c r="E37" s="159"/>
      <c r="F37" s="159"/>
      <c r="G37" s="160"/>
      <c r="H37" s="161"/>
      <c r="I37" s="162"/>
      <c r="J37" s="159"/>
      <c r="K37" s="163"/>
      <c r="L37" s="164">
        <f t="shared" si="0"/>
        <v>0</v>
      </c>
      <c r="M37" s="165" t="e">
        <f t="shared" si="1"/>
        <v>#DIV/0!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318"/>
      <c r="D66" s="318">
        <f>+COUNT($D$22:$D$65)</f>
        <v>8</v>
      </c>
      <c r="E66" s="318"/>
      <c r="F66" s="373"/>
      <c r="G66" s="373"/>
      <c r="H66" s="149"/>
      <c r="I66" s="148">
        <f>SUM($I$22:$I$65)</f>
        <v>3024</v>
      </c>
      <c r="J66" s="150">
        <f>SUM($J$22:$J$65)</f>
        <v>861.79999999999984</v>
      </c>
      <c r="K66" s="151">
        <f>SUM($K$22:$K$65)</f>
        <v>866.1</v>
      </c>
      <c r="L66" s="148">
        <f>SUM($L$22:$L$65)</f>
        <v>1727.9000000000003</v>
      </c>
      <c r="M66" s="178">
        <f t="shared" si="1"/>
        <v>0.57139550264550276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/>
      <c r="I71" s="119"/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/>
      <c r="I72" s="119"/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/>
      <c r="I73" s="119"/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/>
      <c r="I74" s="119"/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/>
      <c r="I75" s="119"/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/>
      <c r="I76" s="119"/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/>
      <c r="I77" s="119"/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/>
      <c r="I78" s="119"/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/>
      <c r="I79" s="119"/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/>
      <c r="I80" s="119"/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/>
      <c r="I81" s="119"/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/>
      <c r="I82" s="119"/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/>
      <c r="I83" s="119"/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0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8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12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A63" zoomScale="90" zoomScaleNormal="90" workbookViewId="0">
      <selection activeCell="I71" sqref="I71:I83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0.55934230194319878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224.51999999999998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303</v>
      </c>
      <c r="F8" s="344"/>
      <c r="G8" s="344"/>
      <c r="H8" s="345"/>
      <c r="I8" s="146" t="s">
        <v>487</v>
      </c>
      <c r="J8" s="346" t="s">
        <v>1759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45003</v>
      </c>
      <c r="F9" s="344"/>
      <c r="G9" s="344"/>
      <c r="H9" s="345"/>
      <c r="I9" s="146" t="s">
        <v>88</v>
      </c>
      <c r="J9" s="209" t="s">
        <v>1760</v>
      </c>
      <c r="K9" s="321" t="s">
        <v>490</v>
      </c>
      <c r="L9" s="369">
        <v>19419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319" t="s">
        <v>569</v>
      </c>
      <c r="E12" s="384">
        <v>46080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95</v>
      </c>
      <c r="F13" s="349"/>
      <c r="H13" s="117"/>
      <c r="I13" s="123"/>
      <c r="J13" s="215" t="s">
        <v>483</v>
      </c>
      <c r="K13" s="320">
        <f>+COUNTIF($G$22:$G$66,"VQ")*2</f>
        <v>0</v>
      </c>
      <c r="L13" s="320">
        <f>+SUMIF($G$23:$G$65,"VQ",$L$23:$L$65)</f>
        <v>0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15</v>
      </c>
      <c r="F14" s="350"/>
      <c r="H14" s="117"/>
      <c r="I14" s="123"/>
      <c r="J14" s="215" t="s">
        <v>42</v>
      </c>
      <c r="K14" s="320">
        <f>+COUNTIF($G$22:$G$66,"NT")*2</f>
        <v>0</v>
      </c>
      <c r="L14" s="320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6021</v>
      </c>
      <c r="F15" s="350"/>
      <c r="H15" s="117"/>
      <c r="I15" s="123"/>
      <c r="J15" s="215" t="s">
        <v>484</v>
      </c>
      <c r="K15" s="320">
        <f>+COUNTIF($G$22:$G$66,"NO")*2</f>
        <v>0</v>
      </c>
      <c r="L15" s="320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3367.7999999999997</v>
      </c>
      <c r="F16" s="350"/>
      <c r="H16" s="117"/>
      <c r="I16" s="123"/>
      <c r="J16" s="215" t="s">
        <v>485</v>
      </c>
      <c r="K16" s="320">
        <f>+COUNTIF($G$22:$G$66,"TO")*2</f>
        <v>0</v>
      </c>
      <c r="L16" s="320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0.55934230194319878</v>
      </c>
      <c r="F17" s="350"/>
      <c r="G17" s="124"/>
      <c r="H17" s="125"/>
      <c r="I17" s="123"/>
      <c r="J17" s="215" t="s">
        <v>486</v>
      </c>
      <c r="K17" s="320">
        <f>+COUNTIF($G$22:$G$66,"VA")*2</f>
        <v>0</v>
      </c>
      <c r="L17" s="320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224.51999999999998</v>
      </c>
      <c r="F18" s="353"/>
      <c r="G18" s="124"/>
      <c r="H18" s="125"/>
      <c r="I18" s="123"/>
      <c r="J18" s="215" t="s">
        <v>44</v>
      </c>
      <c r="K18" s="320">
        <f>+COUNTIF($G$22:$G$66,"MEJ")*2</f>
        <v>30</v>
      </c>
      <c r="L18" s="320">
        <f>+SUMIF($G$23:$G$65,"MEJ",$L$23:$L$65)</f>
        <v>3367.7999999999997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</v>
      </c>
      <c r="D23" s="152">
        <v>15</v>
      </c>
      <c r="E23" s="152" t="s">
        <v>67</v>
      </c>
      <c r="F23" s="152" t="s">
        <v>526</v>
      </c>
      <c r="G23" s="153" t="s">
        <v>44</v>
      </c>
      <c r="H23" s="154" t="s">
        <v>1761</v>
      </c>
      <c r="I23" s="155">
        <v>393</v>
      </c>
      <c r="J23" s="152">
        <v>110.3</v>
      </c>
      <c r="K23" s="156">
        <v>109</v>
      </c>
      <c r="L23" s="157">
        <f t="shared" ref="L23:L65" si="0">+J23+K23</f>
        <v>219.3</v>
      </c>
      <c r="M23" s="158">
        <f t="shared" ref="M23:M66" si="1">+L23/I23</f>
        <v>0.55801526717557259</v>
      </c>
      <c r="N23" s="122"/>
    </row>
    <row r="24" spans="2:14" x14ac:dyDescent="0.25">
      <c r="B24" s="121"/>
      <c r="C24" s="159">
        <v>2</v>
      </c>
      <c r="D24" s="159">
        <v>10</v>
      </c>
      <c r="E24" s="159" t="s">
        <v>1762</v>
      </c>
      <c r="F24" s="159" t="s">
        <v>526</v>
      </c>
      <c r="G24" s="160" t="s">
        <v>44</v>
      </c>
      <c r="H24" s="161" t="s">
        <v>1433</v>
      </c>
      <c r="I24" s="162">
        <v>397</v>
      </c>
      <c r="J24" s="159">
        <v>112</v>
      </c>
      <c r="K24" s="163">
        <v>112.8</v>
      </c>
      <c r="L24" s="164">
        <f t="shared" si="0"/>
        <v>224.8</v>
      </c>
      <c r="M24" s="165">
        <f t="shared" si="1"/>
        <v>0.56624685138539044</v>
      </c>
      <c r="N24" s="122"/>
    </row>
    <row r="25" spans="2:14" x14ac:dyDescent="0.25">
      <c r="B25" s="121"/>
      <c r="C25" s="159">
        <v>3</v>
      </c>
      <c r="D25" s="159">
        <v>8</v>
      </c>
      <c r="E25" s="159" t="s">
        <v>1762</v>
      </c>
      <c r="F25" s="159" t="s">
        <v>526</v>
      </c>
      <c r="G25" s="160" t="s">
        <v>44</v>
      </c>
      <c r="H25" s="161" t="s">
        <v>1763</v>
      </c>
      <c r="I25" s="162">
        <v>415</v>
      </c>
      <c r="J25" s="159">
        <v>122</v>
      </c>
      <c r="K25" s="163">
        <v>120.9</v>
      </c>
      <c r="L25" s="164">
        <f t="shared" si="0"/>
        <v>242.9</v>
      </c>
      <c r="M25" s="165">
        <f t="shared" si="1"/>
        <v>0.58530120481927717</v>
      </c>
      <c r="N25" s="122"/>
    </row>
    <row r="26" spans="2:14" x14ac:dyDescent="0.25">
      <c r="B26" s="121"/>
      <c r="C26" s="159">
        <v>4</v>
      </c>
      <c r="D26" s="159">
        <v>1</v>
      </c>
      <c r="E26" s="159" t="s">
        <v>67</v>
      </c>
      <c r="F26" s="159" t="s">
        <v>526</v>
      </c>
      <c r="G26" s="160" t="s">
        <v>44</v>
      </c>
      <c r="H26" s="161" t="s">
        <v>1764</v>
      </c>
      <c r="I26" s="162">
        <v>415</v>
      </c>
      <c r="J26" s="159">
        <v>112.7</v>
      </c>
      <c r="K26" s="163">
        <v>111.5</v>
      </c>
      <c r="L26" s="164">
        <f t="shared" si="0"/>
        <v>224.2</v>
      </c>
      <c r="M26" s="165">
        <f t="shared" si="1"/>
        <v>0.54024096385542164</v>
      </c>
      <c r="N26" s="122"/>
    </row>
    <row r="27" spans="2:14" x14ac:dyDescent="0.25">
      <c r="B27" s="121"/>
      <c r="C27" s="159">
        <v>6</v>
      </c>
      <c r="D27" s="159">
        <v>9</v>
      </c>
      <c r="E27" s="159" t="s">
        <v>1762</v>
      </c>
      <c r="F27" s="159" t="s">
        <v>526</v>
      </c>
      <c r="G27" s="160" t="s">
        <v>44</v>
      </c>
      <c r="H27" s="161" t="s">
        <v>1765</v>
      </c>
      <c r="I27" s="162">
        <v>388</v>
      </c>
      <c r="J27" s="159">
        <v>115.8</v>
      </c>
      <c r="K27" s="163">
        <v>117</v>
      </c>
      <c r="L27" s="164">
        <f t="shared" si="0"/>
        <v>232.8</v>
      </c>
      <c r="M27" s="165">
        <f t="shared" si="1"/>
        <v>0.6</v>
      </c>
      <c r="N27" s="122"/>
    </row>
    <row r="28" spans="2:14" x14ac:dyDescent="0.25">
      <c r="B28" s="121"/>
      <c r="C28" s="159">
        <v>7</v>
      </c>
      <c r="D28" s="159">
        <v>12</v>
      </c>
      <c r="E28" s="159" t="s">
        <v>1762</v>
      </c>
      <c r="F28" s="159" t="s">
        <v>526</v>
      </c>
      <c r="G28" s="160" t="s">
        <v>44</v>
      </c>
      <c r="H28" s="161" t="s">
        <v>1644</v>
      </c>
      <c r="I28" s="162">
        <v>379</v>
      </c>
      <c r="J28" s="159">
        <v>111.3</v>
      </c>
      <c r="K28" s="163">
        <v>110.6</v>
      </c>
      <c r="L28" s="164">
        <f t="shared" si="0"/>
        <v>221.89999999999998</v>
      </c>
      <c r="M28" s="165">
        <f t="shared" si="1"/>
        <v>0.58548812664907646</v>
      </c>
      <c r="N28" s="122"/>
    </row>
    <row r="29" spans="2:14" x14ac:dyDescent="0.25">
      <c r="B29" s="121"/>
      <c r="C29" s="160">
        <v>8</v>
      </c>
      <c r="D29" s="160">
        <v>5</v>
      </c>
      <c r="E29" s="160" t="s">
        <v>1762</v>
      </c>
      <c r="F29" s="159" t="s">
        <v>526</v>
      </c>
      <c r="G29" s="160" t="s">
        <v>44</v>
      </c>
      <c r="H29" s="161" t="s">
        <v>1672</v>
      </c>
      <c r="I29" s="162">
        <v>402</v>
      </c>
      <c r="J29" s="159">
        <v>108.2</v>
      </c>
      <c r="K29" s="163">
        <v>107.5</v>
      </c>
      <c r="L29" s="164">
        <f t="shared" si="0"/>
        <v>215.7</v>
      </c>
      <c r="M29" s="165">
        <f t="shared" si="1"/>
        <v>0.53656716417910444</v>
      </c>
      <c r="N29" s="122"/>
    </row>
    <row r="30" spans="2:14" x14ac:dyDescent="0.25">
      <c r="B30" s="121"/>
      <c r="C30" s="160">
        <v>9</v>
      </c>
      <c r="D30" s="160">
        <v>3</v>
      </c>
      <c r="E30" s="160" t="s">
        <v>67</v>
      </c>
      <c r="F30" s="159" t="s">
        <v>526</v>
      </c>
      <c r="G30" s="160" t="s">
        <v>44</v>
      </c>
      <c r="H30" s="161" t="s">
        <v>1104</v>
      </c>
      <c r="I30" s="162">
        <v>423</v>
      </c>
      <c r="J30" s="159">
        <v>122.4</v>
      </c>
      <c r="K30" s="163">
        <v>122.3</v>
      </c>
      <c r="L30" s="164">
        <f t="shared" si="0"/>
        <v>244.7</v>
      </c>
      <c r="M30" s="165">
        <f t="shared" si="1"/>
        <v>0.57848699763593381</v>
      </c>
      <c r="N30" s="122"/>
    </row>
    <row r="31" spans="2:14" x14ac:dyDescent="0.25">
      <c r="B31" s="121"/>
      <c r="C31" s="159">
        <v>10</v>
      </c>
      <c r="D31" s="159">
        <v>4</v>
      </c>
      <c r="E31" s="159" t="s">
        <v>1762</v>
      </c>
      <c r="F31" s="159" t="s">
        <v>526</v>
      </c>
      <c r="G31" s="160" t="s">
        <v>44</v>
      </c>
      <c r="H31" s="161" t="s">
        <v>1402</v>
      </c>
      <c r="I31" s="162">
        <v>432</v>
      </c>
      <c r="J31" s="159">
        <v>115</v>
      </c>
      <c r="K31" s="163">
        <v>114.7</v>
      </c>
      <c r="L31" s="164">
        <f t="shared" si="0"/>
        <v>229.7</v>
      </c>
      <c r="M31" s="165">
        <f t="shared" si="1"/>
        <v>0.53171296296296289</v>
      </c>
      <c r="N31" s="122"/>
    </row>
    <row r="32" spans="2:14" x14ac:dyDescent="0.25">
      <c r="B32" s="121"/>
      <c r="C32" s="159">
        <v>11</v>
      </c>
      <c r="D32" s="159">
        <v>6</v>
      </c>
      <c r="E32" s="159" t="s">
        <v>1762</v>
      </c>
      <c r="F32" s="159" t="s">
        <v>526</v>
      </c>
      <c r="G32" s="160" t="s">
        <v>44</v>
      </c>
      <c r="H32" s="161" t="s">
        <v>1766</v>
      </c>
      <c r="I32" s="162">
        <v>388</v>
      </c>
      <c r="J32" s="159">
        <v>114</v>
      </c>
      <c r="K32" s="163">
        <v>114.9</v>
      </c>
      <c r="L32" s="164">
        <f t="shared" si="0"/>
        <v>228.9</v>
      </c>
      <c r="M32" s="165">
        <f t="shared" si="1"/>
        <v>0.58994845360824744</v>
      </c>
      <c r="N32" s="122"/>
    </row>
    <row r="33" spans="2:14" x14ac:dyDescent="0.25">
      <c r="B33" s="121"/>
      <c r="C33" s="160">
        <v>12</v>
      </c>
      <c r="D33" s="160">
        <v>2</v>
      </c>
      <c r="E33" s="160" t="s">
        <v>1762</v>
      </c>
      <c r="F33" s="159" t="s">
        <v>526</v>
      </c>
      <c r="G33" s="160" t="s">
        <v>44</v>
      </c>
      <c r="H33" s="161" t="s">
        <v>1653</v>
      </c>
      <c r="I33" s="162">
        <v>393</v>
      </c>
      <c r="J33" s="159">
        <v>97.9</v>
      </c>
      <c r="K33" s="163">
        <v>98.7</v>
      </c>
      <c r="L33" s="164">
        <f t="shared" si="0"/>
        <v>196.60000000000002</v>
      </c>
      <c r="M33" s="165">
        <f t="shared" si="1"/>
        <v>0.50025445292620874</v>
      </c>
      <c r="N33" s="122"/>
    </row>
    <row r="34" spans="2:14" x14ac:dyDescent="0.25">
      <c r="B34" s="121"/>
      <c r="C34" s="159">
        <v>13</v>
      </c>
      <c r="D34" s="159">
        <v>13</v>
      </c>
      <c r="E34" s="159" t="s">
        <v>1762</v>
      </c>
      <c r="F34" s="159" t="s">
        <v>526</v>
      </c>
      <c r="G34" s="160" t="s">
        <v>44</v>
      </c>
      <c r="H34" s="161" t="s">
        <v>1646</v>
      </c>
      <c r="I34" s="162">
        <v>387</v>
      </c>
      <c r="J34" s="159">
        <v>113.1</v>
      </c>
      <c r="K34" s="166">
        <v>112</v>
      </c>
      <c r="L34" s="164">
        <f t="shared" si="0"/>
        <v>225.1</v>
      </c>
      <c r="M34" s="167">
        <f t="shared" si="1"/>
        <v>0.58165374677002579</v>
      </c>
      <c r="N34" s="122"/>
    </row>
    <row r="35" spans="2:14" x14ac:dyDescent="0.25">
      <c r="B35" s="121"/>
      <c r="C35" s="159">
        <v>14</v>
      </c>
      <c r="D35" s="159">
        <v>7</v>
      </c>
      <c r="E35" s="159" t="s">
        <v>1762</v>
      </c>
      <c r="F35" s="159" t="s">
        <v>526</v>
      </c>
      <c r="G35" s="160" t="s">
        <v>44</v>
      </c>
      <c r="H35" s="161" t="s">
        <v>1767</v>
      </c>
      <c r="I35" s="162">
        <v>396</v>
      </c>
      <c r="J35" s="159">
        <v>106</v>
      </c>
      <c r="K35" s="163">
        <v>106.3</v>
      </c>
      <c r="L35" s="164">
        <f t="shared" si="0"/>
        <v>212.3</v>
      </c>
      <c r="M35" s="165">
        <f t="shared" si="1"/>
        <v>0.53611111111111109</v>
      </c>
      <c r="N35" s="122"/>
    </row>
    <row r="36" spans="2:14" x14ac:dyDescent="0.25">
      <c r="B36" s="121"/>
      <c r="C36" s="159">
        <v>14</v>
      </c>
      <c r="D36" s="159">
        <v>14</v>
      </c>
      <c r="E36" s="159" t="s">
        <v>1762</v>
      </c>
      <c r="F36" s="159" t="s">
        <v>526</v>
      </c>
      <c r="G36" s="160" t="s">
        <v>44</v>
      </c>
      <c r="H36" s="161" t="s">
        <v>1768</v>
      </c>
      <c r="I36" s="162">
        <v>397</v>
      </c>
      <c r="J36" s="159">
        <v>115.6</v>
      </c>
      <c r="K36" s="163">
        <v>115.1</v>
      </c>
      <c r="L36" s="164">
        <f t="shared" si="0"/>
        <v>230.7</v>
      </c>
      <c r="M36" s="165">
        <f t="shared" si="1"/>
        <v>0.58110831234256921</v>
      </c>
      <c r="N36" s="122"/>
    </row>
    <row r="37" spans="2:14" x14ac:dyDescent="0.25">
      <c r="B37" s="121"/>
      <c r="C37" s="159">
        <v>15</v>
      </c>
      <c r="D37" s="159">
        <v>11</v>
      </c>
      <c r="E37" s="159" t="s">
        <v>67</v>
      </c>
      <c r="F37" s="159" t="s">
        <v>526</v>
      </c>
      <c r="G37" s="160" t="s">
        <v>44</v>
      </c>
      <c r="H37" s="161" t="s">
        <v>1107</v>
      </c>
      <c r="I37" s="162">
        <v>416</v>
      </c>
      <c r="J37" s="159">
        <v>108.5</v>
      </c>
      <c r="K37" s="163">
        <v>109.7</v>
      </c>
      <c r="L37" s="164">
        <f t="shared" si="0"/>
        <v>218.2</v>
      </c>
      <c r="M37" s="165">
        <f t="shared" si="1"/>
        <v>0.52451923076923079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318"/>
      <c r="D66" s="318">
        <f>+COUNT($D$22:$D$65)</f>
        <v>15</v>
      </c>
      <c r="E66" s="318"/>
      <c r="F66" s="373"/>
      <c r="G66" s="373"/>
      <c r="H66" s="149"/>
      <c r="I66" s="148">
        <f>SUM($I$22:$I$65)</f>
        <v>6021</v>
      </c>
      <c r="J66" s="150">
        <f>SUM($J$22:$J$65)</f>
        <v>1684.7999999999997</v>
      </c>
      <c r="K66" s="151">
        <f>SUM($K$22:$K$65)</f>
        <v>1683</v>
      </c>
      <c r="L66" s="148">
        <f>SUM($L$22:$L$65)</f>
        <v>3367.7999999999997</v>
      </c>
      <c r="M66" s="178">
        <f t="shared" si="1"/>
        <v>0.55934230194319878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41.08</v>
      </c>
      <c r="I71" s="119">
        <v>40.5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15</v>
      </c>
      <c r="I72" s="119">
        <v>23.82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15</v>
      </c>
      <c r="I73" s="119">
        <v>76.3</v>
      </c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15</v>
      </c>
      <c r="I74" s="119">
        <v>17.04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13.38</v>
      </c>
      <c r="I75" s="119">
        <v>12.34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30</v>
      </c>
      <c r="I76" s="119">
        <v>14.44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0</v>
      </c>
      <c r="I77" s="119">
        <v>10.7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15</v>
      </c>
      <c r="I78" s="119">
        <v>11.94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15</v>
      </c>
      <c r="I79" s="119">
        <v>12.2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22.48</v>
      </c>
      <c r="I80" s="119">
        <v>21.28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15</v>
      </c>
      <c r="I81" s="119">
        <v>12.8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15</v>
      </c>
      <c r="I82" s="119">
        <v>5.7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9.6199999999999992</v>
      </c>
      <c r="I83" s="119">
        <v>8.8000000000000007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267.86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15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11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Q21" sqref="Q21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0.57024629391852455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222.05909090909091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396</v>
      </c>
      <c r="F8" s="344"/>
      <c r="G8" s="344"/>
      <c r="H8" s="345"/>
      <c r="I8" s="146" t="s">
        <v>487</v>
      </c>
      <c r="J8" s="346" t="s">
        <v>1769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69057</v>
      </c>
      <c r="F9" s="344"/>
      <c r="G9" s="344"/>
      <c r="H9" s="345"/>
      <c r="I9" s="146" t="s">
        <v>88</v>
      </c>
      <c r="J9" s="209" t="s">
        <v>1770</v>
      </c>
      <c r="K9" s="321" t="s">
        <v>490</v>
      </c>
      <c r="L9" s="369" t="s">
        <v>1771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319" t="s">
        <v>569</v>
      </c>
      <c r="E12" s="384">
        <v>46080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96</v>
      </c>
      <c r="F13" s="349"/>
      <c r="H13" s="117"/>
      <c r="I13" s="123"/>
      <c r="J13" s="215" t="s">
        <v>483</v>
      </c>
      <c r="K13" s="320">
        <f>+COUNTIF($G$22:$G$66,"VQ")*2</f>
        <v>0</v>
      </c>
      <c r="L13" s="320">
        <f>+SUMIF($G$23:$G$65,"VQ",$L$23:$L$65)</f>
        <v>0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22</v>
      </c>
      <c r="F14" s="350"/>
      <c r="H14" s="117"/>
      <c r="I14" s="123"/>
      <c r="J14" s="215" t="s">
        <v>42</v>
      </c>
      <c r="K14" s="320">
        <f>+COUNTIF($G$22:$G$66,"NT")*2</f>
        <v>0</v>
      </c>
      <c r="L14" s="320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8567</v>
      </c>
      <c r="F15" s="350"/>
      <c r="H15" s="117"/>
      <c r="I15" s="123"/>
      <c r="J15" s="215" t="s">
        <v>484</v>
      </c>
      <c r="K15" s="320">
        <f>+COUNTIF($G$22:$G$66,"NO")*2</f>
        <v>0</v>
      </c>
      <c r="L15" s="320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4885.3</v>
      </c>
      <c r="F16" s="350"/>
      <c r="H16" s="117"/>
      <c r="I16" s="123"/>
      <c r="J16" s="215" t="s">
        <v>485</v>
      </c>
      <c r="K16" s="320">
        <f>+COUNTIF($G$22:$G$66,"TO")*2</f>
        <v>0</v>
      </c>
      <c r="L16" s="320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0.57024629391852455</v>
      </c>
      <c r="F17" s="350"/>
      <c r="G17" s="124"/>
      <c r="H17" s="125"/>
      <c r="I17" s="123"/>
      <c r="J17" s="215" t="s">
        <v>486</v>
      </c>
      <c r="K17" s="320">
        <f>+COUNTIF($G$22:$G$66,"VA")*2</f>
        <v>0</v>
      </c>
      <c r="L17" s="320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222.05909090909091</v>
      </c>
      <c r="F18" s="353"/>
      <c r="G18" s="124"/>
      <c r="H18" s="125"/>
      <c r="I18" s="123"/>
      <c r="J18" s="215" t="s">
        <v>44</v>
      </c>
      <c r="K18" s="320">
        <f>+COUNTIF($G$22:$G$66,"MEJ")*2</f>
        <v>44</v>
      </c>
      <c r="L18" s="320">
        <f>+SUMIF($G$23:$G$65,"MEJ",$L$23:$L$65)</f>
        <v>4885.3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46</v>
      </c>
      <c r="D23" s="152">
        <v>3</v>
      </c>
      <c r="E23" s="152" t="s">
        <v>68</v>
      </c>
      <c r="F23" s="152" t="s">
        <v>526</v>
      </c>
      <c r="G23" s="153" t="s">
        <v>44</v>
      </c>
      <c r="H23" s="154" t="s">
        <v>1772</v>
      </c>
      <c r="I23" s="155">
        <v>408</v>
      </c>
      <c r="J23" s="152">
        <v>124.3</v>
      </c>
      <c r="K23" s="156">
        <v>125.7</v>
      </c>
      <c r="L23" s="157">
        <f t="shared" ref="L23:L65" si="0">+J23+K23</f>
        <v>250</v>
      </c>
      <c r="M23" s="158">
        <f t="shared" ref="M23:M66" si="1">+L23/I23</f>
        <v>0.61274509803921573</v>
      </c>
      <c r="N23" s="122"/>
    </row>
    <row r="24" spans="2:14" x14ac:dyDescent="0.25">
      <c r="B24" s="121"/>
      <c r="C24" s="159">
        <v>47</v>
      </c>
      <c r="D24" s="159">
        <v>12</v>
      </c>
      <c r="E24" s="159" t="s">
        <v>68</v>
      </c>
      <c r="F24" s="159" t="s">
        <v>526</v>
      </c>
      <c r="G24" s="160" t="s">
        <v>44</v>
      </c>
      <c r="H24" s="161" t="s">
        <v>1773</v>
      </c>
      <c r="I24" s="162">
        <v>384</v>
      </c>
      <c r="J24" s="159">
        <v>108.2</v>
      </c>
      <c r="K24" s="163">
        <v>108.6</v>
      </c>
      <c r="L24" s="164">
        <f t="shared" si="0"/>
        <v>216.8</v>
      </c>
      <c r="M24" s="165">
        <f t="shared" si="1"/>
        <v>0.56458333333333333</v>
      </c>
      <c r="N24" s="122"/>
    </row>
    <row r="25" spans="2:14" x14ac:dyDescent="0.25">
      <c r="B25" s="121"/>
      <c r="C25" s="159">
        <v>48</v>
      </c>
      <c r="D25" s="159">
        <v>17</v>
      </c>
      <c r="E25" s="159" t="s">
        <v>68</v>
      </c>
      <c r="F25" s="159" t="s">
        <v>526</v>
      </c>
      <c r="G25" s="160" t="s">
        <v>44</v>
      </c>
      <c r="H25" s="161" t="s">
        <v>1774</v>
      </c>
      <c r="I25" s="162">
        <v>414</v>
      </c>
      <c r="J25" s="159">
        <v>120.7</v>
      </c>
      <c r="K25" s="163">
        <v>121.6</v>
      </c>
      <c r="L25" s="164">
        <f t="shared" si="0"/>
        <v>242.3</v>
      </c>
      <c r="M25" s="165">
        <f t="shared" si="1"/>
        <v>0.58526570048309179</v>
      </c>
      <c r="N25" s="122"/>
    </row>
    <row r="26" spans="2:14" x14ac:dyDescent="0.25">
      <c r="B26" s="121"/>
      <c r="C26" s="159">
        <v>49</v>
      </c>
      <c r="D26" s="159">
        <v>14</v>
      </c>
      <c r="E26" s="159" t="s">
        <v>75</v>
      </c>
      <c r="F26" s="159" t="s">
        <v>526</v>
      </c>
      <c r="G26" s="160" t="s">
        <v>44</v>
      </c>
      <c r="H26" s="161" t="s">
        <v>1775</v>
      </c>
      <c r="I26" s="162">
        <v>375</v>
      </c>
      <c r="J26" s="159">
        <v>108.7</v>
      </c>
      <c r="K26" s="163">
        <v>109.3</v>
      </c>
      <c r="L26" s="164">
        <f t="shared" si="0"/>
        <v>218</v>
      </c>
      <c r="M26" s="165">
        <f t="shared" si="1"/>
        <v>0.58133333333333337</v>
      </c>
      <c r="N26" s="122"/>
    </row>
    <row r="27" spans="2:14" x14ac:dyDescent="0.25">
      <c r="B27" s="121"/>
      <c r="C27" s="159">
        <v>50</v>
      </c>
      <c r="D27" s="159">
        <v>7</v>
      </c>
      <c r="E27" s="159" t="s">
        <v>68</v>
      </c>
      <c r="F27" s="159" t="s">
        <v>526</v>
      </c>
      <c r="G27" s="160" t="s">
        <v>44</v>
      </c>
      <c r="H27" s="161" t="s">
        <v>1776</v>
      </c>
      <c r="I27" s="162">
        <v>432</v>
      </c>
      <c r="J27" s="159">
        <v>124.4</v>
      </c>
      <c r="K27" s="163">
        <v>124.2</v>
      </c>
      <c r="L27" s="164">
        <f t="shared" si="0"/>
        <v>248.60000000000002</v>
      </c>
      <c r="M27" s="165">
        <f t="shared" si="1"/>
        <v>0.57546296296296306</v>
      </c>
      <c r="N27" s="122"/>
    </row>
    <row r="28" spans="2:14" x14ac:dyDescent="0.25">
      <c r="B28" s="121"/>
      <c r="C28" s="159">
        <v>51</v>
      </c>
      <c r="D28" s="159">
        <v>19</v>
      </c>
      <c r="E28" s="159" t="s">
        <v>75</v>
      </c>
      <c r="F28" s="159" t="s">
        <v>526</v>
      </c>
      <c r="G28" s="160" t="s">
        <v>44</v>
      </c>
      <c r="H28" s="161" t="s">
        <v>1777</v>
      </c>
      <c r="I28" s="162">
        <v>369</v>
      </c>
      <c r="J28" s="159">
        <v>104.9</v>
      </c>
      <c r="K28" s="163">
        <v>104.2</v>
      </c>
      <c r="L28" s="164">
        <f t="shared" si="0"/>
        <v>209.10000000000002</v>
      </c>
      <c r="M28" s="165">
        <f t="shared" si="1"/>
        <v>0.56666666666666676</v>
      </c>
      <c r="N28" s="122"/>
    </row>
    <row r="29" spans="2:14" x14ac:dyDescent="0.25">
      <c r="B29" s="121"/>
      <c r="C29" s="160">
        <v>52</v>
      </c>
      <c r="D29" s="160">
        <v>11</v>
      </c>
      <c r="E29" s="160" t="s">
        <v>68</v>
      </c>
      <c r="F29" s="159" t="s">
        <v>526</v>
      </c>
      <c r="G29" s="160" t="s">
        <v>44</v>
      </c>
      <c r="H29" s="161" t="s">
        <v>1778</v>
      </c>
      <c r="I29" s="162">
        <v>411</v>
      </c>
      <c r="J29" s="159">
        <v>105.2</v>
      </c>
      <c r="K29" s="163">
        <v>106.2</v>
      </c>
      <c r="L29" s="164">
        <f t="shared" si="0"/>
        <v>211.4</v>
      </c>
      <c r="M29" s="165">
        <f t="shared" si="1"/>
        <v>0.51435523114355231</v>
      </c>
      <c r="N29" s="122"/>
    </row>
    <row r="30" spans="2:14" x14ac:dyDescent="0.25">
      <c r="B30" s="121"/>
      <c r="C30" s="160">
        <v>53</v>
      </c>
      <c r="D30" s="160">
        <v>6</v>
      </c>
      <c r="E30" s="160" t="s">
        <v>68</v>
      </c>
      <c r="F30" s="159" t="s">
        <v>526</v>
      </c>
      <c r="G30" s="160" t="s">
        <v>44</v>
      </c>
      <c r="H30" s="161" t="s">
        <v>1779</v>
      </c>
      <c r="I30" s="162">
        <v>390</v>
      </c>
      <c r="J30" s="159">
        <v>102.9</v>
      </c>
      <c r="K30" s="163">
        <v>103.4</v>
      </c>
      <c r="L30" s="164">
        <f t="shared" si="0"/>
        <v>206.3</v>
      </c>
      <c r="M30" s="165">
        <f t="shared" si="1"/>
        <v>0.52897435897435896</v>
      </c>
      <c r="N30" s="122"/>
    </row>
    <row r="31" spans="2:14" x14ac:dyDescent="0.25">
      <c r="B31" s="121"/>
      <c r="C31" s="159">
        <v>54</v>
      </c>
      <c r="D31" s="159">
        <v>16</v>
      </c>
      <c r="E31" s="159" t="s">
        <v>68</v>
      </c>
      <c r="F31" s="159" t="s">
        <v>526</v>
      </c>
      <c r="G31" s="160" t="s">
        <v>44</v>
      </c>
      <c r="H31" s="161" t="s">
        <v>1780</v>
      </c>
      <c r="I31" s="162">
        <v>406</v>
      </c>
      <c r="J31" s="159">
        <v>111.9</v>
      </c>
      <c r="K31" s="163">
        <v>112.7</v>
      </c>
      <c r="L31" s="164">
        <f t="shared" si="0"/>
        <v>224.60000000000002</v>
      </c>
      <c r="M31" s="165">
        <f t="shared" si="1"/>
        <v>0.55320197044334984</v>
      </c>
      <c r="N31" s="122"/>
    </row>
    <row r="32" spans="2:14" x14ac:dyDescent="0.25">
      <c r="B32" s="121"/>
      <c r="C32" s="159">
        <v>55</v>
      </c>
      <c r="D32" s="159">
        <v>2</v>
      </c>
      <c r="E32" s="159" t="s">
        <v>68</v>
      </c>
      <c r="F32" s="159" t="s">
        <v>526</v>
      </c>
      <c r="G32" s="160" t="s">
        <v>44</v>
      </c>
      <c r="H32" s="161" t="s">
        <v>1781</v>
      </c>
      <c r="I32" s="162">
        <v>380</v>
      </c>
      <c r="J32" s="159">
        <v>114.3</v>
      </c>
      <c r="K32" s="163">
        <v>113.7</v>
      </c>
      <c r="L32" s="164">
        <f t="shared" si="0"/>
        <v>228</v>
      </c>
      <c r="M32" s="165">
        <f t="shared" si="1"/>
        <v>0.6</v>
      </c>
      <c r="N32" s="122"/>
    </row>
    <row r="33" spans="2:14" x14ac:dyDescent="0.25">
      <c r="B33" s="121"/>
      <c r="C33" s="160">
        <v>56</v>
      </c>
      <c r="D33" s="160">
        <v>15</v>
      </c>
      <c r="E33" s="160" t="s">
        <v>75</v>
      </c>
      <c r="F33" s="159" t="s">
        <v>526</v>
      </c>
      <c r="G33" s="160" t="s">
        <v>44</v>
      </c>
      <c r="H33" s="161" t="s">
        <v>1782</v>
      </c>
      <c r="I33" s="162">
        <v>386</v>
      </c>
      <c r="J33" s="159">
        <v>115.2</v>
      </c>
      <c r="K33" s="163">
        <v>114.1</v>
      </c>
      <c r="L33" s="164">
        <f t="shared" si="0"/>
        <v>229.3</v>
      </c>
      <c r="M33" s="165">
        <f t="shared" si="1"/>
        <v>0.59404145077720205</v>
      </c>
      <c r="N33" s="122"/>
    </row>
    <row r="34" spans="2:14" x14ac:dyDescent="0.25">
      <c r="B34" s="121"/>
      <c r="C34" s="159">
        <v>57</v>
      </c>
      <c r="D34" s="159">
        <v>10</v>
      </c>
      <c r="E34" s="159" t="s">
        <v>68</v>
      </c>
      <c r="F34" s="159" t="s">
        <v>526</v>
      </c>
      <c r="G34" s="160" t="s">
        <v>44</v>
      </c>
      <c r="H34" s="161" t="s">
        <v>1783</v>
      </c>
      <c r="I34" s="162">
        <v>411</v>
      </c>
      <c r="J34" s="159">
        <v>115</v>
      </c>
      <c r="K34" s="166">
        <v>116.4</v>
      </c>
      <c r="L34" s="164">
        <f t="shared" si="0"/>
        <v>231.4</v>
      </c>
      <c r="M34" s="167">
        <f t="shared" si="1"/>
        <v>0.56301703163017036</v>
      </c>
      <c r="N34" s="122"/>
    </row>
    <row r="35" spans="2:14" x14ac:dyDescent="0.25">
      <c r="B35" s="121"/>
      <c r="C35" s="159">
        <v>58</v>
      </c>
      <c r="D35" s="159">
        <v>22</v>
      </c>
      <c r="E35" s="159" t="s">
        <v>67</v>
      </c>
      <c r="F35" s="159" t="s">
        <v>526</v>
      </c>
      <c r="G35" s="160" t="s">
        <v>44</v>
      </c>
      <c r="H35" s="161" t="s">
        <v>1784</v>
      </c>
      <c r="I35" s="162">
        <v>402</v>
      </c>
      <c r="J35" s="159">
        <v>112.7</v>
      </c>
      <c r="K35" s="163">
        <v>113.9</v>
      </c>
      <c r="L35" s="164">
        <f t="shared" si="0"/>
        <v>226.60000000000002</v>
      </c>
      <c r="M35" s="165">
        <f t="shared" si="1"/>
        <v>0.56368159203980106</v>
      </c>
      <c r="N35" s="122"/>
    </row>
    <row r="36" spans="2:14" x14ac:dyDescent="0.25">
      <c r="B36" s="121"/>
      <c r="C36" s="159">
        <v>59</v>
      </c>
      <c r="D36" s="159">
        <v>13</v>
      </c>
      <c r="E36" s="159" t="s">
        <v>68</v>
      </c>
      <c r="F36" s="159" t="s">
        <v>526</v>
      </c>
      <c r="G36" s="160" t="s">
        <v>44</v>
      </c>
      <c r="H36" s="161" t="s">
        <v>1284</v>
      </c>
      <c r="I36" s="162">
        <v>396</v>
      </c>
      <c r="J36" s="159">
        <v>111.8</v>
      </c>
      <c r="K36" s="163">
        <v>113</v>
      </c>
      <c r="L36" s="164">
        <f t="shared" si="0"/>
        <v>224.8</v>
      </c>
      <c r="M36" s="165">
        <f t="shared" si="1"/>
        <v>0.56767676767676767</v>
      </c>
      <c r="N36" s="122"/>
    </row>
    <row r="37" spans="2:14" x14ac:dyDescent="0.25">
      <c r="B37" s="121"/>
      <c r="C37" s="159">
        <v>60</v>
      </c>
      <c r="D37" s="159">
        <v>18</v>
      </c>
      <c r="E37" s="159" t="s">
        <v>68</v>
      </c>
      <c r="F37" s="159" t="s">
        <v>526</v>
      </c>
      <c r="G37" s="160" t="s">
        <v>44</v>
      </c>
      <c r="H37" s="161" t="s">
        <v>891</v>
      </c>
      <c r="I37" s="162">
        <v>401</v>
      </c>
      <c r="J37" s="159">
        <v>105.3</v>
      </c>
      <c r="K37" s="163">
        <v>106.3</v>
      </c>
      <c r="L37" s="164">
        <f t="shared" si="0"/>
        <v>211.6</v>
      </c>
      <c r="M37" s="165">
        <f t="shared" si="1"/>
        <v>0.52768079800498757</v>
      </c>
      <c r="N37" s="122"/>
    </row>
    <row r="38" spans="2:14" x14ac:dyDescent="0.25">
      <c r="B38" s="121"/>
      <c r="C38" s="159">
        <v>61</v>
      </c>
      <c r="D38" s="159">
        <v>21</v>
      </c>
      <c r="E38" s="159" t="s">
        <v>68</v>
      </c>
      <c r="F38" s="159" t="s">
        <v>526</v>
      </c>
      <c r="G38" s="159" t="s">
        <v>44</v>
      </c>
      <c r="H38" s="168" t="s">
        <v>1785</v>
      </c>
      <c r="I38" s="169">
        <v>420</v>
      </c>
      <c r="J38" s="159">
        <v>119</v>
      </c>
      <c r="K38" s="163">
        <v>119.1</v>
      </c>
      <c r="L38" s="164">
        <f t="shared" si="0"/>
        <v>238.1</v>
      </c>
      <c r="M38" s="165">
        <f t="shared" si="1"/>
        <v>0.56690476190476191</v>
      </c>
      <c r="N38" s="122"/>
    </row>
    <row r="39" spans="2:14" x14ac:dyDescent="0.25">
      <c r="B39" s="121"/>
      <c r="C39" s="159">
        <v>62</v>
      </c>
      <c r="D39" s="159">
        <v>1</v>
      </c>
      <c r="E39" s="159" t="s">
        <v>68</v>
      </c>
      <c r="F39" s="159" t="s">
        <v>526</v>
      </c>
      <c r="G39" s="160" t="s">
        <v>44</v>
      </c>
      <c r="H39" s="161" t="s">
        <v>1786</v>
      </c>
      <c r="I39" s="162">
        <v>366</v>
      </c>
      <c r="J39" s="159">
        <v>102.1</v>
      </c>
      <c r="K39" s="163">
        <v>102.5</v>
      </c>
      <c r="L39" s="164">
        <f t="shared" si="0"/>
        <v>204.6</v>
      </c>
      <c r="M39" s="165">
        <f t="shared" si="1"/>
        <v>0.55901639344262288</v>
      </c>
      <c r="N39" s="122"/>
    </row>
    <row r="40" spans="2:14" x14ac:dyDescent="0.25">
      <c r="B40" s="121"/>
      <c r="C40" s="159">
        <v>63</v>
      </c>
      <c r="D40" s="159">
        <v>8</v>
      </c>
      <c r="E40" s="159" t="s">
        <v>75</v>
      </c>
      <c r="F40" s="159" t="s">
        <v>526</v>
      </c>
      <c r="G40" s="160" t="s">
        <v>44</v>
      </c>
      <c r="H40" s="161" t="s">
        <v>1787</v>
      </c>
      <c r="I40" s="162">
        <v>339</v>
      </c>
      <c r="J40" s="159">
        <v>96.4</v>
      </c>
      <c r="K40" s="163">
        <v>97.5</v>
      </c>
      <c r="L40" s="164">
        <f t="shared" si="0"/>
        <v>193.9</v>
      </c>
      <c r="M40" s="165">
        <f t="shared" si="1"/>
        <v>0.57197640117994097</v>
      </c>
      <c r="N40" s="122"/>
    </row>
    <row r="41" spans="2:14" x14ac:dyDescent="0.25">
      <c r="B41" s="121"/>
      <c r="C41" s="159">
        <v>64</v>
      </c>
      <c r="D41" s="159">
        <v>20</v>
      </c>
      <c r="E41" s="159" t="s">
        <v>68</v>
      </c>
      <c r="F41" s="159" t="s">
        <v>526</v>
      </c>
      <c r="G41" s="160" t="s">
        <v>44</v>
      </c>
      <c r="H41" s="161" t="s">
        <v>1788</v>
      </c>
      <c r="I41" s="162">
        <v>374</v>
      </c>
      <c r="J41" s="159">
        <v>104.2</v>
      </c>
      <c r="K41" s="163">
        <v>104.4</v>
      </c>
      <c r="L41" s="164">
        <f t="shared" si="0"/>
        <v>208.60000000000002</v>
      </c>
      <c r="M41" s="165">
        <f t="shared" si="1"/>
        <v>0.55775401069518726</v>
      </c>
      <c r="N41" s="122"/>
    </row>
    <row r="42" spans="2:14" x14ac:dyDescent="0.25">
      <c r="B42" s="121"/>
      <c r="C42" s="160">
        <v>65</v>
      </c>
      <c r="D42" s="160">
        <v>9</v>
      </c>
      <c r="E42" s="160" t="s">
        <v>75</v>
      </c>
      <c r="F42" s="159" t="s">
        <v>526</v>
      </c>
      <c r="G42" s="160" t="s">
        <v>44</v>
      </c>
      <c r="H42" s="161" t="s">
        <v>1789</v>
      </c>
      <c r="I42" s="162">
        <v>347</v>
      </c>
      <c r="J42" s="159">
        <v>102.3</v>
      </c>
      <c r="K42" s="163">
        <v>103.1</v>
      </c>
      <c r="L42" s="164">
        <f t="shared" si="0"/>
        <v>205.39999999999998</v>
      </c>
      <c r="M42" s="165">
        <f t="shared" si="1"/>
        <v>0.59193083573487026</v>
      </c>
      <c r="N42" s="122"/>
    </row>
    <row r="43" spans="2:14" x14ac:dyDescent="0.25">
      <c r="B43" s="121"/>
      <c r="C43" s="159">
        <v>66</v>
      </c>
      <c r="D43" s="159">
        <v>5</v>
      </c>
      <c r="E43" s="159" t="s">
        <v>75</v>
      </c>
      <c r="F43" s="159" t="s">
        <v>526</v>
      </c>
      <c r="G43" s="160" t="s">
        <v>44</v>
      </c>
      <c r="H43" s="161" t="s">
        <v>1790</v>
      </c>
      <c r="I43" s="162">
        <v>391</v>
      </c>
      <c r="J43" s="159">
        <v>116.6</v>
      </c>
      <c r="K43" s="163">
        <v>118.3</v>
      </c>
      <c r="L43" s="164">
        <f t="shared" si="0"/>
        <v>234.89999999999998</v>
      </c>
      <c r="M43" s="165">
        <f t="shared" si="1"/>
        <v>0.60076726342710995</v>
      </c>
      <c r="N43" s="122"/>
    </row>
    <row r="44" spans="2:14" x14ac:dyDescent="0.25">
      <c r="B44" s="121"/>
      <c r="C44" s="160">
        <v>67</v>
      </c>
      <c r="D44" s="160">
        <v>4</v>
      </c>
      <c r="E44" s="160" t="s">
        <v>68</v>
      </c>
      <c r="F44" s="159" t="s">
        <v>526</v>
      </c>
      <c r="G44" s="160" t="s">
        <v>44</v>
      </c>
      <c r="H44" s="161" t="s">
        <v>1790</v>
      </c>
      <c r="I44" s="162">
        <v>365</v>
      </c>
      <c r="J44" s="159">
        <v>110.3</v>
      </c>
      <c r="K44" s="163">
        <v>110.7</v>
      </c>
      <c r="L44" s="164">
        <f t="shared" si="0"/>
        <v>221</v>
      </c>
      <c r="M44" s="165">
        <f t="shared" si="1"/>
        <v>0.60547945205479448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318"/>
      <c r="D66" s="318">
        <f>+COUNT($D$22:$D$65)</f>
        <v>22</v>
      </c>
      <c r="E66" s="318"/>
      <c r="F66" s="373"/>
      <c r="G66" s="373"/>
      <c r="H66" s="149"/>
      <c r="I66" s="148">
        <f>SUM($I$22:$I$65)</f>
        <v>8567</v>
      </c>
      <c r="J66" s="150">
        <f>SUM($J$22:$J$65)</f>
        <v>2436.4</v>
      </c>
      <c r="K66" s="151">
        <f>SUM($K$22:$K$65)</f>
        <v>2448.9</v>
      </c>
      <c r="L66" s="148">
        <f>SUM($L$22:$L$65)</f>
        <v>4885.3</v>
      </c>
      <c r="M66" s="178">
        <f t="shared" si="1"/>
        <v>0.57024629391852455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101.26</v>
      </c>
      <c r="I71" s="119"/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45</v>
      </c>
      <c r="I72" s="119"/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45</v>
      </c>
      <c r="I73" s="119"/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45</v>
      </c>
      <c r="I74" s="119"/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33.54</v>
      </c>
      <c r="I75" s="119"/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90</v>
      </c>
      <c r="I76" s="119"/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180</v>
      </c>
      <c r="I77" s="119"/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45</v>
      </c>
      <c r="I78" s="119"/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45</v>
      </c>
      <c r="I79" s="119"/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60.36</v>
      </c>
      <c r="I80" s="119"/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45</v>
      </c>
      <c r="I81" s="119"/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45</v>
      </c>
      <c r="I82" s="119"/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23.98</v>
      </c>
      <c r="I83" s="119"/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0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22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J21:J22"/>
    <mergeCell ref="K21:K22"/>
    <mergeCell ref="L21:L22"/>
    <mergeCell ref="M21:M22"/>
    <mergeCell ref="F66:G66"/>
    <mergeCell ref="H21:H22"/>
    <mergeCell ref="I21:I22"/>
    <mergeCell ref="D70:G70"/>
    <mergeCell ref="C21:C22"/>
    <mergeCell ref="D21:D22"/>
    <mergeCell ref="E21:E22"/>
    <mergeCell ref="F21:G21"/>
    <mergeCell ref="C16:D16"/>
    <mergeCell ref="E16:F16"/>
    <mergeCell ref="C17:D17"/>
    <mergeCell ref="E17:F17"/>
    <mergeCell ref="C18:D18"/>
    <mergeCell ref="E18:F18"/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</mergeCells>
  <conditionalFormatting sqref="M23:M65">
    <cfRule type="cellIs" dxfId="10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I71" sqref="I71:I83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0.54068965517241374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148.08888888888887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566</v>
      </c>
      <c r="F8" s="344"/>
      <c r="G8" s="344"/>
      <c r="H8" s="345"/>
      <c r="I8" s="146" t="s">
        <v>487</v>
      </c>
      <c r="J8" s="346" t="s">
        <v>1791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28012</v>
      </c>
      <c r="F9" s="344"/>
      <c r="G9" s="344"/>
      <c r="H9" s="345"/>
      <c r="I9" s="146" t="s">
        <v>88</v>
      </c>
      <c r="J9" s="209" t="s">
        <v>1792</v>
      </c>
      <c r="K9" s="322" t="s">
        <v>490</v>
      </c>
      <c r="L9" s="369" t="s">
        <v>1793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323" t="s">
        <v>569</v>
      </c>
      <c r="E12" s="384">
        <v>46083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97</v>
      </c>
      <c r="F13" s="349"/>
      <c r="H13" s="117"/>
      <c r="I13" s="123"/>
      <c r="J13" s="215" t="s">
        <v>483</v>
      </c>
      <c r="K13" s="324">
        <f>+COUNTIF($G$22:$G$66,"VQ")*2</f>
        <v>36</v>
      </c>
      <c r="L13" s="324">
        <f>+SUMIF($G$23:$G$65,"VQ",$L$23:$L$65)</f>
        <v>2665.6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18</v>
      </c>
      <c r="F14" s="350"/>
      <c r="H14" s="117"/>
      <c r="I14" s="123"/>
      <c r="J14" s="215" t="s">
        <v>42</v>
      </c>
      <c r="K14" s="324">
        <f>+COUNTIF($G$22:$G$66,"NT")*2</f>
        <v>0</v>
      </c>
      <c r="L14" s="324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4930</v>
      </c>
      <c r="F15" s="350"/>
      <c r="H15" s="117"/>
      <c r="I15" s="123"/>
      <c r="J15" s="215" t="s">
        <v>484</v>
      </c>
      <c r="K15" s="324">
        <f>+COUNTIF($G$22:$G$66,"NO")*2</f>
        <v>0</v>
      </c>
      <c r="L15" s="324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2665.6</v>
      </c>
      <c r="F16" s="350"/>
      <c r="H16" s="117"/>
      <c r="I16" s="123"/>
      <c r="J16" s="215" t="s">
        <v>485</v>
      </c>
      <c r="K16" s="324">
        <f>+COUNTIF($G$22:$G$66,"TO")*2</f>
        <v>0</v>
      </c>
      <c r="L16" s="324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0.54068965517241374</v>
      </c>
      <c r="F17" s="350"/>
      <c r="G17" s="124"/>
      <c r="H17" s="125"/>
      <c r="I17" s="123"/>
      <c r="J17" s="215" t="s">
        <v>486</v>
      </c>
      <c r="K17" s="324">
        <f>+COUNTIF($G$22:$G$66,"VA")*2</f>
        <v>0</v>
      </c>
      <c r="L17" s="324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148.08888888888887</v>
      </c>
      <c r="F18" s="353"/>
      <c r="G18" s="124"/>
      <c r="H18" s="125"/>
      <c r="I18" s="123"/>
      <c r="J18" s="215" t="s">
        <v>44</v>
      </c>
      <c r="K18" s="324">
        <f>+COUNTIF($G$22:$G$66,"MEJ")*2</f>
        <v>0</v>
      </c>
      <c r="L18" s="324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66</v>
      </c>
      <c r="D23" s="152">
        <v>14</v>
      </c>
      <c r="E23" s="152" t="s">
        <v>67</v>
      </c>
      <c r="F23" s="152" t="s">
        <v>526</v>
      </c>
      <c r="G23" s="153" t="s">
        <v>483</v>
      </c>
      <c r="H23" s="154">
        <v>5839</v>
      </c>
      <c r="I23" s="155">
        <v>307</v>
      </c>
      <c r="J23" s="152">
        <v>85</v>
      </c>
      <c r="K23" s="156">
        <v>89.5</v>
      </c>
      <c r="L23" s="157">
        <f t="shared" ref="L23:L65" si="0">+J23+K23</f>
        <v>174.5</v>
      </c>
      <c r="M23" s="158">
        <f t="shared" ref="M23:M66" si="1">+L23/I23</f>
        <v>0.5684039087947883</v>
      </c>
      <c r="N23" s="122"/>
    </row>
    <row r="24" spans="2:14" x14ac:dyDescent="0.25">
      <c r="B24" s="121"/>
      <c r="C24" s="159">
        <v>67</v>
      </c>
      <c r="D24" s="159">
        <v>10</v>
      </c>
      <c r="E24" s="159" t="s">
        <v>68</v>
      </c>
      <c r="F24" s="159" t="s">
        <v>526</v>
      </c>
      <c r="G24" s="160" t="s">
        <v>483</v>
      </c>
      <c r="H24" s="161">
        <v>5849</v>
      </c>
      <c r="I24" s="162">
        <v>279</v>
      </c>
      <c r="J24" s="159">
        <v>78.599999999999994</v>
      </c>
      <c r="K24" s="163">
        <v>77.099999999999994</v>
      </c>
      <c r="L24" s="164">
        <f t="shared" si="0"/>
        <v>155.69999999999999</v>
      </c>
      <c r="M24" s="165">
        <f t="shared" si="1"/>
        <v>0.55806451612903218</v>
      </c>
      <c r="N24" s="122"/>
    </row>
    <row r="25" spans="2:14" x14ac:dyDescent="0.25">
      <c r="B25" s="121"/>
      <c r="C25" s="159">
        <v>68</v>
      </c>
      <c r="D25" s="159">
        <v>12</v>
      </c>
      <c r="E25" s="159" t="s">
        <v>67</v>
      </c>
      <c r="F25" s="159" t="s">
        <v>526</v>
      </c>
      <c r="G25" s="160" t="s">
        <v>483</v>
      </c>
      <c r="H25" s="161">
        <v>5844</v>
      </c>
      <c r="I25" s="162">
        <v>227</v>
      </c>
      <c r="J25" s="159">
        <v>59.9</v>
      </c>
      <c r="K25" s="163">
        <v>59.7</v>
      </c>
      <c r="L25" s="164">
        <f t="shared" si="0"/>
        <v>119.6</v>
      </c>
      <c r="M25" s="165">
        <f t="shared" si="1"/>
        <v>0.52687224669603516</v>
      </c>
      <c r="N25" s="122"/>
    </row>
    <row r="26" spans="2:14" x14ac:dyDescent="0.25">
      <c r="B26" s="121"/>
      <c r="C26" s="159">
        <v>69</v>
      </c>
      <c r="D26" s="159">
        <v>6</v>
      </c>
      <c r="E26" s="159" t="s">
        <v>68</v>
      </c>
      <c r="F26" s="159" t="s">
        <v>526</v>
      </c>
      <c r="G26" s="160" t="s">
        <v>483</v>
      </c>
      <c r="H26" s="161">
        <v>5841</v>
      </c>
      <c r="I26" s="162">
        <v>249</v>
      </c>
      <c r="J26" s="159">
        <v>66.599999999999994</v>
      </c>
      <c r="K26" s="163">
        <v>66.400000000000006</v>
      </c>
      <c r="L26" s="164">
        <f t="shared" si="0"/>
        <v>133</v>
      </c>
      <c r="M26" s="165">
        <f t="shared" si="1"/>
        <v>0.53413654618473894</v>
      </c>
      <c r="N26" s="122"/>
    </row>
    <row r="27" spans="2:14" x14ac:dyDescent="0.25">
      <c r="B27" s="121"/>
      <c r="C27" s="159">
        <v>70</v>
      </c>
      <c r="D27" s="159">
        <v>5</v>
      </c>
      <c r="E27" s="159" t="s">
        <v>68</v>
      </c>
      <c r="F27" s="159" t="s">
        <v>526</v>
      </c>
      <c r="G27" s="160" t="s">
        <v>483</v>
      </c>
      <c r="H27" s="161">
        <v>721</v>
      </c>
      <c r="I27" s="162">
        <v>228</v>
      </c>
      <c r="J27" s="159">
        <v>57.4</v>
      </c>
      <c r="K27" s="163">
        <v>57.2</v>
      </c>
      <c r="L27" s="164">
        <f t="shared" si="0"/>
        <v>114.6</v>
      </c>
      <c r="M27" s="165">
        <f t="shared" si="1"/>
        <v>0.50263157894736843</v>
      </c>
      <c r="N27" s="122"/>
    </row>
    <row r="28" spans="2:14" x14ac:dyDescent="0.25">
      <c r="B28" s="121"/>
      <c r="C28" s="159">
        <v>71</v>
      </c>
      <c r="D28" s="159">
        <v>16</v>
      </c>
      <c r="E28" s="159" t="s">
        <v>67</v>
      </c>
      <c r="F28" s="159" t="s">
        <v>526</v>
      </c>
      <c r="G28" s="160" t="s">
        <v>483</v>
      </c>
      <c r="H28" s="161">
        <v>5843</v>
      </c>
      <c r="I28" s="162">
        <v>305</v>
      </c>
      <c r="J28" s="159">
        <v>87.7</v>
      </c>
      <c r="K28" s="163">
        <v>86.7</v>
      </c>
      <c r="L28" s="164">
        <f t="shared" si="0"/>
        <v>174.4</v>
      </c>
      <c r="M28" s="165">
        <f t="shared" si="1"/>
        <v>0.57180327868852465</v>
      </c>
      <c r="N28" s="122"/>
    </row>
    <row r="29" spans="2:14" x14ac:dyDescent="0.25">
      <c r="B29" s="121"/>
      <c r="C29" s="160">
        <v>72</v>
      </c>
      <c r="D29" s="160">
        <v>4</v>
      </c>
      <c r="E29" s="160" t="s">
        <v>75</v>
      </c>
      <c r="F29" s="160" t="s">
        <v>526</v>
      </c>
      <c r="G29" s="160" t="s">
        <v>483</v>
      </c>
      <c r="H29" s="161">
        <v>5845</v>
      </c>
      <c r="I29" s="162">
        <v>263</v>
      </c>
      <c r="J29" s="159">
        <v>67</v>
      </c>
      <c r="K29" s="163">
        <v>68.3</v>
      </c>
      <c r="L29" s="164">
        <f t="shared" si="0"/>
        <v>135.30000000000001</v>
      </c>
      <c r="M29" s="165">
        <f t="shared" si="1"/>
        <v>0.51444866920152099</v>
      </c>
      <c r="N29" s="122"/>
    </row>
    <row r="30" spans="2:14" x14ac:dyDescent="0.25">
      <c r="B30" s="121"/>
      <c r="C30" s="160">
        <v>73</v>
      </c>
      <c r="D30" s="160">
        <v>18</v>
      </c>
      <c r="E30" s="160" t="s">
        <v>67</v>
      </c>
      <c r="F30" s="160" t="s">
        <v>526</v>
      </c>
      <c r="G30" s="160" t="s">
        <v>483</v>
      </c>
      <c r="H30" s="161">
        <v>5848</v>
      </c>
      <c r="I30" s="162">
        <v>329</v>
      </c>
      <c r="J30" s="159">
        <v>96.5</v>
      </c>
      <c r="K30" s="163">
        <v>89.3</v>
      </c>
      <c r="L30" s="164">
        <f t="shared" si="0"/>
        <v>185.8</v>
      </c>
      <c r="M30" s="165">
        <f t="shared" si="1"/>
        <v>0.56474164133738602</v>
      </c>
      <c r="N30" s="122"/>
    </row>
    <row r="31" spans="2:14" x14ac:dyDescent="0.25">
      <c r="B31" s="121"/>
      <c r="C31" s="159">
        <v>74</v>
      </c>
      <c r="D31" s="159">
        <v>1</v>
      </c>
      <c r="E31" s="159" t="s">
        <v>75</v>
      </c>
      <c r="F31" s="159" t="s">
        <v>526</v>
      </c>
      <c r="G31" s="160" t="s">
        <v>483</v>
      </c>
      <c r="H31" s="161">
        <v>70</v>
      </c>
      <c r="I31" s="162">
        <v>264</v>
      </c>
      <c r="J31" s="159">
        <v>67.099999999999994</v>
      </c>
      <c r="K31" s="163">
        <v>67.8</v>
      </c>
      <c r="L31" s="164">
        <f t="shared" si="0"/>
        <v>134.89999999999998</v>
      </c>
      <c r="M31" s="165">
        <f t="shared" si="1"/>
        <v>0.51098484848484838</v>
      </c>
      <c r="N31" s="122"/>
    </row>
    <row r="32" spans="2:14" x14ac:dyDescent="0.25">
      <c r="B32" s="121"/>
      <c r="C32" s="159">
        <v>75</v>
      </c>
      <c r="D32" s="159">
        <v>15</v>
      </c>
      <c r="E32" s="159" t="s">
        <v>75</v>
      </c>
      <c r="F32" s="159" t="s">
        <v>526</v>
      </c>
      <c r="G32" s="160" t="s">
        <v>483</v>
      </c>
      <c r="H32" s="161">
        <v>722</v>
      </c>
      <c r="I32" s="162">
        <v>246</v>
      </c>
      <c r="J32" s="159">
        <v>66.3</v>
      </c>
      <c r="K32" s="163">
        <v>66.2</v>
      </c>
      <c r="L32" s="164">
        <f t="shared" si="0"/>
        <v>132.5</v>
      </c>
      <c r="M32" s="165">
        <f t="shared" si="1"/>
        <v>0.53861788617886175</v>
      </c>
      <c r="N32" s="122"/>
    </row>
    <row r="33" spans="2:14" x14ac:dyDescent="0.25">
      <c r="B33" s="121"/>
      <c r="C33" s="160">
        <v>76</v>
      </c>
      <c r="D33" s="160">
        <v>9</v>
      </c>
      <c r="E33" s="160" t="s">
        <v>68</v>
      </c>
      <c r="F33" s="160" t="s">
        <v>526</v>
      </c>
      <c r="G33" s="160" t="s">
        <v>483</v>
      </c>
      <c r="H33" s="161">
        <v>5842</v>
      </c>
      <c r="I33" s="162">
        <v>289</v>
      </c>
      <c r="J33" s="159">
        <v>78.7</v>
      </c>
      <c r="K33" s="163">
        <v>78.900000000000006</v>
      </c>
      <c r="L33" s="164">
        <f t="shared" si="0"/>
        <v>157.60000000000002</v>
      </c>
      <c r="M33" s="165">
        <f t="shared" si="1"/>
        <v>0.54532871972318342</v>
      </c>
      <c r="N33" s="122"/>
    </row>
    <row r="34" spans="2:14" x14ac:dyDescent="0.25">
      <c r="B34" s="121"/>
      <c r="C34" s="159">
        <v>77</v>
      </c>
      <c r="D34" s="159">
        <v>13</v>
      </c>
      <c r="E34" s="159" t="s">
        <v>67</v>
      </c>
      <c r="F34" s="159" t="s">
        <v>526</v>
      </c>
      <c r="G34" s="160" t="s">
        <v>483</v>
      </c>
      <c r="H34" s="161">
        <v>5840</v>
      </c>
      <c r="I34" s="162">
        <v>274</v>
      </c>
      <c r="J34" s="159">
        <v>73.599999999999994</v>
      </c>
      <c r="K34" s="166">
        <v>73.599999999999994</v>
      </c>
      <c r="L34" s="164">
        <f t="shared" si="0"/>
        <v>147.19999999999999</v>
      </c>
      <c r="M34" s="167">
        <f t="shared" si="1"/>
        <v>0.53722627737226269</v>
      </c>
      <c r="N34" s="122"/>
    </row>
    <row r="35" spans="2:14" x14ac:dyDescent="0.25">
      <c r="B35" s="121"/>
      <c r="C35" s="159">
        <v>78</v>
      </c>
      <c r="D35" s="159">
        <v>8</v>
      </c>
      <c r="E35" s="159" t="s">
        <v>67</v>
      </c>
      <c r="F35" s="159" t="s">
        <v>526</v>
      </c>
      <c r="G35" s="160" t="s">
        <v>483</v>
      </c>
      <c r="H35" s="161">
        <v>715</v>
      </c>
      <c r="I35" s="162">
        <v>293</v>
      </c>
      <c r="J35" s="159">
        <v>82</v>
      </c>
      <c r="K35" s="163">
        <v>81.099999999999994</v>
      </c>
      <c r="L35" s="164">
        <f t="shared" si="0"/>
        <v>163.1</v>
      </c>
      <c r="M35" s="165">
        <f t="shared" si="1"/>
        <v>0.55665529010238901</v>
      </c>
      <c r="N35" s="122"/>
    </row>
    <row r="36" spans="2:14" x14ac:dyDescent="0.25">
      <c r="B36" s="121"/>
      <c r="C36" s="159">
        <v>79</v>
      </c>
      <c r="D36" s="159">
        <v>17</v>
      </c>
      <c r="E36" s="159" t="s">
        <v>67</v>
      </c>
      <c r="F36" s="159" t="s">
        <v>526</v>
      </c>
      <c r="G36" s="160" t="s">
        <v>483</v>
      </c>
      <c r="H36" s="161">
        <v>716</v>
      </c>
      <c r="I36" s="162">
        <v>288</v>
      </c>
      <c r="J36" s="159">
        <v>73.5</v>
      </c>
      <c r="K36" s="163">
        <v>72.599999999999994</v>
      </c>
      <c r="L36" s="164">
        <f t="shared" si="0"/>
        <v>146.1</v>
      </c>
      <c r="M36" s="165">
        <f t="shared" si="1"/>
        <v>0.5072916666666667</v>
      </c>
      <c r="N36" s="122"/>
    </row>
    <row r="37" spans="2:14" x14ac:dyDescent="0.25">
      <c r="B37" s="121"/>
      <c r="C37" s="159">
        <v>80</v>
      </c>
      <c r="D37" s="159">
        <v>7</v>
      </c>
      <c r="E37" s="159" t="s">
        <v>68</v>
      </c>
      <c r="F37" s="159" t="s">
        <v>526</v>
      </c>
      <c r="G37" s="160" t="s">
        <v>483</v>
      </c>
      <c r="H37" s="161">
        <v>717</v>
      </c>
      <c r="I37" s="162">
        <v>245</v>
      </c>
      <c r="J37" s="159">
        <v>65.099999999999994</v>
      </c>
      <c r="K37" s="163">
        <v>64.2</v>
      </c>
      <c r="L37" s="164">
        <f t="shared" si="0"/>
        <v>129.30000000000001</v>
      </c>
      <c r="M37" s="165">
        <f t="shared" si="1"/>
        <v>0.52775510204081633</v>
      </c>
      <c r="N37" s="122"/>
    </row>
    <row r="38" spans="2:14" x14ac:dyDescent="0.25">
      <c r="B38" s="121"/>
      <c r="C38" s="159">
        <v>81</v>
      </c>
      <c r="D38" s="159">
        <v>3</v>
      </c>
      <c r="E38" s="159" t="s">
        <v>67</v>
      </c>
      <c r="F38" s="159" t="s">
        <v>526</v>
      </c>
      <c r="G38" s="159" t="s">
        <v>483</v>
      </c>
      <c r="H38" s="168">
        <v>723</v>
      </c>
      <c r="I38" s="169">
        <v>354</v>
      </c>
      <c r="J38" s="159">
        <v>99.7</v>
      </c>
      <c r="K38" s="163">
        <v>101.6</v>
      </c>
      <c r="L38" s="164">
        <f t="shared" si="0"/>
        <v>201.3</v>
      </c>
      <c r="M38" s="165">
        <f t="shared" si="1"/>
        <v>0.56864406779661025</v>
      </c>
      <c r="N38" s="122"/>
    </row>
    <row r="39" spans="2:14" x14ac:dyDescent="0.25">
      <c r="B39" s="121"/>
      <c r="C39" s="159">
        <v>82</v>
      </c>
      <c r="D39" s="159">
        <v>11</v>
      </c>
      <c r="E39" s="159" t="s">
        <v>68</v>
      </c>
      <c r="F39" s="159" t="s">
        <v>526</v>
      </c>
      <c r="G39" s="160" t="s">
        <v>483</v>
      </c>
      <c r="H39" s="161">
        <v>5846</v>
      </c>
      <c r="I39" s="162">
        <v>257</v>
      </c>
      <c r="J39" s="159">
        <v>67.099999999999994</v>
      </c>
      <c r="K39" s="163">
        <v>66.900000000000006</v>
      </c>
      <c r="L39" s="164">
        <f t="shared" si="0"/>
        <v>134</v>
      </c>
      <c r="M39" s="165">
        <f t="shared" si="1"/>
        <v>0.52140077821011677</v>
      </c>
      <c r="N39" s="122"/>
    </row>
    <row r="40" spans="2:14" x14ac:dyDescent="0.25">
      <c r="B40" s="121"/>
      <c r="C40" s="159">
        <v>83</v>
      </c>
      <c r="D40" s="159">
        <v>2</v>
      </c>
      <c r="E40" s="159" t="s">
        <v>68</v>
      </c>
      <c r="F40" s="159" t="s">
        <v>526</v>
      </c>
      <c r="G40" s="160" t="s">
        <v>483</v>
      </c>
      <c r="H40" s="161">
        <v>5847</v>
      </c>
      <c r="I40" s="162">
        <v>233</v>
      </c>
      <c r="J40" s="159">
        <v>63.6</v>
      </c>
      <c r="K40" s="163">
        <v>63.1</v>
      </c>
      <c r="L40" s="164">
        <f t="shared" si="0"/>
        <v>126.7</v>
      </c>
      <c r="M40" s="165">
        <f t="shared" si="1"/>
        <v>0.5437768240343348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325"/>
      <c r="D66" s="325">
        <f>+COUNT($D$22:$D$65)</f>
        <v>18</v>
      </c>
      <c r="E66" s="325"/>
      <c r="F66" s="373"/>
      <c r="G66" s="373"/>
      <c r="H66" s="149"/>
      <c r="I66" s="148">
        <f>SUM($I$22:$I$65)</f>
        <v>4930</v>
      </c>
      <c r="J66" s="150">
        <f>SUM($J$22:$J$65)</f>
        <v>1335.3999999999999</v>
      </c>
      <c r="K66" s="151">
        <f>SUM($K$22:$K$65)</f>
        <v>1330.2</v>
      </c>
      <c r="L66" s="148">
        <f>SUM($L$22:$L$65)</f>
        <v>2665.6</v>
      </c>
      <c r="M66" s="178">
        <f t="shared" si="1"/>
        <v>0.54068965517241374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46.08</v>
      </c>
      <c r="I71" s="119">
        <f>22.26+21.18</f>
        <v>43.44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18</v>
      </c>
      <c r="I72" s="119">
        <v>19.940000000000001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18</v>
      </c>
      <c r="I73" s="119">
        <f>18.3+17+15.68+20.7</f>
        <v>71.679999999999993</v>
      </c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18</v>
      </c>
      <c r="I74" s="119">
        <v>14.44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9.1</v>
      </c>
      <c r="I75" s="119">
        <v>8.66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36</v>
      </c>
      <c r="I76" s="119">
        <f>5.92+6</f>
        <v>11.92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 t="s">
        <v>1845</v>
      </c>
      <c r="I77" s="119">
        <v>6.1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18</v>
      </c>
      <c r="I78" s="119">
        <v>14.38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18</v>
      </c>
      <c r="I79" s="119">
        <v>9.5399999999999991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17.940000000000001</v>
      </c>
      <c r="I80" s="119">
        <f>8.28+8.36</f>
        <v>16.64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18</v>
      </c>
      <c r="I81" s="119">
        <v>14.08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18</v>
      </c>
      <c r="I82" s="119">
        <v>5.2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10.88</v>
      </c>
      <c r="I83" s="119">
        <v>9.6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245.61999999999995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18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9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6"/>
  <sheetViews>
    <sheetView zoomScale="90" zoomScaleNormal="90" workbookViewId="0">
      <selection activeCell="I72" sqref="I72:I84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+M67</f>
        <v>0.57984006996938853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+L67/D67</f>
        <v>210.94318181818187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1794</v>
      </c>
      <c r="F8" s="344"/>
      <c r="G8" s="344"/>
      <c r="H8" s="345"/>
      <c r="I8" s="146" t="s">
        <v>487</v>
      </c>
      <c r="J8" s="346" t="s">
        <v>530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52591</v>
      </c>
      <c r="F9" s="344"/>
      <c r="G9" s="344"/>
      <c r="H9" s="345"/>
      <c r="I9" s="146" t="s">
        <v>88</v>
      </c>
      <c r="J9" s="209" t="s">
        <v>1795</v>
      </c>
      <c r="K9" s="322" t="s">
        <v>490</v>
      </c>
      <c r="L9" s="369" t="s">
        <v>1796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323" t="s">
        <v>569</v>
      </c>
      <c r="E12" s="384">
        <v>46083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98</v>
      </c>
      <c r="F13" s="349"/>
      <c r="H13" s="117"/>
      <c r="I13" s="123"/>
      <c r="J13" s="215" t="s">
        <v>483</v>
      </c>
      <c r="K13" s="324">
        <f>+COUNTIF($G$22:$G$67,"VQ")*2</f>
        <v>50</v>
      </c>
      <c r="L13" s="324">
        <f>+SUMIF($G$23:$G$66,"VQ",$L$23:$L$66)</f>
        <v>4983.1000000000004</v>
      </c>
      <c r="N13" s="122"/>
    </row>
    <row r="14" spans="2:14" x14ac:dyDescent="0.25">
      <c r="B14" s="121"/>
      <c r="C14" s="348" t="s">
        <v>478</v>
      </c>
      <c r="D14" s="348"/>
      <c r="E14" s="350">
        <f>+D67</f>
        <v>44</v>
      </c>
      <c r="F14" s="350"/>
      <c r="H14" s="117"/>
      <c r="I14" s="123"/>
      <c r="J14" s="215" t="s">
        <v>42</v>
      </c>
      <c r="K14" s="324">
        <f>+COUNTIF($G$22:$G$67,"NT")*2</f>
        <v>4</v>
      </c>
      <c r="L14" s="324">
        <f>+SUMIF($G$23:$G$66,"NT",$L$23:$L$66)</f>
        <v>459.2</v>
      </c>
      <c r="N14" s="122"/>
    </row>
    <row r="15" spans="2:14" x14ac:dyDescent="0.25">
      <c r="B15" s="121"/>
      <c r="C15" s="348" t="s">
        <v>479</v>
      </c>
      <c r="D15" s="348"/>
      <c r="E15" s="351">
        <f>+I67</f>
        <v>16007</v>
      </c>
      <c r="F15" s="350"/>
      <c r="H15" s="117"/>
      <c r="I15" s="123"/>
      <c r="J15" s="215" t="s">
        <v>484</v>
      </c>
      <c r="K15" s="324">
        <f>+COUNTIF($G$22:$G$67,"NO")*2</f>
        <v>0</v>
      </c>
      <c r="L15" s="324">
        <f>+SUMIF($G$23:$G$66,"NO",$L$23:$L$66)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+L67</f>
        <v>9281.5000000000018</v>
      </c>
      <c r="F16" s="350"/>
      <c r="H16" s="117"/>
      <c r="I16" s="123"/>
      <c r="J16" s="215" t="s">
        <v>485</v>
      </c>
      <c r="K16" s="324">
        <f>+COUNTIF($G$22:$G$67,"TO")*2</f>
        <v>0</v>
      </c>
      <c r="L16" s="324">
        <f>+SUMIF($G$23:$G$66,"TO",$L$23:$L$66)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+M67</f>
        <v>0.57984006996938853</v>
      </c>
      <c r="F17" s="350"/>
      <c r="G17" s="124"/>
      <c r="H17" s="125"/>
      <c r="I17" s="123"/>
      <c r="J17" s="215" t="s">
        <v>486</v>
      </c>
      <c r="K17" s="324">
        <f>+COUNTIF($G$22:$G$67,"VA")*2</f>
        <v>0</v>
      </c>
      <c r="L17" s="324">
        <f>+SUMIF($G$23:$G$66,"VA",$L$23:$L$66)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+L67/D67</f>
        <v>210.94318181818187</v>
      </c>
      <c r="F18" s="353"/>
      <c r="G18" s="124"/>
      <c r="H18" s="125"/>
      <c r="I18" s="123"/>
      <c r="J18" s="215" t="s">
        <v>44</v>
      </c>
      <c r="K18" s="324">
        <f>+COUNTIF($G$22:$G$67,"MEJ")*2</f>
        <v>34</v>
      </c>
      <c r="L18" s="324">
        <f>+SUMIF($G$23:$G$66,"MEJ",$L$23:$L$66)</f>
        <v>3839.2000000000003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</v>
      </c>
      <c r="D23" s="152">
        <v>8</v>
      </c>
      <c r="E23" s="152" t="s">
        <v>67</v>
      </c>
      <c r="F23" s="152" t="s">
        <v>526</v>
      </c>
      <c r="G23" s="153" t="s">
        <v>44</v>
      </c>
      <c r="H23" s="154" t="s">
        <v>1657</v>
      </c>
      <c r="I23" s="155">
        <v>358</v>
      </c>
      <c r="J23" s="152">
        <v>105.8</v>
      </c>
      <c r="K23" s="156">
        <v>104.2</v>
      </c>
      <c r="L23" s="157">
        <f t="shared" ref="L23:L66" si="0">+J23+K23</f>
        <v>210</v>
      </c>
      <c r="M23" s="158">
        <f t="shared" ref="M23:M67" si="1">+L23/I23</f>
        <v>0.58659217877094971</v>
      </c>
      <c r="N23" s="122"/>
    </row>
    <row r="24" spans="2:14" x14ac:dyDescent="0.25">
      <c r="B24" s="121"/>
      <c r="C24" s="159">
        <v>2</v>
      </c>
      <c r="D24" s="159">
        <v>22</v>
      </c>
      <c r="E24" s="159" t="s">
        <v>67</v>
      </c>
      <c r="F24" s="159" t="s">
        <v>526</v>
      </c>
      <c r="G24" s="160" t="s">
        <v>483</v>
      </c>
      <c r="H24" s="161" t="s">
        <v>1797</v>
      </c>
      <c r="I24" s="162">
        <v>344</v>
      </c>
      <c r="J24" s="159">
        <v>93.9</v>
      </c>
      <c r="K24" s="163">
        <v>92.5</v>
      </c>
      <c r="L24" s="164">
        <f t="shared" si="0"/>
        <v>186.4</v>
      </c>
      <c r="M24" s="165">
        <f t="shared" si="1"/>
        <v>0.54186046511627906</v>
      </c>
      <c r="N24" s="122"/>
    </row>
    <row r="25" spans="2:14" x14ac:dyDescent="0.25">
      <c r="B25" s="121"/>
      <c r="C25" s="159">
        <v>3</v>
      </c>
      <c r="D25" s="159">
        <v>1</v>
      </c>
      <c r="E25" s="159" t="s">
        <v>67</v>
      </c>
      <c r="F25" s="159" t="s">
        <v>526</v>
      </c>
      <c r="G25" s="160" t="s">
        <v>483</v>
      </c>
      <c r="H25" s="161" t="s">
        <v>1798</v>
      </c>
      <c r="I25" s="162">
        <v>362</v>
      </c>
      <c r="J25" s="159">
        <v>97.3</v>
      </c>
      <c r="K25" s="163">
        <v>95.8</v>
      </c>
      <c r="L25" s="164">
        <f t="shared" si="0"/>
        <v>193.1</v>
      </c>
      <c r="M25" s="165">
        <f t="shared" si="1"/>
        <v>0.53342541436464086</v>
      </c>
      <c r="N25" s="122"/>
    </row>
    <row r="26" spans="2:14" x14ac:dyDescent="0.25">
      <c r="B26" s="121"/>
      <c r="C26" s="159">
        <v>4</v>
      </c>
      <c r="D26" s="159">
        <v>7</v>
      </c>
      <c r="E26" s="159" t="s">
        <v>68</v>
      </c>
      <c r="F26" s="159" t="s">
        <v>526</v>
      </c>
      <c r="G26" s="160" t="s">
        <v>483</v>
      </c>
      <c r="H26" s="161" t="s">
        <v>1799</v>
      </c>
      <c r="I26" s="162">
        <v>345</v>
      </c>
      <c r="J26" s="159">
        <v>95.3</v>
      </c>
      <c r="K26" s="163">
        <v>96</v>
      </c>
      <c r="L26" s="164">
        <f t="shared" ref="L26" si="2">+J26+K26</f>
        <v>191.3</v>
      </c>
      <c r="M26" s="165">
        <f t="shared" ref="M26" si="3">+L26/I26</f>
        <v>0.55449275362318839</v>
      </c>
      <c r="N26" s="122"/>
    </row>
    <row r="27" spans="2:14" x14ac:dyDescent="0.25">
      <c r="B27" s="121"/>
      <c r="C27" s="159">
        <v>5</v>
      </c>
      <c r="D27" s="159">
        <v>10</v>
      </c>
      <c r="E27" s="159" t="s">
        <v>67</v>
      </c>
      <c r="F27" s="159" t="s">
        <v>526</v>
      </c>
      <c r="G27" s="160" t="s">
        <v>44</v>
      </c>
      <c r="H27" s="161" t="s">
        <v>1800</v>
      </c>
      <c r="I27" s="162">
        <v>354</v>
      </c>
      <c r="J27" s="159">
        <v>101.9</v>
      </c>
      <c r="K27" s="163">
        <v>101</v>
      </c>
      <c r="L27" s="164">
        <f t="shared" si="0"/>
        <v>202.9</v>
      </c>
      <c r="M27" s="165">
        <f t="shared" si="1"/>
        <v>0.57316384180790958</v>
      </c>
      <c r="N27" s="122"/>
    </row>
    <row r="28" spans="2:14" x14ac:dyDescent="0.25">
      <c r="B28" s="121"/>
      <c r="C28" s="159">
        <v>6</v>
      </c>
      <c r="D28" s="159">
        <v>4</v>
      </c>
      <c r="E28" s="159" t="s">
        <v>67</v>
      </c>
      <c r="F28" s="159" t="s">
        <v>526</v>
      </c>
      <c r="G28" s="160" t="s">
        <v>483</v>
      </c>
      <c r="H28" s="161" t="s">
        <v>1507</v>
      </c>
      <c r="I28" s="162">
        <v>349</v>
      </c>
      <c r="J28" s="159">
        <v>97.7</v>
      </c>
      <c r="K28" s="163">
        <v>97.6</v>
      </c>
      <c r="L28" s="164">
        <f t="shared" si="0"/>
        <v>195.3</v>
      </c>
      <c r="M28" s="165">
        <f t="shared" si="1"/>
        <v>0.55959885386819486</v>
      </c>
      <c r="N28" s="122"/>
    </row>
    <row r="29" spans="2:14" x14ac:dyDescent="0.25">
      <c r="B29" s="121"/>
      <c r="C29" s="159">
        <v>7</v>
      </c>
      <c r="D29" s="159">
        <v>6</v>
      </c>
      <c r="E29" s="159" t="s">
        <v>75</v>
      </c>
      <c r="F29" s="159" t="s">
        <v>526</v>
      </c>
      <c r="G29" s="160" t="s">
        <v>44</v>
      </c>
      <c r="H29" s="161" t="s">
        <v>305</v>
      </c>
      <c r="I29" s="162">
        <v>357</v>
      </c>
      <c r="J29" s="159">
        <v>108.1</v>
      </c>
      <c r="K29" s="163">
        <v>105.6</v>
      </c>
      <c r="L29" s="164">
        <f t="shared" si="0"/>
        <v>213.7</v>
      </c>
      <c r="M29" s="165">
        <f t="shared" si="1"/>
        <v>0.59859943977591035</v>
      </c>
      <c r="N29" s="122"/>
    </row>
    <row r="30" spans="2:14" x14ac:dyDescent="0.25">
      <c r="B30" s="121"/>
      <c r="C30" s="160">
        <v>8</v>
      </c>
      <c r="D30" s="160">
        <v>15</v>
      </c>
      <c r="E30" s="160" t="s">
        <v>67</v>
      </c>
      <c r="F30" s="160" t="s">
        <v>526</v>
      </c>
      <c r="G30" s="160" t="s">
        <v>44</v>
      </c>
      <c r="H30" s="161" t="s">
        <v>1369</v>
      </c>
      <c r="I30" s="162">
        <v>380</v>
      </c>
      <c r="J30" s="159">
        <v>105.9</v>
      </c>
      <c r="K30" s="163">
        <v>104.4</v>
      </c>
      <c r="L30" s="164">
        <f t="shared" si="0"/>
        <v>210.3</v>
      </c>
      <c r="M30" s="165">
        <f t="shared" si="1"/>
        <v>0.55342105263157892</v>
      </c>
      <c r="N30" s="122"/>
    </row>
    <row r="31" spans="2:14" x14ac:dyDescent="0.25">
      <c r="B31" s="121"/>
      <c r="C31" s="160">
        <v>9</v>
      </c>
      <c r="D31" s="160">
        <v>5</v>
      </c>
      <c r="E31" s="160" t="s">
        <v>67</v>
      </c>
      <c r="F31" s="160" t="s">
        <v>526</v>
      </c>
      <c r="G31" s="160" t="s">
        <v>44</v>
      </c>
      <c r="H31" s="161" t="s">
        <v>1801</v>
      </c>
      <c r="I31" s="162">
        <v>384</v>
      </c>
      <c r="J31" s="159">
        <v>109.2</v>
      </c>
      <c r="K31" s="163">
        <v>110.3</v>
      </c>
      <c r="L31" s="164">
        <f t="shared" si="0"/>
        <v>219.5</v>
      </c>
      <c r="M31" s="165">
        <f t="shared" si="1"/>
        <v>0.57161458333333337</v>
      </c>
      <c r="N31" s="122"/>
    </row>
    <row r="32" spans="2:14" x14ac:dyDescent="0.25">
      <c r="B32" s="121"/>
      <c r="C32" s="159">
        <v>10</v>
      </c>
      <c r="D32" s="159">
        <v>2</v>
      </c>
      <c r="E32" s="159" t="s">
        <v>67</v>
      </c>
      <c r="F32" s="159" t="s">
        <v>526</v>
      </c>
      <c r="G32" s="160" t="s">
        <v>42</v>
      </c>
      <c r="H32" s="161" t="s">
        <v>1802</v>
      </c>
      <c r="I32" s="162">
        <v>392</v>
      </c>
      <c r="J32" s="159">
        <v>112.9</v>
      </c>
      <c r="K32" s="163">
        <v>110.9</v>
      </c>
      <c r="L32" s="164">
        <f t="shared" si="0"/>
        <v>223.8</v>
      </c>
      <c r="M32" s="165">
        <f t="shared" si="1"/>
        <v>0.57091836734693879</v>
      </c>
      <c r="N32" s="122"/>
    </row>
    <row r="33" spans="2:14" x14ac:dyDescent="0.25">
      <c r="B33" s="121"/>
      <c r="C33" s="159">
        <v>11</v>
      </c>
      <c r="D33" s="159">
        <v>13</v>
      </c>
      <c r="E33" s="159" t="s">
        <v>68</v>
      </c>
      <c r="F33" s="159" t="s">
        <v>526</v>
      </c>
      <c r="G33" s="160" t="s">
        <v>44</v>
      </c>
      <c r="H33" s="161" t="s">
        <v>1803</v>
      </c>
      <c r="I33" s="162">
        <v>370</v>
      </c>
      <c r="J33" s="159">
        <v>105.1</v>
      </c>
      <c r="K33" s="163">
        <v>105.9</v>
      </c>
      <c r="L33" s="164">
        <f t="shared" si="0"/>
        <v>211</v>
      </c>
      <c r="M33" s="165">
        <f t="shared" si="1"/>
        <v>0.57027027027027022</v>
      </c>
      <c r="N33" s="122"/>
    </row>
    <row r="34" spans="2:14" x14ac:dyDescent="0.25">
      <c r="B34" s="121"/>
      <c r="C34" s="160">
        <v>12</v>
      </c>
      <c r="D34" s="160">
        <v>3</v>
      </c>
      <c r="E34" s="160" t="s">
        <v>67</v>
      </c>
      <c r="F34" s="160" t="s">
        <v>526</v>
      </c>
      <c r="G34" s="160" t="s">
        <v>42</v>
      </c>
      <c r="H34" s="161" t="s">
        <v>1804</v>
      </c>
      <c r="I34" s="162">
        <v>402</v>
      </c>
      <c r="J34" s="159">
        <v>118.1</v>
      </c>
      <c r="K34" s="163">
        <v>117.3</v>
      </c>
      <c r="L34" s="164">
        <f t="shared" si="0"/>
        <v>235.39999999999998</v>
      </c>
      <c r="M34" s="165">
        <f t="shared" si="1"/>
        <v>0.58557213930348251</v>
      </c>
      <c r="N34" s="122"/>
    </row>
    <row r="35" spans="2:14" x14ac:dyDescent="0.25">
      <c r="B35" s="121"/>
      <c r="C35" s="159">
        <v>13</v>
      </c>
      <c r="D35" s="159">
        <v>11</v>
      </c>
      <c r="E35" s="159" t="s">
        <v>68</v>
      </c>
      <c r="F35" s="159" t="s">
        <v>526</v>
      </c>
      <c r="G35" s="160" t="s">
        <v>483</v>
      </c>
      <c r="H35" s="161" t="s">
        <v>1805</v>
      </c>
      <c r="I35" s="162">
        <v>321</v>
      </c>
      <c r="J35" s="159">
        <v>93</v>
      </c>
      <c r="K35" s="166">
        <v>92.8</v>
      </c>
      <c r="L35" s="164">
        <f t="shared" si="0"/>
        <v>185.8</v>
      </c>
      <c r="M35" s="167">
        <f t="shared" si="1"/>
        <v>0.57881619937694706</v>
      </c>
      <c r="N35" s="122"/>
    </row>
    <row r="36" spans="2:14" x14ac:dyDescent="0.25">
      <c r="B36" s="121"/>
      <c r="C36" s="159">
        <v>14</v>
      </c>
      <c r="D36" s="159">
        <v>9</v>
      </c>
      <c r="E36" s="159" t="s">
        <v>68</v>
      </c>
      <c r="F36" s="159" t="s">
        <v>526</v>
      </c>
      <c r="G36" s="160" t="s">
        <v>44</v>
      </c>
      <c r="H36" s="161" t="s">
        <v>1806</v>
      </c>
      <c r="I36" s="162">
        <v>352</v>
      </c>
      <c r="J36" s="159">
        <v>102</v>
      </c>
      <c r="K36" s="163">
        <v>100.8</v>
      </c>
      <c r="L36" s="164">
        <f t="shared" si="0"/>
        <v>202.8</v>
      </c>
      <c r="M36" s="165">
        <f t="shared" si="1"/>
        <v>0.57613636363636367</v>
      </c>
      <c r="N36" s="122"/>
    </row>
    <row r="37" spans="2:14" x14ac:dyDescent="0.25">
      <c r="B37" s="121"/>
      <c r="C37" s="159">
        <v>15</v>
      </c>
      <c r="D37" s="159">
        <v>16</v>
      </c>
      <c r="E37" s="159" t="s">
        <v>68</v>
      </c>
      <c r="F37" s="159" t="s">
        <v>526</v>
      </c>
      <c r="G37" s="160" t="s">
        <v>483</v>
      </c>
      <c r="H37" s="161" t="s">
        <v>1807</v>
      </c>
      <c r="I37" s="162">
        <v>317</v>
      </c>
      <c r="J37" s="159">
        <v>85.4</v>
      </c>
      <c r="K37" s="163">
        <v>85.5</v>
      </c>
      <c r="L37" s="164">
        <f t="shared" si="0"/>
        <v>170.9</v>
      </c>
      <c r="M37" s="165">
        <f t="shared" si="1"/>
        <v>0.53911671924290228</v>
      </c>
      <c r="N37" s="122"/>
    </row>
    <row r="38" spans="2:14" x14ac:dyDescent="0.25">
      <c r="B38" s="121"/>
      <c r="C38" s="159">
        <v>16</v>
      </c>
      <c r="D38" s="159">
        <v>20</v>
      </c>
      <c r="E38" s="159" t="s">
        <v>68</v>
      </c>
      <c r="F38" s="159" t="s">
        <v>526</v>
      </c>
      <c r="G38" s="160" t="s">
        <v>483</v>
      </c>
      <c r="H38" s="161" t="s">
        <v>107</v>
      </c>
      <c r="I38" s="162">
        <v>384</v>
      </c>
      <c r="J38" s="159">
        <v>113.3</v>
      </c>
      <c r="K38" s="163">
        <v>113.2</v>
      </c>
      <c r="L38" s="164">
        <f t="shared" si="0"/>
        <v>226.5</v>
      </c>
      <c r="M38" s="165">
        <f t="shared" si="1"/>
        <v>0.58984375</v>
      </c>
      <c r="N38" s="122"/>
    </row>
    <row r="39" spans="2:14" x14ac:dyDescent="0.25">
      <c r="B39" s="121"/>
      <c r="C39" s="159">
        <v>17</v>
      </c>
      <c r="D39" s="159">
        <v>18</v>
      </c>
      <c r="E39" s="159" t="s">
        <v>67</v>
      </c>
      <c r="F39" s="159" t="s">
        <v>526</v>
      </c>
      <c r="G39" s="159" t="s">
        <v>44</v>
      </c>
      <c r="H39" s="168" t="s">
        <v>1071</v>
      </c>
      <c r="I39" s="169">
        <v>358</v>
      </c>
      <c r="J39" s="159">
        <v>101.4</v>
      </c>
      <c r="K39" s="163">
        <v>101.5</v>
      </c>
      <c r="L39" s="164">
        <f t="shared" si="0"/>
        <v>202.9</v>
      </c>
      <c r="M39" s="165">
        <f t="shared" si="1"/>
        <v>0.56675977653631282</v>
      </c>
      <c r="N39" s="122"/>
    </row>
    <row r="40" spans="2:14" x14ac:dyDescent="0.25">
      <c r="B40" s="121"/>
      <c r="C40" s="159">
        <v>18</v>
      </c>
      <c r="D40" s="159">
        <v>19</v>
      </c>
      <c r="E40" s="159" t="s">
        <v>68</v>
      </c>
      <c r="F40" s="159" t="s">
        <v>526</v>
      </c>
      <c r="G40" s="160" t="s">
        <v>44</v>
      </c>
      <c r="H40" s="161" t="s">
        <v>41</v>
      </c>
      <c r="I40" s="162">
        <v>350</v>
      </c>
      <c r="J40" s="159">
        <v>100.8</v>
      </c>
      <c r="K40" s="163">
        <v>98.6</v>
      </c>
      <c r="L40" s="164">
        <f t="shared" si="0"/>
        <v>199.39999999999998</v>
      </c>
      <c r="M40" s="165">
        <f t="shared" si="1"/>
        <v>0.56971428571428562</v>
      </c>
      <c r="N40" s="122"/>
    </row>
    <row r="41" spans="2:14" x14ac:dyDescent="0.25">
      <c r="B41" s="121"/>
      <c r="C41" s="159">
        <v>19</v>
      </c>
      <c r="D41" s="159">
        <v>17</v>
      </c>
      <c r="E41" s="159" t="s">
        <v>67</v>
      </c>
      <c r="F41" s="159" t="s">
        <v>526</v>
      </c>
      <c r="G41" s="160" t="s">
        <v>483</v>
      </c>
      <c r="H41" s="161" t="s">
        <v>1808</v>
      </c>
      <c r="I41" s="162">
        <v>332</v>
      </c>
      <c r="J41" s="159">
        <v>91</v>
      </c>
      <c r="K41" s="163">
        <v>88.9</v>
      </c>
      <c r="L41" s="164">
        <f t="shared" si="0"/>
        <v>179.9</v>
      </c>
      <c r="M41" s="165">
        <f t="shared" si="1"/>
        <v>0.54186746987951806</v>
      </c>
      <c r="N41" s="122"/>
    </row>
    <row r="42" spans="2:14" x14ac:dyDescent="0.25">
      <c r="B42" s="121"/>
      <c r="C42" s="159">
        <v>20</v>
      </c>
      <c r="D42" s="159">
        <v>12</v>
      </c>
      <c r="E42" s="159" t="s">
        <v>75</v>
      </c>
      <c r="F42" s="159" t="s">
        <v>526</v>
      </c>
      <c r="G42" s="160" t="s">
        <v>44</v>
      </c>
      <c r="H42" s="161" t="s">
        <v>1809</v>
      </c>
      <c r="I42" s="162">
        <v>401</v>
      </c>
      <c r="J42" s="159">
        <v>114.5</v>
      </c>
      <c r="K42" s="163">
        <v>113.2</v>
      </c>
      <c r="L42" s="164">
        <f t="shared" si="0"/>
        <v>227.7</v>
      </c>
      <c r="M42" s="165">
        <f t="shared" si="1"/>
        <v>0.5678304239401496</v>
      </c>
      <c r="N42" s="122"/>
    </row>
    <row r="43" spans="2:14" x14ac:dyDescent="0.25">
      <c r="B43" s="121"/>
      <c r="C43" s="160">
        <v>21</v>
      </c>
      <c r="D43" s="160">
        <v>30</v>
      </c>
      <c r="E43" s="160" t="s">
        <v>68</v>
      </c>
      <c r="F43" s="160" t="s">
        <v>526</v>
      </c>
      <c r="G43" s="160" t="s">
        <v>44</v>
      </c>
      <c r="H43" s="161" t="s">
        <v>1810</v>
      </c>
      <c r="I43" s="162">
        <v>381</v>
      </c>
      <c r="J43" s="159">
        <v>120.5</v>
      </c>
      <c r="K43" s="163">
        <v>119.2</v>
      </c>
      <c r="L43" s="164">
        <f t="shared" si="0"/>
        <v>239.7</v>
      </c>
      <c r="M43" s="165">
        <f t="shared" si="1"/>
        <v>0.62913385826771651</v>
      </c>
      <c r="N43" s="122"/>
    </row>
    <row r="44" spans="2:14" x14ac:dyDescent="0.25">
      <c r="B44" s="121"/>
      <c r="C44" s="159">
        <v>22</v>
      </c>
      <c r="D44" s="159">
        <v>21</v>
      </c>
      <c r="E44" s="159" t="s">
        <v>68</v>
      </c>
      <c r="F44" s="159" t="s">
        <v>526</v>
      </c>
      <c r="G44" s="160" t="s">
        <v>483</v>
      </c>
      <c r="H44" s="161" t="s">
        <v>1811</v>
      </c>
      <c r="I44" s="162">
        <v>379</v>
      </c>
      <c r="J44" s="159">
        <v>109.6</v>
      </c>
      <c r="K44" s="163">
        <v>109.1</v>
      </c>
      <c r="L44" s="164">
        <f t="shared" si="0"/>
        <v>218.7</v>
      </c>
      <c r="M44" s="165">
        <f t="shared" si="1"/>
        <v>0.57704485488126644</v>
      </c>
      <c r="N44" s="122"/>
    </row>
    <row r="45" spans="2:14" x14ac:dyDescent="0.25">
      <c r="B45" s="121"/>
      <c r="C45" s="160">
        <v>23</v>
      </c>
      <c r="D45" s="160">
        <v>23</v>
      </c>
      <c r="E45" s="160" t="s">
        <v>67</v>
      </c>
      <c r="F45" s="160" t="s">
        <v>526</v>
      </c>
      <c r="G45" s="160" t="s">
        <v>483</v>
      </c>
      <c r="H45" s="161" t="s">
        <v>1812</v>
      </c>
      <c r="I45" s="162">
        <v>337</v>
      </c>
      <c r="J45" s="159">
        <v>94.4</v>
      </c>
      <c r="K45" s="163">
        <v>95.3</v>
      </c>
      <c r="L45" s="164">
        <f t="shared" si="0"/>
        <v>189.7</v>
      </c>
      <c r="M45" s="165">
        <f t="shared" si="1"/>
        <v>0.56290801186943618</v>
      </c>
      <c r="N45" s="122"/>
    </row>
    <row r="46" spans="2:14" x14ac:dyDescent="0.25">
      <c r="B46" s="121"/>
      <c r="C46" s="160">
        <v>24</v>
      </c>
      <c r="D46" s="160">
        <v>36</v>
      </c>
      <c r="E46" s="160" t="s">
        <v>68</v>
      </c>
      <c r="F46" s="160" t="s">
        <v>591</v>
      </c>
      <c r="G46" s="160" t="s">
        <v>44</v>
      </c>
      <c r="H46" s="161" t="s">
        <v>1415</v>
      </c>
      <c r="I46" s="162">
        <v>504</v>
      </c>
      <c r="J46" s="159">
        <v>153</v>
      </c>
      <c r="K46" s="163">
        <v>150.80000000000001</v>
      </c>
      <c r="L46" s="164">
        <f t="shared" si="0"/>
        <v>303.8</v>
      </c>
      <c r="M46" s="165">
        <f t="shared" si="1"/>
        <v>0.60277777777777775</v>
      </c>
      <c r="N46" s="122"/>
    </row>
    <row r="47" spans="2:14" x14ac:dyDescent="0.25">
      <c r="B47" s="121"/>
      <c r="C47" s="160">
        <v>25</v>
      </c>
      <c r="D47" s="160">
        <v>25</v>
      </c>
      <c r="E47" s="160" t="s">
        <v>68</v>
      </c>
      <c r="F47" s="160" t="s">
        <v>526</v>
      </c>
      <c r="G47" s="160" t="s">
        <v>483</v>
      </c>
      <c r="H47" s="161" t="s">
        <v>86</v>
      </c>
      <c r="I47" s="162">
        <v>359</v>
      </c>
      <c r="J47" s="159">
        <v>104.8</v>
      </c>
      <c r="K47" s="163">
        <v>103.4</v>
      </c>
      <c r="L47" s="164">
        <f t="shared" si="0"/>
        <v>208.2</v>
      </c>
      <c r="M47" s="165">
        <f t="shared" si="1"/>
        <v>0.57994428969359324</v>
      </c>
      <c r="N47" s="122"/>
    </row>
    <row r="48" spans="2:14" x14ac:dyDescent="0.25">
      <c r="B48" s="121"/>
      <c r="C48" s="160">
        <v>26</v>
      </c>
      <c r="D48" s="160">
        <v>34</v>
      </c>
      <c r="E48" s="160" t="s">
        <v>67</v>
      </c>
      <c r="F48" s="160" t="s">
        <v>526</v>
      </c>
      <c r="G48" s="160" t="s">
        <v>483</v>
      </c>
      <c r="H48" s="161" t="s">
        <v>1445</v>
      </c>
      <c r="I48" s="162">
        <v>323</v>
      </c>
      <c r="J48" s="159">
        <v>94.9</v>
      </c>
      <c r="K48" s="163">
        <v>93.9</v>
      </c>
      <c r="L48" s="164">
        <f t="shared" si="0"/>
        <v>188.8</v>
      </c>
      <c r="M48" s="165">
        <f t="shared" si="1"/>
        <v>0.58452012383900931</v>
      </c>
      <c r="N48" s="122"/>
    </row>
    <row r="49" spans="2:14" x14ac:dyDescent="0.25">
      <c r="B49" s="121"/>
      <c r="C49" s="160">
        <v>27</v>
      </c>
      <c r="D49" s="160">
        <v>38</v>
      </c>
      <c r="E49" s="160" t="s">
        <v>67</v>
      </c>
      <c r="F49" s="160" t="s">
        <v>526</v>
      </c>
      <c r="G49" s="160" t="s">
        <v>483</v>
      </c>
      <c r="H49" s="161" t="s">
        <v>274</v>
      </c>
      <c r="I49" s="162">
        <v>343</v>
      </c>
      <c r="J49" s="159">
        <v>100.2</v>
      </c>
      <c r="K49" s="163">
        <v>99.9</v>
      </c>
      <c r="L49" s="164">
        <f t="shared" si="0"/>
        <v>200.10000000000002</v>
      </c>
      <c r="M49" s="165">
        <f t="shared" si="1"/>
        <v>0.58338192419825075</v>
      </c>
      <c r="N49" s="122"/>
    </row>
    <row r="50" spans="2:14" x14ac:dyDescent="0.25">
      <c r="B50" s="121"/>
      <c r="C50" s="160">
        <v>28</v>
      </c>
      <c r="D50" s="160">
        <v>24</v>
      </c>
      <c r="E50" s="160" t="s">
        <v>67</v>
      </c>
      <c r="F50" s="160" t="s">
        <v>526</v>
      </c>
      <c r="G50" s="160" t="s">
        <v>483</v>
      </c>
      <c r="H50" s="161" t="s">
        <v>1813</v>
      </c>
      <c r="I50" s="162">
        <v>377</v>
      </c>
      <c r="J50" s="159">
        <v>106.9</v>
      </c>
      <c r="K50" s="163">
        <v>107.5</v>
      </c>
      <c r="L50" s="164">
        <f t="shared" si="0"/>
        <v>214.4</v>
      </c>
      <c r="M50" s="165">
        <f t="shared" si="1"/>
        <v>0.56870026525198936</v>
      </c>
      <c r="N50" s="122"/>
    </row>
    <row r="51" spans="2:14" x14ac:dyDescent="0.25">
      <c r="B51" s="121"/>
      <c r="C51" s="159">
        <v>29</v>
      </c>
      <c r="D51" s="159">
        <v>33</v>
      </c>
      <c r="E51" s="159" t="s">
        <v>67</v>
      </c>
      <c r="F51" s="159" t="s">
        <v>526</v>
      </c>
      <c r="G51" s="160" t="s">
        <v>483</v>
      </c>
      <c r="H51" s="161" t="s">
        <v>41</v>
      </c>
      <c r="I51" s="162">
        <v>339</v>
      </c>
      <c r="J51" s="159">
        <v>100.3</v>
      </c>
      <c r="K51" s="163">
        <v>99.9</v>
      </c>
      <c r="L51" s="164">
        <f t="shared" si="0"/>
        <v>200.2</v>
      </c>
      <c r="M51" s="165">
        <f t="shared" si="1"/>
        <v>0.59056047197640116</v>
      </c>
      <c r="N51" s="122"/>
    </row>
    <row r="52" spans="2:14" x14ac:dyDescent="0.25">
      <c r="B52" s="121"/>
      <c r="C52" s="159">
        <v>30</v>
      </c>
      <c r="D52" s="159">
        <v>32</v>
      </c>
      <c r="E52" s="159" t="s">
        <v>75</v>
      </c>
      <c r="F52" s="159" t="s">
        <v>526</v>
      </c>
      <c r="G52" s="160" t="s">
        <v>44</v>
      </c>
      <c r="H52" s="168" t="s">
        <v>1814</v>
      </c>
      <c r="I52" s="169">
        <v>405</v>
      </c>
      <c r="J52" s="159">
        <v>133.4</v>
      </c>
      <c r="K52" s="163">
        <v>133.5</v>
      </c>
      <c r="L52" s="164">
        <f t="shared" si="0"/>
        <v>266.89999999999998</v>
      </c>
      <c r="M52" s="165">
        <f t="shared" si="1"/>
        <v>0.65901234567901223</v>
      </c>
      <c r="N52" s="122"/>
    </row>
    <row r="53" spans="2:14" x14ac:dyDescent="0.25">
      <c r="B53" s="121"/>
      <c r="C53" s="159">
        <v>31</v>
      </c>
      <c r="D53" s="160">
        <v>40</v>
      </c>
      <c r="E53" s="160" t="s">
        <v>68</v>
      </c>
      <c r="F53" s="160" t="s">
        <v>526</v>
      </c>
      <c r="G53" s="160" t="s">
        <v>483</v>
      </c>
      <c r="H53" s="168" t="s">
        <v>1815</v>
      </c>
      <c r="I53" s="169">
        <v>350</v>
      </c>
      <c r="J53" s="159">
        <v>100.2</v>
      </c>
      <c r="K53" s="163">
        <v>98.7</v>
      </c>
      <c r="L53" s="164">
        <f t="shared" si="0"/>
        <v>198.9</v>
      </c>
      <c r="M53" s="165">
        <f t="shared" si="1"/>
        <v>0.56828571428571428</v>
      </c>
      <c r="N53" s="122"/>
    </row>
    <row r="54" spans="2:14" x14ac:dyDescent="0.25">
      <c r="B54" s="121"/>
      <c r="C54" s="159">
        <v>32</v>
      </c>
      <c r="D54" s="160">
        <v>39</v>
      </c>
      <c r="E54" s="160" t="s">
        <v>67</v>
      </c>
      <c r="F54" s="160" t="s">
        <v>526</v>
      </c>
      <c r="G54" s="160" t="s">
        <v>44</v>
      </c>
      <c r="H54" s="168" t="s">
        <v>41</v>
      </c>
      <c r="I54" s="169">
        <v>351</v>
      </c>
      <c r="J54" s="159">
        <v>113.1</v>
      </c>
      <c r="K54" s="163">
        <v>113.4</v>
      </c>
      <c r="L54" s="164">
        <f t="shared" si="0"/>
        <v>226.5</v>
      </c>
      <c r="M54" s="165">
        <f t="shared" si="1"/>
        <v>0.64529914529914534</v>
      </c>
      <c r="N54" s="122"/>
    </row>
    <row r="55" spans="2:14" x14ac:dyDescent="0.25">
      <c r="B55" s="121"/>
      <c r="C55" s="159">
        <v>33</v>
      </c>
      <c r="D55" s="160">
        <v>28</v>
      </c>
      <c r="E55" s="160" t="s">
        <v>67</v>
      </c>
      <c r="F55" s="160" t="s">
        <v>526</v>
      </c>
      <c r="G55" s="160" t="s">
        <v>483</v>
      </c>
      <c r="H55" s="168" t="s">
        <v>1816</v>
      </c>
      <c r="I55" s="169">
        <v>360</v>
      </c>
      <c r="J55" s="159">
        <v>102.4</v>
      </c>
      <c r="K55" s="163">
        <v>102.2</v>
      </c>
      <c r="L55" s="164">
        <f t="shared" si="0"/>
        <v>204.60000000000002</v>
      </c>
      <c r="M55" s="165">
        <f t="shared" si="1"/>
        <v>0.56833333333333336</v>
      </c>
      <c r="N55" s="122"/>
    </row>
    <row r="56" spans="2:14" x14ac:dyDescent="0.25">
      <c r="B56" s="121"/>
      <c r="C56" s="159">
        <v>34</v>
      </c>
      <c r="D56" s="160">
        <v>37</v>
      </c>
      <c r="E56" s="160" t="s">
        <v>67</v>
      </c>
      <c r="F56" s="160" t="s">
        <v>526</v>
      </c>
      <c r="G56" s="160" t="s">
        <v>44</v>
      </c>
      <c r="H56" s="168" t="s">
        <v>41</v>
      </c>
      <c r="I56" s="169">
        <v>369</v>
      </c>
      <c r="J56" s="159">
        <v>108.9</v>
      </c>
      <c r="K56" s="163">
        <v>108.4</v>
      </c>
      <c r="L56" s="164">
        <f t="shared" si="0"/>
        <v>217.3</v>
      </c>
      <c r="M56" s="165">
        <f t="shared" si="1"/>
        <v>0.58888888888888891</v>
      </c>
      <c r="N56" s="122"/>
    </row>
    <row r="57" spans="2:14" x14ac:dyDescent="0.25">
      <c r="B57" s="121"/>
      <c r="C57" s="159">
        <v>35</v>
      </c>
      <c r="D57" s="160">
        <v>31</v>
      </c>
      <c r="E57" s="160" t="s">
        <v>67</v>
      </c>
      <c r="F57" s="160" t="s">
        <v>526</v>
      </c>
      <c r="G57" s="160" t="s">
        <v>483</v>
      </c>
      <c r="H57" s="168" t="s">
        <v>1817</v>
      </c>
      <c r="I57" s="169">
        <v>341</v>
      </c>
      <c r="J57" s="159">
        <v>97.3</v>
      </c>
      <c r="K57" s="163">
        <v>96.3</v>
      </c>
      <c r="L57" s="164">
        <f t="shared" si="0"/>
        <v>193.6</v>
      </c>
      <c r="M57" s="165">
        <f t="shared" si="1"/>
        <v>0.56774193548387097</v>
      </c>
      <c r="N57" s="122"/>
    </row>
    <row r="58" spans="2:14" x14ac:dyDescent="0.25">
      <c r="B58" s="121"/>
      <c r="C58" s="159">
        <v>36</v>
      </c>
      <c r="D58" s="159">
        <v>35</v>
      </c>
      <c r="E58" s="159" t="s">
        <v>67</v>
      </c>
      <c r="F58" s="159" t="s">
        <v>526</v>
      </c>
      <c r="G58" s="160" t="s">
        <v>44</v>
      </c>
      <c r="H58" s="168" t="s">
        <v>1818</v>
      </c>
      <c r="I58" s="169">
        <v>345</v>
      </c>
      <c r="J58" s="159">
        <v>99.4</v>
      </c>
      <c r="K58" s="163">
        <v>97.5</v>
      </c>
      <c r="L58" s="164">
        <f t="shared" si="0"/>
        <v>196.9</v>
      </c>
      <c r="M58" s="165">
        <f t="shared" si="1"/>
        <v>0.57072463768115944</v>
      </c>
      <c r="N58" s="122"/>
    </row>
    <row r="59" spans="2:14" x14ac:dyDescent="0.25">
      <c r="B59" s="121"/>
      <c r="C59" s="159">
        <v>37</v>
      </c>
      <c r="D59" s="159">
        <v>42</v>
      </c>
      <c r="E59" s="159" t="s">
        <v>68</v>
      </c>
      <c r="F59" s="159" t="s">
        <v>526</v>
      </c>
      <c r="G59" s="160" t="s">
        <v>483</v>
      </c>
      <c r="H59" s="168" t="s">
        <v>1819</v>
      </c>
      <c r="I59" s="169">
        <v>340</v>
      </c>
      <c r="J59" s="159">
        <v>99.4</v>
      </c>
      <c r="K59" s="163">
        <v>101</v>
      </c>
      <c r="L59" s="164">
        <f t="shared" si="0"/>
        <v>200.4</v>
      </c>
      <c r="M59" s="165">
        <f t="shared" si="1"/>
        <v>0.58941176470588241</v>
      </c>
      <c r="N59" s="122"/>
    </row>
    <row r="60" spans="2:14" x14ac:dyDescent="0.25">
      <c r="B60" s="121"/>
      <c r="C60" s="159">
        <v>38</v>
      </c>
      <c r="D60" s="170">
        <v>44</v>
      </c>
      <c r="E60" s="170" t="s">
        <v>67</v>
      </c>
      <c r="F60" s="170" t="s">
        <v>526</v>
      </c>
      <c r="G60" s="171" t="s">
        <v>483</v>
      </c>
      <c r="H60" s="168" t="s">
        <v>1820</v>
      </c>
      <c r="I60" s="169">
        <v>306</v>
      </c>
      <c r="J60" s="159">
        <v>84.6</v>
      </c>
      <c r="K60" s="163">
        <v>85</v>
      </c>
      <c r="L60" s="164">
        <f t="shared" si="0"/>
        <v>169.6</v>
      </c>
      <c r="M60" s="165">
        <f t="shared" si="1"/>
        <v>0.55424836601307192</v>
      </c>
      <c r="N60" s="122"/>
    </row>
    <row r="61" spans="2:14" x14ac:dyDescent="0.25">
      <c r="B61" s="121"/>
      <c r="C61" s="159">
        <v>39</v>
      </c>
      <c r="D61" s="170">
        <v>26</v>
      </c>
      <c r="E61" s="170" t="s">
        <v>68</v>
      </c>
      <c r="F61" s="170" t="s">
        <v>526</v>
      </c>
      <c r="G61" s="171" t="s">
        <v>483</v>
      </c>
      <c r="H61" s="168" t="s">
        <v>1821</v>
      </c>
      <c r="I61" s="169">
        <v>375</v>
      </c>
      <c r="J61" s="159">
        <v>102.2</v>
      </c>
      <c r="K61" s="163">
        <v>102.7</v>
      </c>
      <c r="L61" s="164">
        <f t="shared" si="0"/>
        <v>204.9</v>
      </c>
      <c r="M61" s="165">
        <f t="shared" si="1"/>
        <v>0.5464</v>
      </c>
      <c r="N61" s="122"/>
    </row>
    <row r="62" spans="2:14" x14ac:dyDescent="0.25">
      <c r="B62" s="121"/>
      <c r="C62" s="159">
        <v>40</v>
      </c>
      <c r="D62" s="170">
        <v>27</v>
      </c>
      <c r="E62" s="170" t="s">
        <v>67</v>
      </c>
      <c r="F62" s="170" t="s">
        <v>526</v>
      </c>
      <c r="G62" s="171" t="s">
        <v>483</v>
      </c>
      <c r="H62" s="168" t="s">
        <v>841</v>
      </c>
      <c r="I62" s="169">
        <v>298</v>
      </c>
      <c r="J62" s="159">
        <v>85.5</v>
      </c>
      <c r="K62" s="163">
        <v>84.4</v>
      </c>
      <c r="L62" s="164">
        <f t="shared" si="0"/>
        <v>169.9</v>
      </c>
      <c r="M62" s="165">
        <f t="shared" si="1"/>
        <v>0.57013422818791948</v>
      </c>
      <c r="N62" s="122"/>
    </row>
    <row r="63" spans="2:14" x14ac:dyDescent="0.25">
      <c r="B63" s="121"/>
      <c r="C63" s="159">
        <v>41</v>
      </c>
      <c r="D63" s="170">
        <v>41</v>
      </c>
      <c r="E63" s="170" t="s">
        <v>68</v>
      </c>
      <c r="F63" s="170" t="s">
        <v>526</v>
      </c>
      <c r="G63" s="170" t="s">
        <v>483</v>
      </c>
      <c r="H63" s="168" t="s">
        <v>1822</v>
      </c>
      <c r="I63" s="169">
        <v>370</v>
      </c>
      <c r="J63" s="159">
        <v>109.4</v>
      </c>
      <c r="K63" s="159">
        <v>107.7</v>
      </c>
      <c r="L63" s="164">
        <f t="shared" si="0"/>
        <v>217.10000000000002</v>
      </c>
      <c r="M63" s="165">
        <f t="shared" si="1"/>
        <v>0.58675675675675687</v>
      </c>
      <c r="N63" s="122"/>
    </row>
    <row r="64" spans="2:14" x14ac:dyDescent="0.25">
      <c r="B64" s="121"/>
      <c r="C64" s="159">
        <v>42</v>
      </c>
      <c r="D64" s="170">
        <v>29</v>
      </c>
      <c r="E64" s="170" t="s">
        <v>75</v>
      </c>
      <c r="F64" s="170" t="s">
        <v>526</v>
      </c>
      <c r="G64" s="170" t="s">
        <v>44</v>
      </c>
      <c r="H64" s="205" t="s">
        <v>1823</v>
      </c>
      <c r="I64" s="169">
        <v>493</v>
      </c>
      <c r="J64" s="159">
        <v>144.4</v>
      </c>
      <c r="K64" s="159">
        <v>143.5</v>
      </c>
      <c r="L64" s="164">
        <f t="shared" si="0"/>
        <v>287.89999999999998</v>
      </c>
      <c r="M64" s="165">
        <f t="shared" si="1"/>
        <v>0.58397565922920891</v>
      </c>
      <c r="N64" s="122"/>
    </row>
    <row r="65" spans="2:14" x14ac:dyDescent="0.25">
      <c r="B65" s="121"/>
      <c r="C65" s="159">
        <v>43</v>
      </c>
      <c r="D65" s="170">
        <v>43</v>
      </c>
      <c r="E65" s="170" t="s">
        <v>67</v>
      </c>
      <c r="F65" s="170" t="s">
        <v>526</v>
      </c>
      <c r="G65" s="170" t="s">
        <v>483</v>
      </c>
      <c r="H65" s="168" t="s">
        <v>1824</v>
      </c>
      <c r="I65" s="169">
        <v>332</v>
      </c>
      <c r="J65" s="159">
        <v>94.5</v>
      </c>
      <c r="K65" s="163">
        <v>94.1</v>
      </c>
      <c r="L65" s="164">
        <f t="shared" si="0"/>
        <v>188.6</v>
      </c>
      <c r="M65" s="165">
        <f t="shared" si="1"/>
        <v>0.56807228915662644</v>
      </c>
      <c r="N65" s="122"/>
    </row>
    <row r="66" spans="2:14" x14ac:dyDescent="0.25">
      <c r="B66" s="121"/>
      <c r="C66" s="172">
        <v>44</v>
      </c>
      <c r="D66" s="173">
        <v>14</v>
      </c>
      <c r="E66" s="173" t="s">
        <v>75</v>
      </c>
      <c r="F66" s="173" t="s">
        <v>526</v>
      </c>
      <c r="G66" s="173" t="s">
        <v>483</v>
      </c>
      <c r="H66" s="174" t="s">
        <v>41</v>
      </c>
      <c r="I66" s="175">
        <v>418</v>
      </c>
      <c r="J66" s="172">
        <v>143.30000000000001</v>
      </c>
      <c r="K66" s="206">
        <v>142.9</v>
      </c>
      <c r="L66" s="176">
        <f t="shared" si="0"/>
        <v>286.20000000000005</v>
      </c>
      <c r="M66" s="177">
        <f t="shared" si="1"/>
        <v>0.68468899521531112</v>
      </c>
      <c r="N66" s="122"/>
    </row>
    <row r="67" spans="2:14" x14ac:dyDescent="0.25">
      <c r="B67" s="121"/>
      <c r="C67" s="325"/>
      <c r="D67" s="325">
        <f>+COUNT($D$22:$D$66)</f>
        <v>44</v>
      </c>
      <c r="E67" s="325"/>
      <c r="F67" s="373"/>
      <c r="G67" s="373"/>
      <c r="H67" s="149"/>
      <c r="I67" s="148">
        <f>SUM($I$22:$I$66)</f>
        <v>16007</v>
      </c>
      <c r="J67" s="150">
        <f>SUM($J$22:$J$66)</f>
        <v>4655.2</v>
      </c>
      <c r="K67" s="151">
        <f>SUM($K$22:$K$66)</f>
        <v>4626.3</v>
      </c>
      <c r="L67" s="148">
        <f>SUM($L$22:$L$66)</f>
        <v>9281.5000000000018</v>
      </c>
      <c r="M67" s="178">
        <f t="shared" si="1"/>
        <v>0.57984006996938853</v>
      </c>
      <c r="N67" s="122"/>
    </row>
    <row r="68" spans="2:14" ht="16.5" thickBot="1" x14ac:dyDescent="0.3">
      <c r="B68" s="129"/>
      <c r="C68" s="130"/>
      <c r="D68" s="130"/>
      <c r="E68" s="130"/>
      <c r="F68" s="130"/>
      <c r="G68" s="130"/>
      <c r="H68" s="131"/>
      <c r="I68" s="130"/>
      <c r="J68" s="131"/>
      <c r="K68" s="130"/>
      <c r="L68" s="130"/>
      <c r="M68" s="130"/>
      <c r="N68" s="132"/>
    </row>
    <row r="69" spans="2:14" ht="17.25" thickTop="1" thickBot="1" x14ac:dyDescent="0.3">
      <c r="B69" s="133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3"/>
    </row>
    <row r="70" spans="2:14" ht="16.5" thickTop="1" x14ac:dyDescent="0.25">
      <c r="B70" s="135"/>
      <c r="C70" s="133"/>
      <c r="D70" s="133"/>
      <c r="E70" s="133"/>
      <c r="F70" s="133"/>
      <c r="G70" s="133"/>
      <c r="H70" s="134"/>
      <c r="I70" s="133"/>
      <c r="J70" s="134"/>
      <c r="K70" s="133"/>
      <c r="L70" s="133"/>
      <c r="M70" s="133"/>
      <c r="N70" s="136"/>
    </row>
    <row r="71" spans="2:14" ht="32.25" customHeight="1" x14ac:dyDescent="0.25">
      <c r="B71" s="121"/>
      <c r="D71" s="374" t="s">
        <v>12</v>
      </c>
      <c r="E71" s="375"/>
      <c r="F71" s="375"/>
      <c r="G71" s="375"/>
      <c r="H71" s="180" t="s">
        <v>491</v>
      </c>
      <c r="I71" s="183" t="s">
        <v>489</v>
      </c>
      <c r="J71" s="200" t="s">
        <v>54</v>
      </c>
      <c r="K71" s="201" t="s">
        <v>492</v>
      </c>
      <c r="N71" s="122"/>
    </row>
    <row r="72" spans="2:14" x14ac:dyDescent="0.25">
      <c r="B72" s="121"/>
      <c r="D72" s="367" t="s">
        <v>59</v>
      </c>
      <c r="E72" s="368"/>
      <c r="F72" s="368"/>
      <c r="G72" s="368"/>
      <c r="H72" s="181">
        <v>85.98</v>
      </c>
      <c r="I72" s="119">
        <f>21.8+21.64+21.24+17.94</f>
        <v>82.61999999999999</v>
      </c>
      <c r="J72" s="181"/>
      <c r="K72" s="185"/>
      <c r="N72" s="122"/>
    </row>
    <row r="73" spans="2:14" x14ac:dyDescent="0.25">
      <c r="B73" s="121"/>
      <c r="D73" s="367" t="s">
        <v>15</v>
      </c>
      <c r="E73" s="368"/>
      <c r="F73" s="368"/>
      <c r="G73" s="368"/>
      <c r="H73" s="181">
        <v>44</v>
      </c>
      <c r="I73" s="119">
        <f>14.44+15.47+15.43+15.31</f>
        <v>60.650000000000006</v>
      </c>
      <c r="J73" s="181"/>
      <c r="K73" s="185"/>
      <c r="N73" s="122"/>
    </row>
    <row r="74" spans="2:14" x14ac:dyDescent="0.25">
      <c r="B74" s="121"/>
      <c r="D74" s="367" t="s">
        <v>13</v>
      </c>
      <c r="E74" s="368"/>
      <c r="F74" s="368"/>
      <c r="G74" s="368"/>
      <c r="H74" s="181">
        <v>43</v>
      </c>
      <c r="I74" s="119">
        <f>18.75+17.93+17.71+19.13+19.8+23.44+24.49+27.66</f>
        <v>168.91</v>
      </c>
      <c r="J74" s="181">
        <v>1</v>
      </c>
      <c r="K74" s="185">
        <v>5.64</v>
      </c>
      <c r="N74" s="122"/>
    </row>
    <row r="75" spans="2:14" x14ac:dyDescent="0.25">
      <c r="B75" s="121"/>
      <c r="D75" s="367" t="s">
        <v>16</v>
      </c>
      <c r="E75" s="368"/>
      <c r="F75" s="368"/>
      <c r="G75" s="368"/>
      <c r="H75" s="181">
        <v>44</v>
      </c>
      <c r="I75" s="119">
        <f>15.23+14.66+15.4</f>
        <v>45.29</v>
      </c>
      <c r="J75" s="181"/>
      <c r="K75" s="185"/>
      <c r="N75" s="122"/>
    </row>
    <row r="76" spans="2:14" x14ac:dyDescent="0.25">
      <c r="B76" s="121"/>
      <c r="D76" s="367" t="s">
        <v>60</v>
      </c>
      <c r="E76" s="368"/>
      <c r="F76" s="368"/>
      <c r="G76" s="368"/>
      <c r="H76" s="181">
        <v>25.76</v>
      </c>
      <c r="I76" s="119">
        <f>12.09+12.17</f>
        <v>24.259999999999998</v>
      </c>
      <c r="J76" s="181"/>
      <c r="K76" s="185"/>
      <c r="N76" s="122"/>
    </row>
    <row r="77" spans="2:14" x14ac:dyDescent="0.25">
      <c r="B77" s="121"/>
      <c r="D77" s="367" t="s">
        <v>14</v>
      </c>
      <c r="E77" s="368"/>
      <c r="F77" s="368"/>
      <c r="G77" s="368"/>
      <c r="H77" s="181">
        <v>88</v>
      </c>
      <c r="I77" s="119">
        <f>15.87+15.81</f>
        <v>31.68</v>
      </c>
      <c r="J77" s="181"/>
      <c r="K77" s="185"/>
      <c r="N77" s="122"/>
    </row>
    <row r="78" spans="2:14" x14ac:dyDescent="0.25">
      <c r="B78" s="121"/>
      <c r="D78" s="367" t="s">
        <v>20</v>
      </c>
      <c r="E78" s="368"/>
      <c r="F78" s="368"/>
      <c r="G78" s="368"/>
      <c r="H78" s="181" t="s">
        <v>1845</v>
      </c>
      <c r="I78" s="119"/>
      <c r="J78" s="181"/>
      <c r="K78" s="185"/>
      <c r="N78" s="122"/>
    </row>
    <row r="79" spans="2:14" x14ac:dyDescent="0.25">
      <c r="B79" s="121"/>
      <c r="D79" s="367" t="s">
        <v>17</v>
      </c>
      <c r="E79" s="368"/>
      <c r="F79" s="368"/>
      <c r="G79" s="368"/>
      <c r="H79" s="181">
        <v>44</v>
      </c>
      <c r="I79" s="119">
        <f>17.75+17.48</f>
        <v>35.230000000000004</v>
      </c>
      <c r="J79" s="181"/>
      <c r="K79" s="185"/>
      <c r="N79" s="122"/>
    </row>
    <row r="80" spans="2:14" x14ac:dyDescent="0.25">
      <c r="B80" s="121"/>
      <c r="D80" s="367" t="s">
        <v>61</v>
      </c>
      <c r="E80" s="368"/>
      <c r="F80" s="368"/>
      <c r="G80" s="368"/>
      <c r="H80" s="181">
        <v>44</v>
      </c>
      <c r="I80" s="119">
        <f>16.27+15.49</f>
        <v>31.759999999999998</v>
      </c>
      <c r="J80" s="181"/>
      <c r="K80" s="185"/>
      <c r="N80" s="122"/>
    </row>
    <row r="81" spans="2:14" x14ac:dyDescent="0.25">
      <c r="B81" s="121"/>
      <c r="D81" s="367" t="s">
        <v>48</v>
      </c>
      <c r="E81" s="368"/>
      <c r="F81" s="368"/>
      <c r="G81" s="368"/>
      <c r="H81" s="181">
        <v>44.28</v>
      </c>
      <c r="I81" s="119">
        <f>19.95+19.16</f>
        <v>39.11</v>
      </c>
      <c r="J81" s="181"/>
      <c r="K81" s="185"/>
      <c r="N81" s="122"/>
    </row>
    <row r="82" spans="2:14" x14ac:dyDescent="0.25">
      <c r="B82" s="121"/>
      <c r="D82" s="367" t="s">
        <v>19</v>
      </c>
      <c r="E82" s="368"/>
      <c r="F82" s="368"/>
      <c r="G82" s="368"/>
      <c r="H82" s="181">
        <v>22</v>
      </c>
      <c r="I82" s="119">
        <f>19.27+20.33</f>
        <v>39.599999999999994</v>
      </c>
      <c r="J82" s="181"/>
      <c r="K82" s="185"/>
      <c r="N82" s="122"/>
    </row>
    <row r="83" spans="2:14" x14ac:dyDescent="0.25">
      <c r="B83" s="121"/>
      <c r="D83" s="367" t="s">
        <v>18</v>
      </c>
      <c r="E83" s="368"/>
      <c r="F83" s="368"/>
      <c r="G83" s="368"/>
      <c r="H83" s="181">
        <v>44</v>
      </c>
      <c r="I83" s="119">
        <v>13.65</v>
      </c>
      <c r="J83" s="181"/>
      <c r="K83" s="185"/>
      <c r="N83" s="122"/>
    </row>
    <row r="84" spans="2:14" x14ac:dyDescent="0.25">
      <c r="B84" s="121"/>
      <c r="D84" s="367" t="s">
        <v>49</v>
      </c>
      <c r="E84" s="368"/>
      <c r="F84" s="368"/>
      <c r="G84" s="368"/>
      <c r="H84" s="181" t="s">
        <v>1845</v>
      </c>
      <c r="I84" s="119"/>
      <c r="J84" s="181"/>
      <c r="K84" s="185"/>
      <c r="N84" s="122"/>
    </row>
    <row r="85" spans="2:14" x14ac:dyDescent="0.25">
      <c r="B85" s="121"/>
      <c r="D85" s="370" t="s">
        <v>21</v>
      </c>
      <c r="E85" s="371"/>
      <c r="F85" s="371"/>
      <c r="G85" s="372"/>
      <c r="H85" s="182"/>
      <c r="I85" s="184">
        <f>SUM(I72:I84)</f>
        <v>572.76</v>
      </c>
      <c r="J85" s="187">
        <f>SUM(J72:J84)</f>
        <v>1</v>
      </c>
      <c r="K85" s="186">
        <f>SUM(K72:K84)</f>
        <v>5.64</v>
      </c>
      <c r="N85" s="122"/>
    </row>
    <row r="86" spans="2:14" ht="16.5" thickBot="1" x14ac:dyDescent="0.3">
      <c r="B86" s="129"/>
      <c r="C86" s="130"/>
      <c r="D86" s="130"/>
      <c r="E86" s="130"/>
      <c r="F86" s="130"/>
      <c r="G86" s="130"/>
      <c r="H86" s="131"/>
      <c r="I86" s="130"/>
      <c r="J86" s="131"/>
      <c r="K86" s="130"/>
      <c r="L86" s="130"/>
      <c r="M86" s="130"/>
      <c r="N86" s="132"/>
    </row>
    <row r="87" spans="2:14" ht="16.5" thickTop="1" x14ac:dyDescent="0.25">
      <c r="B87" s="121"/>
      <c r="G87" s="137"/>
      <c r="H87" s="138"/>
      <c r="I87" s="137"/>
      <c r="J87" s="138"/>
      <c r="N87" s="122"/>
    </row>
    <row r="88" spans="2:14" ht="15.75" customHeight="1" x14ac:dyDescent="0.25">
      <c r="B88" s="121"/>
      <c r="F88" s="365" t="s">
        <v>22</v>
      </c>
      <c r="G88" s="365"/>
      <c r="H88" s="188" t="s">
        <v>33</v>
      </c>
      <c r="I88" s="180" t="s">
        <v>31</v>
      </c>
      <c r="N88" s="122"/>
    </row>
    <row r="89" spans="2:14" x14ac:dyDescent="0.25">
      <c r="B89" s="121"/>
      <c r="F89" s="366" t="s">
        <v>23</v>
      </c>
      <c r="G89" s="366"/>
      <c r="H89" s="190"/>
      <c r="I89" s="191"/>
      <c r="N89" s="122"/>
    </row>
    <row r="90" spans="2:14" x14ac:dyDescent="0.25">
      <c r="B90" s="121"/>
      <c r="F90" s="378" t="s">
        <v>24</v>
      </c>
      <c r="G90" s="378"/>
      <c r="H90" s="192">
        <f>+D67</f>
        <v>44</v>
      </c>
      <c r="I90" s="193"/>
      <c r="N90" s="122"/>
    </row>
    <row r="91" spans="2:14" x14ac:dyDescent="0.25">
      <c r="B91" s="121"/>
      <c r="F91" s="378" t="s">
        <v>34</v>
      </c>
      <c r="G91" s="378"/>
      <c r="H91" s="194"/>
      <c r="I91" s="193"/>
      <c r="N91" s="122"/>
    </row>
    <row r="92" spans="2:14" x14ac:dyDescent="0.25">
      <c r="B92" s="121"/>
      <c r="F92" s="378" t="s">
        <v>35</v>
      </c>
      <c r="G92" s="378"/>
      <c r="H92" s="194"/>
      <c r="I92" s="193"/>
      <c r="N92" s="122"/>
    </row>
    <row r="93" spans="2:14" x14ac:dyDescent="0.25">
      <c r="B93" s="121"/>
      <c r="F93" s="379" t="s">
        <v>29</v>
      </c>
      <c r="G93" s="379"/>
      <c r="H93" s="195"/>
      <c r="I93" s="196"/>
      <c r="N93" s="122"/>
    </row>
    <row r="94" spans="2:14" x14ac:dyDescent="0.25">
      <c r="B94" s="121"/>
      <c r="F94" s="380" t="s">
        <v>21</v>
      </c>
      <c r="G94" s="380"/>
      <c r="H94" s="189"/>
      <c r="I94" s="182">
        <f>SUM(I89:I93)</f>
        <v>0</v>
      </c>
      <c r="N94" s="122"/>
    </row>
    <row r="95" spans="2:14" ht="16.5" thickBot="1" x14ac:dyDescent="0.3">
      <c r="B95" s="129"/>
      <c r="C95" s="130"/>
      <c r="D95" s="130"/>
      <c r="E95" s="130"/>
      <c r="F95" s="130"/>
      <c r="G95" s="130"/>
      <c r="H95" s="131"/>
      <c r="I95" s="130"/>
      <c r="J95" s="131"/>
      <c r="K95" s="130"/>
      <c r="L95" s="130"/>
      <c r="M95" s="130"/>
      <c r="N95" s="132"/>
    </row>
    <row r="96" spans="2:14" ht="16.5" thickTop="1" x14ac:dyDescent="0.25">
      <c r="I96" s="139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1:G71"/>
    <mergeCell ref="C21:C22"/>
    <mergeCell ref="D21:D22"/>
    <mergeCell ref="E21:E22"/>
    <mergeCell ref="F21:G21"/>
    <mergeCell ref="J21:J22"/>
    <mergeCell ref="K21:K22"/>
    <mergeCell ref="L21:L22"/>
    <mergeCell ref="M21:M22"/>
    <mergeCell ref="F67:G67"/>
    <mergeCell ref="H21:H22"/>
    <mergeCell ref="I21:I22"/>
    <mergeCell ref="D83:G83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D82:G82"/>
    <mergeCell ref="F92:G92"/>
    <mergeCell ref="F93:G93"/>
    <mergeCell ref="F94:G94"/>
    <mergeCell ref="D84:G84"/>
    <mergeCell ref="D85:G85"/>
    <mergeCell ref="F88:G88"/>
    <mergeCell ref="F89:G89"/>
    <mergeCell ref="F90:G90"/>
    <mergeCell ref="F91:G91"/>
  </mergeCells>
  <conditionalFormatting sqref="M23:M66">
    <cfRule type="cellIs" dxfId="8" priority="1" operator="greaterThan">
      <formula>0.7</formula>
    </cfRule>
  </conditionalFormatting>
  <pageMargins left="0.59055118110236227" right="0" top="0" bottom="0" header="0.31496062992125984" footer="0.31496062992125984"/>
  <pageSetup paperSize="9" scale="62" orientation="portrait" r:id="rId1"/>
  <drawing r:id="rId2"/>
  <legacyDrawing r:id="rId3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N81" sqref="N81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0.56705085551330803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227.25238095238097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1842</v>
      </c>
      <c r="F8" s="344"/>
      <c r="G8" s="344"/>
      <c r="H8" s="345"/>
      <c r="I8" s="146" t="s">
        <v>487</v>
      </c>
      <c r="J8" s="346" t="s">
        <v>563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27345</v>
      </c>
      <c r="F9" s="344"/>
      <c r="G9" s="344"/>
      <c r="H9" s="345"/>
      <c r="I9" s="146" t="s">
        <v>88</v>
      </c>
      <c r="J9" s="209" t="s">
        <v>1843</v>
      </c>
      <c r="K9" s="322" t="s">
        <v>490</v>
      </c>
      <c r="L9" s="369" t="s">
        <v>1844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323" t="s">
        <v>569</v>
      </c>
      <c r="E12" s="384">
        <v>46083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99</v>
      </c>
      <c r="F13" s="349"/>
      <c r="H13" s="117"/>
      <c r="I13" s="123"/>
      <c r="J13" s="215" t="s">
        <v>483</v>
      </c>
      <c r="K13" s="324">
        <f>+COUNTIF($G$22:$G$66,"VQ")*2</f>
        <v>2</v>
      </c>
      <c r="L13" s="324">
        <f>+SUMIF($G$23:$G$65,"VQ",$L$23:$L$65)</f>
        <v>201.3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21</v>
      </c>
      <c r="F14" s="350"/>
      <c r="H14" s="117"/>
      <c r="I14" s="123"/>
      <c r="J14" s="215" t="s">
        <v>42</v>
      </c>
      <c r="K14" s="324">
        <f>+COUNTIF($G$22:$G$66,"NT")*2</f>
        <v>38</v>
      </c>
      <c r="L14" s="324">
        <f>+SUMIF($G$23:$G$65,"NT",$L$23:$L$65)</f>
        <v>4323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8416</v>
      </c>
      <c r="F15" s="350"/>
      <c r="H15" s="117"/>
      <c r="I15" s="123"/>
      <c r="J15" s="215" t="s">
        <v>484</v>
      </c>
      <c r="K15" s="324">
        <f>+COUNTIF($G$22:$G$66,"NO")*2</f>
        <v>0</v>
      </c>
      <c r="L15" s="324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4772.3</v>
      </c>
      <c r="F16" s="350"/>
      <c r="H16" s="117"/>
      <c r="I16" s="123"/>
      <c r="J16" s="215" t="s">
        <v>485</v>
      </c>
      <c r="K16" s="324">
        <f>+COUNTIF($G$22:$G$66,"TO")*2</f>
        <v>0</v>
      </c>
      <c r="L16" s="324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0.56705085551330803</v>
      </c>
      <c r="F17" s="350"/>
      <c r="G17" s="124"/>
      <c r="H17" s="125"/>
      <c r="I17" s="123"/>
      <c r="J17" s="215" t="s">
        <v>486</v>
      </c>
      <c r="K17" s="324">
        <f>+COUNTIF($G$22:$G$66,"VA")*2</f>
        <v>2</v>
      </c>
      <c r="L17" s="324">
        <f>+SUMIF($G$23:$G$65,"VA",$L$23:$L$65)</f>
        <v>248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227.25238095238097</v>
      </c>
      <c r="F18" s="353"/>
      <c r="G18" s="124"/>
      <c r="H18" s="125"/>
      <c r="I18" s="123"/>
      <c r="J18" s="215" t="s">
        <v>44</v>
      </c>
      <c r="K18" s="324">
        <f>+COUNTIF($G$22:$G$66,"MEJ")*2</f>
        <v>0</v>
      </c>
      <c r="L18" s="324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45</v>
      </c>
      <c r="D23" s="152">
        <v>15</v>
      </c>
      <c r="E23" s="152" t="s">
        <v>75</v>
      </c>
      <c r="F23" s="152" t="s">
        <v>526</v>
      </c>
      <c r="G23" s="153" t="s">
        <v>42</v>
      </c>
      <c r="H23" s="154" t="s">
        <v>1825</v>
      </c>
      <c r="I23" s="155">
        <v>357</v>
      </c>
      <c r="J23" s="152">
        <v>104.6</v>
      </c>
      <c r="K23" s="156">
        <v>103.6</v>
      </c>
      <c r="L23" s="157">
        <f t="shared" ref="L23:L65" si="0">+J23+K23</f>
        <v>208.2</v>
      </c>
      <c r="M23" s="158">
        <f t="shared" ref="M23:M66" si="1">+L23/I23</f>
        <v>0.5831932773109243</v>
      </c>
      <c r="N23" s="122"/>
    </row>
    <row r="24" spans="2:14" x14ac:dyDescent="0.25">
      <c r="B24" s="121"/>
      <c r="C24" s="159">
        <v>46</v>
      </c>
      <c r="D24" s="159">
        <v>1</v>
      </c>
      <c r="E24" s="159" t="s">
        <v>75</v>
      </c>
      <c r="F24" s="159" t="s">
        <v>526</v>
      </c>
      <c r="G24" s="160" t="s">
        <v>42</v>
      </c>
      <c r="H24" s="161" t="s">
        <v>664</v>
      </c>
      <c r="I24" s="162">
        <v>370</v>
      </c>
      <c r="J24" s="159">
        <v>105.9</v>
      </c>
      <c r="K24" s="163">
        <v>105.6</v>
      </c>
      <c r="L24" s="164">
        <f t="shared" si="0"/>
        <v>211.5</v>
      </c>
      <c r="M24" s="165">
        <f t="shared" si="1"/>
        <v>0.57162162162162167</v>
      </c>
      <c r="N24" s="122"/>
    </row>
    <row r="25" spans="2:14" x14ac:dyDescent="0.25">
      <c r="B25" s="121"/>
      <c r="C25" s="159">
        <v>47</v>
      </c>
      <c r="D25" s="159">
        <v>19</v>
      </c>
      <c r="E25" s="159" t="s">
        <v>75</v>
      </c>
      <c r="F25" s="159" t="s">
        <v>526</v>
      </c>
      <c r="G25" s="160" t="s">
        <v>42</v>
      </c>
      <c r="H25" s="161" t="s">
        <v>1826</v>
      </c>
      <c r="I25" s="162">
        <v>426</v>
      </c>
      <c r="J25" s="159">
        <v>125.3</v>
      </c>
      <c r="K25" s="163">
        <v>123.7</v>
      </c>
      <c r="L25" s="164">
        <f t="shared" si="0"/>
        <v>249</v>
      </c>
      <c r="M25" s="165">
        <f t="shared" si="1"/>
        <v>0.58450704225352113</v>
      </c>
      <c r="N25" s="122"/>
    </row>
    <row r="26" spans="2:14" x14ac:dyDescent="0.25">
      <c r="B26" s="121"/>
      <c r="C26" s="159">
        <v>48</v>
      </c>
      <c r="D26" s="159">
        <v>10</v>
      </c>
      <c r="E26" s="159" t="s">
        <v>67</v>
      </c>
      <c r="F26" s="159" t="s">
        <v>526</v>
      </c>
      <c r="G26" s="160" t="s">
        <v>42</v>
      </c>
      <c r="H26" s="161" t="s">
        <v>1827</v>
      </c>
      <c r="I26" s="162">
        <v>427</v>
      </c>
      <c r="J26" s="159">
        <v>121.2</v>
      </c>
      <c r="K26" s="163">
        <v>119.1</v>
      </c>
      <c r="L26" s="164">
        <f t="shared" si="0"/>
        <v>240.3</v>
      </c>
      <c r="M26" s="165">
        <f t="shared" si="1"/>
        <v>0.56276346604215455</v>
      </c>
      <c r="N26" s="122"/>
    </row>
    <row r="27" spans="2:14" x14ac:dyDescent="0.25">
      <c r="B27" s="121"/>
      <c r="C27" s="159">
        <v>49</v>
      </c>
      <c r="D27" s="159">
        <v>5</v>
      </c>
      <c r="E27" s="159" t="s">
        <v>75</v>
      </c>
      <c r="F27" s="159" t="s">
        <v>526</v>
      </c>
      <c r="G27" s="160" t="s">
        <v>42</v>
      </c>
      <c r="H27" s="161" t="s">
        <v>1828</v>
      </c>
      <c r="I27" s="162">
        <v>392</v>
      </c>
      <c r="J27" s="159">
        <v>113.4</v>
      </c>
      <c r="K27" s="163">
        <v>114</v>
      </c>
      <c r="L27" s="164">
        <f t="shared" si="0"/>
        <v>227.4</v>
      </c>
      <c r="M27" s="165">
        <f t="shared" si="1"/>
        <v>0.58010204081632655</v>
      </c>
      <c r="N27" s="122"/>
    </row>
    <row r="28" spans="2:14" x14ac:dyDescent="0.25">
      <c r="B28" s="121"/>
      <c r="C28" s="159">
        <v>50</v>
      </c>
      <c r="D28" s="159">
        <v>17</v>
      </c>
      <c r="E28" s="159" t="s">
        <v>67</v>
      </c>
      <c r="F28" s="159" t="s">
        <v>527</v>
      </c>
      <c r="G28" s="160" t="s">
        <v>483</v>
      </c>
      <c r="H28" s="161">
        <v>25</v>
      </c>
      <c r="I28" s="162">
        <v>351</v>
      </c>
      <c r="J28" s="159">
        <v>100.9</v>
      </c>
      <c r="K28" s="163">
        <v>100.4</v>
      </c>
      <c r="L28" s="164">
        <f t="shared" si="0"/>
        <v>201.3</v>
      </c>
      <c r="M28" s="165">
        <f t="shared" si="1"/>
        <v>0.57350427350427358</v>
      </c>
      <c r="N28" s="122"/>
    </row>
    <row r="29" spans="2:14" x14ac:dyDescent="0.25">
      <c r="B29" s="121"/>
      <c r="C29" s="160">
        <v>51</v>
      </c>
      <c r="D29" s="160">
        <v>6</v>
      </c>
      <c r="E29" s="160" t="s">
        <v>75</v>
      </c>
      <c r="F29" s="160" t="s">
        <v>526</v>
      </c>
      <c r="G29" s="160" t="s">
        <v>42</v>
      </c>
      <c r="H29" s="161" t="s">
        <v>1829</v>
      </c>
      <c r="I29" s="162">
        <v>379</v>
      </c>
      <c r="J29" s="159">
        <v>106.8</v>
      </c>
      <c r="K29" s="163">
        <v>105.5</v>
      </c>
      <c r="L29" s="164">
        <f t="shared" si="0"/>
        <v>212.3</v>
      </c>
      <c r="M29" s="165">
        <f t="shared" si="1"/>
        <v>0.56015831134564642</v>
      </c>
      <c r="N29" s="122"/>
    </row>
    <row r="30" spans="2:14" x14ac:dyDescent="0.25">
      <c r="B30" s="121"/>
      <c r="C30" s="160">
        <v>52</v>
      </c>
      <c r="D30" s="160">
        <v>2</v>
      </c>
      <c r="E30" s="160" t="s">
        <v>75</v>
      </c>
      <c r="F30" s="160" t="s">
        <v>1830</v>
      </c>
      <c r="G30" s="160" t="s">
        <v>42</v>
      </c>
      <c r="H30" s="161" t="s">
        <v>1831</v>
      </c>
      <c r="I30" s="162">
        <v>481</v>
      </c>
      <c r="J30" s="159">
        <v>138.5</v>
      </c>
      <c r="K30" s="163">
        <v>135.9</v>
      </c>
      <c r="L30" s="164">
        <f t="shared" si="0"/>
        <v>274.39999999999998</v>
      </c>
      <c r="M30" s="165">
        <f t="shared" si="1"/>
        <v>0.5704781704781704</v>
      </c>
      <c r="N30" s="122"/>
    </row>
    <row r="31" spans="2:14" x14ac:dyDescent="0.25">
      <c r="B31" s="121"/>
      <c r="C31" s="159">
        <v>53</v>
      </c>
      <c r="D31" s="159">
        <v>7</v>
      </c>
      <c r="E31" s="159" t="s">
        <v>75</v>
      </c>
      <c r="F31" s="159" t="s">
        <v>526</v>
      </c>
      <c r="G31" s="160" t="s">
        <v>42</v>
      </c>
      <c r="H31" s="161" t="s">
        <v>1832</v>
      </c>
      <c r="I31" s="162">
        <v>427</v>
      </c>
      <c r="J31" s="159">
        <v>121.5</v>
      </c>
      <c r="K31" s="163">
        <v>121.8</v>
      </c>
      <c r="L31" s="164">
        <f t="shared" si="0"/>
        <v>243.3</v>
      </c>
      <c r="M31" s="165">
        <f t="shared" si="1"/>
        <v>0.56978922716627634</v>
      </c>
      <c r="N31" s="122"/>
    </row>
    <row r="32" spans="2:14" x14ac:dyDescent="0.25">
      <c r="B32" s="121"/>
      <c r="C32" s="159">
        <v>54</v>
      </c>
      <c r="D32" s="159">
        <v>20</v>
      </c>
      <c r="E32" s="159" t="s">
        <v>75</v>
      </c>
      <c r="F32" s="159" t="s">
        <v>750</v>
      </c>
      <c r="G32" s="160" t="s">
        <v>486</v>
      </c>
      <c r="H32" s="161" t="s">
        <v>41</v>
      </c>
      <c r="I32" s="162">
        <v>464</v>
      </c>
      <c r="J32" s="159">
        <v>124.7</v>
      </c>
      <c r="K32" s="163">
        <v>123.3</v>
      </c>
      <c r="L32" s="164">
        <f t="shared" si="0"/>
        <v>248</v>
      </c>
      <c r="M32" s="165">
        <f t="shared" si="1"/>
        <v>0.53448275862068961</v>
      </c>
      <c r="N32" s="122"/>
    </row>
    <row r="33" spans="2:14" x14ac:dyDescent="0.25">
      <c r="B33" s="121"/>
      <c r="C33" s="160">
        <v>55</v>
      </c>
      <c r="D33" s="160">
        <v>3</v>
      </c>
      <c r="E33" s="160" t="s">
        <v>75</v>
      </c>
      <c r="F33" s="160" t="s">
        <v>526</v>
      </c>
      <c r="G33" s="160" t="s">
        <v>42</v>
      </c>
      <c r="H33" s="161" t="s">
        <v>1833</v>
      </c>
      <c r="I33" s="162">
        <v>394</v>
      </c>
      <c r="J33" s="159">
        <v>109.2</v>
      </c>
      <c r="K33" s="163">
        <v>102</v>
      </c>
      <c r="L33" s="164">
        <f t="shared" si="0"/>
        <v>211.2</v>
      </c>
      <c r="M33" s="165">
        <f t="shared" si="1"/>
        <v>0.53604060913705576</v>
      </c>
      <c r="N33" s="122"/>
    </row>
    <row r="34" spans="2:14" x14ac:dyDescent="0.25">
      <c r="B34" s="121"/>
      <c r="C34" s="159">
        <v>56</v>
      </c>
      <c r="D34" s="159">
        <v>18</v>
      </c>
      <c r="E34" s="159" t="s">
        <v>67</v>
      </c>
      <c r="F34" s="159" t="s">
        <v>526</v>
      </c>
      <c r="G34" s="160" t="s">
        <v>42</v>
      </c>
      <c r="H34" s="161" t="s">
        <v>1834</v>
      </c>
      <c r="I34" s="162">
        <v>365</v>
      </c>
      <c r="J34" s="159">
        <v>100.7</v>
      </c>
      <c r="K34" s="166">
        <v>100.8</v>
      </c>
      <c r="L34" s="164">
        <f t="shared" si="0"/>
        <v>201.5</v>
      </c>
      <c r="M34" s="167">
        <f t="shared" si="1"/>
        <v>0.55205479452054795</v>
      </c>
      <c r="N34" s="122"/>
    </row>
    <row r="35" spans="2:14" x14ac:dyDescent="0.25">
      <c r="B35" s="121"/>
      <c r="C35" s="159">
        <v>57</v>
      </c>
      <c r="D35" s="159">
        <v>14</v>
      </c>
      <c r="E35" s="159" t="s">
        <v>75</v>
      </c>
      <c r="F35" s="159" t="s">
        <v>526</v>
      </c>
      <c r="G35" s="160" t="s">
        <v>42</v>
      </c>
      <c r="H35" s="161" t="s">
        <v>501</v>
      </c>
      <c r="I35" s="162">
        <v>366</v>
      </c>
      <c r="J35" s="159">
        <v>106.1</v>
      </c>
      <c r="K35" s="163">
        <v>103.5</v>
      </c>
      <c r="L35" s="164">
        <f t="shared" si="0"/>
        <v>209.6</v>
      </c>
      <c r="M35" s="165">
        <f t="shared" si="1"/>
        <v>0.57267759562841525</v>
      </c>
      <c r="N35" s="122"/>
    </row>
    <row r="36" spans="2:14" x14ac:dyDescent="0.25">
      <c r="B36" s="121"/>
      <c r="C36" s="159">
        <v>58</v>
      </c>
      <c r="D36" s="159">
        <v>4</v>
      </c>
      <c r="E36" s="159" t="s">
        <v>68</v>
      </c>
      <c r="F36" s="159" t="s">
        <v>526</v>
      </c>
      <c r="G36" s="160" t="s">
        <v>42</v>
      </c>
      <c r="H36" s="161" t="s">
        <v>1835</v>
      </c>
      <c r="I36" s="162">
        <v>397</v>
      </c>
      <c r="J36" s="159">
        <v>110.8</v>
      </c>
      <c r="K36" s="163">
        <v>110.6</v>
      </c>
      <c r="L36" s="164">
        <f t="shared" si="0"/>
        <v>221.39999999999998</v>
      </c>
      <c r="M36" s="165">
        <f t="shared" si="1"/>
        <v>0.5576826196473551</v>
      </c>
      <c r="N36" s="122"/>
    </row>
    <row r="37" spans="2:14" x14ac:dyDescent="0.25">
      <c r="B37" s="121"/>
      <c r="C37" s="159">
        <v>59</v>
      </c>
      <c r="D37" s="159">
        <v>9</v>
      </c>
      <c r="E37" s="159" t="s">
        <v>68</v>
      </c>
      <c r="F37" s="159" t="s">
        <v>526</v>
      </c>
      <c r="G37" s="160" t="s">
        <v>42</v>
      </c>
      <c r="H37" s="161" t="s">
        <v>1836</v>
      </c>
      <c r="I37" s="162">
        <v>403</v>
      </c>
      <c r="J37" s="159">
        <v>118.1</v>
      </c>
      <c r="K37" s="163">
        <v>115.9</v>
      </c>
      <c r="L37" s="164">
        <f t="shared" si="0"/>
        <v>234</v>
      </c>
      <c r="M37" s="165">
        <f t="shared" si="1"/>
        <v>0.58064516129032262</v>
      </c>
      <c r="N37" s="122"/>
    </row>
    <row r="38" spans="2:14" x14ac:dyDescent="0.25">
      <c r="B38" s="121"/>
      <c r="C38" s="159">
        <v>60</v>
      </c>
      <c r="D38" s="159">
        <v>11</v>
      </c>
      <c r="E38" s="159" t="s">
        <v>75</v>
      </c>
      <c r="F38" s="159" t="s">
        <v>526</v>
      </c>
      <c r="G38" s="159" t="s">
        <v>42</v>
      </c>
      <c r="H38" s="168" t="s">
        <v>1672</v>
      </c>
      <c r="I38" s="169">
        <v>394</v>
      </c>
      <c r="J38" s="159">
        <v>112.7</v>
      </c>
      <c r="K38" s="163">
        <v>111.7</v>
      </c>
      <c r="L38" s="164">
        <f t="shared" si="0"/>
        <v>224.4</v>
      </c>
      <c r="M38" s="165">
        <f t="shared" si="1"/>
        <v>0.56954314720812182</v>
      </c>
      <c r="N38" s="122"/>
    </row>
    <row r="39" spans="2:14" x14ac:dyDescent="0.25">
      <c r="B39" s="121"/>
      <c r="C39" s="159">
        <v>61</v>
      </c>
      <c r="D39" s="159">
        <v>21</v>
      </c>
      <c r="E39" s="159" t="s">
        <v>75</v>
      </c>
      <c r="F39" s="159" t="s">
        <v>526</v>
      </c>
      <c r="G39" s="160" t="s">
        <v>42</v>
      </c>
      <c r="H39" s="161" t="s">
        <v>1837</v>
      </c>
      <c r="I39" s="162">
        <v>436</v>
      </c>
      <c r="J39" s="159">
        <v>123.8</v>
      </c>
      <c r="K39" s="163">
        <v>124.7</v>
      </c>
      <c r="L39" s="164">
        <f t="shared" si="0"/>
        <v>248.5</v>
      </c>
      <c r="M39" s="165">
        <f t="shared" si="1"/>
        <v>0.56995412844036697</v>
      </c>
      <c r="N39" s="122"/>
    </row>
    <row r="40" spans="2:14" x14ac:dyDescent="0.25">
      <c r="B40" s="121"/>
      <c r="C40" s="159">
        <v>62</v>
      </c>
      <c r="D40" s="159">
        <v>8</v>
      </c>
      <c r="E40" s="159" t="s">
        <v>75</v>
      </c>
      <c r="F40" s="159" t="s">
        <v>526</v>
      </c>
      <c r="G40" s="160" t="s">
        <v>42</v>
      </c>
      <c r="H40" s="161" t="s">
        <v>1838</v>
      </c>
      <c r="I40" s="162">
        <v>379</v>
      </c>
      <c r="J40" s="159">
        <v>110.6</v>
      </c>
      <c r="K40" s="163">
        <v>110</v>
      </c>
      <c r="L40" s="164">
        <f t="shared" si="0"/>
        <v>220.6</v>
      </c>
      <c r="M40" s="165">
        <f t="shared" si="1"/>
        <v>0.58205804749340373</v>
      </c>
      <c r="N40" s="122"/>
    </row>
    <row r="41" spans="2:14" x14ac:dyDescent="0.25">
      <c r="B41" s="121"/>
      <c r="C41" s="159">
        <v>63</v>
      </c>
      <c r="D41" s="159">
        <v>12</v>
      </c>
      <c r="E41" s="159" t="s">
        <v>75</v>
      </c>
      <c r="F41" s="159" t="s">
        <v>526</v>
      </c>
      <c r="G41" s="160" t="s">
        <v>42</v>
      </c>
      <c r="H41" s="161" t="s">
        <v>1839</v>
      </c>
      <c r="I41" s="162">
        <v>381</v>
      </c>
      <c r="J41" s="159">
        <v>108.5</v>
      </c>
      <c r="K41" s="163">
        <v>107.7</v>
      </c>
      <c r="L41" s="164">
        <f t="shared" si="0"/>
        <v>216.2</v>
      </c>
      <c r="M41" s="165">
        <f t="shared" si="1"/>
        <v>0.56745406824146982</v>
      </c>
      <c r="N41" s="122"/>
    </row>
    <row r="42" spans="2:14" x14ac:dyDescent="0.25">
      <c r="B42" s="121"/>
      <c r="C42" s="160">
        <v>64</v>
      </c>
      <c r="D42" s="160">
        <v>13</v>
      </c>
      <c r="E42" s="160" t="s">
        <v>67</v>
      </c>
      <c r="F42" s="160" t="s">
        <v>526</v>
      </c>
      <c r="G42" s="160" t="s">
        <v>42</v>
      </c>
      <c r="H42" s="161" t="s">
        <v>1840</v>
      </c>
      <c r="I42" s="162">
        <v>400</v>
      </c>
      <c r="J42" s="159">
        <v>108.9</v>
      </c>
      <c r="K42" s="163">
        <v>107</v>
      </c>
      <c r="L42" s="164">
        <f t="shared" si="0"/>
        <v>215.9</v>
      </c>
      <c r="M42" s="165">
        <f t="shared" si="1"/>
        <v>0.53975000000000006</v>
      </c>
      <c r="N42" s="122"/>
    </row>
    <row r="43" spans="2:14" x14ac:dyDescent="0.25">
      <c r="B43" s="121"/>
      <c r="C43" s="159">
        <v>65</v>
      </c>
      <c r="D43" s="159">
        <v>16</v>
      </c>
      <c r="E43" s="159" t="s">
        <v>75</v>
      </c>
      <c r="F43" s="159" t="s">
        <v>526</v>
      </c>
      <c r="G43" s="160" t="s">
        <v>42</v>
      </c>
      <c r="H43" s="161" t="s">
        <v>1841</v>
      </c>
      <c r="I43" s="162">
        <v>427</v>
      </c>
      <c r="J43" s="159">
        <v>126.5</v>
      </c>
      <c r="K43" s="163">
        <v>126.8</v>
      </c>
      <c r="L43" s="164">
        <f t="shared" si="0"/>
        <v>253.3</v>
      </c>
      <c r="M43" s="165">
        <f t="shared" si="1"/>
        <v>0.59320843091334896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325"/>
      <c r="D66" s="325">
        <f>+COUNT($D$22:$D$65)</f>
        <v>21</v>
      </c>
      <c r="E66" s="325"/>
      <c r="F66" s="373"/>
      <c r="G66" s="373"/>
      <c r="H66" s="149"/>
      <c r="I66" s="148">
        <f>SUM($I$22:$I$65)</f>
        <v>8416</v>
      </c>
      <c r="J66" s="150">
        <f>SUM($J$22:$J$65)</f>
        <v>2398.6999999999998</v>
      </c>
      <c r="K66" s="151">
        <f>SUM($K$22:$K$65)</f>
        <v>2373.6</v>
      </c>
      <c r="L66" s="148">
        <f>SUM($L$22:$L$65)</f>
        <v>4772.3</v>
      </c>
      <c r="M66" s="178">
        <f t="shared" si="1"/>
        <v>0.56705085551330803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54.32</v>
      </c>
      <c r="I71" s="119">
        <v>52.56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21</v>
      </c>
      <c r="I72" s="119">
        <v>32.980000000000004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21</v>
      </c>
      <c r="I73" s="119">
        <v>100.60000000000001</v>
      </c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21</v>
      </c>
      <c r="I74" s="119">
        <v>21.62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17.98</v>
      </c>
      <c r="I75" s="119">
        <v>17.04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42</v>
      </c>
      <c r="I76" s="119">
        <v>19.66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 t="s">
        <v>1845</v>
      </c>
      <c r="I77" s="119">
        <v>10.32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21</v>
      </c>
      <c r="I78" s="119">
        <v>18.38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21</v>
      </c>
      <c r="I79" s="119">
        <v>16.7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29.78</v>
      </c>
      <c r="I80" s="119">
        <v>27.74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21</v>
      </c>
      <c r="I81" s="119">
        <v>19.739999999999998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21</v>
      </c>
      <c r="I82" s="119">
        <v>7.12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12.22</v>
      </c>
      <c r="I83" s="119">
        <v>10.98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355.44000000000005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21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7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K82" sqref="K82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0.56193921852387851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194.15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1358</v>
      </c>
      <c r="F8" s="344"/>
      <c r="G8" s="344"/>
      <c r="H8" s="345"/>
      <c r="I8" s="146" t="s">
        <v>487</v>
      </c>
      <c r="J8" s="346" t="s">
        <v>1358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65705</v>
      </c>
      <c r="F9" s="344"/>
      <c r="G9" s="344"/>
      <c r="H9" s="345"/>
      <c r="I9" s="146" t="s">
        <v>88</v>
      </c>
      <c r="J9" s="209" t="s">
        <v>1858</v>
      </c>
      <c r="K9" s="326" t="s">
        <v>490</v>
      </c>
      <c r="L9" s="369" t="s">
        <v>1859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327" t="s">
        <v>569</v>
      </c>
      <c r="E12" s="384">
        <v>46056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100</v>
      </c>
      <c r="F13" s="349"/>
      <c r="H13" s="117"/>
      <c r="I13" s="123"/>
      <c r="J13" s="215" t="s">
        <v>483</v>
      </c>
      <c r="K13" s="328">
        <f>+COUNTIF($G$22:$G$66,"VQ")*2</f>
        <v>0</v>
      </c>
      <c r="L13" s="328">
        <f>+SUMIF($G$23:$G$65,"VQ",$L$23:$L$65)</f>
        <v>0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18</v>
      </c>
      <c r="F14" s="350"/>
      <c r="H14" s="117"/>
      <c r="I14" s="123"/>
      <c r="J14" s="215" t="s">
        <v>42</v>
      </c>
      <c r="K14" s="328">
        <f>+COUNTIF($G$22:$G$66,"NT")*2</f>
        <v>0</v>
      </c>
      <c r="L14" s="328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6219</v>
      </c>
      <c r="F15" s="350"/>
      <c r="H15" s="117"/>
      <c r="I15" s="123"/>
      <c r="J15" s="215" t="s">
        <v>484</v>
      </c>
      <c r="K15" s="328">
        <f>+COUNTIF($G$22:$G$66,"NO")*2</f>
        <v>0</v>
      </c>
      <c r="L15" s="328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3494.7000000000003</v>
      </c>
      <c r="F16" s="350"/>
      <c r="H16" s="117"/>
      <c r="I16" s="123"/>
      <c r="J16" s="215" t="s">
        <v>485</v>
      </c>
      <c r="K16" s="328">
        <f>+COUNTIF($G$22:$G$66,"TO")*2</f>
        <v>0</v>
      </c>
      <c r="L16" s="328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0.56193921852387851</v>
      </c>
      <c r="F17" s="350"/>
      <c r="G17" s="124"/>
      <c r="H17" s="125"/>
      <c r="I17" s="123"/>
      <c r="J17" s="215" t="s">
        <v>486</v>
      </c>
      <c r="K17" s="328">
        <f>+COUNTIF($G$22:$G$66,"VA")*2</f>
        <v>0</v>
      </c>
      <c r="L17" s="328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194.15</v>
      </c>
      <c r="F18" s="353"/>
      <c r="G18" s="124"/>
      <c r="H18" s="125"/>
      <c r="I18" s="123"/>
      <c r="J18" s="215" t="s">
        <v>44</v>
      </c>
      <c r="K18" s="328">
        <f>+COUNTIF($G$22:$G$66,"MEJ")*2</f>
        <v>36</v>
      </c>
      <c r="L18" s="328">
        <f>+SUMIF($G$23:$G$65,"MEJ",$L$23:$L$65)</f>
        <v>3494.7000000000003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</v>
      </c>
      <c r="D23" s="152">
        <v>3</v>
      </c>
      <c r="E23" s="152" t="s">
        <v>75</v>
      </c>
      <c r="F23" s="152" t="s">
        <v>526</v>
      </c>
      <c r="G23" s="153" t="s">
        <v>44</v>
      </c>
      <c r="H23" s="154" t="s">
        <v>1846</v>
      </c>
      <c r="I23" s="155">
        <v>307</v>
      </c>
      <c r="J23" s="152">
        <v>84.5</v>
      </c>
      <c r="K23" s="156">
        <v>84.4</v>
      </c>
      <c r="L23" s="157">
        <f t="shared" ref="L23:L65" si="0">+J23+K23</f>
        <v>168.9</v>
      </c>
      <c r="M23" s="158">
        <f t="shared" ref="M23:M66" si="1">+L23/I23</f>
        <v>0.5501628664495114</v>
      </c>
      <c r="N23" s="122"/>
    </row>
    <row r="24" spans="2:14" x14ac:dyDescent="0.25">
      <c r="B24" s="121"/>
      <c r="C24" s="159">
        <v>2</v>
      </c>
      <c r="D24" s="159">
        <v>10</v>
      </c>
      <c r="E24" s="159" t="s">
        <v>67</v>
      </c>
      <c r="F24" s="159" t="s">
        <v>526</v>
      </c>
      <c r="G24" s="160" t="s">
        <v>44</v>
      </c>
      <c r="H24" s="161" t="s">
        <v>664</v>
      </c>
      <c r="I24" s="162">
        <v>343</v>
      </c>
      <c r="J24" s="159">
        <v>97.8</v>
      </c>
      <c r="K24" s="163">
        <v>97.9</v>
      </c>
      <c r="L24" s="164">
        <f t="shared" si="0"/>
        <v>195.7</v>
      </c>
      <c r="M24" s="165">
        <f t="shared" si="1"/>
        <v>0.57055393586005831</v>
      </c>
      <c r="N24" s="122"/>
    </row>
    <row r="25" spans="2:14" x14ac:dyDescent="0.25">
      <c r="B25" s="121"/>
      <c r="C25" s="159">
        <v>3</v>
      </c>
      <c r="D25" s="159">
        <v>1</v>
      </c>
      <c r="E25" s="159" t="s">
        <v>68</v>
      </c>
      <c r="F25" s="159" t="s">
        <v>526</v>
      </c>
      <c r="G25" s="160" t="s">
        <v>44</v>
      </c>
      <c r="H25" s="161" t="s">
        <v>1847</v>
      </c>
      <c r="I25" s="162">
        <v>307</v>
      </c>
      <c r="J25" s="159">
        <v>84.8</v>
      </c>
      <c r="K25" s="163">
        <v>84.6</v>
      </c>
      <c r="L25" s="164">
        <f t="shared" si="0"/>
        <v>169.39999999999998</v>
      </c>
      <c r="M25" s="165">
        <f t="shared" si="1"/>
        <v>0.5517915309446253</v>
      </c>
      <c r="N25" s="122"/>
    </row>
    <row r="26" spans="2:14" x14ac:dyDescent="0.25">
      <c r="B26" s="121"/>
      <c r="C26" s="159">
        <v>4</v>
      </c>
      <c r="D26" s="159">
        <v>15</v>
      </c>
      <c r="E26" s="159" t="s">
        <v>67</v>
      </c>
      <c r="F26" s="159" t="s">
        <v>526</v>
      </c>
      <c r="G26" s="160" t="s">
        <v>44</v>
      </c>
      <c r="H26" s="161" t="s">
        <v>1848</v>
      </c>
      <c r="I26" s="162">
        <v>365</v>
      </c>
      <c r="J26" s="159">
        <v>103.4</v>
      </c>
      <c r="K26" s="163">
        <v>101.9</v>
      </c>
      <c r="L26" s="164">
        <f t="shared" si="0"/>
        <v>205.3</v>
      </c>
      <c r="M26" s="165">
        <f t="shared" si="1"/>
        <v>0.56246575342465754</v>
      </c>
      <c r="N26" s="122"/>
    </row>
    <row r="27" spans="2:14" x14ac:dyDescent="0.25">
      <c r="B27" s="121"/>
      <c r="C27" s="159">
        <v>5</v>
      </c>
      <c r="D27" s="159">
        <v>7</v>
      </c>
      <c r="E27" s="159" t="s">
        <v>75</v>
      </c>
      <c r="F27" s="159" t="s">
        <v>526</v>
      </c>
      <c r="G27" s="160" t="s">
        <v>44</v>
      </c>
      <c r="H27" s="161" t="s">
        <v>1849</v>
      </c>
      <c r="I27" s="162">
        <v>344</v>
      </c>
      <c r="J27" s="159">
        <v>94.4</v>
      </c>
      <c r="K27" s="163">
        <v>94.5</v>
      </c>
      <c r="L27" s="164">
        <f t="shared" si="0"/>
        <v>188.9</v>
      </c>
      <c r="M27" s="165">
        <f t="shared" si="1"/>
        <v>0.54912790697674418</v>
      </c>
      <c r="N27" s="122"/>
    </row>
    <row r="28" spans="2:14" x14ac:dyDescent="0.25">
      <c r="B28" s="121"/>
      <c r="C28" s="159">
        <v>6</v>
      </c>
      <c r="D28" s="159">
        <v>2</v>
      </c>
      <c r="E28" s="159" t="s">
        <v>75</v>
      </c>
      <c r="F28" s="159" t="s">
        <v>526</v>
      </c>
      <c r="G28" s="160" t="s">
        <v>44</v>
      </c>
      <c r="H28" s="161" t="s">
        <v>1850</v>
      </c>
      <c r="I28" s="162">
        <v>377</v>
      </c>
      <c r="J28" s="159">
        <v>108.2</v>
      </c>
      <c r="K28" s="163">
        <v>107.7</v>
      </c>
      <c r="L28" s="164">
        <f t="shared" si="0"/>
        <v>215.9</v>
      </c>
      <c r="M28" s="165">
        <f t="shared" si="1"/>
        <v>0.57267904509283818</v>
      </c>
      <c r="N28" s="122"/>
    </row>
    <row r="29" spans="2:14" x14ac:dyDescent="0.25">
      <c r="B29" s="121"/>
      <c r="C29" s="160">
        <v>7</v>
      </c>
      <c r="D29" s="160">
        <v>4</v>
      </c>
      <c r="E29" s="160" t="s">
        <v>67</v>
      </c>
      <c r="F29" s="159" t="s">
        <v>526</v>
      </c>
      <c r="G29" s="160" t="s">
        <v>44</v>
      </c>
      <c r="H29" s="161" t="s">
        <v>1851</v>
      </c>
      <c r="I29" s="162">
        <v>317</v>
      </c>
      <c r="J29" s="159">
        <v>84.5</v>
      </c>
      <c r="K29" s="163">
        <v>83.3</v>
      </c>
      <c r="L29" s="164">
        <f t="shared" si="0"/>
        <v>167.8</v>
      </c>
      <c r="M29" s="165">
        <f t="shared" si="1"/>
        <v>0.52933753943217665</v>
      </c>
      <c r="N29" s="122"/>
    </row>
    <row r="30" spans="2:14" x14ac:dyDescent="0.25">
      <c r="B30" s="121"/>
      <c r="C30" s="160">
        <v>8</v>
      </c>
      <c r="D30" s="160">
        <v>11</v>
      </c>
      <c r="E30" s="160" t="s">
        <v>67</v>
      </c>
      <c r="F30" s="159" t="s">
        <v>526</v>
      </c>
      <c r="G30" s="160" t="s">
        <v>44</v>
      </c>
      <c r="H30" s="161" t="s">
        <v>41</v>
      </c>
      <c r="I30" s="162">
        <v>362</v>
      </c>
      <c r="J30" s="159">
        <v>102.7</v>
      </c>
      <c r="K30" s="163">
        <v>102.2</v>
      </c>
      <c r="L30" s="164">
        <f t="shared" si="0"/>
        <v>204.9</v>
      </c>
      <c r="M30" s="165">
        <f t="shared" si="1"/>
        <v>0.5660220994475138</v>
      </c>
      <c r="N30" s="122"/>
    </row>
    <row r="31" spans="2:14" x14ac:dyDescent="0.25">
      <c r="B31" s="121"/>
      <c r="C31" s="159">
        <v>9</v>
      </c>
      <c r="D31" s="159">
        <v>8</v>
      </c>
      <c r="E31" s="159" t="s">
        <v>68</v>
      </c>
      <c r="F31" s="159" t="s">
        <v>526</v>
      </c>
      <c r="G31" s="160" t="s">
        <v>44</v>
      </c>
      <c r="H31" s="161" t="s">
        <v>1852</v>
      </c>
      <c r="I31" s="162">
        <v>377</v>
      </c>
      <c r="J31" s="159">
        <v>109.4</v>
      </c>
      <c r="K31" s="163">
        <v>110.7</v>
      </c>
      <c r="L31" s="164">
        <f t="shared" si="0"/>
        <v>220.10000000000002</v>
      </c>
      <c r="M31" s="165">
        <f t="shared" si="1"/>
        <v>0.58381962864721493</v>
      </c>
      <c r="N31" s="122"/>
    </row>
    <row r="32" spans="2:14" x14ac:dyDescent="0.25">
      <c r="B32" s="121"/>
      <c r="C32" s="159">
        <v>10</v>
      </c>
      <c r="D32" s="159">
        <v>12</v>
      </c>
      <c r="E32" s="159" t="s">
        <v>67</v>
      </c>
      <c r="F32" s="159" t="s">
        <v>526</v>
      </c>
      <c r="G32" s="160" t="s">
        <v>44</v>
      </c>
      <c r="H32" s="161" t="s">
        <v>1806</v>
      </c>
      <c r="I32" s="162">
        <v>355</v>
      </c>
      <c r="J32" s="159">
        <v>103.3</v>
      </c>
      <c r="K32" s="163">
        <v>102.6</v>
      </c>
      <c r="L32" s="164">
        <f t="shared" si="0"/>
        <v>205.89999999999998</v>
      </c>
      <c r="M32" s="165">
        <f t="shared" si="1"/>
        <v>0.57999999999999996</v>
      </c>
      <c r="N32" s="122"/>
    </row>
    <row r="33" spans="2:14" x14ac:dyDescent="0.25">
      <c r="B33" s="121"/>
      <c r="C33" s="160">
        <v>11</v>
      </c>
      <c r="D33" s="160">
        <v>18</v>
      </c>
      <c r="E33" s="160" t="s">
        <v>75</v>
      </c>
      <c r="F33" s="159" t="s">
        <v>526</v>
      </c>
      <c r="G33" s="160" t="s">
        <v>44</v>
      </c>
      <c r="H33" s="161" t="s">
        <v>1853</v>
      </c>
      <c r="I33" s="162">
        <v>401</v>
      </c>
      <c r="J33" s="159">
        <v>115.8</v>
      </c>
      <c r="K33" s="163">
        <v>116.3</v>
      </c>
      <c r="L33" s="164">
        <f t="shared" si="0"/>
        <v>232.1</v>
      </c>
      <c r="M33" s="165">
        <f t="shared" si="1"/>
        <v>0.57880299251870326</v>
      </c>
      <c r="N33" s="122"/>
    </row>
    <row r="34" spans="2:14" x14ac:dyDescent="0.25">
      <c r="B34" s="121"/>
      <c r="C34" s="159">
        <v>12</v>
      </c>
      <c r="D34" s="159">
        <v>17</v>
      </c>
      <c r="E34" s="159" t="s">
        <v>67</v>
      </c>
      <c r="F34" s="159" t="s">
        <v>526</v>
      </c>
      <c r="G34" s="160" t="s">
        <v>44</v>
      </c>
      <c r="H34" s="161" t="s">
        <v>1854</v>
      </c>
      <c r="I34" s="162">
        <v>358</v>
      </c>
      <c r="J34" s="159">
        <v>100.4</v>
      </c>
      <c r="K34" s="166">
        <v>97.8</v>
      </c>
      <c r="L34" s="164">
        <f t="shared" si="0"/>
        <v>198.2</v>
      </c>
      <c r="M34" s="167">
        <f t="shared" si="1"/>
        <v>0.55363128491620106</v>
      </c>
      <c r="N34" s="122"/>
    </row>
    <row r="35" spans="2:14" x14ac:dyDescent="0.25">
      <c r="B35" s="121"/>
      <c r="C35" s="159">
        <v>13</v>
      </c>
      <c r="D35" s="159">
        <v>9</v>
      </c>
      <c r="E35" s="159" t="s">
        <v>68</v>
      </c>
      <c r="F35" s="159" t="s">
        <v>526</v>
      </c>
      <c r="G35" s="160" t="s">
        <v>44</v>
      </c>
      <c r="H35" s="161" t="s">
        <v>41</v>
      </c>
      <c r="I35" s="162">
        <v>348</v>
      </c>
      <c r="J35" s="159">
        <v>97.3</v>
      </c>
      <c r="K35" s="163">
        <v>96.6</v>
      </c>
      <c r="L35" s="164">
        <f t="shared" si="0"/>
        <v>193.89999999999998</v>
      </c>
      <c r="M35" s="165">
        <f t="shared" si="1"/>
        <v>0.55718390804597695</v>
      </c>
      <c r="N35" s="122"/>
    </row>
    <row r="36" spans="2:14" x14ac:dyDescent="0.25">
      <c r="B36" s="121"/>
      <c r="C36" s="159">
        <v>14</v>
      </c>
      <c r="D36" s="159">
        <v>6</v>
      </c>
      <c r="E36" s="159" t="s">
        <v>75</v>
      </c>
      <c r="F36" s="159" t="s">
        <v>526</v>
      </c>
      <c r="G36" s="160" t="s">
        <v>44</v>
      </c>
      <c r="H36" s="161" t="s">
        <v>1855</v>
      </c>
      <c r="I36" s="162">
        <v>341</v>
      </c>
      <c r="J36" s="159">
        <v>93.8</v>
      </c>
      <c r="K36" s="163">
        <v>93.3</v>
      </c>
      <c r="L36" s="164">
        <f t="shared" si="0"/>
        <v>187.1</v>
      </c>
      <c r="M36" s="165">
        <f t="shared" si="1"/>
        <v>0.54868035190615838</v>
      </c>
      <c r="N36" s="122"/>
    </row>
    <row r="37" spans="2:14" x14ac:dyDescent="0.25">
      <c r="B37" s="121"/>
      <c r="C37" s="159">
        <v>15</v>
      </c>
      <c r="D37" s="159">
        <v>13</v>
      </c>
      <c r="E37" s="159" t="s">
        <v>67</v>
      </c>
      <c r="F37" s="159" t="s">
        <v>526</v>
      </c>
      <c r="G37" s="160" t="s">
        <v>44</v>
      </c>
      <c r="H37" s="161" t="s">
        <v>1649</v>
      </c>
      <c r="I37" s="162">
        <v>317</v>
      </c>
      <c r="J37" s="159">
        <v>85.3</v>
      </c>
      <c r="K37" s="163">
        <v>84.7</v>
      </c>
      <c r="L37" s="164">
        <f t="shared" si="0"/>
        <v>170</v>
      </c>
      <c r="M37" s="165">
        <f t="shared" si="1"/>
        <v>0.5362776025236593</v>
      </c>
      <c r="N37" s="122"/>
    </row>
    <row r="38" spans="2:14" x14ac:dyDescent="0.25">
      <c r="B38" s="121"/>
      <c r="C38" s="159">
        <v>16</v>
      </c>
      <c r="D38" s="159">
        <v>5</v>
      </c>
      <c r="E38" s="159" t="s">
        <v>67</v>
      </c>
      <c r="F38" s="159" t="s">
        <v>526</v>
      </c>
      <c r="G38" s="159" t="s">
        <v>44</v>
      </c>
      <c r="H38" s="168" t="s">
        <v>1856</v>
      </c>
      <c r="I38" s="169">
        <v>352</v>
      </c>
      <c r="J38" s="159">
        <v>106.8</v>
      </c>
      <c r="K38" s="163">
        <v>105.7</v>
      </c>
      <c r="L38" s="164">
        <f t="shared" si="0"/>
        <v>212.5</v>
      </c>
      <c r="M38" s="165">
        <f t="shared" si="1"/>
        <v>0.60369318181818177</v>
      </c>
      <c r="N38" s="122"/>
    </row>
    <row r="39" spans="2:14" x14ac:dyDescent="0.25">
      <c r="B39" s="121"/>
      <c r="C39" s="159">
        <v>17</v>
      </c>
      <c r="D39" s="159">
        <v>14</v>
      </c>
      <c r="E39" s="159" t="s">
        <v>67</v>
      </c>
      <c r="F39" s="159" t="s">
        <v>526</v>
      </c>
      <c r="G39" s="160" t="s">
        <v>44</v>
      </c>
      <c r="H39" s="161" t="s">
        <v>1558</v>
      </c>
      <c r="I39" s="162">
        <v>332</v>
      </c>
      <c r="J39" s="159">
        <v>89</v>
      </c>
      <c r="K39" s="163">
        <v>89.3</v>
      </c>
      <c r="L39" s="164">
        <f t="shared" si="0"/>
        <v>178.3</v>
      </c>
      <c r="M39" s="165">
        <f t="shared" si="1"/>
        <v>0.5370481927710844</v>
      </c>
      <c r="N39" s="122"/>
    </row>
    <row r="40" spans="2:14" x14ac:dyDescent="0.25">
      <c r="B40" s="121"/>
      <c r="C40" s="159">
        <v>18</v>
      </c>
      <c r="D40" s="159">
        <v>16</v>
      </c>
      <c r="E40" s="159" t="s">
        <v>67</v>
      </c>
      <c r="F40" s="159" t="s">
        <v>526</v>
      </c>
      <c r="G40" s="160" t="s">
        <v>44</v>
      </c>
      <c r="H40" s="161" t="s">
        <v>1857</v>
      </c>
      <c r="I40" s="162">
        <v>316</v>
      </c>
      <c r="J40" s="159">
        <v>90.9</v>
      </c>
      <c r="K40" s="163">
        <v>88.9</v>
      </c>
      <c r="L40" s="164">
        <f t="shared" si="0"/>
        <v>179.8</v>
      </c>
      <c r="M40" s="165">
        <f t="shared" si="1"/>
        <v>0.56898734177215193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329"/>
      <c r="D66" s="329">
        <f>+COUNT($D$22:$D$65)</f>
        <v>18</v>
      </c>
      <c r="E66" s="329"/>
      <c r="F66" s="373"/>
      <c r="G66" s="373"/>
      <c r="H66" s="149"/>
      <c r="I66" s="148">
        <f>SUM($I$22:$I$65)</f>
        <v>6219</v>
      </c>
      <c r="J66" s="150">
        <f>SUM($J$22:$J$65)</f>
        <v>1752.3</v>
      </c>
      <c r="K66" s="151">
        <f>SUM($K$22:$K$65)</f>
        <v>1742.4</v>
      </c>
      <c r="L66" s="148">
        <f>SUM($L$22:$L$65)</f>
        <v>3494.7000000000003</v>
      </c>
      <c r="M66" s="178">
        <f t="shared" si="1"/>
        <v>0.56193921852387851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36.08</v>
      </c>
      <c r="I71" s="119">
        <v>34.42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10.8</v>
      </c>
      <c r="I72" s="119">
        <v>23.68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18</v>
      </c>
      <c r="I73" s="119">
        <v>74.28</v>
      </c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18</v>
      </c>
      <c r="I74" s="119">
        <v>17.079999999999998</v>
      </c>
      <c r="J74" s="181">
        <v>1</v>
      </c>
      <c r="K74" s="185">
        <f>+I74/H74</f>
        <v>0.94888888888888878</v>
      </c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13.62</v>
      </c>
      <c r="I75" s="119">
        <v>13.1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35</v>
      </c>
      <c r="I76" s="119">
        <v>13.72</v>
      </c>
      <c r="J76" s="181">
        <v>1</v>
      </c>
      <c r="K76" s="185">
        <v>0.76</v>
      </c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72</v>
      </c>
      <c r="I77" s="119">
        <v>7.56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18</v>
      </c>
      <c r="I78" s="119">
        <v>15.22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18</v>
      </c>
      <c r="I79" s="119">
        <v>11.8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23.2</v>
      </c>
      <c r="I80" s="119">
        <v>21.9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18</v>
      </c>
      <c r="I81" s="119">
        <v>16.02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17</v>
      </c>
      <c r="I82" s="119">
        <v>5.4</v>
      </c>
      <c r="J82" s="181">
        <v>1</v>
      </c>
      <c r="K82" s="185">
        <f>+I82/H82</f>
        <v>0.31764705882352945</v>
      </c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8.66</v>
      </c>
      <c r="I83" s="119">
        <v>7.86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262.04000000000002</v>
      </c>
      <c r="J84" s="187">
        <f>SUM(J71:J83)</f>
        <v>3</v>
      </c>
      <c r="K84" s="186">
        <f>SUM(K71:K83)</f>
        <v>2.0265359477124183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18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6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D69" zoomScale="90" zoomScaleNormal="90" workbookViewId="0">
      <selection activeCell="H80" sqref="H80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0.55719905586152629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177.04999999999998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625</v>
      </c>
      <c r="F8" s="344"/>
      <c r="G8" s="344"/>
      <c r="H8" s="345"/>
      <c r="I8" s="146" t="s">
        <v>487</v>
      </c>
      <c r="J8" s="346" t="s">
        <v>626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41927</v>
      </c>
      <c r="F9" s="344"/>
      <c r="G9" s="344"/>
      <c r="H9" s="345"/>
      <c r="I9" s="146" t="s">
        <v>88</v>
      </c>
      <c r="J9" s="209" t="s">
        <v>1894</v>
      </c>
      <c r="K9" s="330" t="s">
        <v>490</v>
      </c>
      <c r="L9" s="369" t="s">
        <v>1895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331" t="s">
        <v>569</v>
      </c>
      <c r="E12" s="384">
        <v>46085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101</v>
      </c>
      <c r="F13" s="349"/>
      <c r="H13" s="117"/>
      <c r="I13" s="123"/>
      <c r="J13" s="215" t="s">
        <v>483</v>
      </c>
      <c r="K13" s="332">
        <f>+COUNTIF($G$22:$G$66,"VQ")*2</f>
        <v>6</v>
      </c>
      <c r="L13" s="332">
        <f>+SUMIF($G$23:$G$65,"VQ",$L$23:$L$65)</f>
        <v>484.40000000000003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8</v>
      </c>
      <c r="F14" s="350"/>
      <c r="H14" s="117"/>
      <c r="I14" s="123"/>
      <c r="J14" s="215" t="s">
        <v>42</v>
      </c>
      <c r="K14" s="332">
        <f>+COUNTIF($G$22:$G$66,"NT")*2</f>
        <v>0</v>
      </c>
      <c r="L14" s="332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2542</v>
      </c>
      <c r="F15" s="350"/>
      <c r="H15" s="117"/>
      <c r="I15" s="123"/>
      <c r="J15" s="215" t="s">
        <v>484</v>
      </c>
      <c r="K15" s="332">
        <f>+COUNTIF($G$22:$G$66,"NO")*2</f>
        <v>4</v>
      </c>
      <c r="L15" s="332">
        <f>+SUMIF($G$23:$G$65,"NO",$L$23:$L$65)</f>
        <v>350.8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1416.3999999999999</v>
      </c>
      <c r="F16" s="350"/>
      <c r="H16" s="117"/>
      <c r="I16" s="123"/>
      <c r="J16" s="215" t="s">
        <v>485</v>
      </c>
      <c r="K16" s="332">
        <f>+COUNTIF($G$22:$G$66,"TO")*2</f>
        <v>0</v>
      </c>
      <c r="L16" s="332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0.55719905586152629</v>
      </c>
      <c r="F17" s="350"/>
      <c r="G17" s="124"/>
      <c r="H17" s="125"/>
      <c r="I17" s="123"/>
      <c r="J17" s="215" t="s">
        <v>486</v>
      </c>
      <c r="K17" s="332">
        <f>+COUNTIF($G$22:$G$66,"VA")*2</f>
        <v>0</v>
      </c>
      <c r="L17" s="332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177.04999999999998</v>
      </c>
      <c r="F18" s="353"/>
      <c r="G18" s="124"/>
      <c r="H18" s="125"/>
      <c r="I18" s="123"/>
      <c r="J18" s="215" t="s">
        <v>44</v>
      </c>
      <c r="K18" s="332">
        <f>+COUNTIF($G$22:$G$66,"MEJ")*2</f>
        <v>6</v>
      </c>
      <c r="L18" s="332">
        <f>+SUMIF($G$23:$G$65,"MEJ",$L$23:$L$65)</f>
        <v>581.20000000000005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21</v>
      </c>
      <c r="D23" s="152">
        <v>4</v>
      </c>
      <c r="E23" s="152" t="s">
        <v>68</v>
      </c>
      <c r="F23" s="152" t="s">
        <v>526</v>
      </c>
      <c r="G23" s="153" t="s">
        <v>483</v>
      </c>
      <c r="H23" s="154" t="s">
        <v>760</v>
      </c>
      <c r="I23" s="155">
        <v>291</v>
      </c>
      <c r="J23" s="152">
        <v>78.099999999999994</v>
      </c>
      <c r="K23" s="156">
        <v>80</v>
      </c>
      <c r="L23" s="157">
        <f t="shared" ref="L23:L65" si="0">+J23+K23</f>
        <v>158.1</v>
      </c>
      <c r="M23" s="158">
        <f t="shared" ref="M23:M66" si="1">+L23/I23</f>
        <v>0.54329896907216491</v>
      </c>
      <c r="N23" s="122"/>
    </row>
    <row r="24" spans="2:14" x14ac:dyDescent="0.25">
      <c r="B24" s="121"/>
      <c r="C24" s="159">
        <v>22</v>
      </c>
      <c r="D24" s="159">
        <v>2</v>
      </c>
      <c r="E24" s="159" t="s">
        <v>67</v>
      </c>
      <c r="F24" s="159" t="s">
        <v>526</v>
      </c>
      <c r="G24" s="160" t="s">
        <v>483</v>
      </c>
      <c r="H24" s="161" t="s">
        <v>510</v>
      </c>
      <c r="I24" s="162">
        <v>289</v>
      </c>
      <c r="J24" s="159">
        <v>81.8</v>
      </c>
      <c r="K24" s="163">
        <v>82.2</v>
      </c>
      <c r="L24" s="164">
        <f t="shared" si="0"/>
        <v>164</v>
      </c>
      <c r="M24" s="165">
        <f t="shared" si="1"/>
        <v>0.56747404844290661</v>
      </c>
      <c r="N24" s="122"/>
    </row>
    <row r="25" spans="2:14" x14ac:dyDescent="0.25">
      <c r="B25" s="121"/>
      <c r="C25" s="159">
        <v>23</v>
      </c>
      <c r="D25" s="159">
        <v>5</v>
      </c>
      <c r="E25" s="159" t="s">
        <v>67</v>
      </c>
      <c r="F25" s="159" t="s">
        <v>526</v>
      </c>
      <c r="G25" s="160" t="s">
        <v>483</v>
      </c>
      <c r="H25" s="161" t="s">
        <v>367</v>
      </c>
      <c r="I25" s="162">
        <v>292</v>
      </c>
      <c r="J25" s="159">
        <v>81.2</v>
      </c>
      <c r="K25" s="163">
        <v>81.099999999999994</v>
      </c>
      <c r="L25" s="164">
        <f t="shared" si="0"/>
        <v>162.30000000000001</v>
      </c>
      <c r="M25" s="165">
        <f t="shared" si="1"/>
        <v>0.55582191780821921</v>
      </c>
      <c r="N25" s="122"/>
    </row>
    <row r="26" spans="2:14" x14ac:dyDescent="0.25">
      <c r="B26" s="121"/>
      <c r="C26" s="159">
        <v>24</v>
      </c>
      <c r="D26" s="159">
        <v>6</v>
      </c>
      <c r="E26" s="159" t="s">
        <v>75</v>
      </c>
      <c r="F26" s="159" t="s">
        <v>526</v>
      </c>
      <c r="G26" s="160" t="s">
        <v>484</v>
      </c>
      <c r="H26" s="161" t="s">
        <v>1860</v>
      </c>
      <c r="I26" s="162">
        <v>325</v>
      </c>
      <c r="J26" s="159">
        <v>95.3</v>
      </c>
      <c r="K26" s="163">
        <v>94</v>
      </c>
      <c r="L26" s="164">
        <f t="shared" si="0"/>
        <v>189.3</v>
      </c>
      <c r="M26" s="165">
        <f t="shared" si="1"/>
        <v>0.58246153846153847</v>
      </c>
      <c r="N26" s="122"/>
    </row>
    <row r="27" spans="2:14" x14ac:dyDescent="0.25">
      <c r="B27" s="121"/>
      <c r="C27" s="159">
        <v>25</v>
      </c>
      <c r="D27" s="159">
        <v>7</v>
      </c>
      <c r="E27" s="159" t="s">
        <v>68</v>
      </c>
      <c r="F27" s="159" t="s">
        <v>526</v>
      </c>
      <c r="G27" s="160" t="s">
        <v>44</v>
      </c>
      <c r="H27" s="161" t="s">
        <v>1861</v>
      </c>
      <c r="I27" s="162">
        <v>325</v>
      </c>
      <c r="J27" s="159">
        <v>88.8</v>
      </c>
      <c r="K27" s="163">
        <v>90.6</v>
      </c>
      <c r="L27" s="164">
        <f t="shared" si="0"/>
        <v>179.39999999999998</v>
      </c>
      <c r="M27" s="165">
        <f t="shared" si="1"/>
        <v>0.55199999999999994</v>
      </c>
      <c r="N27" s="122"/>
    </row>
    <row r="28" spans="2:14" x14ac:dyDescent="0.25">
      <c r="B28" s="121"/>
      <c r="C28" s="159">
        <v>26</v>
      </c>
      <c r="D28" s="159">
        <v>8</v>
      </c>
      <c r="E28" s="159" t="s">
        <v>68</v>
      </c>
      <c r="F28" s="159" t="s">
        <v>526</v>
      </c>
      <c r="G28" s="160" t="s">
        <v>44</v>
      </c>
      <c r="H28" s="161" t="s">
        <v>1862</v>
      </c>
      <c r="I28" s="162">
        <v>360</v>
      </c>
      <c r="J28" s="159">
        <v>104.1</v>
      </c>
      <c r="K28" s="163">
        <v>102.4</v>
      </c>
      <c r="L28" s="164">
        <f t="shared" si="0"/>
        <v>206.5</v>
      </c>
      <c r="M28" s="165">
        <f t="shared" si="1"/>
        <v>0.57361111111111107</v>
      </c>
      <c r="N28" s="122"/>
    </row>
    <row r="29" spans="2:14" x14ac:dyDescent="0.25">
      <c r="B29" s="121"/>
      <c r="C29" s="160">
        <v>27</v>
      </c>
      <c r="D29" s="160">
        <v>3</v>
      </c>
      <c r="E29" s="160" t="s">
        <v>67</v>
      </c>
      <c r="F29" s="160" t="s">
        <v>526</v>
      </c>
      <c r="G29" s="160" t="s">
        <v>484</v>
      </c>
      <c r="H29" s="161" t="s">
        <v>1863</v>
      </c>
      <c r="I29" s="162">
        <v>301</v>
      </c>
      <c r="J29" s="159">
        <v>81.3</v>
      </c>
      <c r="K29" s="163">
        <v>80.2</v>
      </c>
      <c r="L29" s="164">
        <f t="shared" si="0"/>
        <v>161.5</v>
      </c>
      <c r="M29" s="165">
        <f t="shared" si="1"/>
        <v>0.53654485049833889</v>
      </c>
      <c r="N29" s="122"/>
    </row>
    <row r="30" spans="2:14" x14ac:dyDescent="0.25">
      <c r="B30" s="121"/>
      <c r="C30" s="160">
        <v>28</v>
      </c>
      <c r="D30" s="160">
        <v>1</v>
      </c>
      <c r="E30" s="160" t="s">
        <v>67</v>
      </c>
      <c r="F30" s="160" t="s">
        <v>526</v>
      </c>
      <c r="G30" s="160" t="s">
        <v>44</v>
      </c>
      <c r="H30" s="161" t="s">
        <v>1864</v>
      </c>
      <c r="I30" s="162">
        <v>359</v>
      </c>
      <c r="J30" s="159">
        <v>97.8</v>
      </c>
      <c r="K30" s="163">
        <v>97.5</v>
      </c>
      <c r="L30" s="164">
        <f t="shared" si="0"/>
        <v>195.3</v>
      </c>
      <c r="M30" s="165">
        <f t="shared" si="1"/>
        <v>0.54401114206128132</v>
      </c>
      <c r="N30" s="122"/>
    </row>
    <row r="31" spans="2:14" x14ac:dyDescent="0.25">
      <c r="B31" s="121"/>
      <c r="C31" s="159"/>
      <c r="D31" s="159"/>
      <c r="E31" s="159"/>
      <c r="F31" s="159"/>
      <c r="G31" s="160"/>
      <c r="H31" s="161"/>
      <c r="I31" s="162"/>
      <c r="J31" s="159"/>
      <c r="K31" s="163"/>
      <c r="L31" s="164">
        <f t="shared" si="0"/>
        <v>0</v>
      </c>
      <c r="M31" s="165" t="e">
        <f t="shared" si="1"/>
        <v>#DIV/0!</v>
      </c>
      <c r="N31" s="122"/>
    </row>
    <row r="32" spans="2:14" x14ac:dyDescent="0.25">
      <c r="B32" s="121"/>
      <c r="C32" s="159"/>
      <c r="D32" s="159"/>
      <c r="E32" s="159"/>
      <c r="F32" s="159"/>
      <c r="G32" s="160"/>
      <c r="H32" s="161"/>
      <c r="I32" s="162"/>
      <c r="J32" s="159"/>
      <c r="K32" s="163"/>
      <c r="L32" s="164">
        <f t="shared" si="0"/>
        <v>0</v>
      </c>
      <c r="M32" s="165" t="e">
        <f t="shared" si="1"/>
        <v>#DIV/0!</v>
      </c>
      <c r="N32" s="122"/>
    </row>
    <row r="33" spans="2:14" x14ac:dyDescent="0.25">
      <c r="B33" s="121"/>
      <c r="C33" s="160"/>
      <c r="D33" s="160"/>
      <c r="E33" s="160"/>
      <c r="F33" s="160"/>
      <c r="G33" s="160"/>
      <c r="H33" s="161"/>
      <c r="I33" s="162"/>
      <c r="J33" s="159"/>
      <c r="K33" s="163"/>
      <c r="L33" s="164">
        <f t="shared" si="0"/>
        <v>0</v>
      </c>
      <c r="M33" s="165" t="e">
        <f t="shared" si="1"/>
        <v>#DIV/0!</v>
      </c>
      <c r="N33" s="122"/>
    </row>
    <row r="34" spans="2:14" x14ac:dyDescent="0.25">
      <c r="B34" s="121"/>
      <c r="C34" s="159"/>
      <c r="D34" s="159"/>
      <c r="E34" s="159"/>
      <c r="F34" s="159"/>
      <c r="G34" s="160"/>
      <c r="H34" s="161"/>
      <c r="I34" s="162"/>
      <c r="J34" s="159"/>
      <c r="K34" s="166"/>
      <c r="L34" s="164">
        <f t="shared" si="0"/>
        <v>0</v>
      </c>
      <c r="M34" s="167" t="e">
        <f t="shared" si="1"/>
        <v>#DIV/0!</v>
      </c>
      <c r="N34" s="122"/>
    </row>
    <row r="35" spans="2:14" x14ac:dyDescent="0.25">
      <c r="B35" s="121"/>
      <c r="C35" s="159"/>
      <c r="D35" s="159"/>
      <c r="E35" s="159"/>
      <c r="F35" s="159"/>
      <c r="G35" s="160"/>
      <c r="H35" s="161"/>
      <c r="I35" s="162"/>
      <c r="J35" s="159"/>
      <c r="K35" s="163"/>
      <c r="L35" s="164">
        <f t="shared" si="0"/>
        <v>0</v>
      </c>
      <c r="M35" s="165" t="e">
        <f t="shared" si="1"/>
        <v>#DIV/0!</v>
      </c>
      <c r="N35" s="122"/>
    </row>
    <row r="36" spans="2:14" x14ac:dyDescent="0.25">
      <c r="B36" s="121"/>
      <c r="C36" s="159"/>
      <c r="D36" s="159"/>
      <c r="E36" s="159"/>
      <c r="F36" s="159"/>
      <c r="G36" s="160"/>
      <c r="H36" s="161"/>
      <c r="I36" s="162"/>
      <c r="J36" s="159"/>
      <c r="K36" s="163"/>
      <c r="L36" s="164">
        <f t="shared" si="0"/>
        <v>0</v>
      </c>
      <c r="M36" s="165" t="e">
        <f t="shared" si="1"/>
        <v>#DIV/0!</v>
      </c>
      <c r="N36" s="122"/>
    </row>
    <row r="37" spans="2:14" x14ac:dyDescent="0.25">
      <c r="B37" s="121"/>
      <c r="C37" s="159"/>
      <c r="D37" s="159"/>
      <c r="E37" s="159"/>
      <c r="F37" s="159"/>
      <c r="G37" s="160"/>
      <c r="H37" s="161"/>
      <c r="I37" s="162"/>
      <c r="J37" s="159"/>
      <c r="K37" s="163"/>
      <c r="L37" s="164">
        <f t="shared" si="0"/>
        <v>0</v>
      </c>
      <c r="M37" s="165" t="e">
        <f t="shared" si="1"/>
        <v>#DIV/0!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333"/>
      <c r="D66" s="333">
        <f>+COUNT($D$22:$D$65)</f>
        <v>8</v>
      </c>
      <c r="E66" s="333"/>
      <c r="F66" s="373"/>
      <c r="G66" s="373"/>
      <c r="H66" s="149"/>
      <c r="I66" s="148">
        <f>SUM($I$22:$I$65)</f>
        <v>2542</v>
      </c>
      <c r="J66" s="150">
        <f>SUM($J$22:$J$65)</f>
        <v>708.39999999999986</v>
      </c>
      <c r="K66" s="151">
        <f>SUM($K$22:$K$65)</f>
        <v>708</v>
      </c>
      <c r="L66" s="148">
        <f>SUM($L$22:$L$65)</f>
        <v>1416.3999999999999</v>
      </c>
      <c r="M66" s="178">
        <f t="shared" si="1"/>
        <v>0.55719905586152629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15.16</v>
      </c>
      <c r="I71" s="119">
        <v>14.28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8</v>
      </c>
      <c r="I72" s="119">
        <v>10.02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8</v>
      </c>
      <c r="I73" s="119">
        <v>35.599999999999994</v>
      </c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8</v>
      </c>
      <c r="I74" s="119">
        <v>7.94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4.9800000000000004</v>
      </c>
      <c r="I75" s="119">
        <v>4.68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16</v>
      </c>
      <c r="I76" s="119">
        <v>5.9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32</v>
      </c>
      <c r="I77" s="119">
        <v>3.52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8</v>
      </c>
      <c r="I78" s="119">
        <v>6.38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8</v>
      </c>
      <c r="I79" s="119">
        <v>5.04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10.1</v>
      </c>
      <c r="I80" s="119">
        <v>9.48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8</v>
      </c>
      <c r="I81" s="119">
        <v>6.86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8</v>
      </c>
      <c r="I82" s="119">
        <v>2.62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5.4</v>
      </c>
      <c r="I83" s="119">
        <v>4.9800000000000004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117.3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8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5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opLeftCell="E61" zoomScale="90" zoomScaleNormal="90" workbookViewId="0">
      <selection activeCell="I71" sqref="I71:I83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0.57647881694644287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240.39166666666668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334</v>
      </c>
      <c r="F8" s="344"/>
      <c r="G8" s="344"/>
      <c r="H8" s="345"/>
      <c r="I8" s="146" t="s">
        <v>487</v>
      </c>
      <c r="J8" s="346" t="s">
        <v>618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28012</v>
      </c>
      <c r="F9" s="344"/>
      <c r="G9" s="344"/>
      <c r="H9" s="345"/>
      <c r="I9" s="146" t="s">
        <v>88</v>
      </c>
      <c r="J9" s="209" t="s">
        <v>1896</v>
      </c>
      <c r="K9" s="330" t="s">
        <v>490</v>
      </c>
      <c r="L9" s="369" t="s">
        <v>1897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331" t="s">
        <v>569</v>
      </c>
      <c r="E12" s="384">
        <v>46085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102</v>
      </c>
      <c r="F13" s="349"/>
      <c r="H13" s="117"/>
      <c r="I13" s="123"/>
      <c r="J13" s="215" t="s">
        <v>483</v>
      </c>
      <c r="K13" s="332">
        <f>+COUNTIF($G$22:$G$66,"VQ")*2</f>
        <v>0</v>
      </c>
      <c r="L13" s="332">
        <f>+SUMIF($G$23:$G$65,"VQ",$L$23:$L$65)</f>
        <v>0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12</v>
      </c>
      <c r="F14" s="350"/>
      <c r="H14" s="117"/>
      <c r="I14" s="123"/>
      <c r="J14" s="215" t="s">
        <v>42</v>
      </c>
      <c r="K14" s="332">
        <f>+COUNTIF($G$22:$G$66,"NT")*2</f>
        <v>0</v>
      </c>
      <c r="L14" s="332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5004</v>
      </c>
      <c r="F15" s="350"/>
      <c r="H15" s="117"/>
      <c r="I15" s="123"/>
      <c r="J15" s="215" t="s">
        <v>484</v>
      </c>
      <c r="K15" s="332">
        <f>+COUNTIF($G$22:$G$66,"NO")*2</f>
        <v>0</v>
      </c>
      <c r="L15" s="332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2884.7000000000003</v>
      </c>
      <c r="F16" s="350"/>
      <c r="H16" s="117"/>
      <c r="I16" s="123"/>
      <c r="J16" s="215" t="s">
        <v>485</v>
      </c>
      <c r="K16" s="332">
        <f>+COUNTIF($G$22:$G$66,"TO")*2</f>
        <v>0</v>
      </c>
      <c r="L16" s="332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0.57647881694644287</v>
      </c>
      <c r="F17" s="350"/>
      <c r="G17" s="124"/>
      <c r="H17" s="125"/>
      <c r="I17" s="123"/>
      <c r="J17" s="215" t="s">
        <v>486</v>
      </c>
      <c r="K17" s="332">
        <f>+COUNTIF($G$22:$G$66,"VA")*2</f>
        <v>0</v>
      </c>
      <c r="L17" s="332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240.39166666666668</v>
      </c>
      <c r="F18" s="353"/>
      <c r="G18" s="124"/>
      <c r="H18" s="125"/>
      <c r="I18" s="123"/>
      <c r="J18" s="215" t="s">
        <v>44</v>
      </c>
      <c r="K18" s="332">
        <f>+COUNTIF($G$22:$G$66,"MEJ")*2</f>
        <v>24</v>
      </c>
      <c r="L18" s="332">
        <f>+SUMIF($G$23:$G$65,"MEJ",$L$23:$L$65)</f>
        <v>2884.7000000000003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29</v>
      </c>
      <c r="D23" s="152">
        <v>10</v>
      </c>
      <c r="E23" s="152" t="s">
        <v>67</v>
      </c>
      <c r="F23" s="152" t="s">
        <v>526</v>
      </c>
      <c r="G23" s="153" t="s">
        <v>44</v>
      </c>
      <c r="H23" s="154" t="s">
        <v>1865</v>
      </c>
      <c r="I23" s="155">
        <v>380</v>
      </c>
      <c r="J23" s="152">
        <v>108.1</v>
      </c>
      <c r="K23" s="156">
        <v>106</v>
      </c>
      <c r="L23" s="157">
        <f t="shared" ref="L23:L65" si="0">+J23+K23</f>
        <v>214.1</v>
      </c>
      <c r="M23" s="158">
        <f t="shared" ref="M23:M66" si="1">+L23/I23</f>
        <v>0.56342105263157893</v>
      </c>
      <c r="N23" s="122"/>
    </row>
    <row r="24" spans="2:14" x14ac:dyDescent="0.25">
      <c r="B24" s="121"/>
      <c r="C24" s="159">
        <v>30</v>
      </c>
      <c r="D24" s="159">
        <v>8</v>
      </c>
      <c r="E24" s="159" t="s">
        <v>67</v>
      </c>
      <c r="F24" s="159" t="s">
        <v>526</v>
      </c>
      <c r="G24" s="160" t="s">
        <v>44</v>
      </c>
      <c r="H24" s="161" t="s">
        <v>435</v>
      </c>
      <c r="I24" s="162">
        <v>400</v>
      </c>
      <c r="J24" s="159">
        <v>130.9</v>
      </c>
      <c r="K24" s="163">
        <v>128.30000000000001</v>
      </c>
      <c r="L24" s="164">
        <f t="shared" si="0"/>
        <v>259.20000000000005</v>
      </c>
      <c r="M24" s="165">
        <f t="shared" si="1"/>
        <v>0.64800000000000013</v>
      </c>
      <c r="N24" s="122"/>
    </row>
    <row r="25" spans="2:14" x14ac:dyDescent="0.25">
      <c r="B25" s="121"/>
      <c r="C25" s="159">
        <v>31</v>
      </c>
      <c r="D25" s="159">
        <v>5</v>
      </c>
      <c r="E25" s="159" t="s">
        <v>68</v>
      </c>
      <c r="F25" s="159" t="s">
        <v>526</v>
      </c>
      <c r="G25" s="160" t="s">
        <v>44</v>
      </c>
      <c r="H25" s="161" t="s">
        <v>1866</v>
      </c>
      <c r="I25" s="162">
        <v>368</v>
      </c>
      <c r="J25" s="159">
        <v>105.7</v>
      </c>
      <c r="K25" s="163">
        <v>104.5</v>
      </c>
      <c r="L25" s="164">
        <f t="shared" si="0"/>
        <v>210.2</v>
      </c>
      <c r="M25" s="165">
        <f t="shared" si="1"/>
        <v>0.57119565217391299</v>
      </c>
      <c r="N25" s="122"/>
    </row>
    <row r="26" spans="2:14" x14ac:dyDescent="0.25">
      <c r="B26" s="121"/>
      <c r="C26" s="159">
        <v>32</v>
      </c>
      <c r="D26" s="159">
        <v>4</v>
      </c>
      <c r="E26" s="159" t="s">
        <v>75</v>
      </c>
      <c r="F26" s="159" t="s">
        <v>526</v>
      </c>
      <c r="G26" s="160" t="s">
        <v>44</v>
      </c>
      <c r="H26" s="161" t="s">
        <v>921</v>
      </c>
      <c r="I26" s="162">
        <v>363</v>
      </c>
      <c r="J26" s="159">
        <v>108.3</v>
      </c>
      <c r="K26" s="163">
        <v>106.2</v>
      </c>
      <c r="L26" s="164">
        <f t="shared" si="0"/>
        <v>214.5</v>
      </c>
      <c r="M26" s="165">
        <f t="shared" si="1"/>
        <v>0.59090909090909094</v>
      </c>
      <c r="N26" s="122"/>
    </row>
    <row r="27" spans="2:14" x14ac:dyDescent="0.25">
      <c r="B27" s="121"/>
      <c r="C27" s="159">
        <v>33</v>
      </c>
      <c r="D27" s="159">
        <v>12</v>
      </c>
      <c r="E27" s="159" t="s">
        <v>67</v>
      </c>
      <c r="F27" s="159" t="s">
        <v>526</v>
      </c>
      <c r="G27" s="160" t="s">
        <v>44</v>
      </c>
      <c r="H27" s="161" t="s">
        <v>1718</v>
      </c>
      <c r="I27" s="162">
        <v>456</v>
      </c>
      <c r="J27" s="159">
        <v>136.80000000000001</v>
      </c>
      <c r="K27" s="163">
        <v>133.5</v>
      </c>
      <c r="L27" s="164">
        <f t="shared" si="0"/>
        <v>270.3</v>
      </c>
      <c r="M27" s="165">
        <f t="shared" si="1"/>
        <v>0.59276315789473688</v>
      </c>
      <c r="N27" s="122"/>
    </row>
    <row r="28" spans="2:14" x14ac:dyDescent="0.25">
      <c r="B28" s="121"/>
      <c r="C28" s="159">
        <v>34</v>
      </c>
      <c r="D28" s="159">
        <v>6</v>
      </c>
      <c r="E28" s="159" t="s">
        <v>67</v>
      </c>
      <c r="F28" s="159" t="s">
        <v>526</v>
      </c>
      <c r="G28" s="160" t="s">
        <v>44</v>
      </c>
      <c r="H28" s="161" t="s">
        <v>425</v>
      </c>
      <c r="I28" s="162">
        <v>407</v>
      </c>
      <c r="J28" s="159">
        <v>118.6</v>
      </c>
      <c r="K28" s="163">
        <v>117.1</v>
      </c>
      <c r="L28" s="164">
        <f t="shared" si="0"/>
        <v>235.7</v>
      </c>
      <c r="M28" s="165">
        <f t="shared" si="1"/>
        <v>0.57911547911547911</v>
      </c>
      <c r="N28" s="122"/>
    </row>
    <row r="29" spans="2:14" x14ac:dyDescent="0.25">
      <c r="B29" s="121"/>
      <c r="C29" s="160">
        <v>35</v>
      </c>
      <c r="D29" s="160">
        <v>9</v>
      </c>
      <c r="E29" s="160" t="s">
        <v>67</v>
      </c>
      <c r="F29" s="160" t="s">
        <v>526</v>
      </c>
      <c r="G29" s="160" t="s">
        <v>44</v>
      </c>
      <c r="H29" s="161" t="s">
        <v>1867</v>
      </c>
      <c r="I29" s="162">
        <v>433</v>
      </c>
      <c r="J29" s="159">
        <v>110.5</v>
      </c>
      <c r="K29" s="163">
        <v>110</v>
      </c>
      <c r="L29" s="164">
        <f t="shared" si="0"/>
        <v>220.5</v>
      </c>
      <c r="M29" s="165">
        <f t="shared" si="1"/>
        <v>0.50923787528868358</v>
      </c>
      <c r="N29" s="122"/>
    </row>
    <row r="30" spans="2:14" x14ac:dyDescent="0.25">
      <c r="B30" s="121"/>
      <c r="C30" s="160">
        <v>36</v>
      </c>
      <c r="D30" s="160">
        <v>7</v>
      </c>
      <c r="E30" s="160" t="s">
        <v>67</v>
      </c>
      <c r="F30" s="160" t="s">
        <v>526</v>
      </c>
      <c r="G30" s="160" t="s">
        <v>44</v>
      </c>
      <c r="H30" s="161" t="s">
        <v>1868</v>
      </c>
      <c r="I30" s="162">
        <v>430</v>
      </c>
      <c r="J30" s="159">
        <v>121.1</v>
      </c>
      <c r="K30" s="163">
        <v>121.5</v>
      </c>
      <c r="L30" s="164">
        <f t="shared" si="0"/>
        <v>242.6</v>
      </c>
      <c r="M30" s="165">
        <f t="shared" si="1"/>
        <v>0.56418604651162785</v>
      </c>
      <c r="N30" s="122"/>
    </row>
    <row r="31" spans="2:14" x14ac:dyDescent="0.25">
      <c r="B31" s="121"/>
      <c r="C31" s="159">
        <v>37</v>
      </c>
      <c r="D31" s="159">
        <v>1</v>
      </c>
      <c r="E31" s="159" t="s">
        <v>75</v>
      </c>
      <c r="F31" s="159" t="s">
        <v>526</v>
      </c>
      <c r="G31" s="160" t="s">
        <v>44</v>
      </c>
      <c r="H31" s="161" t="s">
        <v>1869</v>
      </c>
      <c r="I31" s="162">
        <v>411</v>
      </c>
      <c r="J31" s="159">
        <v>115.6</v>
      </c>
      <c r="K31" s="163">
        <v>114.8</v>
      </c>
      <c r="L31" s="164">
        <f t="shared" si="0"/>
        <v>230.39999999999998</v>
      </c>
      <c r="M31" s="165">
        <f t="shared" si="1"/>
        <v>0.56058394160583935</v>
      </c>
      <c r="N31" s="122"/>
    </row>
    <row r="32" spans="2:14" x14ac:dyDescent="0.25">
      <c r="B32" s="121"/>
      <c r="C32" s="159">
        <v>38</v>
      </c>
      <c r="D32" s="159">
        <v>2</v>
      </c>
      <c r="E32" s="159" t="s">
        <v>67</v>
      </c>
      <c r="F32" s="159" t="s">
        <v>526</v>
      </c>
      <c r="G32" s="160" t="s">
        <v>44</v>
      </c>
      <c r="H32" s="161" t="s">
        <v>1489</v>
      </c>
      <c r="I32" s="162">
        <v>421</v>
      </c>
      <c r="J32" s="159">
        <v>119.4</v>
      </c>
      <c r="K32" s="163">
        <v>120.4</v>
      </c>
      <c r="L32" s="164">
        <f t="shared" si="0"/>
        <v>239.8</v>
      </c>
      <c r="M32" s="165">
        <f t="shared" si="1"/>
        <v>0.56959619952494067</v>
      </c>
      <c r="N32" s="122"/>
    </row>
    <row r="33" spans="2:14" x14ac:dyDescent="0.25">
      <c r="B33" s="121"/>
      <c r="C33" s="160">
        <v>39</v>
      </c>
      <c r="D33" s="160">
        <v>11</v>
      </c>
      <c r="E33" s="160" t="s">
        <v>67</v>
      </c>
      <c r="F33" s="160" t="s">
        <v>526</v>
      </c>
      <c r="G33" s="160" t="s">
        <v>44</v>
      </c>
      <c r="H33" s="161" t="s">
        <v>1870</v>
      </c>
      <c r="I33" s="162">
        <v>498</v>
      </c>
      <c r="J33" s="159">
        <v>150.69999999999999</v>
      </c>
      <c r="K33" s="163">
        <v>148.80000000000001</v>
      </c>
      <c r="L33" s="164">
        <f t="shared" si="0"/>
        <v>299.5</v>
      </c>
      <c r="M33" s="165">
        <f t="shared" si="1"/>
        <v>0.60140562248995988</v>
      </c>
      <c r="N33" s="122"/>
    </row>
    <row r="34" spans="2:14" x14ac:dyDescent="0.25">
      <c r="B34" s="121"/>
      <c r="C34" s="159">
        <v>40</v>
      </c>
      <c r="D34" s="159">
        <v>3</v>
      </c>
      <c r="E34" s="159" t="s">
        <v>67</v>
      </c>
      <c r="F34" s="159" t="s">
        <v>526</v>
      </c>
      <c r="G34" s="160" t="s">
        <v>44</v>
      </c>
      <c r="H34" s="161" t="s">
        <v>1871</v>
      </c>
      <c r="I34" s="162">
        <v>437</v>
      </c>
      <c r="J34" s="159">
        <v>125.5</v>
      </c>
      <c r="K34" s="166">
        <v>122.4</v>
      </c>
      <c r="L34" s="164">
        <f t="shared" si="0"/>
        <v>247.9</v>
      </c>
      <c r="M34" s="167">
        <f t="shared" si="1"/>
        <v>0.5672768878718536</v>
      </c>
      <c r="N34" s="122"/>
    </row>
    <row r="35" spans="2:14" x14ac:dyDescent="0.25">
      <c r="B35" s="121"/>
      <c r="C35" s="159"/>
      <c r="D35" s="159"/>
      <c r="E35" s="159"/>
      <c r="F35" s="159"/>
      <c r="G35" s="160"/>
      <c r="H35" s="161"/>
      <c r="I35" s="162"/>
      <c r="J35" s="159"/>
      <c r="K35" s="163"/>
      <c r="L35" s="164">
        <f t="shared" si="0"/>
        <v>0</v>
      </c>
      <c r="M35" s="165" t="e">
        <f t="shared" si="1"/>
        <v>#DIV/0!</v>
      </c>
      <c r="N35" s="122"/>
    </row>
    <row r="36" spans="2:14" x14ac:dyDescent="0.25">
      <c r="B36" s="121"/>
      <c r="C36" s="159"/>
      <c r="D36" s="159"/>
      <c r="E36" s="159"/>
      <c r="F36" s="159"/>
      <c r="G36" s="160"/>
      <c r="H36" s="161"/>
      <c r="I36" s="162"/>
      <c r="J36" s="159"/>
      <c r="K36" s="163"/>
      <c r="L36" s="164">
        <f t="shared" si="0"/>
        <v>0</v>
      </c>
      <c r="M36" s="165" t="e">
        <f t="shared" si="1"/>
        <v>#DIV/0!</v>
      </c>
      <c r="N36" s="122"/>
    </row>
    <row r="37" spans="2:14" x14ac:dyDescent="0.25">
      <c r="B37" s="121"/>
      <c r="C37" s="159"/>
      <c r="D37" s="159"/>
      <c r="E37" s="159"/>
      <c r="F37" s="159"/>
      <c r="G37" s="160"/>
      <c r="H37" s="161"/>
      <c r="I37" s="162"/>
      <c r="J37" s="159"/>
      <c r="K37" s="163"/>
      <c r="L37" s="164">
        <f t="shared" si="0"/>
        <v>0</v>
      </c>
      <c r="M37" s="165" t="e">
        <f t="shared" si="1"/>
        <v>#DIV/0!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333"/>
      <c r="D66" s="333">
        <f>+COUNT($D$22:$D$65)</f>
        <v>12</v>
      </c>
      <c r="E66" s="333"/>
      <c r="F66" s="373"/>
      <c r="G66" s="373"/>
      <c r="H66" s="149"/>
      <c r="I66" s="148">
        <f>SUM($I$22:$I$65)</f>
        <v>5004</v>
      </c>
      <c r="J66" s="150">
        <f>SUM($J$22:$J$65)</f>
        <v>1451.2</v>
      </c>
      <c r="K66" s="151">
        <f>SUM($K$22:$K$65)</f>
        <v>1433.5000000000002</v>
      </c>
      <c r="L66" s="148">
        <f>SUM($L$22:$L$65)</f>
        <v>2884.7000000000003</v>
      </c>
      <c r="M66" s="178">
        <f t="shared" si="1"/>
        <v>0.57647881694644287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42.14</v>
      </c>
      <c r="I71" s="119">
        <v>39.599999999999994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22</v>
      </c>
      <c r="I72" s="119">
        <v>30.439999999999998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15</v>
      </c>
      <c r="I73" s="119">
        <v>66.959999999999994</v>
      </c>
      <c r="J73" s="181">
        <v>7</v>
      </c>
      <c r="K73" s="185">
        <v>38.56</v>
      </c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22</v>
      </c>
      <c r="I74" s="119">
        <v>21.26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14.8</v>
      </c>
      <c r="I75" s="119">
        <v>14.36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44</v>
      </c>
      <c r="I76" s="119">
        <v>17.5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18</v>
      </c>
      <c r="I77" s="119">
        <v>10.66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22</v>
      </c>
      <c r="I78" s="119">
        <v>18.920000000000002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22</v>
      </c>
      <c r="I79" s="119">
        <v>15.14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28.28</v>
      </c>
      <c r="I80" s="119">
        <v>26.66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22</v>
      </c>
      <c r="I81" s="119">
        <v>22.380000000000003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22</v>
      </c>
      <c r="I82" s="119">
        <v>6.86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14.72</v>
      </c>
      <c r="I83" s="119">
        <v>14.02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304.76</v>
      </c>
      <c r="J84" s="187">
        <f>SUM(J71:J83)</f>
        <v>7</v>
      </c>
      <c r="K84" s="186">
        <f>SUM(K71:K83)</f>
        <v>38.56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12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4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E13" sqref="E13:F13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0.57333105100992809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167.46999999999997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334</v>
      </c>
      <c r="F8" s="344"/>
      <c r="G8" s="344"/>
      <c r="H8" s="345"/>
      <c r="I8" s="146" t="s">
        <v>487</v>
      </c>
      <c r="J8" s="346" t="s">
        <v>1898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28013</v>
      </c>
      <c r="F9" s="344"/>
      <c r="G9" s="344"/>
      <c r="H9" s="345"/>
      <c r="I9" s="146" t="s">
        <v>88</v>
      </c>
      <c r="J9" s="209" t="s">
        <v>1899</v>
      </c>
      <c r="K9" s="330" t="s">
        <v>490</v>
      </c>
      <c r="L9" s="369" t="s">
        <v>1900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331" t="s">
        <v>569</v>
      </c>
      <c r="E12" s="384">
        <v>46085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103</v>
      </c>
      <c r="F13" s="349"/>
      <c r="H13" s="117"/>
      <c r="I13" s="123"/>
      <c r="J13" s="215" t="s">
        <v>483</v>
      </c>
      <c r="K13" s="332">
        <f>+COUNTIF($G$22:$G$66,"VQ")*2</f>
        <v>10</v>
      </c>
      <c r="L13" s="332">
        <f>+SUMIF($G$23:$G$65,"VQ",$L$23:$L$65)</f>
        <v>767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10</v>
      </c>
      <c r="F14" s="350"/>
      <c r="H14" s="117"/>
      <c r="I14" s="123"/>
      <c r="J14" s="215" t="s">
        <v>42</v>
      </c>
      <c r="K14" s="332">
        <f>+COUNTIF($G$22:$G$66,"NT")*2</f>
        <v>10</v>
      </c>
      <c r="L14" s="332">
        <f>+SUMIF($G$23:$G$65,"NT",$L$23:$L$65)</f>
        <v>907.7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2921</v>
      </c>
      <c r="F15" s="350"/>
      <c r="H15" s="117"/>
      <c r="I15" s="123"/>
      <c r="J15" s="215" t="s">
        <v>484</v>
      </c>
      <c r="K15" s="332">
        <f>+COUNTIF($G$22:$G$66,"NO")*2</f>
        <v>0</v>
      </c>
      <c r="L15" s="332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1674.6999999999998</v>
      </c>
      <c r="F16" s="350"/>
      <c r="H16" s="117"/>
      <c r="I16" s="123"/>
      <c r="J16" s="215" t="s">
        <v>485</v>
      </c>
      <c r="K16" s="332">
        <f>+COUNTIF($G$22:$G$66,"TO")*2</f>
        <v>0</v>
      </c>
      <c r="L16" s="332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0.57333105100992809</v>
      </c>
      <c r="F17" s="350"/>
      <c r="G17" s="124"/>
      <c r="H17" s="125"/>
      <c r="I17" s="123"/>
      <c r="J17" s="215" t="s">
        <v>486</v>
      </c>
      <c r="K17" s="332">
        <f>+COUNTIF($G$22:$G$66,"VA")*2</f>
        <v>0</v>
      </c>
      <c r="L17" s="332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167.46999999999997</v>
      </c>
      <c r="F18" s="353"/>
      <c r="G18" s="124"/>
      <c r="H18" s="125"/>
      <c r="I18" s="123"/>
      <c r="J18" s="215" t="s">
        <v>44</v>
      </c>
      <c r="K18" s="332">
        <f>+COUNTIF($G$22:$G$66,"MEJ")*2</f>
        <v>0</v>
      </c>
      <c r="L18" s="332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41</v>
      </c>
      <c r="D23" s="152">
        <v>1</v>
      </c>
      <c r="E23" s="152" t="s">
        <v>67</v>
      </c>
      <c r="F23" s="152" t="s">
        <v>526</v>
      </c>
      <c r="G23" s="153" t="s">
        <v>42</v>
      </c>
      <c r="H23" s="154" t="s">
        <v>1872</v>
      </c>
      <c r="I23" s="155">
        <v>320</v>
      </c>
      <c r="J23" s="152">
        <v>90.4</v>
      </c>
      <c r="K23" s="156">
        <v>90.6</v>
      </c>
      <c r="L23" s="157">
        <f t="shared" ref="L23:L65" si="0">+J23+K23</f>
        <v>181</v>
      </c>
      <c r="M23" s="158">
        <f t="shared" ref="M23:M66" si="1">+L23/I23</f>
        <v>0.56562500000000004</v>
      </c>
      <c r="N23" s="122"/>
    </row>
    <row r="24" spans="2:14" x14ac:dyDescent="0.25">
      <c r="B24" s="121"/>
      <c r="C24" s="159">
        <v>42</v>
      </c>
      <c r="D24" s="159">
        <v>5</v>
      </c>
      <c r="E24" s="159" t="s">
        <v>67</v>
      </c>
      <c r="F24" s="159" t="s">
        <v>526</v>
      </c>
      <c r="G24" s="160" t="s">
        <v>483</v>
      </c>
      <c r="H24" s="161" t="s">
        <v>1873</v>
      </c>
      <c r="I24" s="162">
        <v>259</v>
      </c>
      <c r="J24" s="159">
        <v>75.900000000000006</v>
      </c>
      <c r="K24" s="163">
        <v>75.3</v>
      </c>
      <c r="L24" s="164">
        <f t="shared" si="0"/>
        <v>151.19999999999999</v>
      </c>
      <c r="M24" s="165">
        <f t="shared" si="1"/>
        <v>0.58378378378378371</v>
      </c>
      <c r="N24" s="122"/>
    </row>
    <row r="25" spans="2:14" x14ac:dyDescent="0.25">
      <c r="B25" s="121"/>
      <c r="C25" s="159">
        <v>43</v>
      </c>
      <c r="D25" s="159">
        <v>2</v>
      </c>
      <c r="E25" s="159" t="s">
        <v>68</v>
      </c>
      <c r="F25" s="159" t="s">
        <v>526</v>
      </c>
      <c r="G25" s="160" t="s">
        <v>42</v>
      </c>
      <c r="H25" s="161" t="s">
        <v>1874</v>
      </c>
      <c r="I25" s="162">
        <v>338</v>
      </c>
      <c r="J25" s="159">
        <v>97.6</v>
      </c>
      <c r="K25" s="163">
        <v>96.8</v>
      </c>
      <c r="L25" s="164">
        <f t="shared" si="0"/>
        <v>194.39999999999998</v>
      </c>
      <c r="M25" s="165">
        <f t="shared" si="1"/>
        <v>0.57514792899408274</v>
      </c>
      <c r="N25" s="122"/>
    </row>
    <row r="26" spans="2:14" x14ac:dyDescent="0.25">
      <c r="B26" s="121"/>
      <c r="C26" s="159">
        <v>44</v>
      </c>
      <c r="D26" s="159">
        <v>4</v>
      </c>
      <c r="E26" s="159" t="s">
        <v>67</v>
      </c>
      <c r="F26" s="159" t="s">
        <v>526</v>
      </c>
      <c r="G26" s="160" t="s">
        <v>483</v>
      </c>
      <c r="H26" s="161" t="s">
        <v>1875</v>
      </c>
      <c r="I26" s="162">
        <v>263</v>
      </c>
      <c r="J26" s="159">
        <v>69.3</v>
      </c>
      <c r="K26" s="163">
        <v>66.5</v>
      </c>
      <c r="L26" s="164">
        <f t="shared" si="0"/>
        <v>135.80000000000001</v>
      </c>
      <c r="M26" s="165">
        <f t="shared" si="1"/>
        <v>0.5163498098859316</v>
      </c>
      <c r="N26" s="122"/>
    </row>
    <row r="27" spans="2:14" x14ac:dyDescent="0.25">
      <c r="B27" s="121"/>
      <c r="C27" s="159">
        <v>45</v>
      </c>
      <c r="D27" s="159">
        <v>8</v>
      </c>
      <c r="E27" s="159" t="s">
        <v>68</v>
      </c>
      <c r="F27" s="159" t="s">
        <v>526</v>
      </c>
      <c r="G27" s="160" t="s">
        <v>42</v>
      </c>
      <c r="H27" s="161" t="s">
        <v>431</v>
      </c>
      <c r="I27" s="162">
        <v>327</v>
      </c>
      <c r="J27" s="159">
        <v>95.6</v>
      </c>
      <c r="K27" s="163">
        <v>94.7</v>
      </c>
      <c r="L27" s="164">
        <f t="shared" si="0"/>
        <v>190.3</v>
      </c>
      <c r="M27" s="165">
        <f t="shared" si="1"/>
        <v>0.58195718654434259</v>
      </c>
      <c r="N27" s="122"/>
    </row>
    <row r="28" spans="2:14" x14ac:dyDescent="0.25">
      <c r="B28" s="121"/>
      <c r="C28" s="159">
        <v>46</v>
      </c>
      <c r="D28" s="159">
        <v>7</v>
      </c>
      <c r="E28" s="159" t="s">
        <v>67</v>
      </c>
      <c r="F28" s="159" t="s">
        <v>526</v>
      </c>
      <c r="G28" s="160" t="s">
        <v>483</v>
      </c>
      <c r="H28" s="161" t="s">
        <v>1876</v>
      </c>
      <c r="I28" s="162">
        <v>278</v>
      </c>
      <c r="J28" s="159">
        <v>81.400000000000006</v>
      </c>
      <c r="K28" s="163">
        <v>79.900000000000006</v>
      </c>
      <c r="L28" s="164">
        <f t="shared" si="0"/>
        <v>161.30000000000001</v>
      </c>
      <c r="M28" s="165">
        <f t="shared" si="1"/>
        <v>0.58021582733812949</v>
      </c>
      <c r="N28" s="122"/>
    </row>
    <row r="29" spans="2:14" x14ac:dyDescent="0.25">
      <c r="B29" s="121"/>
      <c r="C29" s="160">
        <v>47</v>
      </c>
      <c r="D29" s="160">
        <v>9</v>
      </c>
      <c r="E29" s="160" t="s">
        <v>67</v>
      </c>
      <c r="F29" s="160" t="s">
        <v>526</v>
      </c>
      <c r="G29" s="160" t="s">
        <v>483</v>
      </c>
      <c r="H29" s="161" t="s">
        <v>1877</v>
      </c>
      <c r="I29" s="162">
        <v>279</v>
      </c>
      <c r="J29" s="159">
        <v>77.7</v>
      </c>
      <c r="K29" s="163">
        <v>78.599999999999994</v>
      </c>
      <c r="L29" s="164">
        <f t="shared" si="0"/>
        <v>156.30000000000001</v>
      </c>
      <c r="M29" s="165">
        <f t="shared" si="1"/>
        <v>0.56021505376344094</v>
      </c>
      <c r="N29" s="122"/>
    </row>
    <row r="30" spans="2:14" x14ac:dyDescent="0.25">
      <c r="B30" s="121"/>
      <c r="C30" s="160">
        <v>48</v>
      </c>
      <c r="D30" s="160">
        <v>10</v>
      </c>
      <c r="E30" s="160" t="s">
        <v>67</v>
      </c>
      <c r="F30" s="160" t="s">
        <v>526</v>
      </c>
      <c r="G30" s="160" t="s">
        <v>483</v>
      </c>
      <c r="H30" s="161" t="s">
        <v>1878</v>
      </c>
      <c r="I30" s="162">
        <v>275</v>
      </c>
      <c r="J30" s="159">
        <v>81.599999999999994</v>
      </c>
      <c r="K30" s="163">
        <v>80.8</v>
      </c>
      <c r="L30" s="164">
        <f t="shared" si="0"/>
        <v>162.39999999999998</v>
      </c>
      <c r="M30" s="165">
        <f t="shared" si="1"/>
        <v>0.59054545454545448</v>
      </c>
      <c r="N30" s="122"/>
    </row>
    <row r="31" spans="2:14" x14ac:dyDescent="0.25">
      <c r="B31" s="121"/>
      <c r="C31" s="159">
        <v>49</v>
      </c>
      <c r="D31" s="159">
        <v>3</v>
      </c>
      <c r="E31" s="159" t="s">
        <v>67</v>
      </c>
      <c r="F31" s="159" t="s">
        <v>526</v>
      </c>
      <c r="G31" s="160" t="s">
        <v>42</v>
      </c>
      <c r="H31" s="161" t="s">
        <v>1879</v>
      </c>
      <c r="I31" s="162">
        <v>255</v>
      </c>
      <c r="J31" s="159">
        <v>71.3</v>
      </c>
      <c r="K31" s="163">
        <v>71.3</v>
      </c>
      <c r="L31" s="164">
        <f t="shared" si="0"/>
        <v>142.6</v>
      </c>
      <c r="M31" s="165">
        <f t="shared" si="1"/>
        <v>0.55921568627450979</v>
      </c>
      <c r="N31" s="122"/>
    </row>
    <row r="32" spans="2:14" x14ac:dyDescent="0.25">
      <c r="B32" s="121"/>
      <c r="C32" s="159">
        <v>50</v>
      </c>
      <c r="D32" s="159">
        <v>6</v>
      </c>
      <c r="E32" s="159" t="s">
        <v>67</v>
      </c>
      <c r="F32" s="159" t="s">
        <v>526</v>
      </c>
      <c r="G32" s="160" t="s">
        <v>42</v>
      </c>
      <c r="H32" s="161" t="s">
        <v>1880</v>
      </c>
      <c r="I32" s="162">
        <v>327</v>
      </c>
      <c r="J32" s="159">
        <v>100.1</v>
      </c>
      <c r="K32" s="163">
        <v>99.3</v>
      </c>
      <c r="L32" s="164">
        <f t="shared" si="0"/>
        <v>199.39999999999998</v>
      </c>
      <c r="M32" s="165">
        <f t="shared" si="1"/>
        <v>0.60978593272171244</v>
      </c>
      <c r="N32" s="122"/>
    </row>
    <row r="33" spans="2:14" x14ac:dyDescent="0.25">
      <c r="B33" s="121"/>
      <c r="C33" s="160"/>
      <c r="D33" s="160"/>
      <c r="E33" s="160"/>
      <c r="F33" s="160"/>
      <c r="G33" s="160"/>
      <c r="H33" s="161"/>
      <c r="I33" s="162"/>
      <c r="J33" s="159"/>
      <c r="K33" s="163"/>
      <c r="L33" s="164">
        <f t="shared" si="0"/>
        <v>0</v>
      </c>
      <c r="M33" s="165" t="e">
        <f t="shared" si="1"/>
        <v>#DIV/0!</v>
      </c>
      <c r="N33" s="122"/>
    </row>
    <row r="34" spans="2:14" x14ac:dyDescent="0.25">
      <c r="B34" s="121"/>
      <c r="C34" s="159"/>
      <c r="D34" s="159"/>
      <c r="E34" s="159"/>
      <c r="F34" s="159"/>
      <c r="G34" s="160"/>
      <c r="H34" s="161"/>
      <c r="I34" s="162"/>
      <c r="J34" s="159"/>
      <c r="K34" s="166"/>
      <c r="L34" s="164">
        <f t="shared" si="0"/>
        <v>0</v>
      </c>
      <c r="M34" s="167" t="e">
        <f t="shared" si="1"/>
        <v>#DIV/0!</v>
      </c>
      <c r="N34" s="122"/>
    </row>
    <row r="35" spans="2:14" x14ac:dyDescent="0.25">
      <c r="B35" s="121"/>
      <c r="C35" s="159"/>
      <c r="D35" s="159"/>
      <c r="E35" s="159"/>
      <c r="F35" s="159"/>
      <c r="G35" s="160"/>
      <c r="H35" s="161"/>
      <c r="I35" s="162"/>
      <c r="J35" s="159"/>
      <c r="K35" s="163"/>
      <c r="L35" s="164">
        <f t="shared" si="0"/>
        <v>0</v>
      </c>
      <c r="M35" s="165" t="e">
        <f t="shared" si="1"/>
        <v>#DIV/0!</v>
      </c>
      <c r="N35" s="122"/>
    </row>
    <row r="36" spans="2:14" x14ac:dyDescent="0.25">
      <c r="B36" s="121"/>
      <c r="C36" s="159"/>
      <c r="D36" s="159"/>
      <c r="E36" s="159"/>
      <c r="F36" s="159"/>
      <c r="G36" s="160"/>
      <c r="H36" s="161"/>
      <c r="I36" s="162"/>
      <c r="J36" s="159"/>
      <c r="K36" s="163"/>
      <c r="L36" s="164">
        <f t="shared" si="0"/>
        <v>0</v>
      </c>
      <c r="M36" s="165" t="e">
        <f t="shared" si="1"/>
        <v>#DIV/0!</v>
      </c>
      <c r="N36" s="122"/>
    </row>
    <row r="37" spans="2:14" x14ac:dyDescent="0.25">
      <c r="B37" s="121"/>
      <c r="C37" s="159"/>
      <c r="D37" s="159"/>
      <c r="E37" s="159"/>
      <c r="F37" s="159"/>
      <c r="G37" s="160"/>
      <c r="H37" s="161"/>
      <c r="I37" s="162"/>
      <c r="J37" s="159"/>
      <c r="K37" s="163"/>
      <c r="L37" s="164">
        <f t="shared" si="0"/>
        <v>0</v>
      </c>
      <c r="M37" s="165" t="e">
        <f t="shared" si="1"/>
        <v>#DIV/0!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333"/>
      <c r="D66" s="333">
        <f>+COUNT($D$22:$D$65)</f>
        <v>10</v>
      </c>
      <c r="E66" s="333"/>
      <c r="F66" s="373"/>
      <c r="G66" s="373"/>
      <c r="H66" s="149"/>
      <c r="I66" s="148">
        <f>SUM($I$22:$I$65)</f>
        <v>2921</v>
      </c>
      <c r="J66" s="150">
        <f>SUM($J$22:$J$65)</f>
        <v>840.9</v>
      </c>
      <c r="K66" s="151">
        <f>SUM($K$22:$K$65)</f>
        <v>833.79999999999984</v>
      </c>
      <c r="L66" s="148">
        <f>SUM($L$22:$L$65)</f>
        <v>1674.6999999999998</v>
      </c>
      <c r="M66" s="178">
        <f t="shared" si="1"/>
        <v>0.57333105100992809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/>
      <c r="I71" s="119"/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/>
      <c r="I72" s="119"/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/>
      <c r="I73" s="119"/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/>
      <c r="I74" s="119"/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/>
      <c r="I75" s="119"/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/>
      <c r="I76" s="119"/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/>
      <c r="I77" s="119"/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/>
      <c r="I78" s="119"/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/>
      <c r="I79" s="119"/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/>
      <c r="I80" s="119"/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/>
      <c r="I81" s="119"/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/>
      <c r="I82" s="119"/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/>
      <c r="I83" s="119"/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0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10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3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zoomScale="90" zoomScaleNormal="90" workbookViewId="0">
      <selection activeCell="I71" sqref="I71:I83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0.57847262582819936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248.82999999999998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303</v>
      </c>
      <c r="F8" s="344"/>
      <c r="G8" s="344"/>
      <c r="H8" s="345"/>
      <c r="I8" s="146" t="s">
        <v>487</v>
      </c>
      <c r="J8" s="346" t="s">
        <v>973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45003</v>
      </c>
      <c r="F9" s="344"/>
      <c r="G9" s="344"/>
      <c r="H9" s="345"/>
      <c r="I9" s="146" t="s">
        <v>88</v>
      </c>
      <c r="J9" s="209" t="s">
        <v>1901</v>
      </c>
      <c r="K9" s="330" t="s">
        <v>490</v>
      </c>
      <c r="L9" s="369">
        <v>23603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331" t="s">
        <v>569</v>
      </c>
      <c r="E12" s="384">
        <v>46085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104</v>
      </c>
      <c r="F13" s="349"/>
      <c r="H13" s="117"/>
      <c r="I13" s="123"/>
      <c r="J13" s="215" t="s">
        <v>483</v>
      </c>
      <c r="K13" s="332">
        <f>+COUNTIF($G$22:$G$66,"VQ")*2</f>
        <v>0</v>
      </c>
      <c r="L13" s="332">
        <f>+SUMIF($G$23:$G$65,"VQ",$L$23:$L$65)</f>
        <v>0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20</v>
      </c>
      <c r="F14" s="350"/>
      <c r="H14" s="117"/>
      <c r="I14" s="123"/>
      <c r="J14" s="215" t="s">
        <v>42</v>
      </c>
      <c r="K14" s="332">
        <f>+COUNTIF($G$22:$G$66,"NT")*2</f>
        <v>0</v>
      </c>
      <c r="L14" s="332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8603</v>
      </c>
      <c r="F15" s="350"/>
      <c r="H15" s="117"/>
      <c r="I15" s="123"/>
      <c r="J15" s="215" t="s">
        <v>484</v>
      </c>
      <c r="K15" s="332">
        <f>+COUNTIF($G$22:$G$66,"NO")*2</f>
        <v>40</v>
      </c>
      <c r="L15" s="332">
        <f>+SUMIF($G$23:$G$65,"NO",$L$23:$L$65)</f>
        <v>4976.5999999999995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4976.5999999999995</v>
      </c>
      <c r="F16" s="350"/>
      <c r="H16" s="117"/>
      <c r="I16" s="123"/>
      <c r="J16" s="215" t="s">
        <v>485</v>
      </c>
      <c r="K16" s="332">
        <f>+COUNTIF($G$22:$G$66,"TO")*2</f>
        <v>0</v>
      </c>
      <c r="L16" s="332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0.57847262582819936</v>
      </c>
      <c r="F17" s="350"/>
      <c r="G17" s="124"/>
      <c r="H17" s="125"/>
      <c r="I17" s="123"/>
      <c r="J17" s="215" t="s">
        <v>486</v>
      </c>
      <c r="K17" s="332">
        <f>+COUNTIF($G$22:$G$66,"VA")*2</f>
        <v>0</v>
      </c>
      <c r="L17" s="332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248.82999999999998</v>
      </c>
      <c r="F18" s="353"/>
      <c r="G18" s="124"/>
      <c r="H18" s="125"/>
      <c r="I18" s="123"/>
      <c r="J18" s="215" t="s">
        <v>44</v>
      </c>
      <c r="K18" s="332">
        <f>+COUNTIF($G$22:$G$66,"MEJ")*2</f>
        <v>0</v>
      </c>
      <c r="L18" s="332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</v>
      </c>
      <c r="D23" s="152">
        <v>11</v>
      </c>
      <c r="E23" s="152" t="s">
        <v>67</v>
      </c>
      <c r="F23" s="152" t="s">
        <v>527</v>
      </c>
      <c r="G23" s="153" t="s">
        <v>484</v>
      </c>
      <c r="H23" s="154" t="s">
        <v>1881</v>
      </c>
      <c r="I23" s="155">
        <v>364</v>
      </c>
      <c r="J23" s="152">
        <v>102.8</v>
      </c>
      <c r="K23" s="156">
        <v>99.4</v>
      </c>
      <c r="L23" s="157">
        <f t="shared" ref="L23:L65" si="0">+J23+K23</f>
        <v>202.2</v>
      </c>
      <c r="M23" s="158">
        <f t="shared" ref="M23:M66" si="1">+L23/I23</f>
        <v>0.55549450549450541</v>
      </c>
      <c r="N23" s="122"/>
    </row>
    <row r="24" spans="2:14" x14ac:dyDescent="0.25">
      <c r="B24" s="121"/>
      <c r="C24" s="159">
        <v>2</v>
      </c>
      <c r="D24" s="159">
        <v>3</v>
      </c>
      <c r="E24" s="159" t="s">
        <v>68</v>
      </c>
      <c r="F24" s="159" t="s">
        <v>750</v>
      </c>
      <c r="G24" s="160" t="s">
        <v>484</v>
      </c>
      <c r="H24" s="161" t="s">
        <v>217</v>
      </c>
      <c r="I24" s="162">
        <v>454</v>
      </c>
      <c r="J24" s="159">
        <v>133.69999999999999</v>
      </c>
      <c r="K24" s="163">
        <v>132.4</v>
      </c>
      <c r="L24" s="164">
        <f t="shared" si="0"/>
        <v>266.10000000000002</v>
      </c>
      <c r="M24" s="165">
        <f t="shared" si="1"/>
        <v>0.58612334801762123</v>
      </c>
      <c r="N24" s="122"/>
    </row>
    <row r="25" spans="2:14" x14ac:dyDescent="0.25">
      <c r="B25" s="121"/>
      <c r="C25" s="159">
        <v>3</v>
      </c>
      <c r="D25" s="159">
        <v>17</v>
      </c>
      <c r="E25" s="159" t="s">
        <v>67</v>
      </c>
      <c r="F25" s="159" t="s">
        <v>591</v>
      </c>
      <c r="G25" s="160" t="s">
        <v>484</v>
      </c>
      <c r="H25" s="161" t="s">
        <v>1882</v>
      </c>
      <c r="I25" s="162">
        <v>512</v>
      </c>
      <c r="J25" s="159">
        <v>144.30000000000001</v>
      </c>
      <c r="K25" s="163">
        <v>148.4</v>
      </c>
      <c r="L25" s="164">
        <f t="shared" si="0"/>
        <v>292.70000000000005</v>
      </c>
      <c r="M25" s="165">
        <f t="shared" si="1"/>
        <v>0.57167968750000009</v>
      </c>
      <c r="N25" s="122"/>
    </row>
    <row r="26" spans="2:14" x14ac:dyDescent="0.25">
      <c r="B26" s="121"/>
      <c r="C26" s="159">
        <v>4</v>
      </c>
      <c r="D26" s="159">
        <v>10</v>
      </c>
      <c r="E26" s="159" t="s">
        <v>67</v>
      </c>
      <c r="F26" s="159" t="s">
        <v>526</v>
      </c>
      <c r="G26" s="160" t="s">
        <v>484</v>
      </c>
      <c r="H26" s="161" t="s">
        <v>250</v>
      </c>
      <c r="I26" s="162">
        <v>388</v>
      </c>
      <c r="J26" s="159">
        <v>109.2</v>
      </c>
      <c r="K26" s="163">
        <v>108.3</v>
      </c>
      <c r="L26" s="164">
        <f t="shared" si="0"/>
        <v>217.5</v>
      </c>
      <c r="M26" s="165">
        <f t="shared" si="1"/>
        <v>0.56056701030927836</v>
      </c>
      <c r="N26" s="122"/>
    </row>
    <row r="27" spans="2:14" x14ac:dyDescent="0.25">
      <c r="B27" s="121"/>
      <c r="C27" s="159">
        <v>5</v>
      </c>
      <c r="D27" s="159">
        <v>9</v>
      </c>
      <c r="E27" s="159" t="s">
        <v>67</v>
      </c>
      <c r="F27" s="159" t="s">
        <v>526</v>
      </c>
      <c r="G27" s="160" t="s">
        <v>484</v>
      </c>
      <c r="H27" s="161" t="s">
        <v>1349</v>
      </c>
      <c r="I27" s="162">
        <v>373</v>
      </c>
      <c r="J27" s="159">
        <v>112.6</v>
      </c>
      <c r="K27" s="163">
        <v>112</v>
      </c>
      <c r="L27" s="164">
        <f t="shared" si="0"/>
        <v>224.6</v>
      </c>
      <c r="M27" s="165">
        <f t="shared" si="1"/>
        <v>0.60214477211796247</v>
      </c>
      <c r="N27" s="122"/>
    </row>
    <row r="28" spans="2:14" x14ac:dyDescent="0.25">
      <c r="B28" s="121"/>
      <c r="C28" s="159">
        <v>6</v>
      </c>
      <c r="D28" s="159">
        <v>1</v>
      </c>
      <c r="E28" s="159" t="s">
        <v>68</v>
      </c>
      <c r="F28" s="159" t="s">
        <v>527</v>
      </c>
      <c r="G28" s="160" t="s">
        <v>484</v>
      </c>
      <c r="H28" s="161" t="s">
        <v>1883</v>
      </c>
      <c r="I28" s="162">
        <v>405</v>
      </c>
      <c r="J28" s="159">
        <v>115.2</v>
      </c>
      <c r="K28" s="163">
        <v>115.6</v>
      </c>
      <c r="L28" s="164">
        <f t="shared" si="0"/>
        <v>230.8</v>
      </c>
      <c r="M28" s="165">
        <f t="shared" si="1"/>
        <v>0.56987654320987657</v>
      </c>
      <c r="N28" s="122"/>
    </row>
    <row r="29" spans="2:14" x14ac:dyDescent="0.25">
      <c r="B29" s="121"/>
      <c r="C29" s="160">
        <v>7</v>
      </c>
      <c r="D29" s="160">
        <v>2</v>
      </c>
      <c r="E29" s="160" t="s">
        <v>67</v>
      </c>
      <c r="F29" s="160" t="s">
        <v>526</v>
      </c>
      <c r="G29" s="160" t="s">
        <v>484</v>
      </c>
      <c r="H29" s="161" t="s">
        <v>1884</v>
      </c>
      <c r="I29" s="162">
        <v>382</v>
      </c>
      <c r="J29" s="159">
        <v>112.2</v>
      </c>
      <c r="K29" s="163">
        <v>109.8</v>
      </c>
      <c r="L29" s="164">
        <f t="shared" si="0"/>
        <v>222</v>
      </c>
      <c r="M29" s="165">
        <f t="shared" si="1"/>
        <v>0.58115183246073299</v>
      </c>
      <c r="N29" s="122"/>
    </row>
    <row r="30" spans="2:14" x14ac:dyDescent="0.25">
      <c r="B30" s="121"/>
      <c r="C30" s="160">
        <v>8</v>
      </c>
      <c r="D30" s="160">
        <v>6</v>
      </c>
      <c r="E30" s="160" t="s">
        <v>75</v>
      </c>
      <c r="F30" s="160" t="s">
        <v>750</v>
      </c>
      <c r="G30" s="160" t="s">
        <v>484</v>
      </c>
      <c r="H30" s="161" t="s">
        <v>322</v>
      </c>
      <c r="I30" s="162">
        <v>485</v>
      </c>
      <c r="J30" s="159">
        <v>139.19999999999999</v>
      </c>
      <c r="K30" s="163">
        <v>139.80000000000001</v>
      </c>
      <c r="L30" s="164">
        <f t="shared" si="0"/>
        <v>279</v>
      </c>
      <c r="M30" s="165">
        <f t="shared" si="1"/>
        <v>0.57525773195876284</v>
      </c>
      <c r="N30" s="122"/>
    </row>
    <row r="31" spans="2:14" x14ac:dyDescent="0.25">
      <c r="B31" s="121"/>
      <c r="C31" s="159">
        <v>9</v>
      </c>
      <c r="D31" s="159">
        <v>13</v>
      </c>
      <c r="E31" s="159" t="s">
        <v>68</v>
      </c>
      <c r="F31" s="159" t="s">
        <v>750</v>
      </c>
      <c r="G31" s="160" t="s">
        <v>484</v>
      </c>
      <c r="H31" s="161" t="s">
        <v>1459</v>
      </c>
      <c r="I31" s="162">
        <v>424</v>
      </c>
      <c r="J31" s="159">
        <v>122.4</v>
      </c>
      <c r="K31" s="163">
        <v>122.4</v>
      </c>
      <c r="L31" s="164">
        <f t="shared" si="0"/>
        <v>244.8</v>
      </c>
      <c r="M31" s="165">
        <f t="shared" si="1"/>
        <v>0.57735849056603772</v>
      </c>
      <c r="N31" s="122"/>
    </row>
    <row r="32" spans="2:14" x14ac:dyDescent="0.25">
      <c r="B32" s="121"/>
      <c r="C32" s="159">
        <v>10</v>
      </c>
      <c r="D32" s="159">
        <v>18</v>
      </c>
      <c r="E32" s="159" t="s">
        <v>67</v>
      </c>
      <c r="F32" s="159" t="s">
        <v>527</v>
      </c>
      <c r="G32" s="160" t="s">
        <v>484</v>
      </c>
      <c r="H32" s="161" t="s">
        <v>1885</v>
      </c>
      <c r="I32" s="162">
        <v>432</v>
      </c>
      <c r="J32" s="159">
        <v>128.4</v>
      </c>
      <c r="K32" s="163">
        <v>126.5</v>
      </c>
      <c r="L32" s="164">
        <f t="shared" si="0"/>
        <v>254.9</v>
      </c>
      <c r="M32" s="165">
        <f t="shared" si="1"/>
        <v>0.59004629629629635</v>
      </c>
      <c r="N32" s="122"/>
    </row>
    <row r="33" spans="2:14" x14ac:dyDescent="0.25">
      <c r="B33" s="121"/>
      <c r="C33" s="160">
        <v>11</v>
      </c>
      <c r="D33" s="160">
        <v>8</v>
      </c>
      <c r="E33" s="160" t="s">
        <v>67</v>
      </c>
      <c r="F33" s="160" t="s">
        <v>591</v>
      </c>
      <c r="G33" s="160" t="s">
        <v>484</v>
      </c>
      <c r="H33" s="161">
        <v>779</v>
      </c>
      <c r="I33" s="162">
        <v>514</v>
      </c>
      <c r="J33" s="159">
        <v>151.6</v>
      </c>
      <c r="K33" s="163">
        <v>151.4</v>
      </c>
      <c r="L33" s="164">
        <f t="shared" si="0"/>
        <v>303</v>
      </c>
      <c r="M33" s="165">
        <f t="shared" si="1"/>
        <v>0.58949416342412453</v>
      </c>
      <c r="N33" s="122"/>
    </row>
    <row r="34" spans="2:14" x14ac:dyDescent="0.25">
      <c r="B34" s="121"/>
      <c r="C34" s="159">
        <v>12</v>
      </c>
      <c r="D34" s="159">
        <v>7</v>
      </c>
      <c r="E34" s="159" t="s">
        <v>67</v>
      </c>
      <c r="F34" s="159" t="s">
        <v>1830</v>
      </c>
      <c r="G34" s="160" t="s">
        <v>484</v>
      </c>
      <c r="H34" s="161" t="s">
        <v>1886</v>
      </c>
      <c r="I34" s="162">
        <v>403</v>
      </c>
      <c r="J34" s="159">
        <v>118.2</v>
      </c>
      <c r="K34" s="166">
        <v>118.1</v>
      </c>
      <c r="L34" s="164">
        <f t="shared" si="0"/>
        <v>236.3</v>
      </c>
      <c r="M34" s="167">
        <f t="shared" si="1"/>
        <v>0.58635235732009927</v>
      </c>
      <c r="N34" s="122"/>
    </row>
    <row r="35" spans="2:14" x14ac:dyDescent="0.25">
      <c r="B35" s="121"/>
      <c r="C35" s="159">
        <v>13</v>
      </c>
      <c r="D35" s="159">
        <v>5</v>
      </c>
      <c r="E35" s="159" t="s">
        <v>67</v>
      </c>
      <c r="F35" s="159" t="s">
        <v>527</v>
      </c>
      <c r="G35" s="160" t="s">
        <v>484</v>
      </c>
      <c r="H35" s="161" t="s">
        <v>1887</v>
      </c>
      <c r="I35" s="162">
        <v>439</v>
      </c>
      <c r="J35" s="159">
        <v>123.8</v>
      </c>
      <c r="K35" s="163">
        <v>124.1</v>
      </c>
      <c r="L35" s="164">
        <f t="shared" si="0"/>
        <v>247.89999999999998</v>
      </c>
      <c r="M35" s="165">
        <f t="shared" si="1"/>
        <v>0.5646924829157175</v>
      </c>
      <c r="N35" s="122"/>
    </row>
    <row r="36" spans="2:14" x14ac:dyDescent="0.25">
      <c r="B36" s="121"/>
      <c r="C36" s="159">
        <v>14</v>
      </c>
      <c r="D36" s="159">
        <v>15</v>
      </c>
      <c r="E36" s="159" t="s">
        <v>67</v>
      </c>
      <c r="F36" s="159" t="s">
        <v>526</v>
      </c>
      <c r="G36" s="160" t="s">
        <v>484</v>
      </c>
      <c r="H36" s="161" t="s">
        <v>1888</v>
      </c>
      <c r="I36" s="162">
        <v>332</v>
      </c>
      <c r="J36" s="159">
        <v>91</v>
      </c>
      <c r="K36" s="163">
        <v>90.9</v>
      </c>
      <c r="L36" s="164">
        <f t="shared" si="0"/>
        <v>181.9</v>
      </c>
      <c r="M36" s="165">
        <f t="shared" si="1"/>
        <v>0.5478915662650603</v>
      </c>
      <c r="N36" s="122"/>
    </row>
    <row r="37" spans="2:14" x14ac:dyDescent="0.25">
      <c r="B37" s="121"/>
      <c r="C37" s="159">
        <v>15</v>
      </c>
      <c r="D37" s="159">
        <v>19</v>
      </c>
      <c r="E37" s="159" t="s">
        <v>67</v>
      </c>
      <c r="F37" s="159" t="s">
        <v>526</v>
      </c>
      <c r="G37" s="160" t="s">
        <v>484</v>
      </c>
      <c r="H37" s="161" t="s">
        <v>1889</v>
      </c>
      <c r="I37" s="162">
        <v>576</v>
      </c>
      <c r="J37" s="159">
        <v>170.3</v>
      </c>
      <c r="K37" s="163">
        <v>168.6</v>
      </c>
      <c r="L37" s="164">
        <f t="shared" si="0"/>
        <v>338.9</v>
      </c>
      <c r="M37" s="165">
        <f t="shared" si="1"/>
        <v>0.58836805555555549</v>
      </c>
      <c r="N37" s="122"/>
    </row>
    <row r="38" spans="2:14" x14ac:dyDescent="0.25">
      <c r="B38" s="121"/>
      <c r="C38" s="159">
        <v>16</v>
      </c>
      <c r="D38" s="159">
        <v>14</v>
      </c>
      <c r="E38" s="159" t="s">
        <v>67</v>
      </c>
      <c r="F38" s="159" t="s">
        <v>526</v>
      </c>
      <c r="G38" s="159" t="s">
        <v>484</v>
      </c>
      <c r="H38" s="168" t="s">
        <v>1890</v>
      </c>
      <c r="I38" s="169">
        <v>415</v>
      </c>
      <c r="J38" s="159">
        <v>126.8</v>
      </c>
      <c r="K38" s="163">
        <v>123.2</v>
      </c>
      <c r="L38" s="164">
        <f t="shared" si="0"/>
        <v>250</v>
      </c>
      <c r="M38" s="165">
        <f t="shared" si="1"/>
        <v>0.60240963855421692</v>
      </c>
      <c r="N38" s="122"/>
    </row>
    <row r="39" spans="2:14" x14ac:dyDescent="0.25">
      <c r="B39" s="121"/>
      <c r="C39" s="159">
        <v>17</v>
      </c>
      <c r="D39" s="159">
        <v>12</v>
      </c>
      <c r="E39" s="159" t="s">
        <v>67</v>
      </c>
      <c r="F39" s="159" t="s">
        <v>526</v>
      </c>
      <c r="G39" s="160" t="s">
        <v>484</v>
      </c>
      <c r="H39" s="161" t="s">
        <v>1891</v>
      </c>
      <c r="I39" s="162">
        <v>374</v>
      </c>
      <c r="J39" s="159">
        <v>106.2</v>
      </c>
      <c r="K39" s="163">
        <v>106.7</v>
      </c>
      <c r="L39" s="164">
        <f t="shared" si="0"/>
        <v>212.9</v>
      </c>
      <c r="M39" s="165">
        <f t="shared" si="1"/>
        <v>0.56925133689839569</v>
      </c>
      <c r="N39" s="122"/>
    </row>
    <row r="40" spans="2:14" x14ac:dyDescent="0.25">
      <c r="B40" s="121"/>
      <c r="C40" s="159">
        <v>18</v>
      </c>
      <c r="D40" s="159">
        <v>20</v>
      </c>
      <c r="E40" s="159" t="s">
        <v>67</v>
      </c>
      <c r="F40" s="159" t="s">
        <v>526</v>
      </c>
      <c r="G40" s="160" t="s">
        <v>484</v>
      </c>
      <c r="H40" s="161" t="s">
        <v>1892</v>
      </c>
      <c r="I40" s="162">
        <v>439</v>
      </c>
      <c r="J40" s="159">
        <v>125.6</v>
      </c>
      <c r="K40" s="163">
        <v>125.2</v>
      </c>
      <c r="L40" s="164">
        <f t="shared" si="0"/>
        <v>250.8</v>
      </c>
      <c r="M40" s="165">
        <f t="shared" si="1"/>
        <v>0.57129840546697042</v>
      </c>
      <c r="N40" s="122"/>
    </row>
    <row r="41" spans="2:14" x14ac:dyDescent="0.25">
      <c r="B41" s="121"/>
      <c r="C41" s="159">
        <v>19</v>
      </c>
      <c r="D41" s="159">
        <v>4</v>
      </c>
      <c r="E41" s="159" t="s">
        <v>67</v>
      </c>
      <c r="F41" s="159" t="s">
        <v>591</v>
      </c>
      <c r="G41" s="160" t="s">
        <v>484</v>
      </c>
      <c r="H41" s="161" t="s">
        <v>505</v>
      </c>
      <c r="I41" s="162">
        <v>506</v>
      </c>
      <c r="J41" s="159">
        <v>144.30000000000001</v>
      </c>
      <c r="K41" s="163">
        <v>146.1</v>
      </c>
      <c r="L41" s="164">
        <f t="shared" si="0"/>
        <v>290.39999999999998</v>
      </c>
      <c r="M41" s="165">
        <f t="shared" si="1"/>
        <v>0.57391304347826078</v>
      </c>
      <c r="N41" s="122"/>
    </row>
    <row r="42" spans="2:14" x14ac:dyDescent="0.25">
      <c r="B42" s="121"/>
      <c r="C42" s="160">
        <v>20</v>
      </c>
      <c r="D42" s="160">
        <v>16</v>
      </c>
      <c r="E42" s="160" t="s">
        <v>67</v>
      </c>
      <c r="F42" s="160" t="s">
        <v>526</v>
      </c>
      <c r="G42" s="160" t="s">
        <v>484</v>
      </c>
      <c r="H42" s="161" t="s">
        <v>1893</v>
      </c>
      <c r="I42" s="162">
        <v>386</v>
      </c>
      <c r="J42" s="159">
        <v>116.1</v>
      </c>
      <c r="K42" s="163">
        <v>113.8</v>
      </c>
      <c r="L42" s="164">
        <f t="shared" si="0"/>
        <v>229.89999999999998</v>
      </c>
      <c r="M42" s="165">
        <f t="shared" si="1"/>
        <v>0.59559585492227973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333"/>
      <c r="D66" s="333">
        <f>+COUNT($D$22:$D$65)</f>
        <v>20</v>
      </c>
      <c r="E66" s="333"/>
      <c r="F66" s="373"/>
      <c r="G66" s="373"/>
      <c r="H66" s="149"/>
      <c r="I66" s="148">
        <f>SUM($I$22:$I$65)</f>
        <v>8603</v>
      </c>
      <c r="J66" s="150">
        <f>SUM($J$22:$J$65)</f>
        <v>2493.9</v>
      </c>
      <c r="K66" s="151">
        <f>SUM($K$22:$K$65)</f>
        <v>2482.6999999999998</v>
      </c>
      <c r="L66" s="148">
        <f>SUM($L$22:$L$65)</f>
        <v>4976.5999999999995</v>
      </c>
      <c r="M66" s="178">
        <f t="shared" si="1"/>
        <v>0.57847262582819936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37.120000000000005</v>
      </c>
      <c r="I71" s="119">
        <v>35.64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20</v>
      </c>
      <c r="I72" s="119">
        <v>34.4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13</v>
      </c>
      <c r="I73" s="119">
        <v>67</v>
      </c>
      <c r="J73" s="181">
        <v>7</v>
      </c>
      <c r="K73" s="185">
        <v>42.3</v>
      </c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20</v>
      </c>
      <c r="I74" s="119">
        <v>23.98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17.059999999999999</v>
      </c>
      <c r="I75" s="119">
        <v>16.2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40</v>
      </c>
      <c r="I76" s="119">
        <v>19.440000000000001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80</v>
      </c>
      <c r="I77" s="119">
        <v>11.12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20</v>
      </c>
      <c r="I78" s="119">
        <v>21.9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20</v>
      </c>
      <c r="I79" s="119">
        <v>18.399999999999999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33.64</v>
      </c>
      <c r="I80" s="119">
        <v>32.22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20</v>
      </c>
      <c r="I81" s="119">
        <v>20.38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20</v>
      </c>
      <c r="I82" s="119">
        <v>6.84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12.14</v>
      </c>
      <c r="I83" s="119">
        <v>11.34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318.8599999999999</v>
      </c>
      <c r="J84" s="187">
        <f>SUM(J71:J83)</f>
        <v>7</v>
      </c>
      <c r="K84" s="186">
        <f>SUM(K71:K83)</f>
        <v>42.3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20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2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N95"/>
  <sheetViews>
    <sheetView tabSelected="1" zoomScale="90" zoomScaleNormal="90" workbookViewId="0">
      <selection activeCell="I71" sqref="I71:I83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>
        <f>+M66</f>
        <v>0.56324005891016204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>
        <f>+L66/D66</f>
        <v>245.15384615384616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 t="s">
        <v>1922</v>
      </c>
      <c r="F8" s="344"/>
      <c r="G8" s="344"/>
      <c r="H8" s="345"/>
      <c r="I8" s="146" t="s">
        <v>487</v>
      </c>
      <c r="J8" s="346" t="s">
        <v>1923</v>
      </c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>
        <v>46458</v>
      </c>
      <c r="F9" s="344"/>
      <c r="G9" s="344"/>
      <c r="H9" s="345"/>
      <c r="I9" s="146" t="s">
        <v>88</v>
      </c>
      <c r="J9" s="209" t="s">
        <v>1924</v>
      </c>
      <c r="K9" s="334" t="s">
        <v>490</v>
      </c>
      <c r="L9" s="369">
        <v>9159384</v>
      </c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335" t="s">
        <v>569</v>
      </c>
      <c r="E12" s="384">
        <v>46086</v>
      </c>
      <c r="F12" s="384"/>
      <c r="H12" s="117"/>
      <c r="I12" s="123"/>
      <c r="J12" s="117"/>
      <c r="K12" s="215" t="s">
        <v>488</v>
      </c>
      <c r="L12" s="215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105</v>
      </c>
      <c r="F13" s="349"/>
      <c r="H13" s="117"/>
      <c r="I13" s="123"/>
      <c r="J13" s="215" t="s">
        <v>483</v>
      </c>
      <c r="K13" s="336">
        <f>+COUNTIF($G$22:$G$66,"VQ")*2</f>
        <v>10</v>
      </c>
      <c r="L13" s="336">
        <f>+SUMIF($G$23:$G$65,"VQ",$L$23:$L$65)</f>
        <v>953.1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39</v>
      </c>
      <c r="F14" s="350"/>
      <c r="H14" s="117"/>
      <c r="I14" s="123"/>
      <c r="J14" s="215" t="s">
        <v>42</v>
      </c>
      <c r="K14" s="336">
        <f>+COUNTIF($G$22:$G$66,"NT")*2</f>
        <v>68</v>
      </c>
      <c r="L14" s="336">
        <f>+SUMIF($G$23:$G$65,"NT",$L$23:$L$65)</f>
        <v>8607.9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16975</v>
      </c>
      <c r="F15" s="350"/>
      <c r="H15" s="117"/>
      <c r="I15" s="123"/>
      <c r="J15" s="215" t="s">
        <v>484</v>
      </c>
      <c r="K15" s="336">
        <f>+COUNTIF($G$22:$G$66,"NO")*2</f>
        <v>0</v>
      </c>
      <c r="L15" s="336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9561</v>
      </c>
      <c r="F16" s="350"/>
      <c r="H16" s="117"/>
      <c r="I16" s="123"/>
      <c r="J16" s="215" t="s">
        <v>485</v>
      </c>
      <c r="K16" s="336">
        <f>+COUNTIF($G$22:$G$66,"TO")*2</f>
        <v>0</v>
      </c>
      <c r="L16" s="336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>
        <f>+M66</f>
        <v>0.56324005891016204</v>
      </c>
      <c r="F17" s="350"/>
      <c r="G17" s="124"/>
      <c r="H17" s="125"/>
      <c r="I17" s="123"/>
      <c r="J17" s="215" t="s">
        <v>486</v>
      </c>
      <c r="K17" s="336">
        <f>+COUNTIF($G$22:$G$66,"VA")*2</f>
        <v>0</v>
      </c>
      <c r="L17" s="336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>
        <f>+L66/D66</f>
        <v>245.15384615384616</v>
      </c>
      <c r="F18" s="353"/>
      <c r="G18" s="124"/>
      <c r="H18" s="125"/>
      <c r="I18" s="123"/>
      <c r="J18" s="215" t="s">
        <v>44</v>
      </c>
      <c r="K18" s="336">
        <f>+COUNTIF($G$22:$G$66,"MEJ")*2</f>
        <v>0</v>
      </c>
      <c r="L18" s="336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>
        <v>1</v>
      </c>
      <c r="D23" s="152">
        <v>8</v>
      </c>
      <c r="E23" s="152" t="s">
        <v>67</v>
      </c>
      <c r="F23" s="152" t="s">
        <v>526</v>
      </c>
      <c r="G23" s="153" t="s">
        <v>483</v>
      </c>
      <c r="H23" s="154" t="s">
        <v>1902</v>
      </c>
      <c r="I23" s="155">
        <v>330</v>
      </c>
      <c r="J23" s="152">
        <v>91.4</v>
      </c>
      <c r="K23" s="156">
        <v>92</v>
      </c>
      <c r="L23" s="157">
        <f t="shared" ref="L23:L65" si="0">+J23+K23</f>
        <v>183.4</v>
      </c>
      <c r="M23" s="158">
        <f t="shared" ref="M23:M66" si="1">+L23/I23</f>
        <v>0.55575757575757578</v>
      </c>
      <c r="N23" s="122"/>
    </row>
    <row r="24" spans="2:14" x14ac:dyDescent="0.25">
      <c r="B24" s="121"/>
      <c r="C24" s="159">
        <v>2</v>
      </c>
      <c r="D24" s="159">
        <v>14</v>
      </c>
      <c r="E24" s="159" t="s">
        <v>68</v>
      </c>
      <c r="F24" s="159" t="s">
        <v>526</v>
      </c>
      <c r="G24" s="160" t="s">
        <v>42</v>
      </c>
      <c r="H24" s="161" t="s">
        <v>1903</v>
      </c>
      <c r="I24" s="162">
        <v>480</v>
      </c>
      <c r="J24" s="159">
        <v>138.30000000000001</v>
      </c>
      <c r="K24" s="163">
        <v>138.69999999999999</v>
      </c>
      <c r="L24" s="164">
        <f t="shared" si="0"/>
        <v>277</v>
      </c>
      <c r="M24" s="165">
        <f t="shared" si="1"/>
        <v>0.57708333333333328</v>
      </c>
      <c r="N24" s="122"/>
    </row>
    <row r="25" spans="2:14" x14ac:dyDescent="0.25">
      <c r="B25" s="121"/>
      <c r="C25" s="159">
        <v>3</v>
      </c>
      <c r="D25" s="159">
        <v>2</v>
      </c>
      <c r="E25" s="159" t="s">
        <v>68</v>
      </c>
      <c r="F25" s="159" t="s">
        <v>526</v>
      </c>
      <c r="G25" s="160" t="s">
        <v>483</v>
      </c>
      <c r="H25" s="161" t="s">
        <v>1904</v>
      </c>
      <c r="I25" s="162">
        <v>342</v>
      </c>
      <c r="J25" s="159">
        <v>92.2</v>
      </c>
      <c r="K25" s="163">
        <v>91.5</v>
      </c>
      <c r="L25" s="164">
        <f t="shared" si="0"/>
        <v>183.7</v>
      </c>
      <c r="M25" s="165">
        <f t="shared" si="1"/>
        <v>0.53713450292397658</v>
      </c>
      <c r="N25" s="122"/>
    </row>
    <row r="26" spans="2:14" x14ac:dyDescent="0.25">
      <c r="B26" s="121"/>
      <c r="C26" s="159">
        <v>4</v>
      </c>
      <c r="D26" s="159">
        <v>19</v>
      </c>
      <c r="E26" s="159" t="s">
        <v>68</v>
      </c>
      <c r="F26" s="159" t="s">
        <v>526</v>
      </c>
      <c r="G26" s="160" t="s">
        <v>42</v>
      </c>
      <c r="H26" s="161" t="s">
        <v>1905</v>
      </c>
      <c r="I26" s="162">
        <v>426</v>
      </c>
      <c r="J26" s="159">
        <v>122.7</v>
      </c>
      <c r="K26" s="163">
        <v>122.6</v>
      </c>
      <c r="L26" s="164">
        <f t="shared" si="0"/>
        <v>245.3</v>
      </c>
      <c r="M26" s="165">
        <f t="shared" si="1"/>
        <v>0.57582159624413143</v>
      </c>
      <c r="N26" s="122"/>
    </row>
    <row r="27" spans="2:14" x14ac:dyDescent="0.25">
      <c r="B27" s="121"/>
      <c r="C27" s="159">
        <v>5</v>
      </c>
      <c r="D27" s="159">
        <v>13</v>
      </c>
      <c r="E27" s="159" t="s">
        <v>68</v>
      </c>
      <c r="F27" s="159" t="s">
        <v>526</v>
      </c>
      <c r="G27" s="160" t="s">
        <v>42</v>
      </c>
      <c r="H27" s="161" t="s">
        <v>1906</v>
      </c>
      <c r="I27" s="162">
        <v>404</v>
      </c>
      <c r="J27" s="159">
        <v>110.7</v>
      </c>
      <c r="K27" s="163">
        <v>110.2</v>
      </c>
      <c r="L27" s="164">
        <f t="shared" si="0"/>
        <v>220.9</v>
      </c>
      <c r="M27" s="165">
        <f t="shared" si="1"/>
        <v>0.54678217821782182</v>
      </c>
      <c r="N27" s="122"/>
    </row>
    <row r="28" spans="2:14" x14ac:dyDescent="0.25">
      <c r="B28" s="121"/>
      <c r="C28" s="159">
        <v>6</v>
      </c>
      <c r="D28" s="159">
        <v>5</v>
      </c>
      <c r="E28" s="159" t="s">
        <v>75</v>
      </c>
      <c r="F28" s="159" t="s">
        <v>526</v>
      </c>
      <c r="G28" s="160" t="s">
        <v>42</v>
      </c>
      <c r="H28" s="161" t="s">
        <v>1698</v>
      </c>
      <c r="I28" s="162">
        <v>449</v>
      </c>
      <c r="J28" s="159">
        <v>129.9</v>
      </c>
      <c r="K28" s="163">
        <v>126.8</v>
      </c>
      <c r="L28" s="164">
        <f t="shared" si="0"/>
        <v>256.7</v>
      </c>
      <c r="M28" s="165">
        <f t="shared" si="1"/>
        <v>0.57171492204899776</v>
      </c>
      <c r="N28" s="122"/>
    </row>
    <row r="29" spans="2:14" x14ac:dyDescent="0.25">
      <c r="B29" s="121"/>
      <c r="C29" s="160">
        <v>7</v>
      </c>
      <c r="D29" s="160">
        <v>12</v>
      </c>
      <c r="E29" s="160" t="s">
        <v>68</v>
      </c>
      <c r="F29" s="160" t="s">
        <v>526</v>
      </c>
      <c r="G29" s="160" t="s">
        <v>483</v>
      </c>
      <c r="H29" s="161" t="s">
        <v>1907</v>
      </c>
      <c r="I29" s="162">
        <v>362</v>
      </c>
      <c r="J29" s="159">
        <v>100.7</v>
      </c>
      <c r="K29" s="163">
        <v>98</v>
      </c>
      <c r="L29" s="164">
        <f t="shared" si="0"/>
        <v>198.7</v>
      </c>
      <c r="M29" s="165">
        <f t="shared" si="1"/>
        <v>0.54889502762430931</v>
      </c>
      <c r="N29" s="122"/>
    </row>
    <row r="30" spans="2:14" x14ac:dyDescent="0.25">
      <c r="B30" s="121"/>
      <c r="C30" s="160">
        <v>8</v>
      </c>
      <c r="D30" s="160">
        <v>3</v>
      </c>
      <c r="E30" s="160" t="s">
        <v>67</v>
      </c>
      <c r="F30" s="160" t="s">
        <v>526</v>
      </c>
      <c r="G30" s="160" t="s">
        <v>42</v>
      </c>
      <c r="H30" s="161" t="s">
        <v>723</v>
      </c>
      <c r="I30" s="162">
        <v>480</v>
      </c>
      <c r="J30" s="159">
        <v>135.80000000000001</v>
      </c>
      <c r="K30" s="163">
        <v>137.5</v>
      </c>
      <c r="L30" s="164">
        <f t="shared" si="0"/>
        <v>273.3</v>
      </c>
      <c r="M30" s="165">
        <f t="shared" si="1"/>
        <v>0.56937500000000008</v>
      </c>
      <c r="N30" s="122"/>
    </row>
    <row r="31" spans="2:14" x14ac:dyDescent="0.25">
      <c r="B31" s="121"/>
      <c r="C31" s="159">
        <v>9</v>
      </c>
      <c r="D31" s="159">
        <v>16</v>
      </c>
      <c r="E31" s="159" t="s">
        <v>68</v>
      </c>
      <c r="F31" s="159" t="s">
        <v>526</v>
      </c>
      <c r="G31" s="160" t="s">
        <v>42</v>
      </c>
      <c r="H31" s="161" t="s">
        <v>1777</v>
      </c>
      <c r="I31" s="162">
        <v>506</v>
      </c>
      <c r="J31" s="159">
        <v>144.5</v>
      </c>
      <c r="K31" s="163">
        <v>145.1</v>
      </c>
      <c r="L31" s="164">
        <f t="shared" si="0"/>
        <v>289.60000000000002</v>
      </c>
      <c r="M31" s="165">
        <f t="shared" si="1"/>
        <v>0.57233201581027671</v>
      </c>
      <c r="N31" s="122"/>
    </row>
    <row r="32" spans="2:14" x14ac:dyDescent="0.25">
      <c r="B32" s="121"/>
      <c r="C32" s="159">
        <v>10</v>
      </c>
      <c r="D32" s="159">
        <v>9</v>
      </c>
      <c r="E32" s="159" t="s">
        <v>68</v>
      </c>
      <c r="F32" s="159" t="s">
        <v>526</v>
      </c>
      <c r="G32" s="160" t="s">
        <v>42</v>
      </c>
      <c r="H32" s="161" t="s">
        <v>1908</v>
      </c>
      <c r="I32" s="162">
        <v>409</v>
      </c>
      <c r="J32" s="159">
        <v>112.9</v>
      </c>
      <c r="K32" s="163">
        <v>112.5</v>
      </c>
      <c r="L32" s="164">
        <f t="shared" si="0"/>
        <v>225.4</v>
      </c>
      <c r="M32" s="165">
        <f t="shared" si="1"/>
        <v>0.55110024449877748</v>
      </c>
      <c r="N32" s="122"/>
    </row>
    <row r="33" spans="2:14" x14ac:dyDescent="0.25">
      <c r="B33" s="121"/>
      <c r="C33" s="160">
        <v>11</v>
      </c>
      <c r="D33" s="160">
        <v>1</v>
      </c>
      <c r="E33" s="160" t="s">
        <v>67</v>
      </c>
      <c r="F33" s="160" t="s">
        <v>1830</v>
      </c>
      <c r="G33" s="160" t="s">
        <v>42</v>
      </c>
      <c r="H33" s="161" t="s">
        <v>1909</v>
      </c>
      <c r="I33" s="162">
        <v>504</v>
      </c>
      <c r="J33" s="159">
        <v>140.30000000000001</v>
      </c>
      <c r="K33" s="163">
        <v>140</v>
      </c>
      <c r="L33" s="164">
        <f t="shared" si="0"/>
        <v>280.3</v>
      </c>
      <c r="M33" s="165">
        <f t="shared" si="1"/>
        <v>0.55615079365079367</v>
      </c>
      <c r="N33" s="122"/>
    </row>
    <row r="34" spans="2:14" x14ac:dyDescent="0.25">
      <c r="B34" s="121"/>
      <c r="C34" s="159">
        <v>12</v>
      </c>
      <c r="D34" s="159">
        <v>17</v>
      </c>
      <c r="E34" s="159" t="s">
        <v>68</v>
      </c>
      <c r="F34" s="159" t="s">
        <v>526</v>
      </c>
      <c r="G34" s="160" t="s">
        <v>42</v>
      </c>
      <c r="H34" s="161" t="s">
        <v>1084</v>
      </c>
      <c r="I34" s="162">
        <v>427</v>
      </c>
      <c r="J34" s="159">
        <v>121.7</v>
      </c>
      <c r="K34" s="166">
        <v>118.9</v>
      </c>
      <c r="L34" s="164">
        <f t="shared" si="0"/>
        <v>240.60000000000002</v>
      </c>
      <c r="M34" s="167">
        <f t="shared" si="1"/>
        <v>0.56346604215456675</v>
      </c>
      <c r="N34" s="122"/>
    </row>
    <row r="35" spans="2:14" x14ac:dyDescent="0.25">
      <c r="B35" s="121"/>
      <c r="C35" s="159">
        <v>13</v>
      </c>
      <c r="D35" s="159">
        <v>11</v>
      </c>
      <c r="E35" s="159" t="s">
        <v>75</v>
      </c>
      <c r="F35" s="159" t="s">
        <v>526</v>
      </c>
      <c r="G35" s="160" t="s">
        <v>42</v>
      </c>
      <c r="H35" s="161" t="s">
        <v>943</v>
      </c>
      <c r="I35" s="162">
        <v>404</v>
      </c>
      <c r="J35" s="159">
        <v>113.1</v>
      </c>
      <c r="K35" s="163">
        <v>112</v>
      </c>
      <c r="L35" s="164">
        <f t="shared" si="0"/>
        <v>225.1</v>
      </c>
      <c r="M35" s="165">
        <f t="shared" si="1"/>
        <v>0.55717821782178212</v>
      </c>
      <c r="N35" s="122"/>
    </row>
    <row r="36" spans="2:14" x14ac:dyDescent="0.25">
      <c r="B36" s="121"/>
      <c r="C36" s="159">
        <v>14</v>
      </c>
      <c r="D36" s="159">
        <v>6</v>
      </c>
      <c r="E36" s="159" t="s">
        <v>68</v>
      </c>
      <c r="F36" s="159" t="s">
        <v>526</v>
      </c>
      <c r="G36" s="160" t="s">
        <v>42</v>
      </c>
      <c r="H36" s="161" t="s">
        <v>543</v>
      </c>
      <c r="I36" s="162">
        <v>402</v>
      </c>
      <c r="J36" s="159">
        <v>106.6</v>
      </c>
      <c r="K36" s="163">
        <v>106</v>
      </c>
      <c r="L36" s="164">
        <f t="shared" si="0"/>
        <v>212.6</v>
      </c>
      <c r="M36" s="165">
        <f t="shared" si="1"/>
        <v>0.52885572139303483</v>
      </c>
      <c r="N36" s="122"/>
    </row>
    <row r="37" spans="2:14" x14ac:dyDescent="0.25">
      <c r="B37" s="121"/>
      <c r="C37" s="159">
        <v>15</v>
      </c>
      <c r="D37" s="159">
        <v>10</v>
      </c>
      <c r="E37" s="159" t="s">
        <v>67</v>
      </c>
      <c r="F37" s="159" t="s">
        <v>526</v>
      </c>
      <c r="G37" s="160" t="s">
        <v>42</v>
      </c>
      <c r="H37" s="161" t="s">
        <v>1782</v>
      </c>
      <c r="I37" s="162">
        <v>506</v>
      </c>
      <c r="J37" s="159">
        <v>138.69999999999999</v>
      </c>
      <c r="K37" s="163">
        <v>139.9</v>
      </c>
      <c r="L37" s="164">
        <f t="shared" si="0"/>
        <v>278.60000000000002</v>
      </c>
      <c r="M37" s="165">
        <f t="shared" si="1"/>
        <v>0.55059288537549411</v>
      </c>
      <c r="N37" s="122"/>
    </row>
    <row r="38" spans="2:14" x14ac:dyDescent="0.25">
      <c r="B38" s="121"/>
      <c r="C38" s="159">
        <v>16</v>
      </c>
      <c r="D38" s="159">
        <v>4</v>
      </c>
      <c r="E38" s="159" t="s">
        <v>67</v>
      </c>
      <c r="F38" s="159" t="s">
        <v>526</v>
      </c>
      <c r="G38" s="159" t="s">
        <v>483</v>
      </c>
      <c r="H38" s="168" t="s">
        <v>1910</v>
      </c>
      <c r="I38" s="169">
        <v>345</v>
      </c>
      <c r="J38" s="159">
        <v>96.4</v>
      </c>
      <c r="K38" s="163">
        <v>96.3</v>
      </c>
      <c r="L38" s="164">
        <f t="shared" si="0"/>
        <v>192.7</v>
      </c>
      <c r="M38" s="165">
        <f t="shared" si="1"/>
        <v>0.55855072463768107</v>
      </c>
      <c r="N38" s="122"/>
    </row>
    <row r="39" spans="2:14" x14ac:dyDescent="0.25">
      <c r="B39" s="121"/>
      <c r="C39" s="159">
        <v>17</v>
      </c>
      <c r="D39" s="159">
        <v>15</v>
      </c>
      <c r="E39" s="159" t="s">
        <v>75</v>
      </c>
      <c r="F39" s="159" t="s">
        <v>526</v>
      </c>
      <c r="G39" s="160" t="s">
        <v>42</v>
      </c>
      <c r="H39" s="161" t="s">
        <v>1092</v>
      </c>
      <c r="I39" s="162">
        <v>401</v>
      </c>
      <c r="J39" s="159">
        <v>109.8</v>
      </c>
      <c r="K39" s="163">
        <v>110</v>
      </c>
      <c r="L39" s="164">
        <f t="shared" si="0"/>
        <v>219.8</v>
      </c>
      <c r="M39" s="165">
        <f t="shared" si="1"/>
        <v>0.54812967581047389</v>
      </c>
      <c r="N39" s="122"/>
    </row>
    <row r="40" spans="2:14" x14ac:dyDescent="0.25">
      <c r="B40" s="121"/>
      <c r="C40" s="159">
        <v>18</v>
      </c>
      <c r="D40" s="159">
        <v>7</v>
      </c>
      <c r="E40" s="159" t="s">
        <v>68</v>
      </c>
      <c r="F40" s="159" t="s">
        <v>526</v>
      </c>
      <c r="G40" s="160" t="s">
        <v>42</v>
      </c>
      <c r="H40" s="161" t="s">
        <v>1745</v>
      </c>
      <c r="I40" s="162">
        <v>414</v>
      </c>
      <c r="J40" s="159">
        <v>113.9</v>
      </c>
      <c r="K40" s="163">
        <v>113.6</v>
      </c>
      <c r="L40" s="164">
        <f t="shared" si="0"/>
        <v>227.5</v>
      </c>
      <c r="M40" s="165">
        <f t="shared" si="1"/>
        <v>0.54951690821256038</v>
      </c>
      <c r="N40" s="122"/>
    </row>
    <row r="41" spans="2:14" x14ac:dyDescent="0.25">
      <c r="B41" s="121"/>
      <c r="C41" s="159">
        <v>19</v>
      </c>
      <c r="D41" s="159">
        <v>18</v>
      </c>
      <c r="E41" s="159" t="s">
        <v>67</v>
      </c>
      <c r="F41" s="159" t="s">
        <v>526</v>
      </c>
      <c r="G41" s="160" t="s">
        <v>42</v>
      </c>
      <c r="H41" s="161" t="s">
        <v>1911</v>
      </c>
      <c r="I41" s="162">
        <v>447</v>
      </c>
      <c r="J41" s="159">
        <v>128.19999999999999</v>
      </c>
      <c r="K41" s="163">
        <v>127.7</v>
      </c>
      <c r="L41" s="164">
        <f t="shared" si="0"/>
        <v>255.89999999999998</v>
      </c>
      <c r="M41" s="165">
        <f t="shared" si="1"/>
        <v>0.57248322147650998</v>
      </c>
      <c r="N41" s="122"/>
    </row>
    <row r="42" spans="2:14" x14ac:dyDescent="0.25">
      <c r="B42" s="121"/>
      <c r="C42" s="160">
        <v>20</v>
      </c>
      <c r="D42" s="160">
        <v>27</v>
      </c>
      <c r="E42" s="160" t="s">
        <v>68</v>
      </c>
      <c r="F42" s="160" t="s">
        <v>526</v>
      </c>
      <c r="G42" s="160" t="s">
        <v>42</v>
      </c>
      <c r="H42" s="161" t="s">
        <v>1236</v>
      </c>
      <c r="I42" s="162">
        <v>408</v>
      </c>
      <c r="J42" s="159">
        <v>114.4</v>
      </c>
      <c r="K42" s="163">
        <v>114.4</v>
      </c>
      <c r="L42" s="164">
        <f t="shared" si="0"/>
        <v>228.8</v>
      </c>
      <c r="M42" s="165">
        <f t="shared" si="1"/>
        <v>0.5607843137254902</v>
      </c>
      <c r="N42" s="122"/>
    </row>
    <row r="43" spans="2:14" x14ac:dyDescent="0.25">
      <c r="B43" s="121"/>
      <c r="C43" s="159">
        <v>21</v>
      </c>
      <c r="D43" s="159">
        <v>28</v>
      </c>
      <c r="E43" s="159" t="s">
        <v>68</v>
      </c>
      <c r="F43" s="159" t="s">
        <v>526</v>
      </c>
      <c r="G43" s="160" t="s">
        <v>42</v>
      </c>
      <c r="H43" s="161" t="s">
        <v>1912</v>
      </c>
      <c r="I43" s="162">
        <v>483</v>
      </c>
      <c r="J43" s="159">
        <v>142.4</v>
      </c>
      <c r="K43" s="163">
        <v>140.4</v>
      </c>
      <c r="L43" s="164">
        <f t="shared" si="0"/>
        <v>282.8</v>
      </c>
      <c r="M43" s="165">
        <f t="shared" si="1"/>
        <v>0.58550724637681162</v>
      </c>
      <c r="N43" s="122"/>
    </row>
    <row r="44" spans="2:14" x14ac:dyDescent="0.25">
      <c r="B44" s="121"/>
      <c r="C44" s="160">
        <v>22</v>
      </c>
      <c r="D44" s="160">
        <v>31</v>
      </c>
      <c r="E44" s="160" t="s">
        <v>68</v>
      </c>
      <c r="F44" s="160" t="s">
        <v>526</v>
      </c>
      <c r="G44" s="160" t="s">
        <v>42</v>
      </c>
      <c r="H44" s="161" t="s">
        <v>1878</v>
      </c>
      <c r="I44" s="162">
        <v>412</v>
      </c>
      <c r="J44" s="159">
        <v>119</v>
      </c>
      <c r="K44" s="163">
        <v>116.9</v>
      </c>
      <c r="L44" s="164">
        <f t="shared" si="0"/>
        <v>235.9</v>
      </c>
      <c r="M44" s="165">
        <f t="shared" si="1"/>
        <v>0.57257281553398065</v>
      </c>
      <c r="N44" s="122"/>
    </row>
    <row r="45" spans="2:14" x14ac:dyDescent="0.25">
      <c r="B45" s="121"/>
      <c r="C45" s="160">
        <v>23</v>
      </c>
      <c r="D45" s="160">
        <v>33</v>
      </c>
      <c r="E45" s="160" t="s">
        <v>68</v>
      </c>
      <c r="F45" s="160" t="s">
        <v>527</v>
      </c>
      <c r="G45" s="160" t="s">
        <v>42</v>
      </c>
      <c r="H45" s="161" t="s">
        <v>1913</v>
      </c>
      <c r="I45" s="162">
        <v>479</v>
      </c>
      <c r="J45" s="159">
        <v>142.5</v>
      </c>
      <c r="K45" s="163">
        <v>141.5</v>
      </c>
      <c r="L45" s="164">
        <f t="shared" si="0"/>
        <v>284</v>
      </c>
      <c r="M45" s="165">
        <f t="shared" si="1"/>
        <v>0.59290187891440504</v>
      </c>
      <c r="N45" s="122"/>
    </row>
    <row r="46" spans="2:14" x14ac:dyDescent="0.25">
      <c r="B46" s="121"/>
      <c r="C46" s="160">
        <v>24</v>
      </c>
      <c r="D46" s="160">
        <v>25</v>
      </c>
      <c r="E46" s="160" t="s">
        <v>68</v>
      </c>
      <c r="F46" s="160" t="s">
        <v>526</v>
      </c>
      <c r="G46" s="160" t="s">
        <v>42</v>
      </c>
      <c r="H46" s="161" t="s">
        <v>1914</v>
      </c>
      <c r="I46" s="162">
        <v>419</v>
      </c>
      <c r="J46" s="159">
        <v>118.7</v>
      </c>
      <c r="K46" s="163">
        <v>117.7</v>
      </c>
      <c r="L46" s="164">
        <f t="shared" si="0"/>
        <v>236.4</v>
      </c>
      <c r="M46" s="165">
        <f t="shared" si="1"/>
        <v>0.56420047732696899</v>
      </c>
      <c r="N46" s="122"/>
    </row>
    <row r="47" spans="2:14" x14ac:dyDescent="0.25">
      <c r="B47" s="121"/>
      <c r="C47" s="160">
        <v>25</v>
      </c>
      <c r="D47" s="160">
        <v>29</v>
      </c>
      <c r="E47" s="160" t="s">
        <v>67</v>
      </c>
      <c r="F47" s="160" t="s">
        <v>526</v>
      </c>
      <c r="G47" s="160" t="s">
        <v>483</v>
      </c>
      <c r="H47" s="161" t="s">
        <v>407</v>
      </c>
      <c r="I47" s="162">
        <v>336</v>
      </c>
      <c r="J47" s="159">
        <v>97.5</v>
      </c>
      <c r="K47" s="163">
        <v>97.1</v>
      </c>
      <c r="L47" s="164">
        <f t="shared" si="0"/>
        <v>194.6</v>
      </c>
      <c r="M47" s="165">
        <f t="shared" si="1"/>
        <v>0.57916666666666661</v>
      </c>
      <c r="N47" s="122"/>
    </row>
    <row r="48" spans="2:14" x14ac:dyDescent="0.25">
      <c r="B48" s="121"/>
      <c r="C48" s="160">
        <v>26</v>
      </c>
      <c r="D48" s="160">
        <v>38</v>
      </c>
      <c r="E48" s="160" t="s">
        <v>75</v>
      </c>
      <c r="F48" s="160" t="s">
        <v>526</v>
      </c>
      <c r="G48" s="160" t="s">
        <v>42</v>
      </c>
      <c r="H48" s="161" t="s">
        <v>1334</v>
      </c>
      <c r="I48" s="162">
        <v>471</v>
      </c>
      <c r="J48" s="159">
        <v>136.69999999999999</v>
      </c>
      <c r="K48" s="163">
        <v>136.80000000000001</v>
      </c>
      <c r="L48" s="164">
        <f t="shared" si="0"/>
        <v>273.5</v>
      </c>
      <c r="M48" s="165">
        <f t="shared" si="1"/>
        <v>0.58067940552016983</v>
      </c>
      <c r="N48" s="122"/>
    </row>
    <row r="49" spans="2:14" x14ac:dyDescent="0.25">
      <c r="B49" s="121"/>
      <c r="C49" s="160">
        <v>27</v>
      </c>
      <c r="D49" s="160">
        <v>35</v>
      </c>
      <c r="E49" s="160" t="s">
        <v>75</v>
      </c>
      <c r="F49" s="160" t="s">
        <v>526</v>
      </c>
      <c r="G49" s="160" t="s">
        <v>42</v>
      </c>
      <c r="H49" s="161" t="s">
        <v>1915</v>
      </c>
      <c r="I49" s="162">
        <v>468</v>
      </c>
      <c r="J49" s="159">
        <v>132.4</v>
      </c>
      <c r="K49" s="163">
        <v>132.6</v>
      </c>
      <c r="L49" s="164">
        <f t="shared" si="0"/>
        <v>265</v>
      </c>
      <c r="M49" s="165">
        <f t="shared" si="1"/>
        <v>0.56623931623931623</v>
      </c>
      <c r="N49" s="122"/>
    </row>
    <row r="50" spans="2:14" x14ac:dyDescent="0.25">
      <c r="B50" s="121"/>
      <c r="C50" s="159">
        <v>28</v>
      </c>
      <c r="D50" s="159">
        <v>39</v>
      </c>
      <c r="E50" s="159" t="s">
        <v>68</v>
      </c>
      <c r="F50" s="159" t="s">
        <v>526</v>
      </c>
      <c r="G50" s="160" t="s">
        <v>42</v>
      </c>
      <c r="H50" s="161" t="s">
        <v>1916</v>
      </c>
      <c r="I50" s="162">
        <v>495</v>
      </c>
      <c r="J50" s="159">
        <v>143.4</v>
      </c>
      <c r="K50" s="163">
        <v>144.80000000000001</v>
      </c>
      <c r="L50" s="164">
        <f t="shared" si="0"/>
        <v>288.20000000000005</v>
      </c>
      <c r="M50" s="165">
        <f t="shared" si="1"/>
        <v>0.58222222222222231</v>
      </c>
      <c r="N50" s="122"/>
    </row>
    <row r="51" spans="2:14" x14ac:dyDescent="0.25">
      <c r="B51" s="121"/>
      <c r="C51" s="159">
        <v>29</v>
      </c>
      <c r="D51" s="159">
        <v>37</v>
      </c>
      <c r="E51" s="159" t="s">
        <v>67</v>
      </c>
      <c r="F51" s="159" t="s">
        <v>526</v>
      </c>
      <c r="G51" s="160" t="s">
        <v>42</v>
      </c>
      <c r="H51" s="168" t="s">
        <v>1904</v>
      </c>
      <c r="I51" s="169">
        <v>382</v>
      </c>
      <c r="J51" s="159">
        <v>107.4</v>
      </c>
      <c r="K51" s="163">
        <v>106.6</v>
      </c>
      <c r="L51" s="164">
        <f t="shared" si="0"/>
        <v>214</v>
      </c>
      <c r="M51" s="165">
        <f t="shared" si="1"/>
        <v>0.56020942408376961</v>
      </c>
      <c r="N51" s="122"/>
    </row>
    <row r="52" spans="2:14" x14ac:dyDescent="0.25">
      <c r="B52" s="121"/>
      <c r="C52" s="159">
        <v>30</v>
      </c>
      <c r="D52" s="160">
        <v>34</v>
      </c>
      <c r="E52" s="160" t="s">
        <v>68</v>
      </c>
      <c r="F52" s="160" t="s">
        <v>526</v>
      </c>
      <c r="G52" s="160" t="s">
        <v>42</v>
      </c>
      <c r="H52" s="168" t="s">
        <v>1917</v>
      </c>
      <c r="I52" s="169">
        <v>516</v>
      </c>
      <c r="J52" s="159">
        <v>147.1</v>
      </c>
      <c r="K52" s="163">
        <v>144.1</v>
      </c>
      <c r="L52" s="164">
        <f t="shared" si="0"/>
        <v>291.2</v>
      </c>
      <c r="M52" s="165">
        <f t="shared" si="1"/>
        <v>0.56434108527131777</v>
      </c>
      <c r="N52" s="122"/>
    </row>
    <row r="53" spans="2:14" x14ac:dyDescent="0.25">
      <c r="B53" s="121"/>
      <c r="C53" s="159">
        <v>31</v>
      </c>
      <c r="D53" s="160">
        <v>22</v>
      </c>
      <c r="E53" s="160" t="s">
        <v>68</v>
      </c>
      <c r="F53" s="160" t="s">
        <v>526</v>
      </c>
      <c r="G53" s="160" t="s">
        <v>42</v>
      </c>
      <c r="H53" s="168" t="s">
        <v>1918</v>
      </c>
      <c r="I53" s="169">
        <v>497</v>
      </c>
      <c r="J53" s="159">
        <v>143.4</v>
      </c>
      <c r="K53" s="163">
        <v>139.6</v>
      </c>
      <c r="L53" s="164">
        <f t="shared" si="0"/>
        <v>283</v>
      </c>
      <c r="M53" s="165">
        <f t="shared" si="1"/>
        <v>0.56941649899396374</v>
      </c>
      <c r="N53" s="122"/>
    </row>
    <row r="54" spans="2:14" x14ac:dyDescent="0.25">
      <c r="B54" s="121"/>
      <c r="C54" s="159">
        <v>32</v>
      </c>
      <c r="D54" s="160">
        <v>24</v>
      </c>
      <c r="E54" s="160" t="s">
        <v>67</v>
      </c>
      <c r="F54" s="160" t="s">
        <v>526</v>
      </c>
      <c r="G54" s="160" t="s">
        <v>42</v>
      </c>
      <c r="H54" s="168" t="s">
        <v>1879</v>
      </c>
      <c r="I54" s="169">
        <v>526</v>
      </c>
      <c r="J54" s="159">
        <v>149.30000000000001</v>
      </c>
      <c r="K54" s="163">
        <v>145.9</v>
      </c>
      <c r="L54" s="164">
        <f t="shared" si="0"/>
        <v>295.20000000000005</v>
      </c>
      <c r="M54" s="165">
        <f t="shared" si="1"/>
        <v>0.56121673003802286</v>
      </c>
      <c r="N54" s="122"/>
    </row>
    <row r="55" spans="2:14" x14ac:dyDescent="0.25">
      <c r="B55" s="121"/>
      <c r="C55" s="159">
        <v>33</v>
      </c>
      <c r="D55" s="160">
        <v>32</v>
      </c>
      <c r="E55" s="160" t="s">
        <v>68</v>
      </c>
      <c r="F55" s="160" t="s">
        <v>526</v>
      </c>
      <c r="G55" s="160" t="s">
        <v>42</v>
      </c>
      <c r="H55" s="168" t="s">
        <v>1694</v>
      </c>
      <c r="I55" s="169">
        <v>488</v>
      </c>
      <c r="J55" s="159">
        <v>139.6</v>
      </c>
      <c r="K55" s="163">
        <v>138.80000000000001</v>
      </c>
      <c r="L55" s="164">
        <f t="shared" si="0"/>
        <v>278.39999999999998</v>
      </c>
      <c r="M55" s="165">
        <f t="shared" si="1"/>
        <v>0.57049180327868843</v>
      </c>
      <c r="N55" s="122"/>
    </row>
    <row r="56" spans="2:14" x14ac:dyDescent="0.25">
      <c r="B56" s="121"/>
      <c r="C56" s="159">
        <v>34</v>
      </c>
      <c r="D56" s="160">
        <v>20</v>
      </c>
      <c r="E56" s="160" t="s">
        <v>67</v>
      </c>
      <c r="F56" s="160" t="s">
        <v>526</v>
      </c>
      <c r="G56" s="160" t="s">
        <v>42</v>
      </c>
      <c r="H56" s="168" t="s">
        <v>1919</v>
      </c>
      <c r="I56" s="169">
        <v>423</v>
      </c>
      <c r="J56" s="159">
        <v>116.4</v>
      </c>
      <c r="K56" s="163">
        <v>113.2</v>
      </c>
      <c r="L56" s="164">
        <f t="shared" si="0"/>
        <v>229.60000000000002</v>
      </c>
      <c r="M56" s="165">
        <f t="shared" si="1"/>
        <v>0.54278959810874705</v>
      </c>
      <c r="N56" s="122"/>
    </row>
    <row r="57" spans="2:14" x14ac:dyDescent="0.25">
      <c r="B57" s="121"/>
      <c r="C57" s="159">
        <v>35</v>
      </c>
      <c r="D57" s="159">
        <v>26</v>
      </c>
      <c r="E57" s="159" t="s">
        <v>68</v>
      </c>
      <c r="F57" s="159" t="s">
        <v>526</v>
      </c>
      <c r="G57" s="160" t="s">
        <v>42</v>
      </c>
      <c r="H57" s="168" t="s">
        <v>1920</v>
      </c>
      <c r="I57" s="169">
        <v>385</v>
      </c>
      <c r="J57" s="159">
        <v>108.3</v>
      </c>
      <c r="K57" s="163">
        <v>105.5</v>
      </c>
      <c r="L57" s="164">
        <f t="shared" si="0"/>
        <v>213.8</v>
      </c>
      <c r="M57" s="165">
        <f t="shared" si="1"/>
        <v>0.55532467532467533</v>
      </c>
      <c r="N57" s="122"/>
    </row>
    <row r="58" spans="2:14" x14ac:dyDescent="0.25">
      <c r="B58" s="121"/>
      <c r="C58" s="159">
        <v>36</v>
      </c>
      <c r="D58" s="159">
        <v>23</v>
      </c>
      <c r="E58" s="159" t="s">
        <v>67</v>
      </c>
      <c r="F58" s="159" t="s">
        <v>526</v>
      </c>
      <c r="G58" s="160" t="s">
        <v>42</v>
      </c>
      <c r="H58" s="168" t="s">
        <v>1300</v>
      </c>
      <c r="I58" s="169">
        <v>373</v>
      </c>
      <c r="J58" s="159">
        <v>104.7</v>
      </c>
      <c r="K58" s="163">
        <v>104.2</v>
      </c>
      <c r="L58" s="164">
        <f t="shared" si="0"/>
        <v>208.9</v>
      </c>
      <c r="M58" s="165">
        <f t="shared" si="1"/>
        <v>0.56005361930294906</v>
      </c>
      <c r="N58" s="122"/>
    </row>
    <row r="59" spans="2:14" x14ac:dyDescent="0.25">
      <c r="B59" s="121"/>
      <c r="C59" s="159">
        <v>37</v>
      </c>
      <c r="D59" s="170">
        <v>21</v>
      </c>
      <c r="E59" s="170" t="s">
        <v>67</v>
      </c>
      <c r="F59" s="170" t="s">
        <v>526</v>
      </c>
      <c r="G59" s="171" t="s">
        <v>42</v>
      </c>
      <c r="H59" s="168" t="s">
        <v>1204</v>
      </c>
      <c r="I59" s="169">
        <v>430</v>
      </c>
      <c r="J59" s="159">
        <v>115.9</v>
      </c>
      <c r="K59" s="163">
        <v>115.3</v>
      </c>
      <c r="L59" s="164">
        <f t="shared" si="0"/>
        <v>231.2</v>
      </c>
      <c r="M59" s="165">
        <f t="shared" si="1"/>
        <v>0.53767441860465115</v>
      </c>
      <c r="N59" s="122"/>
    </row>
    <row r="60" spans="2:14" x14ac:dyDescent="0.25">
      <c r="B60" s="121"/>
      <c r="C60" s="159">
        <v>38</v>
      </c>
      <c r="D60" s="170">
        <v>30</v>
      </c>
      <c r="E60" s="170" t="s">
        <v>75</v>
      </c>
      <c r="F60" s="170" t="s">
        <v>526</v>
      </c>
      <c r="G60" s="171" t="s">
        <v>42</v>
      </c>
      <c r="H60" s="168" t="s">
        <v>1921</v>
      </c>
      <c r="I60" s="169">
        <v>526</v>
      </c>
      <c r="J60" s="159">
        <v>154.4</v>
      </c>
      <c r="K60" s="163">
        <v>150.80000000000001</v>
      </c>
      <c r="L60" s="164">
        <f t="shared" si="0"/>
        <v>305.20000000000005</v>
      </c>
      <c r="M60" s="165">
        <f t="shared" si="1"/>
        <v>0.58022813688212937</v>
      </c>
      <c r="N60" s="122"/>
    </row>
    <row r="61" spans="2:14" x14ac:dyDescent="0.25">
      <c r="B61" s="121"/>
      <c r="C61" s="159">
        <v>39</v>
      </c>
      <c r="D61" s="170">
        <v>36</v>
      </c>
      <c r="E61" s="170" t="s">
        <v>67</v>
      </c>
      <c r="F61" s="170" t="s">
        <v>526</v>
      </c>
      <c r="G61" s="171" t="s">
        <v>42</v>
      </c>
      <c r="H61" s="168" t="s">
        <v>521</v>
      </c>
      <c r="I61" s="169">
        <v>420</v>
      </c>
      <c r="J61" s="159">
        <v>118.2</v>
      </c>
      <c r="K61" s="163">
        <v>116</v>
      </c>
      <c r="L61" s="164">
        <f t="shared" si="0"/>
        <v>234.2</v>
      </c>
      <c r="M61" s="165">
        <f t="shared" si="1"/>
        <v>0.55761904761904757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337"/>
      <c r="D66" s="337">
        <f>+COUNT($D$22:$D$65)</f>
        <v>39</v>
      </c>
      <c r="E66" s="337"/>
      <c r="F66" s="373"/>
      <c r="G66" s="373"/>
      <c r="H66" s="149"/>
      <c r="I66" s="148">
        <f>SUM($I$22:$I$65)</f>
        <v>16975</v>
      </c>
      <c r="J66" s="150">
        <f>SUM($J$22:$J$65)</f>
        <v>4799.4999999999991</v>
      </c>
      <c r="K66" s="151">
        <f>SUM($K$22:$K$65)</f>
        <v>4761.5</v>
      </c>
      <c r="L66" s="148">
        <f>SUM($L$22:$L$65)</f>
        <v>9561</v>
      </c>
      <c r="M66" s="178">
        <f t="shared" si="1"/>
        <v>0.56324005891016204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>
        <v>78.89</v>
      </c>
      <c r="I71" s="119">
        <v>116.14000000000001</v>
      </c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>
        <v>39</v>
      </c>
      <c r="I72" s="119">
        <v>65.48</v>
      </c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>
        <v>39</v>
      </c>
      <c r="I73" s="119">
        <v>219.21999999999997</v>
      </c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>
        <v>39</v>
      </c>
      <c r="I74" s="119">
        <v>44.900000000000006</v>
      </c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>
        <v>32.32</v>
      </c>
      <c r="I75" s="119">
        <v>30.8</v>
      </c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>
        <v>78</v>
      </c>
      <c r="I76" s="119">
        <v>36.04</v>
      </c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>
        <v>156</v>
      </c>
      <c r="I77" s="119">
        <v>21.32</v>
      </c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>
        <v>39</v>
      </c>
      <c r="I78" s="119">
        <v>37.96</v>
      </c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>
        <v>39</v>
      </c>
      <c r="I79" s="119">
        <v>34.28</v>
      </c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>
        <v>49.84</v>
      </c>
      <c r="I80" s="119">
        <v>56.400000000000006</v>
      </c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>
        <v>39</v>
      </c>
      <c r="I81" s="119">
        <v>42.540000000000006</v>
      </c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>
        <v>39</v>
      </c>
      <c r="I82" s="119">
        <v>6.54</v>
      </c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>
        <v>24.62</v>
      </c>
      <c r="I83" s="119">
        <v>23.439999999999998</v>
      </c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735.06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39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C15:D15"/>
    <mergeCell ref="E15:F15"/>
    <mergeCell ref="C8:D8"/>
    <mergeCell ref="E8:H8"/>
    <mergeCell ref="J8:M8"/>
    <mergeCell ref="C9:D9"/>
    <mergeCell ref="E9:H9"/>
    <mergeCell ref="L9:M9"/>
    <mergeCell ref="E12:F12"/>
    <mergeCell ref="C13:D13"/>
    <mergeCell ref="E13:F13"/>
    <mergeCell ref="C14:D14"/>
    <mergeCell ref="E14:F14"/>
    <mergeCell ref="C16:D16"/>
    <mergeCell ref="E16:F16"/>
    <mergeCell ref="C17:D17"/>
    <mergeCell ref="E17:F17"/>
    <mergeCell ref="C18:D18"/>
    <mergeCell ref="E18:F18"/>
    <mergeCell ref="D70:G70"/>
    <mergeCell ref="C21:C22"/>
    <mergeCell ref="D21:D22"/>
    <mergeCell ref="E21:E22"/>
    <mergeCell ref="F21:G21"/>
    <mergeCell ref="J21:J22"/>
    <mergeCell ref="K21:K22"/>
    <mergeCell ref="L21:L22"/>
    <mergeCell ref="M21:M22"/>
    <mergeCell ref="F66:G66"/>
    <mergeCell ref="H21:H22"/>
    <mergeCell ref="I21:I22"/>
    <mergeCell ref="D82:G82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D81:G81"/>
    <mergeCell ref="F91:G91"/>
    <mergeCell ref="F92:G92"/>
    <mergeCell ref="F93:G93"/>
    <mergeCell ref="D83:G83"/>
    <mergeCell ref="D84:G84"/>
    <mergeCell ref="F87:G87"/>
    <mergeCell ref="F88:G88"/>
    <mergeCell ref="F89:G89"/>
    <mergeCell ref="F90:G90"/>
  </mergeCells>
  <conditionalFormatting sqref="M23:M65">
    <cfRule type="cellIs" dxfId="1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1">
    <tabColor rgb="FF0070C0"/>
  </sheetPr>
  <dimension ref="B1:N95"/>
  <sheetViews>
    <sheetView zoomScale="90" zoomScaleNormal="90" workbookViewId="0">
      <selection activeCell="J24" sqref="J24"/>
    </sheetView>
  </sheetViews>
  <sheetFormatPr baseColWidth="10" defaultColWidth="12.42578125" defaultRowHeight="15.75" x14ac:dyDescent="0.25"/>
  <cols>
    <col min="1" max="1" width="4" style="117" customWidth="1"/>
    <col min="2" max="2" width="3.7109375" style="117" customWidth="1"/>
    <col min="3" max="3" width="9.5703125" style="117" customWidth="1"/>
    <col min="4" max="4" width="9.7109375" style="117" customWidth="1"/>
    <col min="5" max="5" width="6.42578125" style="117" customWidth="1"/>
    <col min="6" max="7" width="12.7109375" style="117" customWidth="1"/>
    <col min="8" max="8" width="17.42578125" style="118" customWidth="1"/>
    <col min="9" max="9" width="12.7109375" style="117" customWidth="1"/>
    <col min="10" max="10" width="14.42578125" style="118" bestFit="1" customWidth="1"/>
    <col min="11" max="12" width="12.7109375" style="117" customWidth="1"/>
    <col min="13" max="13" width="12.42578125" style="117"/>
    <col min="14" max="14" width="3.7109375" style="117" customWidth="1"/>
    <col min="15" max="16384" width="12.42578125" style="117"/>
  </cols>
  <sheetData>
    <row r="1" spans="2:14" ht="16.5" thickBot="1" x14ac:dyDescent="0.3"/>
    <row r="2" spans="2:14" ht="17.25" thickTop="1" thickBot="1" x14ac:dyDescent="0.3">
      <c r="B2" s="135"/>
      <c r="C2" s="133"/>
      <c r="D2" s="133"/>
      <c r="E2" s="133"/>
      <c r="F2" s="133"/>
      <c r="G2" s="133"/>
      <c r="H2" s="134"/>
      <c r="I2" s="133"/>
      <c r="J2" s="134"/>
      <c r="K2" s="133"/>
      <c r="L2" s="133"/>
      <c r="M2" s="133"/>
      <c r="N2" s="136"/>
    </row>
    <row r="3" spans="2:14" ht="17.25" thickTop="1" thickBot="1" x14ac:dyDescent="0.3">
      <c r="B3" s="121"/>
      <c r="D3" s="119"/>
      <c r="E3" s="119"/>
      <c r="F3" s="119"/>
      <c r="G3" s="119" t="s">
        <v>470</v>
      </c>
      <c r="H3" s="119"/>
      <c r="I3" s="119"/>
      <c r="J3" s="119"/>
      <c r="K3" s="204" t="s">
        <v>28</v>
      </c>
      <c r="L3" s="207" t="e">
        <f>+M66</f>
        <v>#DIV/0!</v>
      </c>
      <c r="M3" s="119"/>
      <c r="N3" s="122"/>
    </row>
    <row r="4" spans="2:14" ht="17.25" thickTop="1" thickBot="1" x14ac:dyDescent="0.3">
      <c r="B4" s="121"/>
      <c r="D4" s="119"/>
      <c r="E4" s="119"/>
      <c r="F4" s="119"/>
      <c r="G4" s="120" t="s">
        <v>472</v>
      </c>
      <c r="H4" s="120"/>
      <c r="I4" s="119"/>
      <c r="J4" s="120"/>
      <c r="K4" s="204" t="s">
        <v>36</v>
      </c>
      <c r="L4" s="208" t="e">
        <f>+L66/D66</f>
        <v>#DIV/0!</v>
      </c>
      <c r="M4" s="119"/>
      <c r="N4" s="122"/>
    </row>
    <row r="5" spans="2:14" ht="16.5" thickTop="1" x14ac:dyDescent="0.25">
      <c r="B5" s="121"/>
      <c r="D5" s="119"/>
      <c r="E5" s="119"/>
      <c r="F5" s="119"/>
      <c r="G5" s="120" t="s">
        <v>471</v>
      </c>
      <c r="I5" s="119"/>
      <c r="K5" s="202"/>
      <c r="L5" s="203"/>
      <c r="M5" s="119"/>
      <c r="N5" s="122"/>
    </row>
    <row r="6" spans="2:14" ht="16.5" thickBot="1" x14ac:dyDescent="0.3">
      <c r="B6" s="129"/>
      <c r="C6" s="130"/>
      <c r="D6" s="130"/>
      <c r="E6" s="130"/>
      <c r="F6" s="130"/>
      <c r="G6" s="130"/>
      <c r="H6" s="131"/>
      <c r="I6" s="130"/>
      <c r="J6" s="131"/>
      <c r="K6" s="130"/>
      <c r="L6" s="130"/>
      <c r="M6" s="130"/>
      <c r="N6" s="132"/>
    </row>
    <row r="7" spans="2:14" ht="8.1" customHeight="1" thickTop="1" x14ac:dyDescent="0.25">
      <c r="B7" s="135"/>
      <c r="C7" s="133"/>
      <c r="D7" s="133"/>
      <c r="E7" s="133"/>
      <c r="F7" s="133"/>
      <c r="G7" s="133"/>
      <c r="H7" s="134"/>
      <c r="I7" s="135"/>
      <c r="J7" s="134"/>
      <c r="K7" s="133"/>
      <c r="L7" s="133"/>
      <c r="M7" s="133"/>
      <c r="N7" s="136"/>
    </row>
    <row r="8" spans="2:14" x14ac:dyDescent="0.25">
      <c r="B8" s="121"/>
      <c r="C8" s="343" t="s">
        <v>475</v>
      </c>
      <c r="D8" s="343"/>
      <c r="E8" s="344"/>
      <c r="F8" s="344"/>
      <c r="G8" s="344"/>
      <c r="H8" s="345"/>
      <c r="I8" s="146" t="s">
        <v>487</v>
      </c>
      <c r="J8" s="346"/>
      <c r="K8" s="346"/>
      <c r="L8" s="346"/>
      <c r="M8" s="346"/>
      <c r="N8" s="122"/>
    </row>
    <row r="9" spans="2:14" x14ac:dyDescent="0.25">
      <c r="B9" s="121"/>
      <c r="C9" s="347" t="s">
        <v>476</v>
      </c>
      <c r="D9" s="347"/>
      <c r="E9" s="344"/>
      <c r="F9" s="344"/>
      <c r="G9" s="344"/>
      <c r="H9" s="345"/>
      <c r="I9" s="146" t="s">
        <v>88</v>
      </c>
      <c r="J9" s="209"/>
      <c r="K9" s="197" t="s">
        <v>490</v>
      </c>
      <c r="L9" s="369"/>
      <c r="M9" s="369"/>
      <c r="N9" s="122"/>
    </row>
    <row r="10" spans="2:14" ht="8.1" customHeight="1" thickBot="1" x14ac:dyDescent="0.3">
      <c r="B10" s="129"/>
      <c r="C10" s="141"/>
      <c r="D10" s="141"/>
      <c r="E10" s="130"/>
      <c r="F10" s="130"/>
      <c r="G10" s="130"/>
      <c r="H10" s="131"/>
      <c r="I10" s="129"/>
      <c r="J10" s="131"/>
      <c r="K10" s="130"/>
      <c r="L10" s="130"/>
      <c r="M10" s="130"/>
      <c r="N10" s="132"/>
    </row>
    <row r="11" spans="2:14" ht="8.1" customHeight="1" thickTop="1" x14ac:dyDescent="0.25">
      <c r="B11" s="121"/>
      <c r="C11" s="142"/>
      <c r="D11" s="142"/>
      <c r="E11" s="119"/>
      <c r="F11" s="119"/>
      <c r="G11" s="119"/>
      <c r="H11" s="120"/>
      <c r="I11" s="119"/>
      <c r="J11" s="120"/>
      <c r="K11" s="119"/>
      <c r="L11" s="119"/>
      <c r="M11" s="119"/>
      <c r="N11" s="122"/>
    </row>
    <row r="12" spans="2:14" x14ac:dyDescent="0.25">
      <c r="B12" s="121"/>
      <c r="D12" s="199" t="s">
        <v>569</v>
      </c>
      <c r="E12" s="384"/>
      <c r="F12" s="384"/>
      <c r="H12" s="117"/>
      <c r="I12" s="123"/>
      <c r="J12" s="117"/>
      <c r="K12" s="140" t="s">
        <v>488</v>
      </c>
      <c r="L12" s="140" t="s">
        <v>489</v>
      </c>
      <c r="N12" s="122"/>
    </row>
    <row r="13" spans="2:14" x14ac:dyDescent="0.25">
      <c r="B13" s="121"/>
      <c r="C13" s="348" t="s">
        <v>477</v>
      </c>
      <c r="D13" s="348"/>
      <c r="E13" s="349">
        <v>0</v>
      </c>
      <c r="F13" s="349"/>
      <c r="H13" s="117"/>
      <c r="I13" s="123"/>
      <c r="J13" s="140" t="s">
        <v>483</v>
      </c>
      <c r="K13" s="210">
        <f>+COUNTIF($G$22:$G$66,"VQ")*2</f>
        <v>0</v>
      </c>
      <c r="L13" s="210">
        <f>+SUMIF($G$23:$G$65,"VQ",$L$23:$L$65)</f>
        <v>0</v>
      </c>
      <c r="N13" s="122"/>
    </row>
    <row r="14" spans="2:14" x14ac:dyDescent="0.25">
      <c r="B14" s="121"/>
      <c r="C14" s="348" t="s">
        <v>478</v>
      </c>
      <c r="D14" s="348"/>
      <c r="E14" s="350">
        <f>+D66</f>
        <v>0</v>
      </c>
      <c r="F14" s="350"/>
      <c r="H14" s="117"/>
      <c r="I14" s="123"/>
      <c r="J14" s="140" t="s">
        <v>42</v>
      </c>
      <c r="K14" s="210">
        <f>+COUNTIF($G$22:$G$66,"NT")*2</f>
        <v>0</v>
      </c>
      <c r="L14" s="210">
        <f>+SUMIF($G$23:$G$65,"NT",$L$23:$L$65)</f>
        <v>0</v>
      </c>
      <c r="N14" s="122"/>
    </row>
    <row r="15" spans="2:14" x14ac:dyDescent="0.25">
      <c r="B15" s="121"/>
      <c r="C15" s="348" t="s">
        <v>479</v>
      </c>
      <c r="D15" s="348"/>
      <c r="E15" s="351">
        <f>+I66</f>
        <v>0</v>
      </c>
      <c r="F15" s="350"/>
      <c r="H15" s="117"/>
      <c r="I15" s="123"/>
      <c r="J15" s="140" t="s">
        <v>484</v>
      </c>
      <c r="K15" s="210">
        <f>+COUNTIF($G$22:$G$66,"NO")*2</f>
        <v>0</v>
      </c>
      <c r="L15" s="210">
        <f>+SUMIF($G$23:$G$65,"NO",$L$23:$L$65)</f>
        <v>0</v>
      </c>
      <c r="N15" s="122"/>
    </row>
    <row r="16" spans="2:14" x14ac:dyDescent="0.25">
      <c r="B16" s="121"/>
      <c r="C16" s="348" t="s">
        <v>480</v>
      </c>
      <c r="D16" s="348"/>
      <c r="E16" s="351">
        <f>+L66</f>
        <v>0</v>
      </c>
      <c r="F16" s="350"/>
      <c r="H16" s="117"/>
      <c r="I16" s="123"/>
      <c r="J16" s="140" t="s">
        <v>485</v>
      </c>
      <c r="K16" s="210">
        <f>+COUNTIF($G$22:$G$66,"TO")*2</f>
        <v>0</v>
      </c>
      <c r="L16" s="210">
        <f>+SUMIF($G$23:$G$65,"TO",$L$23:$L$65)</f>
        <v>0</v>
      </c>
      <c r="N16" s="122"/>
    </row>
    <row r="17" spans="2:14" x14ac:dyDescent="0.25">
      <c r="B17" s="121"/>
      <c r="C17" s="348" t="s">
        <v>481</v>
      </c>
      <c r="D17" s="348"/>
      <c r="E17" s="352" t="e">
        <f>+M66</f>
        <v>#DIV/0!</v>
      </c>
      <c r="F17" s="350"/>
      <c r="G17" s="124"/>
      <c r="H17" s="125"/>
      <c r="I17" s="123"/>
      <c r="J17" s="140" t="s">
        <v>486</v>
      </c>
      <c r="K17" s="210">
        <f>+COUNTIF($G$22:$G$66,"VA")*2</f>
        <v>0</v>
      </c>
      <c r="L17" s="210">
        <f>+SUMIF($G$23:$G$65,"VA",$L$23:$L$65)</f>
        <v>0</v>
      </c>
      <c r="N17" s="122"/>
    </row>
    <row r="18" spans="2:14" x14ac:dyDescent="0.25">
      <c r="B18" s="121"/>
      <c r="C18" s="348" t="s">
        <v>482</v>
      </c>
      <c r="D18" s="348"/>
      <c r="E18" s="353" t="e">
        <f>+L66/D66</f>
        <v>#DIV/0!</v>
      </c>
      <c r="F18" s="353"/>
      <c r="G18" s="124"/>
      <c r="H18" s="125"/>
      <c r="I18" s="123"/>
      <c r="J18" s="140" t="s">
        <v>44</v>
      </c>
      <c r="K18" s="210">
        <f>+COUNTIF($G$22:$G$66,"MEJ")*2</f>
        <v>0</v>
      </c>
      <c r="L18" s="210">
        <f>+SUMIF($G$23:$G$65,"MEJ",$L$23:$L$65)</f>
        <v>0</v>
      </c>
      <c r="N18" s="122"/>
    </row>
    <row r="19" spans="2:14" ht="9.9499999999999993" customHeight="1" thickBot="1" x14ac:dyDescent="0.3">
      <c r="B19" s="129"/>
      <c r="C19" s="143"/>
      <c r="D19" s="143"/>
      <c r="E19" s="130"/>
      <c r="F19" s="130"/>
      <c r="G19" s="144"/>
      <c r="H19" s="145"/>
      <c r="I19" s="144"/>
      <c r="J19" s="130"/>
      <c r="K19" s="130"/>
      <c r="L19" s="130"/>
      <c r="M19" s="130"/>
      <c r="N19" s="132"/>
    </row>
    <row r="20" spans="2:14" ht="9.9499999999999993" customHeight="1" thickTop="1" x14ac:dyDescent="0.25">
      <c r="B20" s="121"/>
      <c r="N20" s="122"/>
    </row>
    <row r="21" spans="2:14" s="126" customFormat="1" ht="26.25" customHeight="1" x14ac:dyDescent="0.25">
      <c r="B21" s="127"/>
      <c r="C21" s="354" t="s">
        <v>9</v>
      </c>
      <c r="D21" s="354" t="s">
        <v>5</v>
      </c>
      <c r="E21" s="357" t="s">
        <v>63</v>
      </c>
      <c r="F21" s="359" t="s">
        <v>6</v>
      </c>
      <c r="G21" s="360"/>
      <c r="H21" s="361" t="s">
        <v>7</v>
      </c>
      <c r="I21" s="363" t="s">
        <v>26</v>
      </c>
      <c r="J21" s="363" t="s">
        <v>10</v>
      </c>
      <c r="K21" s="357" t="s">
        <v>11</v>
      </c>
      <c r="L21" s="363" t="s">
        <v>25</v>
      </c>
      <c r="M21" s="376" t="s">
        <v>27</v>
      </c>
      <c r="N21" s="128"/>
    </row>
    <row r="22" spans="2:14" x14ac:dyDescent="0.25">
      <c r="B22" s="121"/>
      <c r="C22" s="355"/>
      <c r="D22" s="356"/>
      <c r="E22" s="358"/>
      <c r="F22" s="179" t="s">
        <v>473</v>
      </c>
      <c r="G22" s="147" t="s">
        <v>474</v>
      </c>
      <c r="H22" s="362"/>
      <c r="I22" s="364"/>
      <c r="J22" s="364"/>
      <c r="K22" s="358"/>
      <c r="L22" s="364"/>
      <c r="M22" s="377"/>
      <c r="N22" s="122"/>
    </row>
    <row r="23" spans="2:14" x14ac:dyDescent="0.25">
      <c r="B23" s="121"/>
      <c r="C23" s="152"/>
      <c r="D23" s="152"/>
      <c r="E23" s="152"/>
      <c r="F23" s="152"/>
      <c r="G23" s="153"/>
      <c r="H23" s="154"/>
      <c r="I23" s="155"/>
      <c r="J23" s="152"/>
      <c r="K23" s="156"/>
      <c r="L23" s="157">
        <f t="shared" ref="L23:L65" si="0">+J23+K23</f>
        <v>0</v>
      </c>
      <c r="M23" s="158" t="e">
        <f t="shared" ref="M23:M66" si="1">+L23/I23</f>
        <v>#DIV/0!</v>
      </c>
      <c r="N23" s="122"/>
    </row>
    <row r="24" spans="2:14" x14ac:dyDescent="0.25">
      <c r="B24" s="121"/>
      <c r="C24" s="159"/>
      <c r="D24" s="159"/>
      <c r="E24" s="159"/>
      <c r="F24" s="159"/>
      <c r="G24" s="160"/>
      <c r="H24" s="161"/>
      <c r="I24" s="162"/>
      <c r="J24" s="159"/>
      <c r="K24" s="163"/>
      <c r="L24" s="164">
        <f t="shared" si="0"/>
        <v>0</v>
      </c>
      <c r="M24" s="165" t="e">
        <f t="shared" si="1"/>
        <v>#DIV/0!</v>
      </c>
      <c r="N24" s="122"/>
    </row>
    <row r="25" spans="2:14" x14ac:dyDescent="0.25">
      <c r="B25" s="121"/>
      <c r="C25" s="159"/>
      <c r="D25" s="159"/>
      <c r="E25" s="159"/>
      <c r="F25" s="159"/>
      <c r="G25" s="160"/>
      <c r="H25" s="161"/>
      <c r="I25" s="162"/>
      <c r="J25" s="159"/>
      <c r="K25" s="163"/>
      <c r="L25" s="164">
        <f t="shared" si="0"/>
        <v>0</v>
      </c>
      <c r="M25" s="165" t="e">
        <f t="shared" si="1"/>
        <v>#DIV/0!</v>
      </c>
      <c r="N25" s="122"/>
    </row>
    <row r="26" spans="2:14" x14ac:dyDescent="0.25">
      <c r="B26" s="121"/>
      <c r="C26" s="159"/>
      <c r="D26" s="159"/>
      <c r="E26" s="159"/>
      <c r="F26" s="159"/>
      <c r="G26" s="160"/>
      <c r="H26" s="161"/>
      <c r="I26" s="162"/>
      <c r="J26" s="159"/>
      <c r="K26" s="163"/>
      <c r="L26" s="164">
        <f t="shared" si="0"/>
        <v>0</v>
      </c>
      <c r="M26" s="165" t="e">
        <f t="shared" si="1"/>
        <v>#DIV/0!</v>
      </c>
      <c r="N26" s="122"/>
    </row>
    <row r="27" spans="2:14" x14ac:dyDescent="0.25">
      <c r="B27" s="121"/>
      <c r="C27" s="159"/>
      <c r="D27" s="159"/>
      <c r="E27" s="159"/>
      <c r="F27" s="159"/>
      <c r="G27" s="160"/>
      <c r="H27" s="161"/>
      <c r="I27" s="162"/>
      <c r="J27" s="159"/>
      <c r="K27" s="163"/>
      <c r="L27" s="164">
        <f t="shared" si="0"/>
        <v>0</v>
      </c>
      <c r="M27" s="165" t="e">
        <f t="shared" si="1"/>
        <v>#DIV/0!</v>
      </c>
      <c r="N27" s="122"/>
    </row>
    <row r="28" spans="2:14" x14ac:dyDescent="0.25">
      <c r="B28" s="121"/>
      <c r="C28" s="159"/>
      <c r="D28" s="159"/>
      <c r="E28" s="159"/>
      <c r="F28" s="159"/>
      <c r="G28" s="160"/>
      <c r="H28" s="161"/>
      <c r="I28" s="162"/>
      <c r="J28" s="159"/>
      <c r="K28" s="163"/>
      <c r="L28" s="164">
        <f t="shared" si="0"/>
        <v>0</v>
      </c>
      <c r="M28" s="165" t="e">
        <f t="shared" si="1"/>
        <v>#DIV/0!</v>
      </c>
      <c r="N28" s="122"/>
    </row>
    <row r="29" spans="2:14" x14ac:dyDescent="0.25">
      <c r="B29" s="121"/>
      <c r="C29" s="160"/>
      <c r="D29" s="160"/>
      <c r="E29" s="160"/>
      <c r="F29" s="160"/>
      <c r="G29" s="160"/>
      <c r="H29" s="161"/>
      <c r="I29" s="162"/>
      <c r="J29" s="159"/>
      <c r="K29" s="163"/>
      <c r="L29" s="164">
        <f t="shared" si="0"/>
        <v>0</v>
      </c>
      <c r="M29" s="165" t="e">
        <f t="shared" si="1"/>
        <v>#DIV/0!</v>
      </c>
      <c r="N29" s="122"/>
    </row>
    <row r="30" spans="2:14" x14ac:dyDescent="0.25">
      <c r="B30" s="121"/>
      <c r="C30" s="160"/>
      <c r="D30" s="160"/>
      <c r="E30" s="160"/>
      <c r="F30" s="160"/>
      <c r="G30" s="160"/>
      <c r="H30" s="161"/>
      <c r="I30" s="162"/>
      <c r="J30" s="159"/>
      <c r="K30" s="163"/>
      <c r="L30" s="164">
        <f t="shared" si="0"/>
        <v>0</v>
      </c>
      <c r="M30" s="165" t="e">
        <f t="shared" si="1"/>
        <v>#DIV/0!</v>
      </c>
      <c r="N30" s="122"/>
    </row>
    <row r="31" spans="2:14" x14ac:dyDescent="0.25">
      <c r="B31" s="121"/>
      <c r="C31" s="159"/>
      <c r="D31" s="159"/>
      <c r="E31" s="159"/>
      <c r="F31" s="159"/>
      <c r="G31" s="160"/>
      <c r="H31" s="161"/>
      <c r="I31" s="162"/>
      <c r="J31" s="159"/>
      <c r="K31" s="163"/>
      <c r="L31" s="164">
        <f t="shared" si="0"/>
        <v>0</v>
      </c>
      <c r="M31" s="165" t="e">
        <f t="shared" si="1"/>
        <v>#DIV/0!</v>
      </c>
      <c r="N31" s="122"/>
    </row>
    <row r="32" spans="2:14" x14ac:dyDescent="0.25">
      <c r="B32" s="121"/>
      <c r="C32" s="159"/>
      <c r="D32" s="159"/>
      <c r="E32" s="159"/>
      <c r="F32" s="159"/>
      <c r="G32" s="160"/>
      <c r="H32" s="161"/>
      <c r="I32" s="162"/>
      <c r="J32" s="159"/>
      <c r="K32" s="163"/>
      <c r="L32" s="164">
        <f t="shared" si="0"/>
        <v>0</v>
      </c>
      <c r="M32" s="165" t="e">
        <f t="shared" si="1"/>
        <v>#DIV/0!</v>
      </c>
      <c r="N32" s="122"/>
    </row>
    <row r="33" spans="2:14" x14ac:dyDescent="0.25">
      <c r="B33" s="121"/>
      <c r="C33" s="160"/>
      <c r="D33" s="160"/>
      <c r="E33" s="160"/>
      <c r="F33" s="160"/>
      <c r="G33" s="160"/>
      <c r="H33" s="161"/>
      <c r="I33" s="162"/>
      <c r="J33" s="159"/>
      <c r="K33" s="163"/>
      <c r="L33" s="164">
        <f t="shared" si="0"/>
        <v>0</v>
      </c>
      <c r="M33" s="165" t="e">
        <f t="shared" si="1"/>
        <v>#DIV/0!</v>
      </c>
      <c r="N33" s="122"/>
    </row>
    <row r="34" spans="2:14" x14ac:dyDescent="0.25">
      <c r="B34" s="121"/>
      <c r="C34" s="159"/>
      <c r="D34" s="159"/>
      <c r="E34" s="159"/>
      <c r="F34" s="159"/>
      <c r="G34" s="160"/>
      <c r="H34" s="161"/>
      <c r="I34" s="162"/>
      <c r="J34" s="159"/>
      <c r="K34" s="166"/>
      <c r="L34" s="164">
        <f t="shared" si="0"/>
        <v>0</v>
      </c>
      <c r="M34" s="167" t="e">
        <f t="shared" si="1"/>
        <v>#DIV/0!</v>
      </c>
      <c r="N34" s="122"/>
    </row>
    <row r="35" spans="2:14" x14ac:dyDescent="0.25">
      <c r="B35" s="121"/>
      <c r="C35" s="159"/>
      <c r="D35" s="159"/>
      <c r="E35" s="159"/>
      <c r="F35" s="159"/>
      <c r="G35" s="160"/>
      <c r="H35" s="161"/>
      <c r="I35" s="162"/>
      <c r="J35" s="159"/>
      <c r="K35" s="163"/>
      <c r="L35" s="164">
        <f t="shared" si="0"/>
        <v>0</v>
      </c>
      <c r="M35" s="165" t="e">
        <f t="shared" si="1"/>
        <v>#DIV/0!</v>
      </c>
      <c r="N35" s="122"/>
    </row>
    <row r="36" spans="2:14" x14ac:dyDescent="0.25">
      <c r="B36" s="121"/>
      <c r="C36" s="159"/>
      <c r="D36" s="159"/>
      <c r="E36" s="159"/>
      <c r="F36" s="159"/>
      <c r="G36" s="160"/>
      <c r="H36" s="161"/>
      <c r="I36" s="162"/>
      <c r="J36" s="159"/>
      <c r="K36" s="163"/>
      <c r="L36" s="164">
        <f t="shared" si="0"/>
        <v>0</v>
      </c>
      <c r="M36" s="165" t="e">
        <f t="shared" si="1"/>
        <v>#DIV/0!</v>
      </c>
      <c r="N36" s="122"/>
    </row>
    <row r="37" spans="2:14" x14ac:dyDescent="0.25">
      <c r="B37" s="121"/>
      <c r="C37" s="159"/>
      <c r="D37" s="159"/>
      <c r="E37" s="159"/>
      <c r="F37" s="159"/>
      <c r="G37" s="160"/>
      <c r="H37" s="161"/>
      <c r="I37" s="162"/>
      <c r="J37" s="159"/>
      <c r="K37" s="163"/>
      <c r="L37" s="164">
        <f t="shared" ref="L37" si="2">+J37+K37</f>
        <v>0</v>
      </c>
      <c r="M37" s="165" t="e">
        <f t="shared" ref="M37" si="3">+L37/I37</f>
        <v>#DIV/0!</v>
      </c>
      <c r="N37" s="122"/>
    </row>
    <row r="38" spans="2:14" x14ac:dyDescent="0.25">
      <c r="B38" s="121"/>
      <c r="C38" s="159"/>
      <c r="D38" s="159"/>
      <c r="E38" s="159"/>
      <c r="F38" s="159"/>
      <c r="G38" s="159"/>
      <c r="H38" s="168"/>
      <c r="I38" s="169"/>
      <c r="J38" s="159"/>
      <c r="K38" s="163"/>
      <c r="L38" s="164">
        <f t="shared" si="0"/>
        <v>0</v>
      </c>
      <c r="M38" s="165" t="e">
        <f t="shared" si="1"/>
        <v>#DIV/0!</v>
      </c>
      <c r="N38" s="122"/>
    </row>
    <row r="39" spans="2:14" x14ac:dyDescent="0.25">
      <c r="B39" s="121"/>
      <c r="C39" s="159"/>
      <c r="D39" s="159"/>
      <c r="E39" s="159"/>
      <c r="F39" s="159"/>
      <c r="G39" s="160"/>
      <c r="H39" s="161"/>
      <c r="I39" s="162"/>
      <c r="J39" s="159"/>
      <c r="K39" s="163"/>
      <c r="L39" s="164">
        <f t="shared" si="0"/>
        <v>0</v>
      </c>
      <c r="M39" s="165" t="e">
        <f t="shared" si="1"/>
        <v>#DIV/0!</v>
      </c>
      <c r="N39" s="122"/>
    </row>
    <row r="40" spans="2:14" x14ac:dyDescent="0.25">
      <c r="B40" s="121"/>
      <c r="C40" s="159"/>
      <c r="D40" s="159"/>
      <c r="E40" s="159"/>
      <c r="F40" s="159"/>
      <c r="G40" s="160"/>
      <c r="H40" s="161"/>
      <c r="I40" s="162"/>
      <c r="J40" s="159"/>
      <c r="K40" s="163"/>
      <c r="L40" s="164">
        <f t="shared" si="0"/>
        <v>0</v>
      </c>
      <c r="M40" s="165" t="e">
        <f t="shared" si="1"/>
        <v>#DIV/0!</v>
      </c>
      <c r="N40" s="122"/>
    </row>
    <row r="41" spans="2:14" x14ac:dyDescent="0.25">
      <c r="B41" s="121"/>
      <c r="C41" s="159"/>
      <c r="D41" s="159"/>
      <c r="E41" s="159"/>
      <c r="F41" s="159"/>
      <c r="G41" s="160"/>
      <c r="H41" s="161"/>
      <c r="I41" s="162"/>
      <c r="J41" s="159"/>
      <c r="K41" s="163"/>
      <c r="L41" s="164">
        <f t="shared" si="0"/>
        <v>0</v>
      </c>
      <c r="M41" s="165" t="e">
        <f t="shared" si="1"/>
        <v>#DIV/0!</v>
      </c>
      <c r="N41" s="122"/>
    </row>
    <row r="42" spans="2:14" x14ac:dyDescent="0.25">
      <c r="B42" s="121"/>
      <c r="C42" s="160"/>
      <c r="D42" s="160"/>
      <c r="E42" s="160"/>
      <c r="F42" s="160"/>
      <c r="G42" s="160"/>
      <c r="H42" s="161"/>
      <c r="I42" s="162"/>
      <c r="J42" s="159"/>
      <c r="K42" s="163"/>
      <c r="L42" s="164">
        <f t="shared" si="0"/>
        <v>0</v>
      </c>
      <c r="M42" s="165" t="e">
        <f t="shared" si="1"/>
        <v>#DIV/0!</v>
      </c>
      <c r="N42" s="122"/>
    </row>
    <row r="43" spans="2:14" x14ac:dyDescent="0.25">
      <c r="B43" s="121"/>
      <c r="C43" s="159"/>
      <c r="D43" s="159"/>
      <c r="E43" s="159"/>
      <c r="F43" s="159"/>
      <c r="G43" s="160"/>
      <c r="H43" s="161"/>
      <c r="I43" s="162"/>
      <c r="J43" s="159"/>
      <c r="K43" s="163"/>
      <c r="L43" s="164">
        <f t="shared" si="0"/>
        <v>0</v>
      </c>
      <c r="M43" s="165" t="e">
        <f t="shared" si="1"/>
        <v>#DIV/0!</v>
      </c>
      <c r="N43" s="122"/>
    </row>
    <row r="44" spans="2:14" x14ac:dyDescent="0.25">
      <c r="B44" s="121"/>
      <c r="C44" s="160"/>
      <c r="D44" s="160"/>
      <c r="E44" s="160"/>
      <c r="F44" s="160"/>
      <c r="G44" s="160"/>
      <c r="H44" s="161"/>
      <c r="I44" s="162"/>
      <c r="J44" s="159"/>
      <c r="K44" s="163"/>
      <c r="L44" s="164">
        <f t="shared" si="0"/>
        <v>0</v>
      </c>
      <c r="M44" s="165" t="e">
        <f t="shared" si="1"/>
        <v>#DIV/0!</v>
      </c>
      <c r="N44" s="122"/>
    </row>
    <row r="45" spans="2:14" x14ac:dyDescent="0.25">
      <c r="B45" s="121"/>
      <c r="C45" s="160"/>
      <c r="D45" s="160"/>
      <c r="E45" s="160"/>
      <c r="F45" s="160"/>
      <c r="G45" s="160"/>
      <c r="H45" s="161"/>
      <c r="I45" s="162"/>
      <c r="J45" s="159"/>
      <c r="K45" s="163"/>
      <c r="L45" s="164">
        <f t="shared" si="0"/>
        <v>0</v>
      </c>
      <c r="M45" s="165" t="e">
        <f t="shared" si="1"/>
        <v>#DIV/0!</v>
      </c>
      <c r="N45" s="122"/>
    </row>
    <row r="46" spans="2:14" x14ac:dyDescent="0.25">
      <c r="B46" s="121"/>
      <c r="C46" s="160"/>
      <c r="D46" s="160"/>
      <c r="E46" s="160"/>
      <c r="F46" s="160"/>
      <c r="G46" s="160"/>
      <c r="H46" s="161"/>
      <c r="I46" s="162"/>
      <c r="J46" s="159"/>
      <c r="K46" s="163"/>
      <c r="L46" s="164">
        <f t="shared" si="0"/>
        <v>0</v>
      </c>
      <c r="M46" s="165" t="e">
        <f t="shared" si="1"/>
        <v>#DIV/0!</v>
      </c>
      <c r="N46" s="122"/>
    </row>
    <row r="47" spans="2:14" x14ac:dyDescent="0.25">
      <c r="B47" s="121"/>
      <c r="C47" s="160"/>
      <c r="D47" s="160"/>
      <c r="E47" s="160"/>
      <c r="F47" s="160"/>
      <c r="G47" s="160"/>
      <c r="H47" s="161"/>
      <c r="I47" s="162"/>
      <c r="J47" s="159"/>
      <c r="K47" s="163"/>
      <c r="L47" s="164">
        <f t="shared" si="0"/>
        <v>0</v>
      </c>
      <c r="M47" s="165" t="e">
        <f t="shared" si="1"/>
        <v>#DIV/0!</v>
      </c>
      <c r="N47" s="122"/>
    </row>
    <row r="48" spans="2:14" x14ac:dyDescent="0.25">
      <c r="B48" s="121"/>
      <c r="C48" s="160"/>
      <c r="D48" s="160"/>
      <c r="E48" s="160"/>
      <c r="F48" s="160"/>
      <c r="G48" s="160"/>
      <c r="H48" s="161"/>
      <c r="I48" s="162"/>
      <c r="J48" s="159"/>
      <c r="K48" s="163"/>
      <c r="L48" s="164">
        <f t="shared" si="0"/>
        <v>0</v>
      </c>
      <c r="M48" s="165" t="e">
        <f t="shared" si="1"/>
        <v>#DIV/0!</v>
      </c>
      <c r="N48" s="122"/>
    </row>
    <row r="49" spans="2:14" x14ac:dyDescent="0.25">
      <c r="B49" s="121"/>
      <c r="C49" s="160"/>
      <c r="D49" s="160"/>
      <c r="E49" s="160"/>
      <c r="F49" s="160"/>
      <c r="G49" s="160"/>
      <c r="H49" s="161"/>
      <c r="I49" s="162"/>
      <c r="J49" s="159"/>
      <c r="K49" s="163"/>
      <c r="L49" s="164">
        <f t="shared" si="0"/>
        <v>0</v>
      </c>
      <c r="M49" s="165" t="e">
        <f t="shared" si="1"/>
        <v>#DIV/0!</v>
      </c>
      <c r="N49" s="122"/>
    </row>
    <row r="50" spans="2:14" x14ac:dyDescent="0.25">
      <c r="B50" s="121"/>
      <c r="C50" s="159"/>
      <c r="D50" s="159"/>
      <c r="E50" s="159"/>
      <c r="F50" s="159"/>
      <c r="G50" s="160"/>
      <c r="H50" s="161"/>
      <c r="I50" s="162"/>
      <c r="J50" s="159"/>
      <c r="K50" s="163"/>
      <c r="L50" s="164">
        <f t="shared" si="0"/>
        <v>0</v>
      </c>
      <c r="M50" s="165" t="e">
        <f t="shared" si="1"/>
        <v>#DIV/0!</v>
      </c>
      <c r="N50" s="122"/>
    </row>
    <row r="51" spans="2:14" x14ac:dyDescent="0.25">
      <c r="B51" s="121"/>
      <c r="C51" s="159"/>
      <c r="D51" s="159"/>
      <c r="E51" s="159"/>
      <c r="F51" s="159"/>
      <c r="G51" s="160"/>
      <c r="H51" s="168"/>
      <c r="I51" s="169"/>
      <c r="J51" s="159"/>
      <c r="K51" s="163"/>
      <c r="L51" s="164">
        <f t="shared" si="0"/>
        <v>0</v>
      </c>
      <c r="M51" s="165" t="e">
        <f t="shared" si="1"/>
        <v>#DIV/0!</v>
      </c>
      <c r="N51" s="122"/>
    </row>
    <row r="52" spans="2:14" x14ac:dyDescent="0.25">
      <c r="B52" s="121"/>
      <c r="C52" s="159"/>
      <c r="D52" s="160"/>
      <c r="E52" s="160"/>
      <c r="F52" s="160"/>
      <c r="G52" s="160"/>
      <c r="H52" s="168"/>
      <c r="I52" s="169"/>
      <c r="J52" s="159"/>
      <c r="K52" s="163"/>
      <c r="L52" s="164">
        <f t="shared" si="0"/>
        <v>0</v>
      </c>
      <c r="M52" s="165" t="e">
        <f t="shared" si="1"/>
        <v>#DIV/0!</v>
      </c>
      <c r="N52" s="122"/>
    </row>
    <row r="53" spans="2:14" x14ac:dyDescent="0.25">
      <c r="B53" s="121"/>
      <c r="C53" s="159"/>
      <c r="D53" s="160"/>
      <c r="E53" s="160"/>
      <c r="F53" s="160"/>
      <c r="G53" s="160"/>
      <c r="H53" s="168"/>
      <c r="I53" s="169"/>
      <c r="J53" s="159"/>
      <c r="K53" s="163"/>
      <c r="L53" s="164">
        <f t="shared" si="0"/>
        <v>0</v>
      </c>
      <c r="M53" s="165" t="e">
        <f t="shared" si="1"/>
        <v>#DIV/0!</v>
      </c>
      <c r="N53" s="122"/>
    </row>
    <row r="54" spans="2:14" x14ac:dyDescent="0.25">
      <c r="B54" s="121"/>
      <c r="C54" s="159"/>
      <c r="D54" s="160"/>
      <c r="E54" s="160"/>
      <c r="F54" s="160"/>
      <c r="G54" s="160"/>
      <c r="H54" s="168"/>
      <c r="I54" s="169"/>
      <c r="J54" s="159"/>
      <c r="K54" s="163"/>
      <c r="L54" s="164">
        <f t="shared" si="0"/>
        <v>0</v>
      </c>
      <c r="M54" s="165" t="e">
        <f t="shared" si="1"/>
        <v>#DIV/0!</v>
      </c>
      <c r="N54" s="122"/>
    </row>
    <row r="55" spans="2:14" x14ac:dyDescent="0.25">
      <c r="B55" s="121"/>
      <c r="C55" s="159"/>
      <c r="D55" s="160"/>
      <c r="E55" s="160"/>
      <c r="F55" s="160"/>
      <c r="G55" s="160"/>
      <c r="H55" s="168"/>
      <c r="I55" s="169"/>
      <c r="J55" s="159"/>
      <c r="K55" s="163"/>
      <c r="L55" s="164">
        <f t="shared" si="0"/>
        <v>0</v>
      </c>
      <c r="M55" s="165" t="e">
        <f t="shared" si="1"/>
        <v>#DIV/0!</v>
      </c>
      <c r="N55" s="122"/>
    </row>
    <row r="56" spans="2:14" x14ac:dyDescent="0.25">
      <c r="B56" s="121"/>
      <c r="C56" s="159"/>
      <c r="D56" s="160"/>
      <c r="E56" s="160"/>
      <c r="F56" s="160"/>
      <c r="G56" s="160"/>
      <c r="H56" s="168"/>
      <c r="I56" s="169"/>
      <c r="J56" s="159"/>
      <c r="K56" s="163"/>
      <c r="L56" s="164">
        <f t="shared" si="0"/>
        <v>0</v>
      </c>
      <c r="M56" s="165" t="e">
        <f t="shared" si="1"/>
        <v>#DIV/0!</v>
      </c>
      <c r="N56" s="122"/>
    </row>
    <row r="57" spans="2:14" x14ac:dyDescent="0.25">
      <c r="B57" s="121"/>
      <c r="C57" s="159"/>
      <c r="D57" s="159"/>
      <c r="E57" s="159"/>
      <c r="F57" s="159"/>
      <c r="G57" s="160"/>
      <c r="H57" s="168"/>
      <c r="I57" s="169"/>
      <c r="J57" s="159"/>
      <c r="K57" s="163"/>
      <c r="L57" s="164">
        <f t="shared" si="0"/>
        <v>0</v>
      </c>
      <c r="M57" s="165" t="e">
        <f t="shared" si="1"/>
        <v>#DIV/0!</v>
      </c>
      <c r="N57" s="122"/>
    </row>
    <row r="58" spans="2:14" x14ac:dyDescent="0.25">
      <c r="B58" s="121"/>
      <c r="C58" s="159"/>
      <c r="D58" s="159"/>
      <c r="E58" s="159"/>
      <c r="F58" s="159"/>
      <c r="G58" s="160"/>
      <c r="H58" s="168"/>
      <c r="I58" s="169"/>
      <c r="J58" s="159"/>
      <c r="K58" s="163"/>
      <c r="L58" s="164">
        <f t="shared" si="0"/>
        <v>0</v>
      </c>
      <c r="M58" s="165" t="e">
        <f t="shared" si="1"/>
        <v>#DIV/0!</v>
      </c>
      <c r="N58" s="122"/>
    </row>
    <row r="59" spans="2:14" x14ac:dyDescent="0.25">
      <c r="B59" s="121"/>
      <c r="C59" s="159"/>
      <c r="D59" s="170"/>
      <c r="E59" s="170"/>
      <c r="F59" s="170"/>
      <c r="G59" s="171"/>
      <c r="H59" s="168"/>
      <c r="I59" s="169"/>
      <c r="J59" s="159"/>
      <c r="K59" s="163"/>
      <c r="L59" s="164">
        <f t="shared" si="0"/>
        <v>0</v>
      </c>
      <c r="M59" s="165" t="e">
        <f t="shared" si="1"/>
        <v>#DIV/0!</v>
      </c>
      <c r="N59" s="122"/>
    </row>
    <row r="60" spans="2:14" x14ac:dyDescent="0.25">
      <c r="B60" s="121"/>
      <c r="C60" s="159"/>
      <c r="D60" s="170"/>
      <c r="E60" s="170"/>
      <c r="F60" s="170"/>
      <c r="G60" s="171"/>
      <c r="H60" s="168"/>
      <c r="I60" s="169"/>
      <c r="J60" s="159"/>
      <c r="K60" s="163"/>
      <c r="L60" s="164">
        <f t="shared" si="0"/>
        <v>0</v>
      </c>
      <c r="M60" s="165" t="e">
        <f t="shared" si="1"/>
        <v>#DIV/0!</v>
      </c>
      <c r="N60" s="122"/>
    </row>
    <row r="61" spans="2:14" x14ac:dyDescent="0.25">
      <c r="B61" s="121"/>
      <c r="C61" s="159"/>
      <c r="D61" s="170"/>
      <c r="E61" s="170"/>
      <c r="F61" s="170"/>
      <c r="G61" s="171"/>
      <c r="H61" s="168"/>
      <c r="I61" s="169"/>
      <c r="J61" s="159"/>
      <c r="K61" s="163"/>
      <c r="L61" s="164">
        <f t="shared" si="0"/>
        <v>0</v>
      </c>
      <c r="M61" s="165" t="e">
        <f t="shared" si="1"/>
        <v>#DIV/0!</v>
      </c>
      <c r="N61" s="122"/>
    </row>
    <row r="62" spans="2:14" x14ac:dyDescent="0.25">
      <c r="B62" s="121"/>
      <c r="C62" s="159"/>
      <c r="D62" s="170"/>
      <c r="E62" s="170"/>
      <c r="F62" s="170"/>
      <c r="G62" s="170"/>
      <c r="H62" s="168"/>
      <c r="I62" s="169"/>
      <c r="J62" s="159"/>
      <c r="K62" s="159"/>
      <c r="L62" s="164">
        <f t="shared" si="0"/>
        <v>0</v>
      </c>
      <c r="M62" s="165" t="e">
        <f t="shared" si="1"/>
        <v>#DIV/0!</v>
      </c>
      <c r="N62" s="122"/>
    </row>
    <row r="63" spans="2:14" x14ac:dyDescent="0.25">
      <c r="B63" s="121"/>
      <c r="C63" s="159"/>
      <c r="D63" s="170"/>
      <c r="E63" s="170"/>
      <c r="F63" s="170"/>
      <c r="G63" s="170"/>
      <c r="H63" s="205"/>
      <c r="I63" s="169"/>
      <c r="J63" s="159"/>
      <c r="K63" s="159"/>
      <c r="L63" s="164">
        <f t="shared" si="0"/>
        <v>0</v>
      </c>
      <c r="M63" s="165" t="e">
        <f t="shared" si="1"/>
        <v>#DIV/0!</v>
      </c>
      <c r="N63" s="122"/>
    </row>
    <row r="64" spans="2:14" x14ac:dyDescent="0.25">
      <c r="B64" s="121"/>
      <c r="C64" s="159"/>
      <c r="D64" s="170"/>
      <c r="E64" s="170"/>
      <c r="F64" s="170"/>
      <c r="G64" s="170"/>
      <c r="H64" s="168"/>
      <c r="I64" s="169"/>
      <c r="J64" s="159"/>
      <c r="K64" s="163"/>
      <c r="L64" s="164">
        <f t="shared" si="0"/>
        <v>0</v>
      </c>
      <c r="M64" s="165" t="e">
        <f t="shared" si="1"/>
        <v>#DIV/0!</v>
      </c>
      <c r="N64" s="122"/>
    </row>
    <row r="65" spans="2:14" x14ac:dyDescent="0.25">
      <c r="B65" s="121"/>
      <c r="C65" s="172"/>
      <c r="D65" s="173"/>
      <c r="E65" s="173"/>
      <c r="F65" s="173"/>
      <c r="G65" s="173"/>
      <c r="H65" s="174"/>
      <c r="I65" s="175"/>
      <c r="J65" s="172"/>
      <c r="K65" s="206"/>
      <c r="L65" s="176">
        <f t="shared" si="0"/>
        <v>0</v>
      </c>
      <c r="M65" s="177" t="e">
        <f t="shared" si="1"/>
        <v>#DIV/0!</v>
      </c>
      <c r="N65" s="122"/>
    </row>
    <row r="66" spans="2:14" x14ac:dyDescent="0.25">
      <c r="B66" s="121"/>
      <c r="C66" s="198"/>
      <c r="D66" s="198">
        <f>+COUNT($D$22:$D$65)</f>
        <v>0</v>
      </c>
      <c r="E66" s="198"/>
      <c r="F66" s="373"/>
      <c r="G66" s="373"/>
      <c r="H66" s="149"/>
      <c r="I66" s="148">
        <f>SUM($I$22:$I$65)</f>
        <v>0</v>
      </c>
      <c r="J66" s="150">
        <f>SUM($J$22:$J$65)</f>
        <v>0</v>
      </c>
      <c r="K66" s="151">
        <f>SUM($K$22:$K$65)</f>
        <v>0</v>
      </c>
      <c r="L66" s="148">
        <f>SUM($L$22:$L$65)</f>
        <v>0</v>
      </c>
      <c r="M66" s="178" t="e">
        <f t="shared" si="1"/>
        <v>#DIV/0!</v>
      </c>
      <c r="N66" s="122"/>
    </row>
    <row r="67" spans="2:14" ht="16.5" thickBot="1" x14ac:dyDescent="0.3">
      <c r="B67" s="129"/>
      <c r="C67" s="130"/>
      <c r="D67" s="130"/>
      <c r="E67" s="130"/>
      <c r="F67" s="130"/>
      <c r="G67" s="130"/>
      <c r="H67" s="131"/>
      <c r="I67" s="130"/>
      <c r="J67" s="131"/>
      <c r="K67" s="130"/>
      <c r="L67" s="130"/>
      <c r="M67" s="130"/>
      <c r="N67" s="132"/>
    </row>
    <row r="68" spans="2:14" ht="17.25" thickTop="1" thickBot="1" x14ac:dyDescent="0.3">
      <c r="B68" s="133"/>
      <c r="C68" s="133"/>
      <c r="D68" s="133"/>
      <c r="E68" s="133"/>
      <c r="F68" s="133"/>
      <c r="G68" s="133"/>
      <c r="H68" s="134"/>
      <c r="I68" s="133"/>
      <c r="J68" s="134"/>
      <c r="K68" s="133"/>
      <c r="L68" s="133"/>
      <c r="M68" s="133"/>
      <c r="N68" s="133"/>
    </row>
    <row r="69" spans="2:14" ht="16.5" thickTop="1" x14ac:dyDescent="0.25">
      <c r="B69" s="135"/>
      <c r="C69" s="133"/>
      <c r="D69" s="133"/>
      <c r="E69" s="133"/>
      <c r="F69" s="133"/>
      <c r="G69" s="133"/>
      <c r="H69" s="134"/>
      <c r="I69" s="133"/>
      <c r="J69" s="134"/>
      <c r="K69" s="133"/>
      <c r="L69" s="133"/>
      <c r="M69" s="133"/>
      <c r="N69" s="136"/>
    </row>
    <row r="70" spans="2:14" ht="32.25" customHeight="1" x14ac:dyDescent="0.25">
      <c r="B70" s="121"/>
      <c r="D70" s="374" t="s">
        <v>12</v>
      </c>
      <c r="E70" s="375"/>
      <c r="F70" s="375"/>
      <c r="G70" s="375"/>
      <c r="H70" s="180" t="s">
        <v>491</v>
      </c>
      <c r="I70" s="183" t="s">
        <v>489</v>
      </c>
      <c r="J70" s="200" t="s">
        <v>54</v>
      </c>
      <c r="K70" s="201" t="s">
        <v>492</v>
      </c>
      <c r="N70" s="122"/>
    </row>
    <row r="71" spans="2:14" x14ac:dyDescent="0.25">
      <c r="B71" s="121"/>
      <c r="D71" s="367" t="s">
        <v>59</v>
      </c>
      <c r="E71" s="368"/>
      <c r="F71" s="368"/>
      <c r="G71" s="368"/>
      <c r="H71" s="181"/>
      <c r="I71" s="119"/>
      <c r="J71" s="181"/>
      <c r="K71" s="185"/>
      <c r="N71" s="122"/>
    </row>
    <row r="72" spans="2:14" x14ac:dyDescent="0.25">
      <c r="B72" s="121"/>
      <c r="D72" s="367" t="s">
        <v>15</v>
      </c>
      <c r="E72" s="368"/>
      <c r="F72" s="368"/>
      <c r="G72" s="368"/>
      <c r="H72" s="181"/>
      <c r="I72" s="119"/>
      <c r="J72" s="181"/>
      <c r="K72" s="185"/>
      <c r="N72" s="122"/>
    </row>
    <row r="73" spans="2:14" x14ac:dyDescent="0.25">
      <c r="B73" s="121"/>
      <c r="D73" s="367" t="s">
        <v>13</v>
      </c>
      <c r="E73" s="368"/>
      <c r="F73" s="368"/>
      <c r="G73" s="368"/>
      <c r="H73" s="181"/>
      <c r="I73" s="119"/>
      <c r="J73" s="181"/>
      <c r="K73" s="185"/>
      <c r="N73" s="122"/>
    </row>
    <row r="74" spans="2:14" x14ac:dyDescent="0.25">
      <c r="B74" s="121"/>
      <c r="D74" s="367" t="s">
        <v>16</v>
      </c>
      <c r="E74" s="368"/>
      <c r="F74" s="368"/>
      <c r="G74" s="368"/>
      <c r="H74" s="181"/>
      <c r="I74" s="119"/>
      <c r="J74" s="181"/>
      <c r="K74" s="185"/>
      <c r="N74" s="122"/>
    </row>
    <row r="75" spans="2:14" x14ac:dyDescent="0.25">
      <c r="B75" s="121"/>
      <c r="D75" s="367" t="s">
        <v>60</v>
      </c>
      <c r="E75" s="368"/>
      <c r="F75" s="368"/>
      <c r="G75" s="368"/>
      <c r="H75" s="181"/>
      <c r="I75" s="119"/>
      <c r="J75" s="181"/>
      <c r="K75" s="185"/>
      <c r="N75" s="122"/>
    </row>
    <row r="76" spans="2:14" x14ac:dyDescent="0.25">
      <c r="B76" s="121"/>
      <c r="D76" s="367" t="s">
        <v>14</v>
      </c>
      <c r="E76" s="368"/>
      <c r="F76" s="368"/>
      <c r="G76" s="368"/>
      <c r="H76" s="181"/>
      <c r="I76" s="119"/>
      <c r="J76" s="181"/>
      <c r="K76" s="185"/>
      <c r="N76" s="122"/>
    </row>
    <row r="77" spans="2:14" x14ac:dyDescent="0.25">
      <c r="B77" s="121"/>
      <c r="D77" s="367" t="s">
        <v>20</v>
      </c>
      <c r="E77" s="368"/>
      <c r="F77" s="368"/>
      <c r="G77" s="368"/>
      <c r="H77" s="181"/>
      <c r="I77" s="119"/>
      <c r="J77" s="181"/>
      <c r="K77" s="185"/>
      <c r="N77" s="122"/>
    </row>
    <row r="78" spans="2:14" x14ac:dyDescent="0.25">
      <c r="B78" s="121"/>
      <c r="D78" s="367" t="s">
        <v>17</v>
      </c>
      <c r="E78" s="368"/>
      <c r="F78" s="368"/>
      <c r="G78" s="368"/>
      <c r="H78" s="181"/>
      <c r="I78" s="119"/>
      <c r="J78" s="181"/>
      <c r="K78" s="185"/>
      <c r="N78" s="122"/>
    </row>
    <row r="79" spans="2:14" x14ac:dyDescent="0.25">
      <c r="B79" s="121"/>
      <c r="D79" s="367" t="s">
        <v>61</v>
      </c>
      <c r="E79" s="368"/>
      <c r="F79" s="368"/>
      <c r="G79" s="368"/>
      <c r="H79" s="181"/>
      <c r="I79" s="119"/>
      <c r="J79" s="181"/>
      <c r="K79" s="185"/>
      <c r="N79" s="122"/>
    </row>
    <row r="80" spans="2:14" x14ac:dyDescent="0.25">
      <c r="B80" s="121"/>
      <c r="D80" s="367" t="s">
        <v>48</v>
      </c>
      <c r="E80" s="368"/>
      <c r="F80" s="368"/>
      <c r="G80" s="368"/>
      <c r="H80" s="181"/>
      <c r="I80" s="119"/>
      <c r="J80" s="181"/>
      <c r="K80" s="185"/>
      <c r="N80" s="122"/>
    </row>
    <row r="81" spans="2:14" x14ac:dyDescent="0.25">
      <c r="B81" s="121"/>
      <c r="D81" s="367" t="s">
        <v>19</v>
      </c>
      <c r="E81" s="368"/>
      <c r="F81" s="368"/>
      <c r="G81" s="368"/>
      <c r="H81" s="181"/>
      <c r="I81" s="119"/>
      <c r="J81" s="181"/>
      <c r="K81" s="185"/>
      <c r="N81" s="122"/>
    </row>
    <row r="82" spans="2:14" x14ac:dyDescent="0.25">
      <c r="B82" s="121"/>
      <c r="D82" s="367" t="s">
        <v>18</v>
      </c>
      <c r="E82" s="368"/>
      <c r="F82" s="368"/>
      <c r="G82" s="368"/>
      <c r="H82" s="181"/>
      <c r="I82" s="119"/>
      <c r="J82" s="181"/>
      <c r="K82" s="185"/>
      <c r="N82" s="122"/>
    </row>
    <row r="83" spans="2:14" x14ac:dyDescent="0.25">
      <c r="B83" s="121"/>
      <c r="D83" s="367" t="s">
        <v>49</v>
      </c>
      <c r="E83" s="368"/>
      <c r="F83" s="368"/>
      <c r="G83" s="368"/>
      <c r="H83" s="181"/>
      <c r="I83" s="119"/>
      <c r="J83" s="181"/>
      <c r="K83" s="185"/>
      <c r="N83" s="122"/>
    </row>
    <row r="84" spans="2:14" x14ac:dyDescent="0.25">
      <c r="B84" s="121"/>
      <c r="D84" s="370" t="s">
        <v>21</v>
      </c>
      <c r="E84" s="371"/>
      <c r="F84" s="371"/>
      <c r="G84" s="372"/>
      <c r="H84" s="182"/>
      <c r="I84" s="184">
        <f>SUM(I71:I83)</f>
        <v>0</v>
      </c>
      <c r="J84" s="187">
        <f>SUM(J71:J83)</f>
        <v>0</v>
      </c>
      <c r="K84" s="186">
        <f>SUM(K71:K83)</f>
        <v>0</v>
      </c>
      <c r="N84" s="122"/>
    </row>
    <row r="85" spans="2:14" ht="16.5" thickBot="1" x14ac:dyDescent="0.3">
      <c r="B85" s="129"/>
      <c r="C85" s="130"/>
      <c r="D85" s="130"/>
      <c r="E85" s="130"/>
      <c r="F85" s="130"/>
      <c r="G85" s="130"/>
      <c r="H85" s="131"/>
      <c r="I85" s="130"/>
      <c r="J85" s="131"/>
      <c r="K85" s="130"/>
      <c r="L85" s="130"/>
      <c r="M85" s="130"/>
      <c r="N85" s="132"/>
    </row>
    <row r="86" spans="2:14" ht="16.5" thickTop="1" x14ac:dyDescent="0.25">
      <c r="B86" s="121"/>
      <c r="G86" s="137"/>
      <c r="H86" s="138"/>
      <c r="I86" s="137"/>
      <c r="J86" s="138"/>
      <c r="N86" s="122"/>
    </row>
    <row r="87" spans="2:14" ht="15.75" customHeight="1" x14ac:dyDescent="0.25">
      <c r="B87" s="121"/>
      <c r="F87" s="365" t="s">
        <v>22</v>
      </c>
      <c r="G87" s="365"/>
      <c r="H87" s="188" t="s">
        <v>33</v>
      </c>
      <c r="I87" s="180" t="s">
        <v>31</v>
      </c>
      <c r="N87" s="122"/>
    </row>
    <row r="88" spans="2:14" x14ac:dyDescent="0.25">
      <c r="B88" s="121"/>
      <c r="F88" s="366" t="s">
        <v>23</v>
      </c>
      <c r="G88" s="366"/>
      <c r="H88" s="190"/>
      <c r="I88" s="191"/>
      <c r="N88" s="122"/>
    </row>
    <row r="89" spans="2:14" x14ac:dyDescent="0.25">
      <c r="B89" s="121"/>
      <c r="F89" s="378" t="s">
        <v>24</v>
      </c>
      <c r="G89" s="378"/>
      <c r="H89" s="192">
        <f>+D66</f>
        <v>0</v>
      </c>
      <c r="I89" s="193"/>
      <c r="N89" s="122"/>
    </row>
    <row r="90" spans="2:14" x14ac:dyDescent="0.25">
      <c r="B90" s="121"/>
      <c r="F90" s="378" t="s">
        <v>34</v>
      </c>
      <c r="G90" s="378"/>
      <c r="H90" s="194"/>
      <c r="I90" s="193"/>
      <c r="N90" s="122"/>
    </row>
    <row r="91" spans="2:14" x14ac:dyDescent="0.25">
      <c r="B91" s="121"/>
      <c r="F91" s="378" t="s">
        <v>35</v>
      </c>
      <c r="G91" s="378"/>
      <c r="H91" s="194"/>
      <c r="I91" s="193"/>
      <c r="N91" s="122"/>
    </row>
    <row r="92" spans="2:14" x14ac:dyDescent="0.25">
      <c r="B92" s="121"/>
      <c r="F92" s="379" t="s">
        <v>29</v>
      </c>
      <c r="G92" s="379"/>
      <c r="H92" s="195"/>
      <c r="I92" s="196"/>
      <c r="N92" s="122"/>
    </row>
    <row r="93" spans="2:14" x14ac:dyDescent="0.25">
      <c r="B93" s="121"/>
      <c r="F93" s="380" t="s">
        <v>21</v>
      </c>
      <c r="G93" s="380"/>
      <c r="H93" s="189"/>
      <c r="I93" s="182">
        <f>SUM(I88:I92)</f>
        <v>0</v>
      </c>
      <c r="N93" s="122"/>
    </row>
    <row r="94" spans="2:14" ht="16.5" thickBot="1" x14ac:dyDescent="0.3">
      <c r="B94" s="129"/>
      <c r="C94" s="130"/>
      <c r="D94" s="130"/>
      <c r="E94" s="130"/>
      <c r="F94" s="130"/>
      <c r="G94" s="130"/>
      <c r="H94" s="131"/>
      <c r="I94" s="130"/>
      <c r="J94" s="131"/>
      <c r="K94" s="130"/>
      <c r="L94" s="130"/>
      <c r="M94" s="130"/>
      <c r="N94" s="132"/>
    </row>
    <row r="95" spans="2:14" ht="16.5" thickTop="1" x14ac:dyDescent="0.25">
      <c r="I95" s="139"/>
    </row>
  </sheetData>
  <mergeCells count="52">
    <mergeCell ref="D79:G79"/>
    <mergeCell ref="D80:G80"/>
    <mergeCell ref="D81:G81"/>
    <mergeCell ref="D82:G82"/>
    <mergeCell ref="E8:H8"/>
    <mergeCell ref="E9:H9"/>
    <mergeCell ref="D70:G70"/>
    <mergeCell ref="D71:G71"/>
    <mergeCell ref="D72:G72"/>
    <mergeCell ref="D73:G73"/>
    <mergeCell ref="D74:G74"/>
    <mergeCell ref="D75:G75"/>
    <mergeCell ref="D76:G76"/>
    <mergeCell ref="D77:G77"/>
    <mergeCell ref="D78:G78"/>
    <mergeCell ref="C18:D18"/>
    <mergeCell ref="F93:G93"/>
    <mergeCell ref="D83:G83"/>
    <mergeCell ref="D84:G84"/>
    <mergeCell ref="F87:G87"/>
    <mergeCell ref="F88:G88"/>
    <mergeCell ref="F89:G89"/>
    <mergeCell ref="F90:G90"/>
    <mergeCell ref="F92:G92"/>
    <mergeCell ref="F91:G91"/>
    <mergeCell ref="F66:G66"/>
    <mergeCell ref="C13:D13"/>
    <mergeCell ref="C14:D14"/>
    <mergeCell ref="C15:D15"/>
    <mergeCell ref="C16:D16"/>
    <mergeCell ref="C17:D17"/>
    <mergeCell ref="E16:F16"/>
    <mergeCell ref="E17:F17"/>
    <mergeCell ref="E13:F13"/>
    <mergeCell ref="E14:F14"/>
    <mergeCell ref="E15:F15"/>
    <mergeCell ref="F21:G21"/>
    <mergeCell ref="C21:C22"/>
    <mergeCell ref="E18:F18"/>
    <mergeCell ref="K21:K22"/>
    <mergeCell ref="L21:L22"/>
    <mergeCell ref="M21:M22"/>
    <mergeCell ref="C8:D8"/>
    <mergeCell ref="C9:D9"/>
    <mergeCell ref="E12:F12"/>
    <mergeCell ref="L9:M9"/>
    <mergeCell ref="J8:M8"/>
    <mergeCell ref="D21:D22"/>
    <mergeCell ref="E21:E22"/>
    <mergeCell ref="H21:H22"/>
    <mergeCell ref="I21:I22"/>
    <mergeCell ref="J21:J22"/>
  </mergeCells>
  <conditionalFormatting sqref="M23:M65">
    <cfRule type="cellIs" dxfId="0" priority="1" operator="greaterThan">
      <formula>0.7</formula>
    </cfRule>
  </conditionalFormatting>
  <pageMargins left="0.59055118110236227" right="0" top="0" bottom="0" header="0.31496062992125984" footer="0.31496062992125984"/>
  <pageSetup paperSize="9" scale="63" orientation="portrait" r:id="rId1"/>
  <drawing r:id="rId2"/>
  <legacyDrawing r:id="rId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3"/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108</vt:i4>
      </vt:variant>
      <vt:variant>
        <vt:lpstr>Rangos con nombre</vt:lpstr>
      </vt:variant>
      <vt:variant>
        <vt:i4>107</vt:i4>
      </vt:variant>
    </vt:vector>
  </HeadingPairs>
  <TitlesOfParts>
    <vt:vector size="215" baseType="lpstr">
      <vt:lpstr>T 01</vt:lpstr>
      <vt:lpstr>T 02</vt:lpstr>
      <vt:lpstr>T 03</vt:lpstr>
      <vt:lpstr>T 04</vt:lpstr>
      <vt:lpstr>T 05</vt:lpstr>
      <vt:lpstr>T 06</vt:lpstr>
      <vt:lpstr>T 07</vt:lpstr>
      <vt:lpstr>T 08</vt:lpstr>
      <vt:lpstr>T 09</vt:lpstr>
      <vt:lpstr>T 10</vt:lpstr>
      <vt:lpstr>T 11</vt:lpstr>
      <vt:lpstr>T 12</vt:lpstr>
      <vt:lpstr>T 13</vt:lpstr>
      <vt:lpstr>T 14</vt:lpstr>
      <vt:lpstr>T 15</vt:lpstr>
      <vt:lpstr>T 16</vt:lpstr>
      <vt:lpstr>T 17</vt:lpstr>
      <vt:lpstr>T 18</vt:lpstr>
      <vt:lpstr>T 19</vt:lpstr>
      <vt:lpstr>T 20</vt:lpstr>
      <vt:lpstr>T 21</vt:lpstr>
      <vt:lpstr>T 22</vt:lpstr>
      <vt:lpstr>T 23</vt:lpstr>
      <vt:lpstr>T 24</vt:lpstr>
      <vt:lpstr>T 25</vt:lpstr>
      <vt:lpstr>T 26</vt:lpstr>
      <vt:lpstr>T 27</vt:lpstr>
      <vt:lpstr>T 28</vt:lpstr>
      <vt:lpstr>T 29</vt:lpstr>
      <vt:lpstr>T 30</vt:lpstr>
      <vt:lpstr>T 30 B</vt:lpstr>
      <vt:lpstr>T 31</vt:lpstr>
      <vt:lpstr>T 32</vt:lpstr>
      <vt:lpstr>T 33</vt:lpstr>
      <vt:lpstr>T 34</vt:lpstr>
      <vt:lpstr>T 35</vt:lpstr>
      <vt:lpstr>T 36</vt:lpstr>
      <vt:lpstr>T 37</vt:lpstr>
      <vt:lpstr>T 38</vt:lpstr>
      <vt:lpstr>T 39</vt:lpstr>
      <vt:lpstr>T 40</vt:lpstr>
      <vt:lpstr>T 41</vt:lpstr>
      <vt:lpstr>T 42</vt:lpstr>
      <vt:lpstr>T 43</vt:lpstr>
      <vt:lpstr>T 44</vt:lpstr>
      <vt:lpstr>T 45</vt:lpstr>
      <vt:lpstr>T 46</vt:lpstr>
      <vt:lpstr>T 47</vt:lpstr>
      <vt:lpstr>T 48</vt:lpstr>
      <vt:lpstr>T 49</vt:lpstr>
      <vt:lpstr>T 50</vt:lpstr>
      <vt:lpstr>T 51</vt:lpstr>
      <vt:lpstr>T 52</vt:lpstr>
      <vt:lpstr>T 53</vt:lpstr>
      <vt:lpstr>T 54</vt:lpstr>
      <vt:lpstr>T 55</vt:lpstr>
      <vt:lpstr>T 57</vt:lpstr>
      <vt:lpstr>T 56</vt:lpstr>
      <vt:lpstr>T 58</vt:lpstr>
      <vt:lpstr>T 59</vt:lpstr>
      <vt:lpstr>T 60</vt:lpstr>
      <vt:lpstr>T 61</vt:lpstr>
      <vt:lpstr>T 62</vt:lpstr>
      <vt:lpstr>T 63</vt:lpstr>
      <vt:lpstr>T 64</vt:lpstr>
      <vt:lpstr>T 65</vt:lpstr>
      <vt:lpstr>T 66</vt:lpstr>
      <vt:lpstr>T 67</vt:lpstr>
      <vt:lpstr>T 68</vt:lpstr>
      <vt:lpstr>T 69</vt:lpstr>
      <vt:lpstr>T 70</vt:lpstr>
      <vt:lpstr>T 71</vt:lpstr>
      <vt:lpstr>T 72</vt:lpstr>
      <vt:lpstr>T 73</vt:lpstr>
      <vt:lpstr>T 74</vt:lpstr>
      <vt:lpstr>T 75</vt:lpstr>
      <vt:lpstr>T 76</vt:lpstr>
      <vt:lpstr>T 77</vt:lpstr>
      <vt:lpstr>T 78</vt:lpstr>
      <vt:lpstr>T 79</vt:lpstr>
      <vt:lpstr>T 80</vt:lpstr>
      <vt:lpstr>T 81</vt:lpstr>
      <vt:lpstr>T 82</vt:lpstr>
      <vt:lpstr>T 83</vt:lpstr>
      <vt:lpstr>T 84</vt:lpstr>
      <vt:lpstr>T 85</vt:lpstr>
      <vt:lpstr>T 86</vt:lpstr>
      <vt:lpstr>T 87</vt:lpstr>
      <vt:lpstr>T 88</vt:lpstr>
      <vt:lpstr>T 89</vt:lpstr>
      <vt:lpstr>T 90</vt:lpstr>
      <vt:lpstr>T 91</vt:lpstr>
      <vt:lpstr>T 92</vt:lpstr>
      <vt:lpstr>T 93</vt:lpstr>
      <vt:lpstr>T 94</vt:lpstr>
      <vt:lpstr>T 95</vt:lpstr>
      <vt:lpstr>T 96</vt:lpstr>
      <vt:lpstr>T 97</vt:lpstr>
      <vt:lpstr>T 98</vt:lpstr>
      <vt:lpstr>T 99</vt:lpstr>
      <vt:lpstr>T 100</vt:lpstr>
      <vt:lpstr>T 101</vt:lpstr>
      <vt:lpstr>T 102</vt:lpstr>
      <vt:lpstr>T 103</vt:lpstr>
      <vt:lpstr>T 104</vt:lpstr>
      <vt:lpstr>T 105</vt:lpstr>
      <vt:lpstr>T</vt:lpstr>
      <vt:lpstr>Hoja3</vt:lpstr>
      <vt:lpstr>T!Área_de_impresión</vt:lpstr>
      <vt:lpstr>'T 01'!Área_de_impresión</vt:lpstr>
      <vt:lpstr>'T 02'!Área_de_impresión</vt:lpstr>
      <vt:lpstr>'T 03'!Área_de_impresión</vt:lpstr>
      <vt:lpstr>'T 04'!Área_de_impresión</vt:lpstr>
      <vt:lpstr>'T 05'!Área_de_impresión</vt:lpstr>
      <vt:lpstr>'T 06'!Área_de_impresión</vt:lpstr>
      <vt:lpstr>'T 07'!Área_de_impresión</vt:lpstr>
      <vt:lpstr>'T 08'!Área_de_impresión</vt:lpstr>
      <vt:lpstr>'T 09'!Área_de_impresión</vt:lpstr>
      <vt:lpstr>'T 10'!Área_de_impresión</vt:lpstr>
      <vt:lpstr>'T 100'!Área_de_impresión</vt:lpstr>
      <vt:lpstr>'T 101'!Área_de_impresión</vt:lpstr>
      <vt:lpstr>'T 102'!Área_de_impresión</vt:lpstr>
      <vt:lpstr>'T 103'!Área_de_impresión</vt:lpstr>
      <vt:lpstr>'T 104'!Área_de_impresión</vt:lpstr>
      <vt:lpstr>'T 105'!Área_de_impresión</vt:lpstr>
      <vt:lpstr>'T 11'!Área_de_impresión</vt:lpstr>
      <vt:lpstr>'T 12'!Área_de_impresión</vt:lpstr>
      <vt:lpstr>'T 13'!Área_de_impresión</vt:lpstr>
      <vt:lpstr>'T 14'!Área_de_impresión</vt:lpstr>
      <vt:lpstr>'T 15'!Área_de_impresión</vt:lpstr>
      <vt:lpstr>'T 16'!Área_de_impresión</vt:lpstr>
      <vt:lpstr>'T 17'!Área_de_impresión</vt:lpstr>
      <vt:lpstr>'T 18'!Área_de_impresión</vt:lpstr>
      <vt:lpstr>'T 19'!Área_de_impresión</vt:lpstr>
      <vt:lpstr>'T 20'!Área_de_impresión</vt:lpstr>
      <vt:lpstr>'T 21'!Área_de_impresión</vt:lpstr>
      <vt:lpstr>'T 22'!Área_de_impresión</vt:lpstr>
      <vt:lpstr>'T 23'!Área_de_impresión</vt:lpstr>
      <vt:lpstr>'T 24'!Área_de_impresión</vt:lpstr>
      <vt:lpstr>'T 25'!Área_de_impresión</vt:lpstr>
      <vt:lpstr>'T 26'!Área_de_impresión</vt:lpstr>
      <vt:lpstr>'T 27'!Área_de_impresión</vt:lpstr>
      <vt:lpstr>'T 28'!Área_de_impresión</vt:lpstr>
      <vt:lpstr>'T 29'!Área_de_impresión</vt:lpstr>
      <vt:lpstr>'T 30'!Área_de_impresión</vt:lpstr>
      <vt:lpstr>'T 30 B'!Área_de_impresión</vt:lpstr>
      <vt:lpstr>'T 31'!Área_de_impresión</vt:lpstr>
      <vt:lpstr>'T 32'!Área_de_impresión</vt:lpstr>
      <vt:lpstr>'T 33'!Área_de_impresión</vt:lpstr>
      <vt:lpstr>'T 34'!Área_de_impresión</vt:lpstr>
      <vt:lpstr>'T 35'!Área_de_impresión</vt:lpstr>
      <vt:lpstr>'T 36'!Área_de_impresión</vt:lpstr>
      <vt:lpstr>'T 37'!Área_de_impresión</vt:lpstr>
      <vt:lpstr>'T 38'!Área_de_impresión</vt:lpstr>
      <vt:lpstr>'T 39'!Área_de_impresión</vt:lpstr>
      <vt:lpstr>'T 40'!Área_de_impresión</vt:lpstr>
      <vt:lpstr>'T 41'!Área_de_impresión</vt:lpstr>
      <vt:lpstr>'T 42'!Área_de_impresión</vt:lpstr>
      <vt:lpstr>'T 43'!Área_de_impresión</vt:lpstr>
      <vt:lpstr>'T 44'!Área_de_impresión</vt:lpstr>
      <vt:lpstr>'T 45'!Área_de_impresión</vt:lpstr>
      <vt:lpstr>'T 46'!Área_de_impresión</vt:lpstr>
      <vt:lpstr>'T 47'!Área_de_impresión</vt:lpstr>
      <vt:lpstr>'T 48'!Área_de_impresión</vt:lpstr>
      <vt:lpstr>'T 49'!Área_de_impresión</vt:lpstr>
      <vt:lpstr>'T 50'!Área_de_impresión</vt:lpstr>
      <vt:lpstr>'T 51'!Área_de_impresión</vt:lpstr>
      <vt:lpstr>'T 52'!Área_de_impresión</vt:lpstr>
      <vt:lpstr>'T 53'!Área_de_impresión</vt:lpstr>
      <vt:lpstr>'T 54'!Área_de_impresión</vt:lpstr>
      <vt:lpstr>'T 55'!Área_de_impresión</vt:lpstr>
      <vt:lpstr>'T 56'!Área_de_impresión</vt:lpstr>
      <vt:lpstr>'T 57'!Área_de_impresión</vt:lpstr>
      <vt:lpstr>'T 58'!Área_de_impresión</vt:lpstr>
      <vt:lpstr>'T 59'!Área_de_impresión</vt:lpstr>
      <vt:lpstr>'T 60'!Área_de_impresión</vt:lpstr>
      <vt:lpstr>'T 61'!Área_de_impresión</vt:lpstr>
      <vt:lpstr>'T 62'!Área_de_impresión</vt:lpstr>
      <vt:lpstr>'T 63'!Área_de_impresión</vt:lpstr>
      <vt:lpstr>'T 64'!Área_de_impresión</vt:lpstr>
      <vt:lpstr>'T 65'!Área_de_impresión</vt:lpstr>
      <vt:lpstr>'T 66'!Área_de_impresión</vt:lpstr>
      <vt:lpstr>'T 67'!Área_de_impresión</vt:lpstr>
      <vt:lpstr>'T 68'!Área_de_impresión</vt:lpstr>
      <vt:lpstr>'T 69'!Área_de_impresión</vt:lpstr>
      <vt:lpstr>'T 70'!Área_de_impresión</vt:lpstr>
      <vt:lpstr>'T 71'!Área_de_impresión</vt:lpstr>
      <vt:lpstr>'T 72'!Área_de_impresión</vt:lpstr>
      <vt:lpstr>'T 73'!Área_de_impresión</vt:lpstr>
      <vt:lpstr>'T 74'!Área_de_impresión</vt:lpstr>
      <vt:lpstr>'T 75'!Área_de_impresión</vt:lpstr>
      <vt:lpstr>'T 76'!Área_de_impresión</vt:lpstr>
      <vt:lpstr>'T 77'!Área_de_impresión</vt:lpstr>
      <vt:lpstr>'T 78'!Área_de_impresión</vt:lpstr>
      <vt:lpstr>'T 79'!Área_de_impresión</vt:lpstr>
      <vt:lpstr>'T 80'!Área_de_impresión</vt:lpstr>
      <vt:lpstr>'T 81'!Área_de_impresión</vt:lpstr>
      <vt:lpstr>'T 82'!Área_de_impresión</vt:lpstr>
      <vt:lpstr>'T 83'!Área_de_impresión</vt:lpstr>
      <vt:lpstr>'T 84'!Área_de_impresión</vt:lpstr>
      <vt:lpstr>'T 85'!Área_de_impresión</vt:lpstr>
      <vt:lpstr>'T 86'!Área_de_impresión</vt:lpstr>
      <vt:lpstr>'T 87'!Área_de_impresión</vt:lpstr>
      <vt:lpstr>'T 88'!Área_de_impresión</vt:lpstr>
      <vt:lpstr>'T 89'!Área_de_impresión</vt:lpstr>
      <vt:lpstr>'T 90'!Área_de_impresión</vt:lpstr>
      <vt:lpstr>'T 91'!Área_de_impresión</vt:lpstr>
      <vt:lpstr>'T 92'!Área_de_impresión</vt:lpstr>
      <vt:lpstr>'T 93'!Área_de_impresión</vt:lpstr>
      <vt:lpstr>'T 94'!Área_de_impresión</vt:lpstr>
      <vt:lpstr>'T 95'!Área_de_impresión</vt:lpstr>
      <vt:lpstr>'T 96'!Área_de_impresión</vt:lpstr>
      <vt:lpstr>'T 97'!Área_de_impresión</vt:lpstr>
      <vt:lpstr>'T 98'!Área_de_impresión</vt:lpstr>
      <vt:lpstr>'T 99'!Área_de_impresión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2026-03-06T11:11:08Z</cp:lastPrinted>
  <dcterms:created xsi:type="dcterms:W3CDTF">2025-06-26T11:42:39Z</dcterms:created>
  <dcterms:modified xsi:type="dcterms:W3CDTF">2026-03-06T11:11:51Z</dcterms:modified>
</cp:coreProperties>
</file>