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neyder Montoya A\Dropbox\MontoyaAraque2016BscThesis\codigosPYTHON\validations\externalValidationFiles\"/>
    </mc:Choice>
  </mc:AlternateContent>
  <bookViews>
    <workbookView xWindow="0" yWindow="0" windowWidth="15345" windowHeight="5085"/>
  </bookViews>
  <sheets>
    <sheet name="Fellenius method" sheetId="2" r:id="rId1"/>
    <sheet name="Bishop simplified metho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R9" i="2"/>
  <c r="R10" i="2"/>
  <c r="R11" i="2"/>
  <c r="R12" i="2"/>
  <c r="R8" i="1"/>
  <c r="R9" i="1"/>
  <c r="R10" i="1"/>
  <c r="R11" i="1"/>
  <c r="R12" i="1"/>
  <c r="R7" i="1"/>
  <c r="Q8" i="1"/>
  <c r="Q9" i="1"/>
  <c r="Q10" i="1"/>
  <c r="Q11" i="1"/>
  <c r="Q12" i="1"/>
  <c r="Q7" i="1"/>
  <c r="J8" i="1"/>
  <c r="J9" i="1"/>
  <c r="J10" i="1"/>
  <c r="J11" i="1"/>
  <c r="J12" i="1"/>
  <c r="J7" i="1"/>
  <c r="F8" i="1"/>
  <c r="F9" i="1"/>
  <c r="F10" i="1"/>
  <c r="F11" i="1"/>
  <c r="F12" i="1"/>
  <c r="F7" i="1"/>
  <c r="R7" i="2"/>
  <c r="Q8" i="2"/>
  <c r="Q9" i="2"/>
  <c r="Q10" i="2"/>
  <c r="Q11" i="2"/>
  <c r="Q12" i="2"/>
  <c r="Q7" i="2"/>
  <c r="J8" i="2"/>
  <c r="J9" i="2"/>
  <c r="J10" i="2"/>
  <c r="J11" i="2"/>
  <c r="J12" i="2"/>
  <c r="J7" i="2"/>
  <c r="F8" i="2"/>
  <c r="F9" i="2"/>
  <c r="F10" i="2"/>
  <c r="F11" i="2"/>
  <c r="F12" i="2"/>
  <c r="F7" i="2"/>
  <c r="T11" i="2" l="1"/>
  <c r="S12" i="2"/>
  <c r="K12" i="2"/>
  <c r="L12" i="2"/>
  <c r="G12" i="2"/>
  <c r="T12" i="2" s="1"/>
  <c r="H12" i="2"/>
  <c r="S11" i="2"/>
  <c r="M11" i="2"/>
  <c r="K11" i="2"/>
  <c r="H11" i="2"/>
  <c r="G11" i="2"/>
  <c r="S10" i="2"/>
  <c r="K10" i="2"/>
  <c r="G10" i="2"/>
  <c r="T10" i="2" s="1"/>
  <c r="S9" i="2"/>
  <c r="K9" i="2"/>
  <c r="L9" i="2"/>
  <c r="G9" i="2"/>
  <c r="T9" i="2" s="1"/>
  <c r="H9" i="2"/>
  <c r="S8" i="2"/>
  <c r="K8" i="2"/>
  <c r="L8" i="2"/>
  <c r="O8" i="2" s="1"/>
  <c r="G8" i="2"/>
  <c r="T8" i="2" s="1"/>
  <c r="H8" i="2"/>
  <c r="S7" i="2"/>
  <c r="K7" i="2"/>
  <c r="G7" i="2"/>
  <c r="T7" i="2" s="1"/>
  <c r="H7" i="2"/>
  <c r="U12" i="2" l="1"/>
  <c r="U9" i="2"/>
  <c r="U8" i="2"/>
  <c r="L10" i="2"/>
  <c r="O10" i="2" s="1"/>
  <c r="L11" i="2"/>
  <c r="O11" i="2" s="1"/>
  <c r="L7" i="2"/>
  <c r="O7" i="2" s="1"/>
  <c r="H10" i="2"/>
  <c r="H13" i="2" s="1"/>
  <c r="N11" i="2"/>
  <c r="O9" i="2"/>
  <c r="O12" i="2"/>
  <c r="M12" i="2"/>
  <c r="N12" i="2" s="1"/>
  <c r="L7" i="1"/>
  <c r="L11" i="1"/>
  <c r="K8" i="1"/>
  <c r="K9" i="1"/>
  <c r="K10" i="1"/>
  <c r="K11" i="1"/>
  <c r="N11" i="1" s="1"/>
  <c r="K12" i="1"/>
  <c r="K7" i="1"/>
  <c r="G12" i="1"/>
  <c r="G11" i="1"/>
  <c r="G10" i="1"/>
  <c r="G9" i="1"/>
  <c r="G8" i="1"/>
  <c r="G7" i="1"/>
  <c r="V7" i="1"/>
  <c r="U8" i="1"/>
  <c r="U9" i="1" s="1"/>
  <c r="U10" i="1" s="1"/>
  <c r="U11" i="1" s="1"/>
  <c r="U12" i="1" s="1"/>
  <c r="S12" i="1"/>
  <c r="S8" i="1"/>
  <c r="S9" i="1"/>
  <c r="S10" i="1"/>
  <c r="S11" i="1"/>
  <c r="S7" i="1"/>
  <c r="M12" i="1"/>
  <c r="N12" i="1" s="1"/>
  <c r="M11" i="1"/>
  <c r="L8" i="1"/>
  <c r="T8" i="1" s="1"/>
  <c r="L9" i="1"/>
  <c r="L10" i="1"/>
  <c r="O10" i="1" s="1"/>
  <c r="L12" i="1"/>
  <c r="O12" i="1" s="1"/>
  <c r="H8" i="1"/>
  <c r="H9" i="1"/>
  <c r="H11" i="1"/>
  <c r="H12" i="1"/>
  <c r="H7" i="1"/>
  <c r="U7" i="2" l="1"/>
  <c r="U11" i="2"/>
  <c r="U10" i="2"/>
  <c r="O13" i="2"/>
  <c r="T9" i="1"/>
  <c r="O9" i="1"/>
  <c r="T7" i="1"/>
  <c r="W7" i="1" s="1"/>
  <c r="T12" i="1"/>
  <c r="O8" i="1"/>
  <c r="T10" i="1"/>
  <c r="V8" i="1"/>
  <c r="W8" i="1" s="1"/>
  <c r="V10" i="1"/>
  <c r="V11" i="1"/>
  <c r="V12" i="1"/>
  <c r="V9" i="1"/>
  <c r="H10" i="1"/>
  <c r="H13" i="1"/>
  <c r="U13" i="2" l="1"/>
  <c r="X7" i="2" s="1"/>
  <c r="W9" i="1"/>
  <c r="O7" i="1"/>
  <c r="W10" i="1"/>
  <c r="W12" i="1"/>
  <c r="O11" i="1"/>
  <c r="T11" i="1"/>
  <c r="W11" i="1" s="1"/>
  <c r="W13" i="1" l="1"/>
  <c r="Z7" i="1" s="1"/>
  <c r="O13" i="1"/>
</calcChain>
</file>

<file path=xl/sharedStrings.xml><?xml version="1.0" encoding="utf-8"?>
<sst xmlns="http://schemas.openxmlformats.org/spreadsheetml/2006/main" count="52" uniqueCount="28">
  <si>
    <t>Slice #</t>
  </si>
  <si>
    <t>Surface Loads</t>
  </si>
  <si>
    <t>Friction angle (Phi)</t>
  </si>
  <si>
    <t>m=cos(alpha)+(tan(phi)*sin(alpha)/Ftrial)</t>
  </si>
  <si>
    <t>Ftrial</t>
  </si>
  <si>
    <t>Sum=</t>
  </si>
  <si>
    <t>Horizontal Width (b)[ft]</t>
  </si>
  <si>
    <t>Average Height (h)[ft]</t>
  </si>
  <si>
    <t>Area (A)[ft^2]</t>
  </si>
  <si>
    <t>Base inclination (alpha)[rad]</t>
  </si>
  <si>
    <t>Height of Surface Water (hs)[ft]</t>
  </si>
  <si>
    <t>Surface Inclination (Beta)[rad]</t>
  </si>
  <si>
    <t>Horizontal Moment Arm (dh)[ft]</t>
  </si>
  <si>
    <t>Vertical Moment Arm (dv)[ft]</t>
  </si>
  <si>
    <t>Piezometric height (hp)[ft]</t>
  </si>
  <si>
    <t>Moment (Mp)[klb]</t>
  </si>
  <si>
    <t>Fs=</t>
  </si>
  <si>
    <t>Weight (W)[klb/ft]</t>
  </si>
  <si>
    <t>Surface Pressure  (Psurface)[klb/ft^2]</t>
  </si>
  <si>
    <t>W*sin(alpha) [klb/ft]</t>
  </si>
  <si>
    <t>Surface load (P)[klb/ft]</t>
  </si>
  <si>
    <t>Pore Water Pressure (u)[klb/ft^2]</t>
  </si>
  <si>
    <t>Cohesion (c) [klb/ft^2]</t>
  </si>
  <si>
    <t>Friction angle (Phi) [rad]</t>
  </si>
  <si>
    <t>c*b+(W+P*cos(beta)-u*b)*tan(phi) [klb/ft]</t>
  </si>
  <si>
    <t>Delta L=b/cos(beta) (Dl) [ft]</t>
  </si>
  <si>
    <t>c*DL+(W*cos(alpha)+P*cos(alpha-beta)-u*DL*cos^2(alpha))*tan(phi) [klb/ft]</t>
  </si>
  <si>
    <t>Column 19/Column21 [klb/ft]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</si>
</sst>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textRotation="90" wrapText="1"/>
    </xf>
    <xf numFmtId="164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2" fontId="0" fillId="0" borderId="1" xfId="0" applyNumberFormat="1" applyBorder="1"/>
    <xf numFmtId="166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left"/>
    </xf>
    <xf numFmtId="167" fontId="0" fillId="0" borderId="1" xfId="0" applyNumberFormat="1" applyBorder="1"/>
    <xf numFmtId="164" fontId="0" fillId="0" borderId="1" xfId="0" applyNumberFormat="1" applyBorder="1"/>
    <xf numFmtId="0" fontId="0" fillId="0" borderId="4" xfId="0" applyFill="1" applyBorder="1" applyAlignment="1">
      <alignment textRotation="90"/>
    </xf>
    <xf numFmtId="4" fontId="0" fillId="0" borderId="1" xfId="0" applyNumberFormat="1" applyBorder="1"/>
    <xf numFmtId="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3"/>
  <sheetViews>
    <sheetView tabSelected="1" zoomScale="85" zoomScaleNormal="85" workbookViewId="0">
      <selection activeCell="G34" sqref="G34"/>
    </sheetView>
  </sheetViews>
  <sheetFormatPr baseColWidth="10" defaultRowHeight="15" x14ac:dyDescent="0.25"/>
  <cols>
    <col min="2" max="5" width="4.28515625" style="2" bestFit="1" customWidth="1"/>
    <col min="6" max="6" width="5.7109375" style="2" bestFit="1" customWidth="1"/>
    <col min="7" max="7" width="6.42578125" style="2" bestFit="1" customWidth="1"/>
    <col min="8" max="8" width="5.7109375" style="2" bestFit="1" customWidth="1"/>
    <col min="9" max="9" width="4.28515625" bestFit="1" customWidth="1"/>
    <col min="10" max="10" width="4.7109375" bestFit="1" customWidth="1"/>
    <col min="11" max="13" width="5.7109375" bestFit="1" customWidth="1"/>
    <col min="14" max="14" width="6.7109375" bestFit="1" customWidth="1"/>
    <col min="15" max="15" width="7.7109375" bestFit="1" customWidth="1"/>
    <col min="16" max="16" width="4.28515625" bestFit="1" customWidth="1"/>
    <col min="17" max="17" width="4.7109375" bestFit="1" customWidth="1"/>
    <col min="18" max="18" width="4.28515625" bestFit="1" customWidth="1"/>
    <col min="19" max="19" width="5.7109375" bestFit="1" customWidth="1"/>
    <col min="20" max="20" width="6" bestFit="1" customWidth="1"/>
    <col min="21" max="21" width="6.7109375" bestFit="1" customWidth="1"/>
  </cols>
  <sheetData>
    <row r="4" spans="1:25" x14ac:dyDescent="0.25">
      <c r="B4" s="4"/>
      <c r="C4" s="4"/>
      <c r="D4" s="4"/>
      <c r="E4" s="4"/>
      <c r="F4" s="4"/>
      <c r="G4" s="4"/>
      <c r="H4" s="4"/>
      <c r="I4" s="20" t="s">
        <v>1</v>
      </c>
      <c r="J4" s="20"/>
      <c r="K4" s="20"/>
      <c r="L4" s="20"/>
      <c r="M4" s="20"/>
      <c r="N4" s="20"/>
      <c r="O4" s="20"/>
      <c r="P4" s="5"/>
      <c r="Q4" s="5"/>
      <c r="R4" s="5"/>
      <c r="S4" s="5"/>
      <c r="T4" s="5"/>
      <c r="U4" s="5"/>
      <c r="V4" s="2"/>
      <c r="W4" s="2"/>
      <c r="X4" s="2"/>
    </row>
    <row r="5" spans="1:25" x14ac:dyDescent="0.25"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</row>
    <row r="6" spans="1:25" ht="207.75" customHeight="1" x14ac:dyDescent="0.25">
      <c r="A6" s="3"/>
      <c r="B6" s="6" t="s">
        <v>0</v>
      </c>
      <c r="C6" s="6" t="s">
        <v>6</v>
      </c>
      <c r="D6" s="6" t="s">
        <v>7</v>
      </c>
      <c r="E6" s="6" t="s">
        <v>8</v>
      </c>
      <c r="F6" s="6" t="s">
        <v>17</v>
      </c>
      <c r="G6" s="6" t="s">
        <v>9</v>
      </c>
      <c r="H6" s="6" t="s">
        <v>19</v>
      </c>
      <c r="I6" s="6" t="s">
        <v>10</v>
      </c>
      <c r="J6" s="6" t="s">
        <v>18</v>
      </c>
      <c r="K6" s="6" t="s">
        <v>11</v>
      </c>
      <c r="L6" s="6" t="s">
        <v>20</v>
      </c>
      <c r="M6" s="6" t="s">
        <v>12</v>
      </c>
      <c r="N6" s="6" t="s">
        <v>13</v>
      </c>
      <c r="O6" s="6" t="s">
        <v>15</v>
      </c>
      <c r="P6" s="6" t="s">
        <v>14</v>
      </c>
      <c r="Q6" s="6" t="s">
        <v>21</v>
      </c>
      <c r="R6" s="6" t="s">
        <v>22</v>
      </c>
      <c r="S6" s="6" t="s">
        <v>23</v>
      </c>
      <c r="T6" s="17" t="s">
        <v>25</v>
      </c>
      <c r="U6" s="7" t="s">
        <v>26</v>
      </c>
      <c r="V6" s="1"/>
      <c r="W6" s="1"/>
      <c r="X6" s="1"/>
      <c r="Y6" s="1"/>
    </row>
    <row r="7" spans="1:25" x14ac:dyDescent="0.25">
      <c r="B7" s="4">
        <v>1</v>
      </c>
      <c r="C7" s="4">
        <v>20</v>
      </c>
      <c r="D7" s="4">
        <v>6</v>
      </c>
      <c r="E7" s="4">
        <v>122</v>
      </c>
      <c r="F7" s="8">
        <f>115*E7*0.001</f>
        <v>14.030000000000001</v>
      </c>
      <c r="G7" s="10">
        <f>41*PI()/180</f>
        <v>0.715584993317675</v>
      </c>
      <c r="H7" s="9">
        <f t="shared" ref="H7:H12" si="0">F7*SIN(G7)</f>
        <v>9.204508176736816</v>
      </c>
      <c r="I7" s="5">
        <v>0</v>
      </c>
      <c r="J7" s="12">
        <f>I7*62.4*0.001</f>
        <v>0</v>
      </c>
      <c r="K7" s="11">
        <f>14.036*PI()/180</f>
        <v>0.2449744138099241</v>
      </c>
      <c r="L7" s="12">
        <f>J7*C7/COS(K7)</f>
        <v>0</v>
      </c>
      <c r="M7" s="5">
        <v>0</v>
      </c>
      <c r="N7" s="11">
        <v>0</v>
      </c>
      <c r="O7" s="12">
        <f>(L7*COS(K7)*M7)+(L7*SIN(K7)*N7)</f>
        <v>0</v>
      </c>
      <c r="P7" s="5">
        <v>0</v>
      </c>
      <c r="Q7" s="12">
        <f>62.4*P7*0.001</f>
        <v>0</v>
      </c>
      <c r="R7" s="16">
        <f>200*0.001</f>
        <v>0.2</v>
      </c>
      <c r="S7" s="11">
        <f>25*PI()/180</f>
        <v>0.43633231299858238</v>
      </c>
      <c r="T7" s="12">
        <f>C7*COS(G7)</f>
        <v>15.094191604455443</v>
      </c>
      <c r="U7" s="18">
        <f>R7*T7+(F7*COS(G7)+L7*COS(G7-K7)-Q7*T7*COS(G7)*COS(G7))*TAN(S7)</f>
        <v>7.9563721237708336</v>
      </c>
      <c r="W7" s="13" t="s">
        <v>16</v>
      </c>
      <c r="X7" s="14">
        <f>U13/(H13-O13/169)</f>
        <v>2.132833134146003</v>
      </c>
    </row>
    <row r="8" spans="1:25" x14ac:dyDescent="0.25">
      <c r="B8" s="4">
        <v>2</v>
      </c>
      <c r="C8" s="4">
        <v>20</v>
      </c>
      <c r="D8" s="4">
        <v>16</v>
      </c>
      <c r="E8" s="4">
        <v>326</v>
      </c>
      <c r="F8" s="8">
        <f t="shared" ref="F8:F12" si="1">115*E8*0.001</f>
        <v>37.49</v>
      </c>
      <c r="G8" s="10">
        <f>32*PI()/180</f>
        <v>0.55850536063818546</v>
      </c>
      <c r="H8" s="9">
        <f t="shared" si="0"/>
        <v>19.866673216102853</v>
      </c>
      <c r="I8" s="5">
        <v>0</v>
      </c>
      <c r="J8" s="12">
        <f t="shared" ref="J8:J12" si="2">I8*62.4*0.001</f>
        <v>0</v>
      </c>
      <c r="K8" s="11">
        <f t="shared" ref="K8:K12" si="3">14.036*PI()/180</f>
        <v>0.2449744138099241</v>
      </c>
      <c r="L8" s="12">
        <f t="shared" ref="L8:L12" si="4">J8*C8/COS(K8)</f>
        <v>0</v>
      </c>
      <c r="M8" s="5">
        <v>0</v>
      </c>
      <c r="N8" s="11">
        <v>0</v>
      </c>
      <c r="O8" s="12">
        <f t="shared" ref="O8:O12" si="5">(L8*COS(K8)*M8)+(L8*SIN(K8)*N8)</f>
        <v>0</v>
      </c>
      <c r="P8" s="5">
        <v>0</v>
      </c>
      <c r="Q8" s="12">
        <f t="shared" ref="Q8:Q12" si="6">62.4*P8*0.001</f>
        <v>0</v>
      </c>
      <c r="R8" s="16">
        <f t="shared" ref="R8:R12" si="7">200*0.001</f>
        <v>0.2</v>
      </c>
      <c r="S8" s="11">
        <f t="shared" ref="S8:S12" si="8">25*PI()/180</f>
        <v>0.43633231299858238</v>
      </c>
      <c r="T8" s="12">
        <f t="shared" ref="T8:T11" si="9">C8*COS(G8)</f>
        <v>16.960961923128519</v>
      </c>
      <c r="U8" s="18">
        <f t="shared" ref="U8:U12" si="10">R8*T8+(F8*COS(G8)+L8*COS(G8-K8)-Q8*T8*COS(G8)*COS(G8))*TAN(S8)</f>
        <v>18.217662435965043</v>
      </c>
    </row>
    <row r="9" spans="1:25" x14ac:dyDescent="0.25">
      <c r="B9" s="4">
        <v>3</v>
      </c>
      <c r="C9" s="4">
        <v>40</v>
      </c>
      <c r="D9" s="4">
        <v>23</v>
      </c>
      <c r="E9" s="4">
        <v>897</v>
      </c>
      <c r="F9" s="8">
        <f t="shared" si="1"/>
        <v>103.155</v>
      </c>
      <c r="G9" s="10">
        <f>21*PI()/180</f>
        <v>0.36651914291880922</v>
      </c>
      <c r="H9" s="9">
        <f t="shared" si="0"/>
        <v>36.967445835345451</v>
      </c>
      <c r="I9" s="5">
        <v>0</v>
      </c>
      <c r="J9" s="12">
        <f t="shared" si="2"/>
        <v>0</v>
      </c>
      <c r="K9" s="11">
        <f t="shared" si="3"/>
        <v>0.2449744138099241</v>
      </c>
      <c r="L9" s="12">
        <f t="shared" si="4"/>
        <v>0</v>
      </c>
      <c r="M9" s="5">
        <v>0</v>
      </c>
      <c r="N9" s="11">
        <v>0</v>
      </c>
      <c r="O9" s="12">
        <f t="shared" si="5"/>
        <v>0</v>
      </c>
      <c r="P9" s="5">
        <v>8</v>
      </c>
      <c r="Q9" s="12">
        <f t="shared" si="6"/>
        <v>0.49919999999999998</v>
      </c>
      <c r="R9" s="16">
        <f t="shared" si="7"/>
        <v>0.2</v>
      </c>
      <c r="S9" s="11">
        <f t="shared" si="8"/>
        <v>0.43633231299858238</v>
      </c>
      <c r="T9" s="12">
        <f t="shared" si="9"/>
        <v>37.343217059888069</v>
      </c>
      <c r="U9" s="18">
        <f t="shared" si="10"/>
        <v>44.799307672261179</v>
      </c>
    </row>
    <row r="10" spans="1:25" x14ac:dyDescent="0.25">
      <c r="B10" s="4">
        <v>4</v>
      </c>
      <c r="C10" s="4">
        <v>40</v>
      </c>
      <c r="D10" s="4">
        <v>23</v>
      </c>
      <c r="E10" s="4">
        <v>904</v>
      </c>
      <c r="F10" s="8">
        <f t="shared" si="1"/>
        <v>103.96000000000001</v>
      </c>
      <c r="G10" s="10">
        <f>7*PI()/180</f>
        <v>0.12217304763960307</v>
      </c>
      <c r="H10" s="9">
        <f t="shared" si="0"/>
        <v>12.669536940399132</v>
      </c>
      <c r="I10" s="5">
        <v>0</v>
      </c>
      <c r="J10" s="12">
        <f t="shared" si="2"/>
        <v>0</v>
      </c>
      <c r="K10" s="11">
        <f t="shared" si="3"/>
        <v>0.2449744138099241</v>
      </c>
      <c r="L10" s="12">
        <f t="shared" si="4"/>
        <v>0</v>
      </c>
      <c r="M10" s="5">
        <v>0</v>
      </c>
      <c r="N10" s="11">
        <v>0</v>
      </c>
      <c r="O10" s="12">
        <f t="shared" si="5"/>
        <v>0</v>
      </c>
      <c r="P10" s="5">
        <v>18</v>
      </c>
      <c r="Q10" s="12">
        <f t="shared" si="6"/>
        <v>1.1232</v>
      </c>
      <c r="R10" s="16">
        <f t="shared" si="7"/>
        <v>0.2</v>
      </c>
      <c r="S10" s="11">
        <f t="shared" si="8"/>
        <v>0.43633231299858238</v>
      </c>
      <c r="T10" s="12">
        <f t="shared" si="9"/>
        <v>39.70184606565288</v>
      </c>
      <c r="U10" s="18">
        <f t="shared" si="10"/>
        <v>35.571097228888071</v>
      </c>
    </row>
    <row r="11" spans="1:25" x14ac:dyDescent="0.25">
      <c r="B11" s="4">
        <v>5</v>
      </c>
      <c r="C11" s="4">
        <v>25</v>
      </c>
      <c r="D11" s="4">
        <v>16</v>
      </c>
      <c r="E11" s="4">
        <v>399</v>
      </c>
      <c r="F11" s="8">
        <f t="shared" si="1"/>
        <v>45.884999999999998</v>
      </c>
      <c r="G11" s="10">
        <f>-5*PI()/180</f>
        <v>-8.7266462599716474E-2</v>
      </c>
      <c r="H11" s="9">
        <f t="shared" si="0"/>
        <v>-3.9991412559762947</v>
      </c>
      <c r="I11" s="5">
        <v>3</v>
      </c>
      <c r="J11" s="12">
        <f t="shared" si="2"/>
        <v>0.18720000000000001</v>
      </c>
      <c r="K11" s="11">
        <f t="shared" si="3"/>
        <v>0.2449744138099241</v>
      </c>
      <c r="L11" s="12">
        <f>J11*C11/COS(K11)</f>
        <v>4.8240284573097547</v>
      </c>
      <c r="M11" s="12">
        <f>25/2</f>
        <v>12.5</v>
      </c>
      <c r="N11" s="12">
        <f>149+(M11*TAN(K11))</f>
        <v>152.12494356381933</v>
      </c>
      <c r="O11" s="12">
        <f t="shared" si="5"/>
        <v>236.4829696143301</v>
      </c>
      <c r="P11" s="5">
        <v>19</v>
      </c>
      <c r="Q11" s="12">
        <f t="shared" si="6"/>
        <v>1.1856</v>
      </c>
      <c r="R11" s="16">
        <f t="shared" si="7"/>
        <v>0.2</v>
      </c>
      <c r="S11" s="11">
        <f t="shared" si="8"/>
        <v>0.43633231299858238</v>
      </c>
      <c r="T11" s="12">
        <f t="shared" si="9"/>
        <v>24.90486745229364</v>
      </c>
      <c r="U11" s="18">
        <f t="shared" si="10"/>
        <v>14.758370718538513</v>
      </c>
    </row>
    <row r="12" spans="1:25" x14ac:dyDescent="0.25">
      <c r="B12" s="4">
        <v>6</v>
      </c>
      <c r="C12" s="4">
        <v>25</v>
      </c>
      <c r="D12" s="4">
        <v>6</v>
      </c>
      <c r="E12" s="4">
        <v>148</v>
      </c>
      <c r="F12" s="8">
        <f t="shared" si="1"/>
        <v>17.02</v>
      </c>
      <c r="G12" s="10">
        <f>-13*PI()/180</f>
        <v>-0.22689280275926285</v>
      </c>
      <c r="H12" s="9">
        <f t="shared" si="0"/>
        <v>-3.8286669449325821</v>
      </c>
      <c r="I12" s="5">
        <v>9</v>
      </c>
      <c r="J12" s="12">
        <f t="shared" si="2"/>
        <v>0.56159999999999999</v>
      </c>
      <c r="K12" s="11">
        <f t="shared" si="3"/>
        <v>0.2449744138099241</v>
      </c>
      <c r="L12" s="12">
        <f t="shared" si="4"/>
        <v>14.472085371929264</v>
      </c>
      <c r="M12" s="12">
        <f>M11+50</f>
        <v>62.5</v>
      </c>
      <c r="N12" s="12">
        <f>149+(M12*TAN(K12))</f>
        <v>164.62471781909673</v>
      </c>
      <c r="O12" s="12">
        <f t="shared" si="5"/>
        <v>1455.3223241293472</v>
      </c>
      <c r="P12" s="5">
        <v>15</v>
      </c>
      <c r="Q12" s="12">
        <f t="shared" si="6"/>
        <v>0.93600000000000005</v>
      </c>
      <c r="R12" s="16">
        <f t="shared" si="7"/>
        <v>0.2</v>
      </c>
      <c r="S12" s="11">
        <f t="shared" si="8"/>
        <v>0.43633231299858238</v>
      </c>
      <c r="T12" s="12">
        <f>C12*COS(G12)</f>
        <v>24.359251619630882</v>
      </c>
      <c r="U12" s="18">
        <f t="shared" si="10"/>
        <v>8.5220468724023402</v>
      </c>
    </row>
    <row r="13" spans="1:25" x14ac:dyDescent="0.25">
      <c r="G13" s="4" t="s">
        <v>5</v>
      </c>
      <c r="H13" s="9">
        <f>SUM(H7:H12)</f>
        <v>70.880355967675371</v>
      </c>
      <c r="N13" s="4" t="s">
        <v>5</v>
      </c>
      <c r="O13" s="9">
        <f>SUM(O7:O12)</f>
        <v>1691.8052937436773</v>
      </c>
      <c r="T13" s="4" t="s">
        <v>5</v>
      </c>
      <c r="U13" s="19">
        <f>SUM(U7:U12)</f>
        <v>129.82485705182597</v>
      </c>
    </row>
  </sheetData>
  <mergeCells count="1">
    <mergeCell ref="I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3"/>
  <sheetViews>
    <sheetView zoomScale="85" zoomScaleNormal="85" workbookViewId="0">
      <selection activeCell="B4" sqref="B4:W13"/>
    </sheetView>
  </sheetViews>
  <sheetFormatPr baseColWidth="10" defaultRowHeight="15" x14ac:dyDescent="0.25"/>
  <cols>
    <col min="2" max="5" width="4.28515625" style="2" bestFit="1" customWidth="1"/>
    <col min="6" max="6" width="5.7109375" style="2" bestFit="1" customWidth="1"/>
    <col min="7" max="7" width="6.42578125" style="2" bestFit="1" customWidth="1"/>
    <col min="8" max="8" width="5.7109375" style="2" bestFit="1" customWidth="1"/>
    <col min="9" max="9" width="4.28515625" bestFit="1" customWidth="1"/>
    <col min="10" max="10" width="4.7109375" bestFit="1" customWidth="1"/>
    <col min="11" max="13" width="5.7109375" bestFit="1" customWidth="1"/>
    <col min="14" max="14" width="6.7109375" bestFit="1" customWidth="1"/>
    <col min="15" max="15" width="7.7109375" bestFit="1" customWidth="1"/>
    <col min="16" max="16" width="4.28515625" bestFit="1" customWidth="1"/>
    <col min="17" max="17" width="4.7109375" bestFit="1" customWidth="1"/>
    <col min="18" max="18" width="4.28515625" bestFit="1" customWidth="1"/>
    <col min="19" max="21" width="5.7109375" bestFit="1" customWidth="1"/>
    <col min="22" max="22" width="6" bestFit="1" customWidth="1"/>
    <col min="23" max="23" width="6.7109375" bestFit="1" customWidth="1"/>
    <col min="25" max="25" width="3.85546875" customWidth="1"/>
    <col min="26" max="26" width="7.5703125" customWidth="1"/>
  </cols>
  <sheetData>
    <row r="4" spans="1:27" x14ac:dyDescent="0.25">
      <c r="B4" s="4"/>
      <c r="C4" s="4"/>
      <c r="D4" s="4"/>
      <c r="E4" s="4"/>
      <c r="F4" s="4"/>
      <c r="G4" s="4"/>
      <c r="H4" s="4"/>
      <c r="I4" s="20" t="s">
        <v>1</v>
      </c>
      <c r="J4" s="20"/>
      <c r="K4" s="20"/>
      <c r="L4" s="20"/>
      <c r="M4" s="20"/>
      <c r="N4" s="20"/>
      <c r="O4" s="20"/>
      <c r="P4" s="5"/>
      <c r="Q4" s="5"/>
      <c r="R4" s="5"/>
      <c r="S4" s="5"/>
      <c r="T4" s="5"/>
      <c r="U4" s="5"/>
      <c r="V4" s="5"/>
      <c r="W4" s="5"/>
      <c r="X4" s="2"/>
      <c r="Y4" s="2"/>
      <c r="Z4" s="2"/>
    </row>
    <row r="5" spans="1:27" x14ac:dyDescent="0.25"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</row>
    <row r="6" spans="1:27" ht="208.5" x14ac:dyDescent="0.25">
      <c r="A6" s="3"/>
      <c r="B6" s="6" t="s">
        <v>0</v>
      </c>
      <c r="C6" s="6" t="s">
        <v>6</v>
      </c>
      <c r="D6" s="6" t="s">
        <v>7</v>
      </c>
      <c r="E6" s="6" t="s">
        <v>8</v>
      </c>
      <c r="F6" s="6" t="s">
        <v>17</v>
      </c>
      <c r="G6" s="6" t="s">
        <v>9</v>
      </c>
      <c r="H6" s="6" t="s">
        <v>19</v>
      </c>
      <c r="I6" s="6" t="s">
        <v>10</v>
      </c>
      <c r="J6" s="6" t="s">
        <v>18</v>
      </c>
      <c r="K6" s="6" t="s">
        <v>11</v>
      </c>
      <c r="L6" s="6" t="s">
        <v>20</v>
      </c>
      <c r="M6" s="6" t="s">
        <v>12</v>
      </c>
      <c r="N6" s="6" t="s">
        <v>13</v>
      </c>
      <c r="O6" s="6" t="s">
        <v>15</v>
      </c>
      <c r="P6" s="6" t="s">
        <v>14</v>
      </c>
      <c r="Q6" s="6" t="s">
        <v>21</v>
      </c>
      <c r="R6" s="6" t="s">
        <v>22</v>
      </c>
      <c r="S6" s="6" t="s">
        <v>2</v>
      </c>
      <c r="T6" s="6" t="s">
        <v>24</v>
      </c>
      <c r="U6" s="6" t="s">
        <v>4</v>
      </c>
      <c r="V6" s="6" t="s">
        <v>3</v>
      </c>
      <c r="W6" s="7" t="s">
        <v>27</v>
      </c>
      <c r="X6" s="1"/>
      <c r="Y6" s="1"/>
      <c r="Z6" s="1"/>
      <c r="AA6" s="1"/>
    </row>
    <row r="7" spans="1:27" x14ac:dyDescent="0.25">
      <c r="B7" s="4">
        <v>1</v>
      </c>
      <c r="C7" s="4">
        <v>20</v>
      </c>
      <c r="D7" s="4">
        <v>6</v>
      </c>
      <c r="E7" s="4">
        <v>122</v>
      </c>
      <c r="F7" s="8">
        <f>115*E7*0.001</f>
        <v>14.030000000000001</v>
      </c>
      <c r="G7" s="10">
        <f>41*PI()/180</f>
        <v>0.715584993317675</v>
      </c>
      <c r="H7" s="9">
        <f t="shared" ref="H7:H12" si="0">F7*SIN(G7)</f>
        <v>9.204508176736816</v>
      </c>
      <c r="I7" s="5">
        <v>0</v>
      </c>
      <c r="J7" s="12">
        <f>I7*62.4*0.001</f>
        <v>0</v>
      </c>
      <c r="K7" s="11">
        <f>14.036*PI()/180</f>
        <v>0.2449744138099241</v>
      </c>
      <c r="L7" s="12">
        <f>J7*C7/COS(K7)</f>
        <v>0</v>
      </c>
      <c r="M7" s="5">
        <v>0</v>
      </c>
      <c r="N7" s="11">
        <v>0</v>
      </c>
      <c r="O7" s="12">
        <f>(L7*COS(K7)*M7)+(L7*SIN(K7)*N7)</f>
        <v>0</v>
      </c>
      <c r="P7" s="5">
        <v>0</v>
      </c>
      <c r="Q7" s="12">
        <f>62.4*P7*0.001</f>
        <v>0</v>
      </c>
      <c r="R7" s="16">
        <f>200*0.001</f>
        <v>0.2</v>
      </c>
      <c r="S7" s="11">
        <f>25*PI()/180</f>
        <v>0.43633231299858238</v>
      </c>
      <c r="T7" s="12">
        <f>R7*C7+(F7+L7*COS(K7)-Q7*C7)*TAN(S7)</f>
        <v>10.54229644391463</v>
      </c>
      <c r="U7" s="15">
        <v>2.3010000000000002</v>
      </c>
      <c r="V7" s="11">
        <f>COS(G7)+TAN(S7)*SIN(G7)/U7</f>
        <v>0.88766279596375675</v>
      </c>
      <c r="W7" s="12">
        <f>T7/V7</f>
        <v>11.876465355820851</v>
      </c>
      <c r="Y7" s="13" t="s">
        <v>16</v>
      </c>
      <c r="Z7" s="14">
        <f>W13/(H13-O13/169)</f>
        <v>2.3016012547422031</v>
      </c>
    </row>
    <row r="8" spans="1:27" x14ac:dyDescent="0.25">
      <c r="B8" s="4">
        <v>2</v>
      </c>
      <c r="C8" s="4">
        <v>20</v>
      </c>
      <c r="D8" s="4">
        <v>16</v>
      </c>
      <c r="E8" s="4">
        <v>326</v>
      </c>
      <c r="F8" s="8">
        <f t="shared" ref="F8:F12" si="1">115*E8*0.001</f>
        <v>37.49</v>
      </c>
      <c r="G8" s="10">
        <f>32*PI()/180</f>
        <v>0.55850536063818546</v>
      </c>
      <c r="H8" s="9">
        <f t="shared" si="0"/>
        <v>19.866673216102853</v>
      </c>
      <c r="I8" s="5">
        <v>0</v>
      </c>
      <c r="J8" s="12">
        <f t="shared" ref="J8:J12" si="2">I8*62.4*0.001</f>
        <v>0</v>
      </c>
      <c r="K8" s="11">
        <f t="shared" ref="K8:K12" si="3">14.036*PI()/180</f>
        <v>0.2449744138099241</v>
      </c>
      <c r="L8" s="12">
        <f t="shared" ref="L8:L12" si="4">J8*C8/COS(K8)</f>
        <v>0</v>
      </c>
      <c r="M8" s="5">
        <v>0</v>
      </c>
      <c r="N8" s="11">
        <v>0</v>
      </c>
      <c r="O8" s="12">
        <f t="shared" ref="O8:O12" si="5">(L8*COS(K8)*M8)+(L8*SIN(K8)*N8)</f>
        <v>0</v>
      </c>
      <c r="P8" s="5">
        <v>0</v>
      </c>
      <c r="Q8" s="12">
        <f t="shared" ref="Q8:Q12" si="6">62.4*P8*0.001</f>
        <v>0</v>
      </c>
      <c r="R8" s="16">
        <f t="shared" ref="R8:R12" si="7">200*0.001</f>
        <v>0.2</v>
      </c>
      <c r="S8" s="11">
        <f t="shared" ref="S8:S12" si="8">25*PI()/180</f>
        <v>0.43633231299858238</v>
      </c>
      <c r="T8" s="12">
        <f t="shared" ref="T8:T12" si="9">R8*C8+(F8+L8*COS(K8)-Q8*C8)*TAN(S8)</f>
        <v>21.481874104230897</v>
      </c>
      <c r="U8" s="11">
        <f>U7</f>
        <v>2.3010000000000002</v>
      </c>
      <c r="V8" s="11">
        <f t="shared" ref="V8:V12" si="10">COS(G8)+TAN(S8)*SIN(G8)/U8</f>
        <v>0.955438539926876</v>
      </c>
      <c r="W8" s="12">
        <f t="shared" ref="W8:W12" si="11">T8/V8</f>
        <v>22.483784363434829</v>
      </c>
    </row>
    <row r="9" spans="1:27" x14ac:dyDescent="0.25">
      <c r="B9" s="4">
        <v>3</v>
      </c>
      <c r="C9" s="4">
        <v>40</v>
      </c>
      <c r="D9" s="4">
        <v>23</v>
      </c>
      <c r="E9" s="4">
        <v>897</v>
      </c>
      <c r="F9" s="8">
        <f t="shared" si="1"/>
        <v>103.155</v>
      </c>
      <c r="G9" s="10">
        <f>21*PI()/180</f>
        <v>0.36651914291880922</v>
      </c>
      <c r="H9" s="9">
        <f t="shared" si="0"/>
        <v>36.967445835345451</v>
      </c>
      <c r="I9" s="5">
        <v>0</v>
      </c>
      <c r="J9" s="12">
        <f t="shared" si="2"/>
        <v>0</v>
      </c>
      <c r="K9" s="11">
        <f t="shared" si="3"/>
        <v>0.2449744138099241</v>
      </c>
      <c r="L9" s="12">
        <f t="shared" si="4"/>
        <v>0</v>
      </c>
      <c r="M9" s="5">
        <v>0</v>
      </c>
      <c r="N9" s="11">
        <v>0</v>
      </c>
      <c r="O9" s="12">
        <f t="shared" si="5"/>
        <v>0</v>
      </c>
      <c r="P9" s="5">
        <v>8</v>
      </c>
      <c r="Q9" s="12">
        <f t="shared" si="6"/>
        <v>0.49919999999999998</v>
      </c>
      <c r="R9" s="16">
        <f t="shared" si="7"/>
        <v>0.2</v>
      </c>
      <c r="S9" s="11">
        <f t="shared" si="8"/>
        <v>0.43633231299858238</v>
      </c>
      <c r="T9" s="12">
        <f t="shared" si="9"/>
        <v>46.790735158939867</v>
      </c>
      <c r="U9" s="11">
        <f t="shared" ref="U9:U12" si="12">U8</f>
        <v>2.3010000000000002</v>
      </c>
      <c r="V9" s="11">
        <f t="shared" si="10"/>
        <v>1.0062052501870224</v>
      </c>
      <c r="W9" s="12">
        <f t="shared" si="11"/>
        <v>46.502177513228951</v>
      </c>
    </row>
    <row r="10" spans="1:27" x14ac:dyDescent="0.25">
      <c r="B10" s="4">
        <v>4</v>
      </c>
      <c r="C10" s="4">
        <v>40</v>
      </c>
      <c r="D10" s="4">
        <v>23</v>
      </c>
      <c r="E10" s="4">
        <v>904</v>
      </c>
      <c r="F10" s="8">
        <f t="shared" si="1"/>
        <v>103.96000000000001</v>
      </c>
      <c r="G10" s="10">
        <f>7*PI()/180</f>
        <v>0.12217304763960307</v>
      </c>
      <c r="H10" s="9">
        <f t="shared" si="0"/>
        <v>12.669536940399132</v>
      </c>
      <c r="I10" s="5">
        <v>0</v>
      </c>
      <c r="J10" s="12">
        <f t="shared" si="2"/>
        <v>0</v>
      </c>
      <c r="K10" s="11">
        <f t="shared" si="3"/>
        <v>0.2449744138099241</v>
      </c>
      <c r="L10" s="12">
        <f t="shared" si="4"/>
        <v>0</v>
      </c>
      <c r="M10" s="5">
        <v>0</v>
      </c>
      <c r="N10" s="11">
        <v>0</v>
      </c>
      <c r="O10" s="12">
        <f t="shared" si="5"/>
        <v>0</v>
      </c>
      <c r="P10" s="5">
        <v>18</v>
      </c>
      <c r="Q10" s="12">
        <f t="shared" si="6"/>
        <v>1.1232</v>
      </c>
      <c r="R10" s="16">
        <f t="shared" si="7"/>
        <v>0.2</v>
      </c>
      <c r="S10" s="11">
        <f t="shared" si="8"/>
        <v>0.43633231299858238</v>
      </c>
      <c r="T10" s="12">
        <f t="shared" si="9"/>
        <v>35.52707367620588</v>
      </c>
      <c r="U10" s="11">
        <f t="shared" si="12"/>
        <v>2.3010000000000002</v>
      </c>
      <c r="V10" s="11">
        <f t="shared" si="10"/>
        <v>1.0172435041507273</v>
      </c>
      <c r="W10" s="12">
        <f t="shared" si="11"/>
        <v>34.924846933150583</v>
      </c>
    </row>
    <row r="11" spans="1:27" x14ac:dyDescent="0.25">
      <c r="B11" s="4">
        <v>5</v>
      </c>
      <c r="C11" s="4">
        <v>25</v>
      </c>
      <c r="D11" s="4">
        <v>16</v>
      </c>
      <c r="E11" s="4">
        <v>399</v>
      </c>
      <c r="F11" s="8">
        <f t="shared" si="1"/>
        <v>45.884999999999998</v>
      </c>
      <c r="G11" s="10">
        <f>-5*PI()/180</f>
        <v>-8.7266462599716474E-2</v>
      </c>
      <c r="H11" s="9">
        <f t="shared" si="0"/>
        <v>-3.9991412559762947</v>
      </c>
      <c r="I11" s="5">
        <v>3</v>
      </c>
      <c r="J11" s="12">
        <f t="shared" si="2"/>
        <v>0.18720000000000001</v>
      </c>
      <c r="K11" s="11">
        <f t="shared" si="3"/>
        <v>0.2449744138099241</v>
      </c>
      <c r="L11" s="12">
        <f>J11*C11/COS(K11)</f>
        <v>4.8240284573097547</v>
      </c>
      <c r="M11" s="12">
        <f>25/2</f>
        <v>12.5</v>
      </c>
      <c r="N11" s="12">
        <f>149+(M11*TAN(K11))</f>
        <v>152.12494356381933</v>
      </c>
      <c r="O11" s="12">
        <f t="shared" si="5"/>
        <v>236.4829696143301</v>
      </c>
      <c r="P11" s="5">
        <v>19</v>
      </c>
      <c r="Q11" s="12">
        <f t="shared" si="6"/>
        <v>1.1856</v>
      </c>
      <c r="R11" s="16">
        <f t="shared" si="7"/>
        <v>0.2</v>
      </c>
      <c r="S11" s="11">
        <f t="shared" si="8"/>
        <v>0.43633231299858238</v>
      </c>
      <c r="T11" s="12">
        <f t="shared" si="9"/>
        <v>14.757487746893345</v>
      </c>
      <c r="U11" s="11">
        <f t="shared" si="12"/>
        <v>2.3010000000000002</v>
      </c>
      <c r="V11" s="11">
        <f t="shared" si="10"/>
        <v>0.97853220774171512</v>
      </c>
      <c r="W11" s="12">
        <f t="shared" si="11"/>
        <v>15.081248864512187</v>
      </c>
    </row>
    <row r="12" spans="1:27" x14ac:dyDescent="0.25">
      <c r="B12" s="4">
        <v>6</v>
      </c>
      <c r="C12" s="4">
        <v>25</v>
      </c>
      <c r="D12" s="4">
        <v>6</v>
      </c>
      <c r="E12" s="4">
        <v>148</v>
      </c>
      <c r="F12" s="8">
        <f t="shared" si="1"/>
        <v>17.02</v>
      </c>
      <c r="G12" s="10">
        <f>-13*PI()/180</f>
        <v>-0.22689280275926285</v>
      </c>
      <c r="H12" s="9">
        <f t="shared" si="0"/>
        <v>-3.8286669449325821</v>
      </c>
      <c r="I12" s="5">
        <v>9</v>
      </c>
      <c r="J12" s="12">
        <f t="shared" si="2"/>
        <v>0.56159999999999999</v>
      </c>
      <c r="K12" s="11">
        <f t="shared" si="3"/>
        <v>0.2449744138099241</v>
      </c>
      <c r="L12" s="12">
        <f t="shared" si="4"/>
        <v>14.472085371929264</v>
      </c>
      <c r="M12" s="12">
        <f>M11+50</f>
        <v>62.5</v>
      </c>
      <c r="N12" s="12">
        <f>149+(M12*TAN(K12))</f>
        <v>164.62471781909673</v>
      </c>
      <c r="O12" s="12">
        <f t="shared" si="5"/>
        <v>1455.3223241293472</v>
      </c>
      <c r="P12" s="5">
        <v>15</v>
      </c>
      <c r="Q12" s="12">
        <f t="shared" si="6"/>
        <v>0.93600000000000005</v>
      </c>
      <c r="R12" s="16">
        <f t="shared" si="7"/>
        <v>0.2</v>
      </c>
      <c r="S12" s="11">
        <f t="shared" si="8"/>
        <v>0.43633231299858238</v>
      </c>
      <c r="T12" s="12">
        <f t="shared" si="9"/>
        <v>8.5719166614672879</v>
      </c>
      <c r="U12" s="11">
        <f t="shared" si="12"/>
        <v>2.3010000000000002</v>
      </c>
      <c r="V12" s="11">
        <f t="shared" si="10"/>
        <v>0.92878275520219067</v>
      </c>
      <c r="W12" s="12">
        <f t="shared" si="11"/>
        <v>9.2291944628119538</v>
      </c>
    </row>
    <row r="13" spans="1:27" x14ac:dyDescent="0.25">
      <c r="G13" s="4" t="s">
        <v>5</v>
      </c>
      <c r="H13" s="9">
        <f>SUM(H7:H12)</f>
        <v>70.880355967675371</v>
      </c>
      <c r="N13" s="4" t="s">
        <v>5</v>
      </c>
      <c r="O13" s="9">
        <f>SUM(O7:O12)</f>
        <v>1691.8052937436773</v>
      </c>
      <c r="V13" s="4" t="s">
        <v>5</v>
      </c>
      <c r="W13" s="9">
        <f>SUM(W7:W12)</f>
        <v>140.09771749295936</v>
      </c>
    </row>
  </sheetData>
  <mergeCells count="1"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Fellenius method</vt:lpstr>
      <vt:lpstr>Bishop simplified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Exneyder Montoya A</dc:creator>
  <cp:lastModifiedBy>Exneyder Montoya A</cp:lastModifiedBy>
  <dcterms:created xsi:type="dcterms:W3CDTF">2016-03-02T17:53:05Z</dcterms:created>
  <dcterms:modified xsi:type="dcterms:W3CDTF">2016-03-30T18:32:00Z</dcterms:modified>
</cp:coreProperties>
</file>