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979FBE3A-ABF3-464B-B542-AEC8E598D4B7}" xr6:coauthVersionLast="47" xr6:coauthVersionMax="47" xr10:uidLastSave="{00000000-0000-0000-0000-000000000000}"/>
  <bookViews>
    <workbookView xWindow="340" yWindow="140" windowWidth="19420" windowHeight="10300" firstSheet="1" activeTab="1" xr2:uid="{CAE3D55F-4E6D-4AC3-A5DF-0993C630C20A}"/>
  </bookViews>
  <sheets>
    <sheet name="Stock In-transit" sheetId="9" state="hidden" r:id="rId1"/>
    <sheet name="Insurance coverage analysis (3)" sheetId="10" r:id="rId2"/>
    <sheet name="Insurance coverage analysis (2)" sheetId="8" state="hidden" r:id="rId3"/>
    <sheet name="Sheet1" sheetId="1" state="hidden" r:id="rId4"/>
    <sheet name="PEL" sheetId="2" r:id="rId5"/>
    <sheet name="PEPPL" sheetId="3" r:id="rId6"/>
    <sheet name="PEIPL" sheetId="4" r:id="rId7"/>
    <sheet name="PEIPL ins calc." sheetId="7" r:id="rId8"/>
    <sheet name="PEGEPL" sheetId="5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7" l="1"/>
  <c r="F14" i="7"/>
  <c r="F12" i="7"/>
  <c r="H10" i="8" s="1"/>
  <c r="H11" i="8" s="1"/>
  <c r="H12" i="8" s="1"/>
  <c r="G11" i="7"/>
  <c r="F11" i="7"/>
  <c r="D12" i="10" s="1"/>
  <c r="D13" i="10" s="1"/>
  <c r="D14" i="10" s="1"/>
  <c r="I8" i="7"/>
  <c r="G8" i="7"/>
  <c r="I7" i="7"/>
  <c r="I6" i="7"/>
  <c r="I5" i="7"/>
  <c r="I4" i="7"/>
  <c r="F4" i="7"/>
  <c r="G3" i="7"/>
  <c r="I3" i="7" s="1"/>
  <c r="I2" i="7"/>
  <c r="D25" i="4"/>
  <c r="D24" i="4"/>
  <c r="D23" i="4"/>
  <c r="D22" i="4"/>
  <c r="J24" i="1"/>
  <c r="L24" i="1" s="1"/>
  <c r="L23" i="1"/>
  <c r="J21" i="1"/>
  <c r="L21" i="1" s="1"/>
  <c r="L25" i="1" s="1"/>
  <c r="E21" i="1"/>
  <c r="E25" i="1" s="1"/>
  <c r="L20" i="1"/>
  <c r="J20" i="1"/>
  <c r="J15" i="1"/>
  <c r="J16" i="1" s="1"/>
  <c r="I15" i="1"/>
  <c r="H15" i="1"/>
  <c r="G15" i="1"/>
  <c r="F15" i="1"/>
  <c r="E15" i="1"/>
  <c r="H10" i="1"/>
  <c r="H11" i="1" s="1"/>
  <c r="G10" i="1"/>
  <c r="G11" i="1" s="1"/>
  <c r="F10" i="1"/>
  <c r="F11" i="1" s="1"/>
  <c r="E10" i="1"/>
  <c r="E11" i="1" s="1"/>
  <c r="D10" i="1"/>
  <c r="C10" i="1"/>
  <c r="C11" i="1" s="1"/>
  <c r="K9" i="1"/>
  <c r="J10" i="1" s="1"/>
  <c r="J11" i="1" s="1"/>
  <c r="G8" i="1"/>
  <c r="J7" i="1"/>
  <c r="J8" i="1" s="1"/>
  <c r="I7" i="1"/>
  <c r="I8" i="1" s="1"/>
  <c r="H7" i="1"/>
  <c r="H8" i="1" s="1"/>
  <c r="G7" i="1"/>
  <c r="F7" i="1"/>
  <c r="F8" i="1" s="1"/>
  <c r="G22" i="1" s="1"/>
  <c r="E7" i="1"/>
  <c r="E8" i="1" s="1"/>
  <c r="D7" i="1"/>
  <c r="D8" i="1" s="1"/>
  <c r="C7" i="1"/>
  <c r="C8" i="1" s="1"/>
  <c r="H5" i="1"/>
  <c r="F5" i="1"/>
  <c r="E5" i="1"/>
  <c r="D5" i="1"/>
  <c r="I4" i="1"/>
  <c r="I5" i="1" s="1"/>
  <c r="H4" i="1"/>
  <c r="G4" i="1"/>
  <c r="G5" i="1" s="1"/>
  <c r="F4" i="1"/>
  <c r="E4" i="1"/>
  <c r="D4" i="1"/>
  <c r="G20" i="1" s="1"/>
  <c r="C4" i="1"/>
  <c r="C5" i="1" s="1"/>
  <c r="C3" i="1"/>
  <c r="L24" i="8"/>
  <c r="L23" i="8"/>
  <c r="L22" i="8"/>
  <c r="L21" i="8"/>
  <c r="L20" i="8"/>
  <c r="H15" i="8"/>
  <c r="G15" i="8"/>
  <c r="E15" i="8"/>
  <c r="J14" i="8"/>
  <c r="J15" i="8" s="1"/>
  <c r="I14" i="8"/>
  <c r="H24" i="8" s="1"/>
  <c r="M24" i="8" s="1"/>
  <c r="H14" i="8"/>
  <c r="G14" i="8"/>
  <c r="F14" i="8"/>
  <c r="F15" i="8" s="1"/>
  <c r="E14" i="8"/>
  <c r="J13" i="8"/>
  <c r="I13" i="8"/>
  <c r="J10" i="8"/>
  <c r="J11" i="8" s="1"/>
  <c r="J12" i="8" s="1"/>
  <c r="I10" i="8"/>
  <c r="I11" i="8" s="1"/>
  <c r="I12" i="8" s="1"/>
  <c r="J9" i="8"/>
  <c r="I9" i="8"/>
  <c r="H9" i="8"/>
  <c r="G9" i="8"/>
  <c r="F9" i="8"/>
  <c r="E9" i="8"/>
  <c r="D9" i="8"/>
  <c r="C9" i="8"/>
  <c r="C7" i="8"/>
  <c r="C8" i="8" s="1"/>
  <c r="J6" i="8"/>
  <c r="J7" i="8" s="1"/>
  <c r="J8" i="8" s="1"/>
  <c r="I6" i="8"/>
  <c r="I7" i="8" s="1"/>
  <c r="I8" i="8" s="1"/>
  <c r="H6" i="8"/>
  <c r="H7" i="8" s="1"/>
  <c r="H8" i="8" s="1"/>
  <c r="G6" i="8"/>
  <c r="G7" i="8" s="1"/>
  <c r="F6" i="8"/>
  <c r="F7" i="8" s="1"/>
  <c r="F8" i="8" s="1"/>
  <c r="E6" i="8"/>
  <c r="E7" i="8" s="1"/>
  <c r="D6" i="8"/>
  <c r="D7" i="8" s="1"/>
  <c r="C6" i="8"/>
  <c r="I5" i="8"/>
  <c r="H5" i="8"/>
  <c r="F5" i="8"/>
  <c r="E5" i="8"/>
  <c r="D5" i="8"/>
  <c r="I4" i="8"/>
  <c r="H4" i="8"/>
  <c r="G4" i="8"/>
  <c r="G5" i="8" s="1"/>
  <c r="F4" i="8"/>
  <c r="E4" i="8"/>
  <c r="D4" i="8"/>
  <c r="C4" i="8"/>
  <c r="C5" i="8" s="1"/>
  <c r="C3" i="8"/>
  <c r="L27" i="10"/>
  <c r="L26" i="10"/>
  <c r="L25" i="10"/>
  <c r="L24" i="10"/>
  <c r="L23" i="10"/>
  <c r="I18" i="10"/>
  <c r="G27" i="10" s="1"/>
  <c r="H18" i="10"/>
  <c r="G18" i="10"/>
  <c r="J17" i="10"/>
  <c r="J18" i="10" s="1"/>
  <c r="I17" i="10"/>
  <c r="H17" i="10"/>
  <c r="G17" i="10"/>
  <c r="F17" i="10"/>
  <c r="F18" i="10" s="1"/>
  <c r="E17" i="10"/>
  <c r="H27" i="10" s="1"/>
  <c r="M27" i="10" s="1"/>
  <c r="J15" i="10"/>
  <c r="I15" i="10"/>
  <c r="I12" i="10"/>
  <c r="I13" i="10" s="1"/>
  <c r="I14" i="10" s="1"/>
  <c r="G12" i="10"/>
  <c r="G13" i="10" s="1"/>
  <c r="G14" i="10" s="1"/>
  <c r="F12" i="10"/>
  <c r="F13" i="10" s="1"/>
  <c r="F14" i="10" s="1"/>
  <c r="E12" i="10"/>
  <c r="E13" i="10" s="1"/>
  <c r="E14" i="10" s="1"/>
  <c r="J11" i="10"/>
  <c r="I11" i="10"/>
  <c r="H11" i="10"/>
  <c r="G11" i="10"/>
  <c r="F11" i="10"/>
  <c r="E11" i="10"/>
  <c r="D11" i="10"/>
  <c r="C11" i="10"/>
  <c r="J7" i="10"/>
  <c r="J9" i="10" s="1"/>
  <c r="J10" i="10" s="1"/>
  <c r="I7" i="10"/>
  <c r="I9" i="10" s="1"/>
  <c r="I10" i="10" s="1"/>
  <c r="H7" i="10"/>
  <c r="H9" i="10" s="1"/>
  <c r="H10" i="10" s="1"/>
  <c r="G7" i="10"/>
  <c r="G9" i="10" s="1"/>
  <c r="F7" i="10"/>
  <c r="F9" i="10" s="1"/>
  <c r="F10" i="10" s="1"/>
  <c r="E7" i="10"/>
  <c r="E9" i="10" s="1"/>
  <c r="D7" i="10"/>
  <c r="D9" i="10" s="1"/>
  <c r="C7" i="10"/>
  <c r="C9" i="10" s="1"/>
  <c r="C10" i="10" s="1"/>
  <c r="I6" i="10"/>
  <c r="H6" i="10"/>
  <c r="F6" i="10"/>
  <c r="E6" i="10"/>
  <c r="D6" i="10"/>
  <c r="I5" i="10"/>
  <c r="H5" i="10"/>
  <c r="G5" i="10"/>
  <c r="G6" i="10" s="1"/>
  <c r="F5" i="10"/>
  <c r="E5" i="10"/>
  <c r="D5" i="10"/>
  <c r="C5" i="10"/>
  <c r="C6" i="10" s="1"/>
  <c r="C3" i="10"/>
  <c r="E21" i="8" l="1"/>
  <c r="E25" i="8" s="1"/>
  <c r="D8" i="8"/>
  <c r="E8" i="8"/>
  <c r="G21" i="8" s="1"/>
  <c r="H21" i="8"/>
  <c r="M21" i="8" s="1"/>
  <c r="K20" i="1"/>
  <c r="H24" i="10"/>
  <c r="M24" i="10" s="1"/>
  <c r="E10" i="10"/>
  <c r="G24" i="10" s="1"/>
  <c r="G23" i="10"/>
  <c r="G10" i="10"/>
  <c r="G25" i="10" s="1"/>
  <c r="H25" i="10"/>
  <c r="M25" i="10" s="1"/>
  <c r="D10" i="10"/>
  <c r="E24" i="10"/>
  <c r="E28" i="10" s="1"/>
  <c r="G20" i="8"/>
  <c r="G8" i="8"/>
  <c r="G22" i="8" s="1"/>
  <c r="H22" i="8"/>
  <c r="M22" i="8" s="1"/>
  <c r="H12" i="10"/>
  <c r="H13" i="10" s="1"/>
  <c r="H14" i="10" s="1"/>
  <c r="D10" i="8"/>
  <c r="D11" i="8" s="1"/>
  <c r="D12" i="8" s="1"/>
  <c r="G21" i="1"/>
  <c r="K21" i="1" s="1"/>
  <c r="G24" i="1"/>
  <c r="K24" i="1" s="1"/>
  <c r="I11" i="7"/>
  <c r="H20" i="8"/>
  <c r="M20" i="8" s="1"/>
  <c r="C10" i="8"/>
  <c r="C11" i="8" s="1"/>
  <c r="J12" i="10"/>
  <c r="J13" i="10" s="1"/>
  <c r="J14" i="10" s="1"/>
  <c r="H23" i="10"/>
  <c r="M23" i="10" s="1"/>
  <c r="F10" i="8"/>
  <c r="F11" i="8" s="1"/>
  <c r="F12" i="8" s="1"/>
  <c r="I10" i="1"/>
  <c r="I11" i="1" s="1"/>
  <c r="I12" i="7"/>
  <c r="C12" i="10"/>
  <c r="C13" i="10" s="1"/>
  <c r="E18" i="10"/>
  <c r="G10" i="8"/>
  <c r="G11" i="8" s="1"/>
  <c r="G12" i="8" s="1"/>
  <c r="I15" i="8"/>
  <c r="G24" i="8" s="1"/>
  <c r="D11" i="1"/>
  <c r="E10" i="8"/>
  <c r="E11" i="8" s="1"/>
  <c r="E12" i="8" s="1"/>
  <c r="G23" i="1" l="1"/>
  <c r="H23" i="8"/>
  <c r="M23" i="8" s="1"/>
  <c r="M25" i="8" s="1"/>
  <c r="C12" i="8"/>
  <c r="G23" i="8" s="1"/>
  <c r="C14" i="10"/>
  <c r="G26" i="10" s="1"/>
  <c r="H26" i="10"/>
  <c r="M26" i="10" s="1"/>
  <c r="M28" i="10"/>
  <c r="K23" i="1" l="1"/>
  <c r="K25" i="1" s="1"/>
  <c r="G25" i="1"/>
</calcChain>
</file>

<file path=xl/sharedStrings.xml><?xml version="1.0" encoding="utf-8"?>
<sst xmlns="http://schemas.openxmlformats.org/spreadsheetml/2006/main" count="226" uniqueCount="85">
  <si>
    <t>PEL</t>
  </si>
  <si>
    <t>PEPPL</t>
  </si>
  <si>
    <t>PEIPL</t>
  </si>
  <si>
    <t>PEGEPL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</si>
  <si>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</si>
  <si>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</si>
  <si>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</si>
  <si>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</si>
  <si>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</si>
  <si>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</si>
  <si>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</si>
  <si>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</si>
  <si>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Insurance cover on stock</t>
  </si>
  <si>
    <t>N/A</t>
  </si>
  <si>
    <t>Over/under insured</t>
  </si>
  <si>
    <t>Sum insured (less) stock decl.</t>
  </si>
  <si>
    <t>Company</t>
  </si>
  <si>
    <t>Premium paid</t>
  </si>
  <si>
    <t>Total excess insurance</t>
  </si>
  <si>
    <t>Premium rate</t>
  </si>
  <si>
    <t>Excess premium paid</t>
  </si>
  <si>
    <t>Total under insurance</t>
  </si>
  <si>
    <t>Total sum insured as per policy</t>
  </si>
  <si>
    <t>Sum insured</t>
  </si>
  <si>
    <t>Average</t>
  </si>
  <si>
    <t>Policy</t>
  </si>
  <si>
    <t>Total</t>
  </si>
  <si>
    <t>Particulars</t>
  </si>
  <si>
    <t>Cell line</t>
  </si>
  <si>
    <t>Module line</t>
  </si>
  <si>
    <t>Average excess insurance per month</t>
  </si>
  <si>
    <t>Insurance period</t>
  </si>
  <si>
    <t>Policy number</t>
  </si>
  <si>
    <t>55300112310000134</t>
  </si>
  <si>
    <t>31st Jan 2024 - 30th Jan 2025</t>
  </si>
  <si>
    <t>OG-25-1113-4090-00000077</t>
  </si>
  <si>
    <t>26th May 2024 - 25th May 2025</t>
  </si>
  <si>
    <t>Enhancement</t>
  </si>
  <si>
    <t>6th August 2024 - 3rd August 2025</t>
  </si>
  <si>
    <t>No. of months of excess coverage</t>
  </si>
  <si>
    <t>-</t>
  </si>
  <si>
    <t>Average under insurance</t>
  </si>
  <si>
    <t>No. of months of under insurance</t>
  </si>
  <si>
    <t>OG-25-1113-4090-00000077-EE06</t>
  </si>
  <si>
    <t>550300112410000000</t>
  </si>
  <si>
    <t>29th June 2024 - 28th June 2025</t>
  </si>
  <si>
    <t>Insurance details</t>
  </si>
  <si>
    <t>Premium rate calculation</t>
  </si>
  <si>
    <t>Insurance coverage analysis</t>
  </si>
  <si>
    <t>May-Aug</t>
  </si>
  <si>
    <t>Enhanced aug onwards</t>
  </si>
  <si>
    <t>FILLL PEIPL DETAILS</t>
  </si>
  <si>
    <t xml:space="preserve">Cell line </t>
  </si>
  <si>
    <t>Module</t>
  </si>
  <si>
    <t>Premium</t>
  </si>
  <si>
    <t>Period</t>
  </si>
  <si>
    <t>30 jan 2024 - 29 jan 2025</t>
  </si>
  <si>
    <t>Stock covered</t>
  </si>
  <si>
    <t>Endorse</t>
  </si>
  <si>
    <t>22 mar 2024 - 29 jan 2025</t>
  </si>
  <si>
    <t>4 july 2024 - 29 jan 2025</t>
  </si>
  <si>
    <t>10 oct 2024 - 29 jan 2025</t>
  </si>
  <si>
    <t>30 sep 2024 - 29 sep 2025</t>
  </si>
  <si>
    <t>30 Sep 2023 - 29 sep 2024</t>
  </si>
  <si>
    <t>22 mar 2024 - 29 sep 2024</t>
  </si>
  <si>
    <t>July - Dec</t>
  </si>
  <si>
    <t>Apr - Sep</t>
  </si>
  <si>
    <t>Apr-June</t>
  </si>
  <si>
    <t>Oct-Dec</t>
  </si>
  <si>
    <t>PEIPL stock declared</t>
  </si>
  <si>
    <t>PEPPL stock declared</t>
  </si>
  <si>
    <t>Average of all policies taken</t>
  </si>
  <si>
    <t>Approx.</t>
  </si>
  <si>
    <t>Refer PEIPL ins tab</t>
  </si>
  <si>
    <t>Apr'24-Nov'24</t>
  </si>
  <si>
    <t>PEL stock declared</t>
  </si>
  <si>
    <t>PEGEPL stock declared</t>
  </si>
  <si>
    <t>Average excess insurnace percentage</t>
  </si>
  <si>
    <t>Insurance coverage (B)</t>
  </si>
  <si>
    <t>Over/under insured (B-A)</t>
  </si>
  <si>
    <r>
      <rPr>
        <b/>
        <sz val="11"/>
        <color theme="1"/>
        <rFont val="Aptos Narrow"/>
        <family val="2"/>
        <scheme val="minor"/>
      </rPr>
      <t>PEL</t>
    </r>
    <r>
      <rPr>
        <sz val="11"/>
        <color theme="1"/>
        <rFont val="Aptos Narrow"/>
        <family val="2"/>
        <scheme val="minor"/>
      </rPr>
      <t xml:space="preserve"> stock declared (A)</t>
    </r>
  </si>
  <si>
    <r>
      <rPr>
        <b/>
        <sz val="11"/>
        <color theme="1"/>
        <rFont val="Aptos Narrow"/>
        <family val="2"/>
        <scheme val="minor"/>
      </rPr>
      <t>PEPPL</t>
    </r>
    <r>
      <rPr>
        <sz val="11"/>
        <color theme="1"/>
        <rFont val="Aptos Narrow"/>
        <family val="2"/>
        <scheme val="minor"/>
      </rPr>
      <t xml:space="preserve"> stock declared</t>
    </r>
  </si>
  <si>
    <t>Over/under insured %age</t>
  </si>
  <si>
    <r>
      <rPr>
        <b/>
        <sz val="11"/>
        <color theme="1"/>
        <rFont val="Aptos Narrow"/>
        <family val="2"/>
        <scheme val="minor"/>
      </rPr>
      <t xml:space="preserve">PEIPL </t>
    </r>
    <r>
      <rPr>
        <sz val="11"/>
        <color theme="1"/>
        <rFont val="Aptos Narrow"/>
        <family val="2"/>
        <scheme val="minor"/>
      </rPr>
      <t>stock declared (A)</t>
    </r>
  </si>
  <si>
    <r>
      <rPr>
        <b/>
        <sz val="11"/>
        <color theme="1"/>
        <rFont val="Aptos Narrow"/>
        <family val="2"/>
        <scheme val="minor"/>
      </rPr>
      <t>PEGEPL</t>
    </r>
    <r>
      <rPr>
        <sz val="11"/>
        <color theme="1"/>
        <rFont val="Aptos Narrow"/>
        <family val="2"/>
        <scheme val="minor"/>
      </rPr>
      <t xml:space="preserve"> stock declared (A)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</si>
</sst>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/>
      <diagonal/>
    </border>
    <border>
      <left/>
      <right style="medium">
        <color indexed="64"/>
      </right>
      <top style="medium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theme="0" tint="-0.24997711111789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16" fontId="4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165" fontId="0" fillId="0" borderId="1" xfId="1" applyNumberFormat="1" applyFont="1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165" fontId="4" fillId="0" borderId="6" xfId="1" applyNumberFormat="1" applyFont="1" applyBorder="1"/>
    <xf numFmtId="165" fontId="4" fillId="0" borderId="2" xfId="1" applyNumberFormat="1" applyFont="1" applyBorder="1"/>
    <xf numFmtId="0" fontId="4" fillId="0" borderId="0" xfId="0" applyFont="1" applyAlignment="1">
      <alignment vertical="center"/>
    </xf>
    <xf numFmtId="165" fontId="0" fillId="0" borderId="1" xfId="0" applyNumberFormat="1" applyBorder="1"/>
    <xf numFmtId="165" fontId="0" fillId="0" borderId="3" xfId="1" applyNumberFormat="1" applyFont="1" applyBorder="1"/>
    <xf numFmtId="165" fontId="0" fillId="0" borderId="3" xfId="0" applyNumberFormat="1" applyBorder="1"/>
    <xf numFmtId="0" fontId="4" fillId="0" borderId="2" xfId="0" applyFont="1" applyBorder="1"/>
    <xf numFmtId="164" fontId="0" fillId="0" borderId="3" xfId="0" applyNumberFormat="1" applyBorder="1"/>
    <xf numFmtId="0" fontId="4" fillId="5" borderId="4" xfId="0" applyFont="1" applyFill="1" applyBorder="1"/>
    <xf numFmtId="165" fontId="4" fillId="5" borderId="10" xfId="1" applyNumberFormat="1" applyFont="1" applyFill="1" applyBorder="1"/>
    <xf numFmtId="0" fontId="0" fillId="5" borderId="10" xfId="0" applyFill="1" applyBorder="1"/>
    <xf numFmtId="165" fontId="4" fillId="5" borderId="5" xfId="1" applyNumberFormat="1" applyFont="1" applyFill="1" applyBorder="1"/>
    <xf numFmtId="0" fontId="0" fillId="0" borderId="11" xfId="0" applyBorder="1"/>
    <xf numFmtId="165" fontId="0" fillId="0" borderId="11" xfId="1" applyNumberFormat="1" applyFont="1" applyBorder="1"/>
    <xf numFmtId="164" fontId="0" fillId="0" borderId="11" xfId="0" applyNumberFormat="1" applyBorder="1"/>
    <xf numFmtId="165" fontId="0" fillId="0" borderId="7" xfId="1" applyNumberFormat="1" applyFont="1" applyBorder="1"/>
    <xf numFmtId="0" fontId="2" fillId="2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9" fontId="0" fillId="0" borderId="1" xfId="2" applyFont="1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9" fontId="0" fillId="0" borderId="10" xfId="2" applyFont="1" applyBorder="1"/>
    <xf numFmtId="0" fontId="4" fillId="0" borderId="6" xfId="0" applyFont="1" applyBorder="1"/>
    <xf numFmtId="165" fontId="0" fillId="0" borderId="11" xfId="1" applyNumberFormat="1" applyFont="1" applyBorder="1" applyAlignment="1">
      <alignment horizontal="center"/>
    </xf>
    <xf numFmtId="16" fontId="2" fillId="2" borderId="12" xfId="0" applyNumberFormat="1" applyFont="1" applyFill="1" applyBorder="1" applyAlignment="1">
      <alignment horizontal="center"/>
    </xf>
    <xf numFmtId="16" fontId="2" fillId="3" borderId="9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5" fontId="6" fillId="0" borderId="11" xfId="1" applyNumberFormat="1" applyFont="1" applyBorder="1" applyAlignment="1">
      <alignment horizontal="center"/>
    </xf>
    <xf numFmtId="165" fontId="6" fillId="0" borderId="1" xfId="1" applyNumberFormat="1" applyFont="1" applyBorder="1" applyAlignment="1">
      <alignment horizontal="center"/>
    </xf>
    <xf numFmtId="9" fontId="6" fillId="0" borderId="1" xfId="2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9" fontId="3" fillId="0" borderId="1" xfId="2" applyFont="1" applyBorder="1"/>
    <xf numFmtId="0" fontId="2" fillId="2" borderId="12" xfId="0" applyFont="1" applyFill="1" applyBorder="1" applyAlignment="1">
      <alignment vertical="center" wrapText="1"/>
    </xf>
    <xf numFmtId="16" fontId="2" fillId="2" borderId="12" xfId="0" applyNumberFormat="1" applyFont="1" applyFill="1" applyBorder="1" applyAlignment="1">
      <alignment horizontal="center" vertical="center" wrapText="1"/>
    </xf>
    <xf numFmtId="16" fontId="2" fillId="3" borderId="12" xfId="0" applyNumberFormat="1" applyFont="1" applyFill="1" applyBorder="1" applyAlignment="1">
      <alignment horizontal="center" vertical="center" wrapText="1"/>
    </xf>
    <xf numFmtId="16" fontId="4" fillId="4" borderId="9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0" fillId="0" borderId="0" xfId="0" applyNumberFormat="1"/>
    <xf numFmtId="165" fontId="4" fillId="0" borderId="0" xfId="0" applyNumberFormat="1" applyFont="1"/>
    <xf numFmtId="0" fontId="0" fillId="0" borderId="0" xfId="0" quotePrefix="1"/>
    <xf numFmtId="164" fontId="0" fillId="0" borderId="0" xfId="1" applyFont="1"/>
    <xf numFmtId="0" fontId="0" fillId="0" borderId="19" xfId="0" applyBorder="1"/>
    <xf numFmtId="0" fontId="0" fillId="0" borderId="21" xfId="0" applyBorder="1"/>
    <xf numFmtId="164" fontId="0" fillId="0" borderId="23" xfId="0" applyNumberFormat="1" applyBorder="1"/>
    <xf numFmtId="164" fontId="0" fillId="0" borderId="24" xfId="0" applyNumberFormat="1" applyBorder="1"/>
    <xf numFmtId="0" fontId="0" fillId="0" borderId="24" xfId="0" applyBorder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/>
    <xf numFmtId="165" fontId="4" fillId="5" borderId="29" xfId="1" applyNumberFormat="1" applyFont="1" applyFill="1" applyBorder="1"/>
    <xf numFmtId="0" fontId="0" fillId="0" borderId="21" xfId="0" quotePrefix="1" applyBorder="1"/>
    <xf numFmtId="0" fontId="0" fillId="0" borderId="22" xfId="0" applyBorder="1"/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0" fillId="0" borderId="13" xfId="0" applyNumberFormat="1" applyBorder="1" applyAlignment="1">
      <alignment horizontal="center"/>
    </xf>
    <xf numFmtId="0" fontId="3" fillId="0" borderId="0" xfId="0" applyFont="1"/>
    <xf numFmtId="0" fontId="3" fillId="4" borderId="0" xfId="0" applyFont="1" applyFill="1"/>
    <xf numFmtId="165" fontId="0" fillId="0" borderId="19" xfId="0" applyNumberFormat="1" applyBorder="1"/>
    <xf numFmtId="165" fontId="9" fillId="0" borderId="0" xfId="1" applyNumberFormat="1" applyFont="1"/>
    <xf numFmtId="165" fontId="0" fillId="0" borderId="0" xfId="1" applyNumberFormat="1" applyFont="1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10" fillId="0" borderId="2" xfId="0" applyFont="1" applyBorder="1"/>
    <xf numFmtId="9" fontId="6" fillId="0" borderId="1" xfId="2" applyFont="1" applyBorder="1"/>
    <xf numFmtId="0" fontId="4" fillId="0" borderId="0" xfId="0" applyFont="1"/>
    <xf numFmtId="0" fontId="0" fillId="0" borderId="33" xfId="0" applyBorder="1"/>
    <xf numFmtId="165" fontId="4" fillId="0" borderId="37" xfId="1" applyNumberFormat="1" applyFont="1" applyBorder="1"/>
    <xf numFmtId="165" fontId="4" fillId="0" borderId="36" xfId="1" applyNumberFormat="1" applyFont="1" applyBorder="1"/>
    <xf numFmtId="165" fontId="1" fillId="0" borderId="36" xfId="1" applyNumberFormat="1" applyFont="1" applyBorder="1"/>
    <xf numFmtId="0" fontId="4" fillId="0" borderId="36" xfId="0" applyFont="1" applyBorder="1"/>
    <xf numFmtId="0" fontId="4" fillId="5" borderId="38" xfId="0" applyFont="1" applyFill="1" applyBorder="1"/>
    <xf numFmtId="0" fontId="0" fillId="0" borderId="34" xfId="0" applyBorder="1"/>
    <xf numFmtId="165" fontId="0" fillId="0" borderId="31" xfId="0" applyNumberFormat="1" applyBorder="1"/>
    <xf numFmtId="165" fontId="0" fillId="0" borderId="39" xfId="0" applyNumberFormat="1" applyBorder="1"/>
    <xf numFmtId="165" fontId="0" fillId="0" borderId="20" xfId="1" applyNumberFormat="1" applyFont="1" applyBorder="1"/>
    <xf numFmtId="165" fontId="0" fillId="0" borderId="21" xfId="1" applyNumberFormat="1" applyFont="1" applyBorder="1"/>
    <xf numFmtId="165" fontId="4" fillId="5" borderId="40" xfId="0" applyNumberFormat="1" applyFont="1" applyFill="1" applyBorder="1"/>
    <xf numFmtId="0" fontId="0" fillId="0" borderId="20" xfId="0" quotePrefix="1" applyBorder="1"/>
    <xf numFmtId="0" fontId="0" fillId="0" borderId="23" xfId="0" applyBorder="1"/>
    <xf numFmtId="0" fontId="0" fillId="0" borderId="18" xfId="0" applyBorder="1"/>
    <xf numFmtId="3" fontId="0" fillId="0" borderId="11" xfId="0" applyNumberFormat="1" applyBorder="1"/>
    <xf numFmtId="0" fontId="0" fillId="0" borderId="32" xfId="0" applyBorder="1"/>
    <xf numFmtId="0" fontId="2" fillId="6" borderId="41" xfId="0" applyFont="1" applyFill="1" applyBorder="1" applyAlignment="1">
      <alignment horizontal="center" vertical="center"/>
    </xf>
    <xf numFmtId="0" fontId="2" fillId="6" borderId="42" xfId="0" applyFont="1" applyFill="1" applyBorder="1" applyAlignment="1">
      <alignment horizontal="center" vertical="center"/>
    </xf>
    <xf numFmtId="0" fontId="8" fillId="7" borderId="43" xfId="0" applyFont="1" applyFill="1" applyBorder="1" applyAlignment="1">
      <alignment horizontal="center" vertical="center" wrapText="1"/>
    </xf>
    <xf numFmtId="0" fontId="8" fillId="7" borderId="44" xfId="0" applyFont="1" applyFill="1" applyBorder="1" applyAlignment="1">
      <alignment horizontal="center" vertical="center" wrapText="1"/>
    </xf>
    <xf numFmtId="0" fontId="8" fillId="7" borderId="45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vertical="center" wrapText="1"/>
    </xf>
    <xf numFmtId="16" fontId="2" fillId="3" borderId="44" xfId="0" applyNumberFormat="1" applyFont="1" applyFill="1" applyBorder="1" applyAlignment="1">
      <alignment horizontal="center" vertical="center" wrapText="1"/>
    </xf>
    <xf numFmtId="16" fontId="2" fillId="3" borderId="42" xfId="0" applyNumberFormat="1" applyFont="1" applyFill="1" applyBorder="1" applyAlignment="1">
      <alignment horizontal="center" vertical="center" wrapText="1"/>
    </xf>
    <xf numFmtId="165" fontId="0" fillId="0" borderId="46" xfId="0" applyNumberFormat="1" applyBorder="1"/>
    <xf numFmtId="16" fontId="2" fillId="3" borderId="13" xfId="0" applyNumberFormat="1" applyFont="1" applyFill="1" applyBorder="1" applyAlignment="1">
      <alignment horizontal="center"/>
    </xf>
    <xf numFmtId="16" fontId="2" fillId="3" borderId="0" xfId="0" applyNumberFormat="1" applyFont="1" applyFill="1" applyAlignment="1">
      <alignment horizontal="center"/>
    </xf>
    <xf numFmtId="165" fontId="3" fillId="0" borderId="19" xfId="0" applyNumberFormat="1" applyFont="1" applyBorder="1" applyAlignment="1">
      <alignment vertical="center"/>
    </xf>
    <xf numFmtId="9" fontId="11" fillId="0" borderId="1" xfId="2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9" fontId="0" fillId="0" borderId="11" xfId="2" applyFont="1" applyBorder="1"/>
    <xf numFmtId="9" fontId="0" fillId="0" borderId="1" xfId="2" applyFont="1" applyBorder="1" applyAlignment="1">
      <alignment horizontal="right"/>
    </xf>
    <xf numFmtId="9" fontId="0" fillId="0" borderId="0" xfId="0" applyNumberFormat="1"/>
    <xf numFmtId="165" fontId="3" fillId="0" borderId="1" xfId="0" applyNumberFormat="1" applyFont="1" applyBorder="1" applyAlignment="1">
      <alignment horizontal="center"/>
    </xf>
    <xf numFmtId="0" fontId="0" fillId="0" borderId="6" xfId="0" applyBorder="1"/>
    <xf numFmtId="0" fontId="7" fillId="0" borderId="1" xfId="0" applyFont="1" applyBorder="1" applyAlignment="1">
      <alignment horizontal="right"/>
    </xf>
    <xf numFmtId="165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9" fontId="11" fillId="5" borderId="1" xfId="2" applyFont="1" applyFill="1" applyBorder="1" applyAlignment="1">
      <alignment horizontal="center"/>
    </xf>
    <xf numFmtId="9" fontId="3" fillId="5" borderId="1" xfId="2" applyFont="1" applyFill="1" applyBorder="1" applyAlignment="1">
      <alignment horizontal="center"/>
    </xf>
    <xf numFmtId="9" fontId="6" fillId="5" borderId="1" xfId="2" applyFont="1" applyFill="1" applyBorder="1" applyAlignment="1">
      <alignment horizontal="center"/>
    </xf>
    <xf numFmtId="9" fontId="6" fillId="5" borderId="1" xfId="2" applyFont="1" applyFill="1" applyBorder="1"/>
    <xf numFmtId="0" fontId="0" fillId="5" borderId="1" xfId="0" applyFill="1" applyBorder="1"/>
    <xf numFmtId="165" fontId="0" fillId="5" borderId="1" xfId="0" applyNumberFormat="1" applyFill="1" applyBorder="1"/>
    <xf numFmtId="9" fontId="0" fillId="5" borderId="10" xfId="2" applyFont="1" applyFill="1" applyBorder="1"/>
    <xf numFmtId="0" fontId="12" fillId="0" borderId="2" xfId="0" applyFont="1" applyBorder="1"/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35" xfId="0" applyFont="1" applyFill="1" applyBorder="1" applyAlignment="1">
      <alignment horizontal="center"/>
    </xf>
    <xf numFmtId="16" fontId="4" fillId="4" borderId="27" xfId="0" applyNumberFormat="1" applyFont="1" applyFill="1" applyBorder="1" applyAlignment="1">
      <alignment horizontal="center" vertical="center" wrapText="1"/>
    </xf>
    <xf numFmtId="16" fontId="4" fillId="4" borderId="28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65" fontId="0" fillId="0" borderId="30" xfId="1" applyNumberFormat="1" applyFont="1" applyBorder="1" applyAlignment="1">
      <alignment horizontal="center"/>
    </xf>
    <xf numFmtId="165" fontId="0" fillId="0" borderId="19" xfId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188516</xdr:colOff>
      <xdr:row>0</xdr:row>
      <xdr:rowOff>69453</xdr:rowOff>
    </xdr:from>
    <xdr:to>
      <xdr:col>12</xdr:col>
      <xdr:colOff>444493</xdr:colOff>
      <xdr:row>25</xdr:row>
      <xdr:rowOff>105488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3CC95-7421-5754-4660-E5DD69442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69453"/>
          <a:ext cx="6913556" cy="4748926"/>
        </a:xfrm>
        <a:prstGeom prst="rect">
          <a:avLst/>
        </a:prstGeom>
      </xdr:spPr>
    </xdr:pic>
    <xdr:clientData/>
  </xdr:twoCellAnchor>
  <xdr:twoCellAnchor>
    <xdr:from>
      <xdr:col>2</xdr:col>
      <xdr:colOff>436562</xdr:colOff>
      <xdr:row>20</xdr:row>
      <xdr:rowOff>99218</xdr:rowOff>
    </xdr:from>
    <xdr:to>
      <xdr:col>10</xdr:col>
      <xdr:colOff>436562</xdr:colOff>
      <xdr:row>22</xdr:row>
      <xdr:rowOff>148828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0381F9-19B0-9F5C-60CC-6404F993390D}"/>
            </a:ext>
          </a:extLst>
        </xdr:cNvPr>
        <xdr:cNvSpPr/>
      </xdr:nvSpPr>
      <xdr:spPr>
        <a:xfrm>
          <a:off x="1647031" y="3869531"/>
          <a:ext cx="4841875" cy="4266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44450</xdr:rowOff>
    </xdr:from>
    <xdr:to>
      <xdr:col>10</xdr:col>
      <xdr:colOff>498057</xdr:colOff>
      <xdr:row>23</xdr:row>
      <xdr:rowOff>83544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E2A29-F2B0-FF3B-AB25-3E13CC0E8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0" y="44450"/>
          <a:ext cx="6486107" cy="42745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0</xdr:row>
      <xdr:rowOff>95977</xdr:rowOff>
    </xdr:from>
    <xdr:to>
      <xdr:col>6</xdr:col>
      <xdr:colOff>259162</xdr:colOff>
      <xdr:row>17</xdr:row>
      <xdr:rowOff>94109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802ABC-7DF3-53C9-3A3E-C01767800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95977"/>
          <a:ext cx="4432299" cy="3128682"/>
        </a:xfrm>
        <a:prstGeom prst="rect">
          <a:avLst/>
        </a:prstGeom>
      </xdr:spPr>
    </xdr:pic>
    <xdr:clientData/>
  </xdr:twoCellAnchor>
  <xdr:twoCellAnchor editAs="oneCell">
    <xdr:from>
      <xdr:col>7</xdr:col>
      <xdr:colOff>527050</xdr:colOff>
      <xdr:row>0</xdr:row>
      <xdr:rowOff>96800</xdr:rowOff>
    </xdr:from>
    <xdr:to>
      <xdr:col>15</xdr:col>
      <xdr:colOff>433156</xdr:colOff>
      <xdr:row>16</xdr:row>
      <xdr:rowOff>137372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10441-0CAD-9720-D826-8B429319C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4250" y="96800"/>
          <a:ext cx="4782906" cy="2986972"/>
        </a:xfrm>
        <a:prstGeom prst="rect">
          <a:avLst/>
        </a:prstGeom>
      </xdr:spPr>
    </xdr:pic>
    <xdr:clientData/>
  </xdr:twoCellAnchor>
  <xdr:twoCellAnchor>
    <xdr:from>
      <xdr:col>8</xdr:col>
      <xdr:colOff>95251</xdr:colOff>
      <xdr:row>14</xdr:row>
      <xdr:rowOff>31750</xdr:rowOff>
    </xdr:from>
    <xdr:to>
      <xdr:col>14</xdr:col>
      <xdr:colOff>520701</xdr:colOff>
      <xdr:row>15</xdr:row>
      <xdr:rowOff>121841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2E4681B-4F48-4D80-8F52-3D8426FA8AA7}"/>
            </a:ext>
          </a:extLst>
        </xdr:cNvPr>
        <xdr:cNvSpPr/>
      </xdr:nvSpPr>
      <xdr:spPr>
        <a:xfrm>
          <a:off x="4972051" y="2609850"/>
          <a:ext cx="4083050" cy="2742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285750</xdr:colOff>
      <xdr:row>14</xdr:row>
      <xdr:rowOff>31751</xdr:rowOff>
    </xdr:from>
    <xdr:to>
      <xdr:col>6</xdr:col>
      <xdr:colOff>425450</xdr:colOff>
      <xdr:row>15</xdr:row>
      <xdr:rowOff>38101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1B0CD7D-9458-42F8-8BE4-C1C992F1671D}"/>
            </a:ext>
          </a:extLst>
        </xdr:cNvPr>
        <xdr:cNvSpPr/>
      </xdr:nvSpPr>
      <xdr:spPr>
        <a:xfrm>
          <a:off x="285750" y="2609851"/>
          <a:ext cx="37973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16</xdr:col>
      <xdr:colOff>19050</xdr:colOff>
      <xdr:row>0</xdr:row>
      <xdr:rowOff>163264</xdr:rowOff>
    </xdr:from>
    <xdr:to>
      <xdr:col>22</xdr:col>
      <xdr:colOff>448395</xdr:colOff>
      <xdr:row>16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12D1EA-2BEB-750A-6BF4-418C80051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2650" y="163264"/>
          <a:ext cx="4086945" cy="2859336"/>
        </a:xfrm>
        <a:prstGeom prst="rect">
          <a:avLst/>
        </a:prstGeom>
      </xdr:spPr>
    </xdr:pic>
    <xdr:clientData/>
  </xdr:twoCellAnchor>
  <xdr:twoCellAnchor>
    <xdr:from>
      <xdr:col>16</xdr:col>
      <xdr:colOff>266700</xdr:colOff>
      <xdr:row>13</xdr:row>
      <xdr:rowOff>12700</xdr:rowOff>
    </xdr:from>
    <xdr:to>
      <xdr:col>21</xdr:col>
      <xdr:colOff>381000</xdr:colOff>
      <xdr:row>14</xdr:row>
      <xdr:rowOff>102791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9E93128-24C3-49EB-9D19-5AA6A4A57A76}"/>
            </a:ext>
          </a:extLst>
        </xdr:cNvPr>
        <xdr:cNvSpPr/>
      </xdr:nvSpPr>
      <xdr:spPr>
        <a:xfrm>
          <a:off x="10020300" y="2406650"/>
          <a:ext cx="3162300" cy="2742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23</xdr:col>
      <xdr:colOff>168469</xdr:colOff>
      <xdr:row>0</xdr:row>
      <xdr:rowOff>107950</xdr:rowOff>
    </xdr:from>
    <xdr:to>
      <xdr:col>30</xdr:col>
      <xdr:colOff>117944</xdr:colOff>
      <xdr:row>15</xdr:row>
      <xdr:rowOff>107950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062386F-509C-1975-49F2-60A27B33F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89269" y="107950"/>
          <a:ext cx="4216675" cy="2762250"/>
        </a:xfrm>
        <a:prstGeom prst="rect">
          <a:avLst/>
        </a:prstGeom>
      </xdr:spPr>
    </xdr:pic>
    <xdr:clientData/>
  </xdr:twoCellAnchor>
  <xdr:twoCellAnchor>
    <xdr:from>
      <xdr:col>24</xdr:col>
      <xdr:colOff>222250</xdr:colOff>
      <xdr:row>14</xdr:row>
      <xdr:rowOff>101601</xdr:rowOff>
    </xdr:from>
    <xdr:to>
      <xdr:col>28</xdr:col>
      <xdr:colOff>596900</xdr:colOff>
      <xdr:row>15</xdr:row>
      <xdr:rowOff>158751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E673DDB-DB42-48B2-B112-BF16C7DC20DC}"/>
            </a:ext>
          </a:extLst>
        </xdr:cNvPr>
        <xdr:cNvSpPr/>
      </xdr:nvSpPr>
      <xdr:spPr>
        <a:xfrm>
          <a:off x="14852650" y="2679701"/>
          <a:ext cx="281305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3</xdr:row>
      <xdr:rowOff>133629</xdr:rowOff>
    </xdr:from>
    <xdr:to>
      <xdr:col>7</xdr:col>
      <xdr:colOff>411054</xdr:colOff>
      <xdr:row>21</xdr:row>
      <xdr:rowOff>156645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6F57BD-A1F1-21BF-7A82-4C3243F41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99" y="686079"/>
          <a:ext cx="4614755" cy="3337716"/>
        </a:xfrm>
        <a:prstGeom prst="rect">
          <a:avLst/>
        </a:prstGeom>
      </xdr:spPr>
    </xdr:pic>
    <xdr:clientData/>
  </xdr:twoCellAnchor>
  <xdr:twoCellAnchor>
    <xdr:from>
      <xdr:col>1</xdr:col>
      <xdr:colOff>120648</xdr:colOff>
      <xdr:row>19</xdr:row>
      <xdr:rowOff>101879</xdr:rowOff>
    </xdr:from>
    <xdr:to>
      <xdr:col>6</xdr:col>
      <xdr:colOff>279399</xdr:colOff>
      <xdr:row>20</xdr:row>
      <xdr:rowOff>146050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70D4A9-1E87-4741-BF09-62A75EE4E241}"/>
            </a:ext>
          </a:extLst>
        </xdr:cNvPr>
        <xdr:cNvSpPr/>
      </xdr:nvSpPr>
      <xdr:spPr>
        <a:xfrm>
          <a:off x="730248" y="3600729"/>
          <a:ext cx="3206751" cy="22832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ED27-3DD6-4850-B8C6-9D4489D71B89}">
  <dimension ref="B1:J6"/>
  <sheetViews>
    <sheetView workbookViewId="0">
      <selection activeCell="I6" sqref="I6"/>
    </sheetView>
  </sheetViews>
  <sheetFormatPr defaultRowHeight="14.5" x14ac:dyDescent="0.35"/>
  <cols>
    <col min="2" max="2" width="9.90625" bestFit="1" customWidth="1"/>
    <col min="3" max="3" width="10.81640625" bestFit="1" customWidth="1"/>
    <col min="4" max="7" width="9.81640625" bestFit="1" customWidth="1"/>
    <col min="8" max="10" width="10.81640625" bestFit="1" customWidth="1"/>
  </cols>
  <sheetData>
    <row r="1" spans="2:10" ht="15" thickBot="1" x14ac:dyDescent="0.4"/>
    <row r="2" spans="2:10" ht="15" thickBot="1" x14ac:dyDescent="0.4">
      <c r="B2" s="39" t="s">
        <v>27</v>
      </c>
      <c r="C2" s="39" t="s">
        <v>4</v>
      </c>
      <c r="D2" s="39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39" t="s">
        <v>10</v>
      </c>
      <c r="J2" s="39" t="s">
        <v>11</v>
      </c>
    </row>
    <row r="3" spans="2:10" x14ac:dyDescent="0.35">
      <c r="B3" t="s">
        <v>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13</v>
      </c>
    </row>
    <row r="4" spans="2:10" x14ac:dyDescent="0.35">
      <c r="B4" t="s">
        <v>1</v>
      </c>
      <c r="C4">
        <v>1518003640</v>
      </c>
      <c r="D4">
        <v>682358913</v>
      </c>
      <c r="E4">
        <v>607050435</v>
      </c>
      <c r="F4">
        <v>884264665</v>
      </c>
      <c r="G4">
        <v>850005981</v>
      </c>
      <c r="H4">
        <v>1215981706</v>
      </c>
      <c r="I4">
        <v>1302571204</v>
      </c>
      <c r="J4">
        <v>1489485947</v>
      </c>
    </row>
    <row r="5" spans="2:10" x14ac:dyDescent="0.35">
      <c r="B5" t="s">
        <v>2</v>
      </c>
      <c r="C5">
        <v>224087432</v>
      </c>
      <c r="D5">
        <v>467203572</v>
      </c>
      <c r="E5">
        <v>855560040</v>
      </c>
      <c r="F5">
        <v>862103881</v>
      </c>
      <c r="G5">
        <v>821789290</v>
      </c>
      <c r="H5">
        <v>564730500</v>
      </c>
      <c r="I5">
        <v>407149714</v>
      </c>
      <c r="J5">
        <v>379481810</v>
      </c>
    </row>
    <row r="6" spans="2:10" x14ac:dyDescent="0.35">
      <c r="B6" t="s">
        <v>3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>
        <v>350911600</v>
      </c>
      <c r="J6">
        <v>813346516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6088-009B-4E37-8891-0F11C3E63C4B}">
  <sheetPr>
    <tabColor rgb="FF92D050"/>
  </sheetPr>
  <dimension ref="B1:N31"/>
  <sheetViews>
    <sheetView showGridLines="0" tabSelected="1" zoomScale="82" workbookViewId="0">
      <selection activeCell="B2" sqref="B2"/>
    </sheetView>
  </sheetViews>
  <sheetFormatPr defaultRowHeight="14.5" x14ac:dyDescent="0.35"/>
  <cols>
    <col min="2" max="2" width="25.1796875" bestFit="1" customWidth="1"/>
    <col min="3" max="3" width="29" bestFit="1" customWidth="1"/>
    <col min="4" max="4" width="28.36328125" bestFit="1" customWidth="1"/>
    <col min="5" max="5" width="17.453125" bestFit="1" customWidth="1"/>
    <col min="6" max="6" width="18.81640625" bestFit="1" customWidth="1"/>
    <col min="7" max="7" width="18.81640625" customWidth="1"/>
    <col min="8" max="8" width="16.36328125" bestFit="1" customWidth="1"/>
    <col min="9" max="9" width="18.81640625" bestFit="1" customWidth="1"/>
    <col min="10" max="10" width="17.453125" bestFit="1" customWidth="1"/>
    <col min="11" max="11" width="16.36328125" bestFit="1" customWidth="1"/>
    <col min="12" max="12" width="21.08984375" bestFit="1" customWidth="1"/>
    <col min="13" max="13" width="21.08984375" customWidth="1"/>
    <col min="14" max="14" width="22.81640625" customWidth="1"/>
    <col min="15" max="15" width="19.90625" bestFit="1" customWidth="1"/>
    <col min="16" max="16" width="12.54296875" bestFit="1" customWidth="1"/>
    <col min="17" max="17" width="12.08984375" bestFit="1" customWidth="1"/>
    <col min="18" max="18" width="18.81640625" bestFit="1" customWidth="1"/>
  </cols>
  <sheetData>
    <row r="1" spans="2:14" ht="15" thickBot="1" x14ac:dyDescent="0.4"/>
    <row r="2" spans="2:14" ht="15" thickBot="1" x14ac:dyDescent="0.4">
      <c r="B2" s="39" t="s">
        <v>27</v>
      </c>
      <c r="C2" s="39" t="s">
        <v>4</v>
      </c>
      <c r="D2" s="39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39" t="s">
        <v>10</v>
      </c>
      <c r="J2" s="39" t="s">
        <v>11</v>
      </c>
    </row>
    <row r="3" spans="2:14" x14ac:dyDescent="0.35">
      <c r="B3" s="117" t="s">
        <v>80</v>
      </c>
      <c r="C3" s="42">
        <f>1197*100000</f>
        <v>119700000</v>
      </c>
      <c r="D3" s="38">
        <v>333381387</v>
      </c>
      <c r="E3" s="38">
        <v>333381387</v>
      </c>
      <c r="F3" s="38">
        <v>137436901</v>
      </c>
      <c r="G3" s="38">
        <v>153154666</v>
      </c>
      <c r="H3" s="38">
        <v>133460189</v>
      </c>
      <c r="I3" s="38">
        <v>333231225</v>
      </c>
      <c r="J3" s="41" t="s">
        <v>13</v>
      </c>
    </row>
    <row r="4" spans="2:14" x14ac:dyDescent="0.35">
      <c r="B4" s="117" t="s">
        <v>78</v>
      </c>
      <c r="C4" s="24">
        <v>699637964</v>
      </c>
      <c r="D4" s="24">
        <v>699637964</v>
      </c>
      <c r="E4" s="24">
        <v>699637964</v>
      </c>
      <c r="F4" s="24">
        <v>699637964</v>
      </c>
      <c r="G4" s="24">
        <v>699637964</v>
      </c>
      <c r="H4" s="24">
        <v>699637964</v>
      </c>
      <c r="I4" s="24">
        <v>699637964</v>
      </c>
      <c r="J4" s="24"/>
    </row>
    <row r="5" spans="2:14" x14ac:dyDescent="0.35">
      <c r="B5" s="15" t="s">
        <v>79</v>
      </c>
      <c r="C5" s="119">
        <f t="shared" ref="C5:I5" si="0">C4-C3</f>
        <v>579937964</v>
      </c>
      <c r="D5" s="119">
        <f t="shared" si="0"/>
        <v>366256577</v>
      </c>
      <c r="E5" s="119">
        <f t="shared" si="0"/>
        <v>366256577</v>
      </c>
      <c r="F5" s="119">
        <f t="shared" si="0"/>
        <v>562201063</v>
      </c>
      <c r="G5" s="119">
        <f t="shared" si="0"/>
        <v>546483298</v>
      </c>
      <c r="H5" s="119">
        <f t="shared" si="0"/>
        <v>566177775</v>
      </c>
      <c r="I5" s="119">
        <f t="shared" si="0"/>
        <v>366406739</v>
      </c>
      <c r="J5" s="120"/>
    </row>
    <row r="6" spans="2:14" x14ac:dyDescent="0.35">
      <c r="B6" s="131" t="s">
        <v>82</v>
      </c>
      <c r="C6" s="121">
        <f>C5/C3</f>
        <v>4.8449286883876361</v>
      </c>
      <c r="D6" s="121">
        <f>D5/D3</f>
        <v>1.0986113540885831</v>
      </c>
      <c r="E6" s="121">
        <f t="shared" ref="E6:F6" si="1">E5/E3</f>
        <v>1.0986113540885831</v>
      </c>
      <c r="F6" s="121">
        <f t="shared" si="1"/>
        <v>4.0906121930092123</v>
      </c>
      <c r="G6" s="121">
        <f>G5/G3</f>
        <v>3.5681792287020495</v>
      </c>
      <c r="H6" s="121">
        <f>H5/H3</f>
        <v>4.2422971167828933</v>
      </c>
      <c r="I6" s="121">
        <f>I5/I3</f>
        <v>1.0995570388099134</v>
      </c>
      <c r="J6" s="120"/>
    </row>
    <row r="7" spans="2:14" x14ac:dyDescent="0.35">
      <c r="B7" s="33" t="s">
        <v>81</v>
      </c>
      <c r="C7" s="118">
        <f>7422285920-'Stock In-transit'!C4</f>
        <v>5904282280</v>
      </c>
      <c r="D7" s="28">
        <f>7918616594-'Stock In-transit'!D4</f>
        <v>7236257681</v>
      </c>
      <c r="E7" s="43">
        <f>5899511141-'Stock In-transit'!E4</f>
        <v>5292460706</v>
      </c>
      <c r="F7" s="28">
        <f>6595402775-'Stock In-transit'!F4</f>
        <v>5711138110</v>
      </c>
      <c r="G7" s="28">
        <f>6185660558-'Stock In-transit'!G4</f>
        <v>5335654577</v>
      </c>
      <c r="H7" s="28">
        <f>7467217209-'Stock In-transit'!H4</f>
        <v>6251235503</v>
      </c>
      <c r="I7" s="29">
        <f>7388383397-'Stock In-transit'!I4</f>
        <v>6085812193</v>
      </c>
      <c r="J7" s="29">
        <f>7624833335-'Stock In-transit'!J4</f>
        <v>6135347388</v>
      </c>
    </row>
    <row r="8" spans="2:14" x14ac:dyDescent="0.35">
      <c r="B8" s="117" t="s">
        <v>78</v>
      </c>
      <c r="C8" s="118">
        <v>6223300000</v>
      </c>
      <c r="D8" s="2">
        <v>6223300000</v>
      </c>
      <c r="E8" s="2">
        <v>6223300000</v>
      </c>
      <c r="F8" s="2">
        <v>6223300000</v>
      </c>
      <c r="G8" s="13">
        <v>6678952131</v>
      </c>
      <c r="H8" s="13">
        <v>6678952131</v>
      </c>
      <c r="I8" s="13">
        <v>6678952131</v>
      </c>
      <c r="J8" s="13">
        <v>6678952131</v>
      </c>
    </row>
    <row r="9" spans="2:14" x14ac:dyDescent="0.35">
      <c r="B9" s="15" t="s">
        <v>79</v>
      </c>
      <c r="C9" s="122" t="e">
        <f>#REF!-C7</f>
        <v>#REF!</v>
      </c>
      <c r="D9" s="123">
        <f t="shared" ref="D9:J9" si="2">D8-D7</f>
        <v>-1012957681</v>
      </c>
      <c r="E9" s="119">
        <f t="shared" si="2"/>
        <v>930839294</v>
      </c>
      <c r="F9" s="119">
        <f t="shared" si="2"/>
        <v>512161890</v>
      </c>
      <c r="G9" s="119">
        <f t="shared" si="2"/>
        <v>1343297554</v>
      </c>
      <c r="H9" s="119">
        <f t="shared" si="2"/>
        <v>427716628</v>
      </c>
      <c r="I9" s="119">
        <f t="shared" si="2"/>
        <v>593139938</v>
      </c>
      <c r="J9" s="119">
        <f t="shared" si="2"/>
        <v>543604743</v>
      </c>
    </row>
    <row r="10" spans="2:14" x14ac:dyDescent="0.35">
      <c r="B10" s="131" t="s">
        <v>82</v>
      </c>
      <c r="C10" s="124" t="e">
        <f t="shared" ref="C10:F10" si="3">C9/C7</f>
        <v>#REF!</v>
      </c>
      <c r="D10" s="125">
        <f t="shared" si="3"/>
        <v>-0.13998363873355271</v>
      </c>
      <c r="E10" s="126">
        <f t="shared" si="3"/>
        <v>0.17588024658259976</v>
      </c>
      <c r="F10" s="126">
        <f t="shared" si="3"/>
        <v>8.9677728000172638E-2</v>
      </c>
      <c r="G10" s="126">
        <f>G9/G7</f>
        <v>0.25175871762584678</v>
      </c>
      <c r="H10" s="126">
        <f>H9/H7</f>
        <v>6.8421134957199523E-2</v>
      </c>
      <c r="I10" s="126">
        <f>I9/I7</f>
        <v>9.7462741075421161E-2</v>
      </c>
      <c r="J10" s="126">
        <f>J9/J7</f>
        <v>8.8602113070765209E-2</v>
      </c>
    </row>
    <row r="11" spans="2:14" x14ac:dyDescent="0.35">
      <c r="B11" s="33" t="s">
        <v>83</v>
      </c>
      <c r="C11" s="28">
        <f>2553661569-'Stock In-transit'!C5</f>
        <v>2329574137</v>
      </c>
      <c r="D11" s="28">
        <f>2459986857-'Stock In-transit'!D5</f>
        <v>1992783285</v>
      </c>
      <c r="E11" s="28">
        <f>2402094309-'Stock In-transit'!E5</f>
        <v>1546534269</v>
      </c>
      <c r="F11" s="28">
        <f>2607889588-'Stock In-transit'!F5</f>
        <v>1745785707</v>
      </c>
      <c r="G11" s="28">
        <f>3306820193-'Stock In-transit'!G5</f>
        <v>2485030903</v>
      </c>
      <c r="H11" s="28">
        <f>2659890206-'Stock In-transit'!H5</f>
        <v>2095159706</v>
      </c>
      <c r="I11" s="28">
        <f>2620277825-'Stock In-transit'!I5</f>
        <v>2213128111</v>
      </c>
      <c r="J11" s="29">
        <f>2851324642-'Stock In-transit'!J5</f>
        <v>2471842832</v>
      </c>
      <c r="L11" s="76"/>
      <c r="M11" s="75"/>
      <c r="N11" s="72"/>
    </row>
    <row r="12" spans="2:14" x14ac:dyDescent="0.35">
      <c r="B12" s="117" t="s">
        <v>78</v>
      </c>
      <c r="C12" s="28">
        <f>'PEIPL ins calc.'!$F$11+'PEIPL ins calc.'!$F$14</f>
        <v>3727612915</v>
      </c>
      <c r="D12" s="28">
        <f>'PEIPL ins calc.'!$F$11+'PEIPL ins calc.'!$F$14</f>
        <v>3727612915</v>
      </c>
      <c r="E12" s="28">
        <f>'PEIPL ins calc.'!$F$11+'PEIPL ins calc.'!$F$14</f>
        <v>3727612915</v>
      </c>
      <c r="F12" s="28">
        <f>'PEIPL ins calc.'!$F$12+'PEIPL ins calc.'!$F$14</f>
        <v>4467612915</v>
      </c>
      <c r="G12" s="28">
        <f>'PEIPL ins calc.'!$F$12+'PEIPL ins calc.'!$F$14</f>
        <v>4467612915</v>
      </c>
      <c r="H12" s="28">
        <f>'PEIPL ins calc.'!$F$12+'PEIPL ins calc.'!$F$14</f>
        <v>4467612915</v>
      </c>
      <c r="I12" s="28">
        <f>'PEIPL ins calc.'!$F$12+'PEIPL ins calc.'!$F$15</f>
        <v>3400301394</v>
      </c>
      <c r="J12" s="28">
        <f>'PEIPL ins calc.'!$F$12+'PEIPL ins calc.'!$F$15</f>
        <v>3400301394</v>
      </c>
      <c r="L12" s="76"/>
      <c r="M12" s="75"/>
      <c r="N12" s="72"/>
    </row>
    <row r="13" spans="2:14" x14ac:dyDescent="0.35">
      <c r="B13" s="15" t="s">
        <v>79</v>
      </c>
      <c r="C13" s="119">
        <f>C12-C11</f>
        <v>1398038778</v>
      </c>
      <c r="D13" s="119">
        <f t="shared" ref="D13:F13" si="4">D12-D11</f>
        <v>1734829630</v>
      </c>
      <c r="E13" s="119">
        <f t="shared" si="4"/>
        <v>2181078646</v>
      </c>
      <c r="F13" s="119">
        <f t="shared" si="4"/>
        <v>2721827208</v>
      </c>
      <c r="G13" s="119">
        <f>G12-G11</f>
        <v>1982582012</v>
      </c>
      <c r="H13" s="119">
        <f>H12-H11</f>
        <v>2372453209</v>
      </c>
      <c r="I13" s="119">
        <f>I12-I11</f>
        <v>1187173283</v>
      </c>
      <c r="J13" s="119">
        <f>J12-J11</f>
        <v>928458562</v>
      </c>
    </row>
    <row r="14" spans="2:14" x14ac:dyDescent="0.35">
      <c r="B14" s="131" t="s">
        <v>82</v>
      </c>
      <c r="C14" s="127">
        <f>C13/C11</f>
        <v>0.60012633030017193</v>
      </c>
      <c r="D14" s="127">
        <f t="shared" ref="D14:F14" si="5">D13/D11</f>
        <v>0.87055609260592526</v>
      </c>
      <c r="E14" s="127">
        <f t="shared" si="5"/>
        <v>1.4103008835428528</v>
      </c>
      <c r="F14" s="127">
        <f t="shared" si="5"/>
        <v>1.5590843693394953</v>
      </c>
      <c r="G14" s="127">
        <f>G13/G11</f>
        <v>0.79780980172382188</v>
      </c>
      <c r="H14" s="127">
        <f>H13/H11</f>
        <v>1.1323495780325969</v>
      </c>
      <c r="I14" s="127">
        <f>I13/I11</f>
        <v>0.53642320889574568</v>
      </c>
      <c r="J14" s="127">
        <f>J13/J11</f>
        <v>0.37561391443677355</v>
      </c>
    </row>
    <row r="15" spans="2:14" x14ac:dyDescent="0.35">
      <c r="B15" s="33" t="s">
        <v>84</v>
      </c>
      <c r="C15" s="6"/>
      <c r="D15" s="6"/>
      <c r="E15" s="6"/>
      <c r="F15" s="6"/>
      <c r="G15" s="6"/>
      <c r="H15" s="6"/>
      <c r="I15" s="5">
        <f>1027295469-'Stock In-transit'!I6</f>
        <v>676383869</v>
      </c>
      <c r="J15" s="5">
        <f>1324192719-'Stock In-transit'!J6</f>
        <v>510846203</v>
      </c>
    </row>
    <row r="16" spans="2:14" x14ac:dyDescent="0.35">
      <c r="B16" s="117" t="s">
        <v>78</v>
      </c>
      <c r="C16" s="6"/>
      <c r="D16" s="6"/>
      <c r="E16" s="13">
        <v>2500000000</v>
      </c>
      <c r="F16" s="13">
        <v>2500000000</v>
      </c>
      <c r="G16" s="13">
        <v>2500000000</v>
      </c>
      <c r="H16" s="13">
        <v>2500000000</v>
      </c>
      <c r="I16" s="13">
        <v>2500000000</v>
      </c>
      <c r="J16" s="13">
        <v>2500000000</v>
      </c>
    </row>
    <row r="17" spans="2:14" x14ac:dyDescent="0.35">
      <c r="B17" s="15" t="s">
        <v>79</v>
      </c>
      <c r="C17" s="128"/>
      <c r="D17" s="128"/>
      <c r="E17" s="129">
        <f t="shared" ref="E17" si="6">E16-E15</f>
        <v>2500000000</v>
      </c>
      <c r="F17" s="129">
        <f t="shared" ref="F17" si="7">F16-F15</f>
        <v>2500000000</v>
      </c>
      <c r="G17" s="129">
        <f t="shared" ref="G17" si="8">G16-G15</f>
        <v>2500000000</v>
      </c>
      <c r="H17" s="129">
        <f t="shared" ref="H17" si="9">H16-H15</f>
        <v>2500000000</v>
      </c>
      <c r="I17" s="129">
        <f t="shared" ref="I17:J17" si="10">I16-I15</f>
        <v>1823616131</v>
      </c>
      <c r="J17" s="129">
        <f t="shared" si="10"/>
        <v>1989153797</v>
      </c>
    </row>
    <row r="18" spans="2:14" ht="15" thickBot="1" x14ac:dyDescent="0.4">
      <c r="B18" s="131" t="s">
        <v>82</v>
      </c>
      <c r="C18" s="19"/>
      <c r="D18" s="19"/>
      <c r="E18" s="130" t="e">
        <f t="shared" ref="E18:H18" si="11">E17/E15</f>
        <v>#DIV/0!</v>
      </c>
      <c r="F18" s="130" t="e">
        <f t="shared" si="11"/>
        <v>#DIV/0!</v>
      </c>
      <c r="G18" s="130" t="e">
        <f t="shared" si="11"/>
        <v>#DIV/0!</v>
      </c>
      <c r="H18" s="130" t="e">
        <f t="shared" si="11"/>
        <v>#DIV/0!</v>
      </c>
      <c r="I18" s="130">
        <f>I17/I15</f>
        <v>2.6961259938030842</v>
      </c>
      <c r="J18" s="130">
        <f>J17/J15</f>
        <v>3.893840818074946</v>
      </c>
    </row>
    <row r="20" spans="2:14" ht="15" thickBot="1" x14ac:dyDescent="0.4">
      <c r="E20" s="81" t="s">
        <v>74</v>
      </c>
    </row>
    <row r="21" spans="2:14" ht="15" thickBot="1" x14ac:dyDescent="0.4">
      <c r="B21" s="132" t="s">
        <v>16</v>
      </c>
      <c r="C21" s="134" t="s">
        <v>46</v>
      </c>
      <c r="D21" s="135"/>
      <c r="E21" s="136" t="s">
        <v>48</v>
      </c>
      <c r="F21" s="137"/>
      <c r="G21" s="137"/>
      <c r="H21" s="137"/>
      <c r="I21" s="138"/>
      <c r="J21" s="134" t="s">
        <v>47</v>
      </c>
      <c r="K21" s="137"/>
      <c r="L21" s="135"/>
      <c r="M21" s="139" t="s">
        <v>20</v>
      </c>
    </row>
    <row r="22" spans="2:14" s="11" customFormat="1" ht="44" thickBot="1" x14ac:dyDescent="0.4">
      <c r="B22" s="133"/>
      <c r="C22" s="99" t="s">
        <v>32</v>
      </c>
      <c r="D22" s="100" t="s">
        <v>31</v>
      </c>
      <c r="E22" s="101" t="s">
        <v>41</v>
      </c>
      <c r="F22" s="102" t="s">
        <v>42</v>
      </c>
      <c r="G22" s="102" t="s">
        <v>77</v>
      </c>
      <c r="H22" s="102" t="s">
        <v>30</v>
      </c>
      <c r="I22" s="103" t="s">
        <v>39</v>
      </c>
      <c r="J22" s="104" t="s">
        <v>22</v>
      </c>
      <c r="K22" s="105" t="s">
        <v>17</v>
      </c>
      <c r="L22" s="106" t="s">
        <v>19</v>
      </c>
      <c r="M22" s="140"/>
    </row>
    <row r="23" spans="2:14" x14ac:dyDescent="0.35">
      <c r="B23" s="83" t="s">
        <v>0</v>
      </c>
      <c r="C23" s="94" t="s">
        <v>33</v>
      </c>
      <c r="D23" s="95" t="s">
        <v>34</v>
      </c>
      <c r="E23" s="96" t="s">
        <v>40</v>
      </c>
      <c r="F23" s="21">
        <v>0</v>
      </c>
      <c r="G23" s="113">
        <f>AVERAGE($C$6,$D$6,$E$6,$F$6,$G$6,$H$6,$I$6)</f>
        <v>2.863256710552696</v>
      </c>
      <c r="H23" s="97">
        <f>AVERAGE($C$5,$D$5,$E$5,$F$5,$G$5,$H$5,$I$5)</f>
        <v>479102856.14285713</v>
      </c>
      <c r="I23" s="98">
        <v>7</v>
      </c>
      <c r="J23" s="91">
        <v>1090083894</v>
      </c>
      <c r="K23" s="22">
        <v>1544719</v>
      </c>
      <c r="L23" s="59">
        <f>(K23/J23*1000)*7/12</f>
        <v>0.82662085761752702</v>
      </c>
      <c r="M23" s="107">
        <f>H23*L23/1000</f>
        <v>396036.41383181524</v>
      </c>
    </row>
    <row r="24" spans="2:14" x14ac:dyDescent="0.35">
      <c r="B24" s="84" t="s">
        <v>1</v>
      </c>
      <c r="C24" s="58" t="s">
        <v>35</v>
      </c>
      <c r="D24" s="61" t="s">
        <v>36</v>
      </c>
      <c r="E24" s="110">
        <f>D9</f>
        <v>-1012957681</v>
      </c>
      <c r="F24" s="112">
        <v>1</v>
      </c>
      <c r="G24" s="32">
        <f>AVERAGE($E$10,$F$10)</f>
        <v>0.13277898729138621</v>
      </c>
      <c r="H24" s="62">
        <f>AVERAGE($E$9,$F$9)</f>
        <v>721500592</v>
      </c>
      <c r="I24" s="82">
        <v>2</v>
      </c>
      <c r="J24" s="92">
        <v>10326800000</v>
      </c>
      <c r="K24" s="5">
        <v>10300000</v>
      </c>
      <c r="L24" s="60">
        <f>(K24/J24*1000)*1/12</f>
        <v>8.3117067565299366E-2</v>
      </c>
      <c r="M24" s="89">
        <f>H24*L24/1000</f>
        <v>59969.013453667489</v>
      </c>
    </row>
    <row r="25" spans="2:14" x14ac:dyDescent="0.35">
      <c r="B25" s="85" t="s">
        <v>37</v>
      </c>
      <c r="C25" s="58" t="s">
        <v>43</v>
      </c>
      <c r="D25" s="61" t="s">
        <v>38</v>
      </c>
      <c r="E25" s="110"/>
      <c r="F25" s="112"/>
      <c r="G25" s="114">
        <f>AVERAGE($G$10,$H$10,$I$10,$J$10)</f>
        <v>0.12656117668230815</v>
      </c>
      <c r="H25" s="63">
        <f>AVERAGE($G$9,$H$9,$I$9,$J$9)</f>
        <v>726939715.75</v>
      </c>
      <c r="I25" s="82">
        <v>4</v>
      </c>
      <c r="J25" s="92">
        <v>1654884936</v>
      </c>
      <c r="K25" s="5">
        <v>904981</v>
      </c>
      <c r="L25" s="60">
        <f>(K25/J25*1000)*1/12</f>
        <v>4.5571194524024194E-2</v>
      </c>
      <c r="M25" s="89">
        <f>H25*L25/1000</f>
        <v>33127.511193682105</v>
      </c>
    </row>
    <row r="26" spans="2:14" x14ac:dyDescent="0.35">
      <c r="B26" s="86" t="s">
        <v>2</v>
      </c>
      <c r="C26" s="141" t="s">
        <v>73</v>
      </c>
      <c r="D26" s="142"/>
      <c r="E26" s="74"/>
      <c r="F26" s="6"/>
      <c r="G26" s="32">
        <f>AVERAGE($C$14:$J$14)</f>
        <v>0.91028302235967307</v>
      </c>
      <c r="H26" s="62">
        <f>AVERAGE($C$13:$J$13)</f>
        <v>1813305166</v>
      </c>
      <c r="I26" s="82">
        <v>8</v>
      </c>
      <c r="J26" s="143" t="s">
        <v>71</v>
      </c>
      <c r="K26" s="144"/>
      <c r="L26" s="61">
        <f>(1.092199218)*8/12</f>
        <v>0.72813281200000002</v>
      </c>
      <c r="M26" s="89">
        <f>H26*L26/1000</f>
        <v>1320326.9895337068</v>
      </c>
      <c r="N26" t="s">
        <v>72</v>
      </c>
    </row>
    <row r="27" spans="2:14" ht="15" thickBot="1" x14ac:dyDescent="0.4">
      <c r="B27" s="86" t="s">
        <v>3</v>
      </c>
      <c r="C27" s="67" t="s">
        <v>44</v>
      </c>
      <c r="D27" s="61" t="s">
        <v>45</v>
      </c>
      <c r="E27" s="57" t="s">
        <v>40</v>
      </c>
      <c r="F27" s="6">
        <v>0</v>
      </c>
      <c r="G27" s="32">
        <f>AVERAGE($I$18:$J$18)</f>
        <v>3.2949834059390151</v>
      </c>
      <c r="H27" s="12">
        <f>AVERAGE($E$17:$J$17)</f>
        <v>2302128321.3333335</v>
      </c>
      <c r="I27" s="82">
        <v>6</v>
      </c>
      <c r="J27" s="92">
        <v>3943212387</v>
      </c>
      <c r="K27" s="5">
        <v>2358364</v>
      </c>
      <c r="L27" s="60">
        <f>(K27/J27*1000)*6/12</f>
        <v>0.29904095551320858</v>
      </c>
      <c r="M27" s="90">
        <f>H27*L27/1000</f>
        <v>688430.65292553895</v>
      </c>
    </row>
    <row r="28" spans="2:14" ht="15" thickBot="1" x14ac:dyDescent="0.4">
      <c r="B28" s="87" t="s">
        <v>26</v>
      </c>
      <c r="C28" s="68"/>
      <c r="D28" s="65"/>
      <c r="E28" s="66">
        <f>SUM(E23:E27)</f>
        <v>-1012957681</v>
      </c>
      <c r="F28" s="64"/>
      <c r="G28" s="64"/>
      <c r="H28" s="64"/>
      <c r="I28" s="88"/>
      <c r="J28" s="68"/>
      <c r="K28" s="64"/>
      <c r="L28" s="65"/>
      <c r="M28" s="93">
        <f>SUM(M23:M27)</f>
        <v>2497890.5809384105</v>
      </c>
    </row>
    <row r="29" spans="2:14" x14ac:dyDescent="0.35">
      <c r="D29" s="4"/>
      <c r="G29" s="115"/>
    </row>
    <row r="30" spans="2:14" x14ac:dyDescent="0.35">
      <c r="D30" s="2"/>
    </row>
    <row r="31" spans="2:14" x14ac:dyDescent="0.35">
      <c r="C31" s="73" t="s">
        <v>51</v>
      </c>
    </row>
  </sheetData>
  <mergeCells count="7">
    <mergeCell ref="C26:D26"/>
    <mergeCell ref="J26:K26"/>
    <mergeCell ref="B21:B22"/>
    <mergeCell ref="C21:D21"/>
    <mergeCell ref="E21:I21"/>
    <mergeCell ref="J21:L21"/>
    <mergeCell ref="M21:M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9DCE-C698-4FC4-B516-4EAF44ABB4C8}">
  <sheetPr>
    <tabColor rgb="FF92D050"/>
  </sheetPr>
  <dimension ref="B1:P28"/>
  <sheetViews>
    <sheetView showGridLines="0" zoomScale="82" workbookViewId="0">
      <selection activeCell="K13" sqref="K13"/>
    </sheetView>
  </sheetViews>
  <sheetFormatPr defaultRowHeight="14.5" x14ac:dyDescent="0.35"/>
  <cols>
    <col min="2" max="2" width="25.1796875" bestFit="1" customWidth="1"/>
    <col min="3" max="3" width="29" bestFit="1" customWidth="1"/>
    <col min="4" max="4" width="28.36328125" bestFit="1" customWidth="1"/>
    <col min="5" max="5" width="17.453125" bestFit="1" customWidth="1"/>
    <col min="6" max="6" width="18.81640625" bestFit="1" customWidth="1"/>
    <col min="7" max="7" width="18.81640625" customWidth="1"/>
    <col min="8" max="8" width="16.36328125" bestFit="1" customWidth="1"/>
    <col min="9" max="9" width="18.81640625" bestFit="1" customWidth="1"/>
    <col min="10" max="10" width="17.453125" bestFit="1" customWidth="1"/>
    <col min="11" max="11" width="16.36328125" bestFit="1" customWidth="1"/>
    <col min="12" max="12" width="21.08984375" bestFit="1" customWidth="1"/>
    <col min="13" max="13" width="21.08984375" customWidth="1"/>
    <col min="14" max="14" width="22.81640625" customWidth="1"/>
    <col min="15" max="15" width="19.90625" bestFit="1" customWidth="1"/>
    <col min="16" max="16" width="12.54296875" bestFit="1" customWidth="1"/>
    <col min="17" max="17" width="12.08984375" bestFit="1" customWidth="1"/>
    <col min="18" max="18" width="18.81640625" bestFit="1" customWidth="1"/>
  </cols>
  <sheetData>
    <row r="1" spans="2:16" ht="15" thickBot="1" x14ac:dyDescent="0.4"/>
    <row r="2" spans="2:16" ht="15" thickBot="1" x14ac:dyDescent="0.4">
      <c r="B2" s="39" t="s">
        <v>27</v>
      </c>
      <c r="C2" s="39" t="s">
        <v>4</v>
      </c>
      <c r="D2" s="39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108" t="s">
        <v>12</v>
      </c>
      <c r="L2" s="109"/>
    </row>
    <row r="3" spans="2:16" x14ac:dyDescent="0.35">
      <c r="B3" s="37" t="s">
        <v>75</v>
      </c>
      <c r="C3" s="42">
        <f>1197*100000</f>
        <v>119700000</v>
      </c>
      <c r="D3" s="38">
        <v>333381387</v>
      </c>
      <c r="E3" s="38">
        <v>333381387</v>
      </c>
      <c r="F3" s="38">
        <v>137436901</v>
      </c>
      <c r="G3" s="38">
        <v>153154666</v>
      </c>
      <c r="H3" s="38">
        <v>133460189</v>
      </c>
      <c r="I3" s="38">
        <v>333231225</v>
      </c>
      <c r="J3" s="41" t="s">
        <v>13</v>
      </c>
      <c r="K3" s="24">
        <v>699637964</v>
      </c>
      <c r="L3" s="2"/>
    </row>
    <row r="4" spans="2:16" x14ac:dyDescent="0.35">
      <c r="B4" s="33" t="s">
        <v>15</v>
      </c>
      <c r="C4" s="29">
        <f t="shared" ref="C4:I4" si="0">$K$3-C3</f>
        <v>579937964</v>
      </c>
      <c r="D4" s="29">
        <f t="shared" si="0"/>
        <v>366256577</v>
      </c>
      <c r="E4" s="29">
        <f t="shared" si="0"/>
        <v>366256577</v>
      </c>
      <c r="F4" s="29">
        <f t="shared" si="0"/>
        <v>562201063</v>
      </c>
      <c r="G4" s="29">
        <f t="shared" si="0"/>
        <v>546483298</v>
      </c>
      <c r="H4" s="29">
        <f t="shared" si="0"/>
        <v>566177775</v>
      </c>
      <c r="I4" s="29">
        <f t="shared" si="0"/>
        <v>366406739</v>
      </c>
      <c r="J4" s="27"/>
      <c r="K4" s="14"/>
      <c r="L4" s="3"/>
    </row>
    <row r="5" spans="2:16" x14ac:dyDescent="0.35">
      <c r="B5" s="33" t="s">
        <v>14</v>
      </c>
      <c r="C5" s="30">
        <f>C4/C3</f>
        <v>4.8449286883876361</v>
      </c>
      <c r="D5" s="30">
        <f>D4/D3</f>
        <v>1.0986113540885831</v>
      </c>
      <c r="E5" s="30">
        <f t="shared" ref="E5:F5" si="1">E4/E3</f>
        <v>1.0986113540885831</v>
      </c>
      <c r="F5" s="30">
        <f t="shared" si="1"/>
        <v>4.0906121930092123</v>
      </c>
      <c r="G5" s="30">
        <f>G4/G3</f>
        <v>3.5681792287020495</v>
      </c>
      <c r="H5" s="30">
        <f>H4/H3</f>
        <v>4.2422971167828933</v>
      </c>
      <c r="I5" s="30">
        <f>I4/I3</f>
        <v>1.0995570388099134</v>
      </c>
      <c r="J5" s="27"/>
      <c r="K5" s="69" t="s">
        <v>49</v>
      </c>
      <c r="L5" s="70" t="s">
        <v>50</v>
      </c>
    </row>
    <row r="6" spans="2:16" x14ac:dyDescent="0.35">
      <c r="B6" s="15" t="s">
        <v>70</v>
      </c>
      <c r="C6" s="45">
        <f>7422285920-'Stock In-transit'!C4</f>
        <v>5904282280</v>
      </c>
      <c r="D6" s="28">
        <f>7918616594-'Stock In-transit'!D4</f>
        <v>7236257681</v>
      </c>
      <c r="E6" s="43">
        <f>5899511141-'Stock In-transit'!E4</f>
        <v>5292460706</v>
      </c>
      <c r="F6" s="28">
        <f>6595402775-'Stock In-transit'!F4</f>
        <v>5711138110</v>
      </c>
      <c r="G6" s="28">
        <f>6185660558-'Stock In-transit'!G4</f>
        <v>5335654577</v>
      </c>
      <c r="H6" s="28">
        <f>7467217209-'Stock In-transit'!H4</f>
        <v>6251235503</v>
      </c>
      <c r="I6" s="29">
        <f>7388383397-'Stock In-transit'!I4</f>
        <v>6085812193</v>
      </c>
      <c r="J6" s="29">
        <f>7624833335-'Stock In-transit'!J4</f>
        <v>6135347388</v>
      </c>
      <c r="K6" s="2">
        <v>6223300000</v>
      </c>
      <c r="L6" s="13">
        <v>6678952131</v>
      </c>
    </row>
    <row r="7" spans="2:16" x14ac:dyDescent="0.35">
      <c r="B7" s="33" t="s">
        <v>15</v>
      </c>
      <c r="C7" s="46">
        <f>$K$6-C6</f>
        <v>319017720</v>
      </c>
      <c r="D7" s="116">
        <f>$K$6-D6</f>
        <v>-1012957681</v>
      </c>
      <c r="E7" s="29">
        <f>$K$6-E6</f>
        <v>930839294</v>
      </c>
      <c r="F7" s="29">
        <f>$K$6-F6</f>
        <v>512161890</v>
      </c>
      <c r="G7" s="29">
        <f>$L$6-G6</f>
        <v>1343297554</v>
      </c>
      <c r="H7" s="29">
        <f>$L$6-H6</f>
        <v>427716628</v>
      </c>
      <c r="I7" s="29">
        <f>$L$6-I6</f>
        <v>593139938</v>
      </c>
      <c r="J7" s="29">
        <f>$L$6-J6</f>
        <v>543604743</v>
      </c>
      <c r="K7" s="7"/>
    </row>
    <row r="8" spans="2:16" x14ac:dyDescent="0.35">
      <c r="B8" s="33" t="s">
        <v>14</v>
      </c>
      <c r="C8" s="111">
        <f t="shared" ref="C8:F8" si="2">C7/C6</f>
        <v>5.4031583327347282E-2</v>
      </c>
      <c r="D8" s="31">
        <f t="shared" si="2"/>
        <v>-0.13998363873355271</v>
      </c>
      <c r="E8" s="44">
        <f t="shared" si="2"/>
        <v>0.17588024658259976</v>
      </c>
      <c r="F8" s="44">
        <f t="shared" si="2"/>
        <v>8.9677728000172638E-2</v>
      </c>
      <c r="G8" s="44">
        <f>G7/G6</f>
        <v>0.25175871762584678</v>
      </c>
      <c r="H8" s="44">
        <f>H7/H6</f>
        <v>6.8421134957199523E-2</v>
      </c>
      <c r="I8" s="44">
        <f>I7/I6</f>
        <v>9.7462741075421161E-2</v>
      </c>
      <c r="J8" s="44">
        <f>J7/J6</f>
        <v>8.8602113070765209E-2</v>
      </c>
      <c r="K8" s="7"/>
    </row>
    <row r="9" spans="2:16" x14ac:dyDescent="0.35">
      <c r="B9" s="15" t="s">
        <v>69</v>
      </c>
      <c r="C9" s="28">
        <f>2553661569-'Stock In-transit'!C5</f>
        <v>2329574137</v>
      </c>
      <c r="D9" s="28">
        <f>2459986857-'Stock In-transit'!D5</f>
        <v>1992783285</v>
      </c>
      <c r="E9" s="28">
        <f>2402094309-'Stock In-transit'!E5</f>
        <v>1546534269</v>
      </c>
      <c r="F9" s="28">
        <f>2607889588-'Stock In-transit'!F5</f>
        <v>1745785707</v>
      </c>
      <c r="G9" s="28">
        <f>3306820193-'Stock In-transit'!G5</f>
        <v>2485030903</v>
      </c>
      <c r="H9" s="28">
        <f>2659890206-'Stock In-transit'!H5</f>
        <v>2095159706</v>
      </c>
      <c r="I9" s="28">
        <f>2620277825-'Stock In-transit'!I5</f>
        <v>2213128111</v>
      </c>
      <c r="J9" s="29">
        <f>2851324642-'Stock In-transit'!J5</f>
        <v>2471842832</v>
      </c>
      <c r="K9" s="13"/>
      <c r="L9" s="71"/>
      <c r="N9" s="76"/>
      <c r="O9" s="75"/>
      <c r="P9" s="72"/>
    </row>
    <row r="10" spans="2:16" x14ac:dyDescent="0.35">
      <c r="B10" s="79" t="s">
        <v>12</v>
      </c>
      <c r="C10" s="28">
        <f>'PEIPL ins calc.'!$F$11+'PEIPL ins calc.'!$F$14</f>
        <v>3727612915</v>
      </c>
      <c r="D10" s="28">
        <f>'PEIPL ins calc.'!$F$11+'PEIPL ins calc.'!$F$14</f>
        <v>3727612915</v>
      </c>
      <c r="E10" s="28">
        <f>'PEIPL ins calc.'!$F$11+'PEIPL ins calc.'!$F$14</f>
        <v>3727612915</v>
      </c>
      <c r="F10" s="28">
        <f>'PEIPL ins calc.'!$F$12+'PEIPL ins calc.'!$F$14</f>
        <v>4467612915</v>
      </c>
      <c r="G10" s="28">
        <f>'PEIPL ins calc.'!$F$12+'PEIPL ins calc.'!$F$14</f>
        <v>4467612915</v>
      </c>
      <c r="H10" s="28">
        <f>'PEIPL ins calc.'!$F$12+'PEIPL ins calc.'!$F$14</f>
        <v>4467612915</v>
      </c>
      <c r="I10" s="28">
        <f>'PEIPL ins calc.'!$F$12+'PEIPL ins calc.'!$F$15</f>
        <v>3400301394</v>
      </c>
      <c r="J10" s="28">
        <f>'PEIPL ins calc.'!$F$12+'PEIPL ins calc.'!$F$15</f>
        <v>3400301394</v>
      </c>
      <c r="K10" s="13"/>
      <c r="L10" s="78"/>
      <c r="N10" s="76"/>
      <c r="O10" s="75"/>
      <c r="P10" s="72"/>
    </row>
    <row r="11" spans="2:16" x14ac:dyDescent="0.35">
      <c r="B11" s="33" t="s">
        <v>15</v>
      </c>
      <c r="C11" s="29">
        <f>C10-C9</f>
        <v>1398038778</v>
      </c>
      <c r="D11" s="29">
        <f t="shared" ref="D11:F11" si="3">D10-D9</f>
        <v>1734829630</v>
      </c>
      <c r="E11" s="29">
        <f t="shared" si="3"/>
        <v>2181078646</v>
      </c>
      <c r="F11" s="29">
        <f t="shared" si="3"/>
        <v>2721827208</v>
      </c>
      <c r="G11" s="29">
        <f>G10-G9</f>
        <v>1982582012</v>
      </c>
      <c r="H11" s="29">
        <f>H10-H9</f>
        <v>2372453209</v>
      </c>
      <c r="I11" s="29">
        <f>I10-I9</f>
        <v>1187173283</v>
      </c>
      <c r="J11" s="29">
        <f>J10-J9</f>
        <v>928458562</v>
      </c>
      <c r="K11" s="13"/>
      <c r="L11" s="2"/>
    </row>
    <row r="12" spans="2:16" x14ac:dyDescent="0.35">
      <c r="B12" s="33" t="s">
        <v>14</v>
      </c>
      <c r="C12" s="80">
        <f>C11/C9</f>
        <v>0.60012633030017193</v>
      </c>
      <c r="D12" s="80">
        <f t="shared" ref="D12:F12" si="4">D11/D9</f>
        <v>0.87055609260592526</v>
      </c>
      <c r="E12" s="80">
        <f t="shared" si="4"/>
        <v>1.4103008835428528</v>
      </c>
      <c r="F12" s="80">
        <f t="shared" si="4"/>
        <v>1.5590843693394953</v>
      </c>
      <c r="G12" s="80">
        <f>G11/G9</f>
        <v>0.79780980172382188</v>
      </c>
      <c r="H12" s="80">
        <f>H11/H9</f>
        <v>1.1323495780325969</v>
      </c>
      <c r="I12" s="80">
        <f>I11/I9</f>
        <v>0.53642320889574568</v>
      </c>
      <c r="J12" s="80">
        <f>J11/J9</f>
        <v>0.37561391443677355</v>
      </c>
      <c r="K12" s="7"/>
    </row>
    <row r="13" spans="2:16" x14ac:dyDescent="0.35">
      <c r="B13" s="15" t="s">
        <v>76</v>
      </c>
      <c r="C13" s="6"/>
      <c r="D13" s="6"/>
      <c r="E13" s="6"/>
      <c r="F13" s="6"/>
      <c r="G13" s="6"/>
      <c r="H13" s="6"/>
      <c r="I13" s="5">
        <f>1027295469-'Stock In-transit'!I6</f>
        <v>676383869</v>
      </c>
      <c r="J13" s="5">
        <f>1324192719-'Stock In-transit'!J6</f>
        <v>510846203</v>
      </c>
      <c r="K13" s="13">
        <v>2500000000</v>
      </c>
      <c r="L13" s="2"/>
    </row>
    <row r="14" spans="2:16" x14ac:dyDescent="0.35">
      <c r="B14" s="33" t="s">
        <v>15</v>
      </c>
      <c r="C14" s="6"/>
      <c r="D14" s="6"/>
      <c r="E14" s="12">
        <f t="shared" ref="E14:J14" si="5">$K$13-E13</f>
        <v>2500000000</v>
      </c>
      <c r="F14" s="12">
        <f t="shared" si="5"/>
        <v>2500000000</v>
      </c>
      <c r="G14" s="12">
        <f t="shared" si="5"/>
        <v>2500000000</v>
      </c>
      <c r="H14" s="12">
        <f t="shared" si="5"/>
        <v>2500000000</v>
      </c>
      <c r="I14" s="12">
        <f t="shared" si="5"/>
        <v>1823616131</v>
      </c>
      <c r="J14" s="12">
        <f t="shared" si="5"/>
        <v>1989153797</v>
      </c>
      <c r="K14" s="7"/>
    </row>
    <row r="15" spans="2:16" ht="15" thickBot="1" x14ac:dyDescent="0.4">
      <c r="B15" s="34" t="s">
        <v>14</v>
      </c>
      <c r="C15" s="35"/>
      <c r="D15" s="35"/>
      <c r="E15" s="36" t="e">
        <f t="shared" ref="E15:H15" si="6">E14/E13</f>
        <v>#DIV/0!</v>
      </c>
      <c r="F15" s="36" t="e">
        <f t="shared" si="6"/>
        <v>#DIV/0!</v>
      </c>
      <c r="G15" s="36" t="e">
        <f t="shared" si="6"/>
        <v>#DIV/0!</v>
      </c>
      <c r="H15" s="36" t="e">
        <f t="shared" si="6"/>
        <v>#DIV/0!</v>
      </c>
      <c r="I15" s="36">
        <f>I14/I13</f>
        <v>2.6961259938030842</v>
      </c>
      <c r="J15" s="36">
        <f>J14/J13</f>
        <v>3.893840818074946</v>
      </c>
      <c r="K15" s="8"/>
    </row>
    <row r="17" spans="2:14" ht="15" thickBot="1" x14ac:dyDescent="0.4">
      <c r="E17" s="81" t="s">
        <v>74</v>
      </c>
    </row>
    <row r="18" spans="2:14" ht="15" thickBot="1" x14ac:dyDescent="0.4">
      <c r="B18" s="132" t="s">
        <v>16</v>
      </c>
      <c r="C18" s="134" t="s">
        <v>46</v>
      </c>
      <c r="D18" s="135"/>
      <c r="E18" s="136" t="s">
        <v>48</v>
      </c>
      <c r="F18" s="137"/>
      <c r="G18" s="137"/>
      <c r="H18" s="137"/>
      <c r="I18" s="138"/>
      <c r="J18" s="134" t="s">
        <v>47</v>
      </c>
      <c r="K18" s="137"/>
      <c r="L18" s="135"/>
      <c r="M18" s="139" t="s">
        <v>20</v>
      </c>
    </row>
    <row r="19" spans="2:14" s="11" customFormat="1" ht="44" thickBot="1" x14ac:dyDescent="0.4">
      <c r="B19" s="133"/>
      <c r="C19" s="99" t="s">
        <v>32</v>
      </c>
      <c r="D19" s="100" t="s">
        <v>31</v>
      </c>
      <c r="E19" s="101" t="s">
        <v>41</v>
      </c>
      <c r="F19" s="102" t="s">
        <v>42</v>
      </c>
      <c r="G19" s="102" t="s">
        <v>77</v>
      </c>
      <c r="H19" s="102" t="s">
        <v>30</v>
      </c>
      <c r="I19" s="103" t="s">
        <v>39</v>
      </c>
      <c r="J19" s="104" t="s">
        <v>22</v>
      </c>
      <c r="K19" s="105" t="s">
        <v>17</v>
      </c>
      <c r="L19" s="106" t="s">
        <v>19</v>
      </c>
      <c r="M19" s="140"/>
    </row>
    <row r="20" spans="2:14" x14ac:dyDescent="0.35">
      <c r="B20" s="83" t="s">
        <v>0</v>
      </c>
      <c r="C20" s="94" t="s">
        <v>33</v>
      </c>
      <c r="D20" s="95" t="s">
        <v>34</v>
      </c>
      <c r="E20" s="96" t="s">
        <v>40</v>
      </c>
      <c r="F20" s="21">
        <v>0</v>
      </c>
      <c r="G20" s="113">
        <f>AVERAGE($C$5,$D$5,$E$5,$F$5,$G$5,$H$5,$I$5)</f>
        <v>2.863256710552696</v>
      </c>
      <c r="H20" s="97">
        <f>AVERAGE($C$4,$D$4,$E$4,$F$4,$G$4,$H$4,$I$4)</f>
        <v>479102856.14285713</v>
      </c>
      <c r="I20" s="98">
        <v>7</v>
      </c>
      <c r="J20" s="91">
        <v>1090083894</v>
      </c>
      <c r="K20" s="22">
        <v>1544719</v>
      </c>
      <c r="L20" s="59">
        <f>(K20/J20*1000)*7/12</f>
        <v>0.82662085761752702</v>
      </c>
      <c r="M20" s="107">
        <f>H20*L20/1000</f>
        <v>396036.41383181524</v>
      </c>
    </row>
    <row r="21" spans="2:14" x14ac:dyDescent="0.35">
      <c r="B21" s="84" t="s">
        <v>1</v>
      </c>
      <c r="C21" s="58" t="s">
        <v>35</v>
      </c>
      <c r="D21" s="61" t="s">
        <v>36</v>
      </c>
      <c r="E21" s="110">
        <f>D7</f>
        <v>-1012957681</v>
      </c>
      <c r="F21" s="112">
        <v>1</v>
      </c>
      <c r="G21" s="32">
        <f>AVERAGE($E$8,$F$8)</f>
        <v>0.13277898729138621</v>
      </c>
      <c r="H21" s="62">
        <f>AVERAGE($E$7,$F$7)</f>
        <v>721500592</v>
      </c>
      <c r="I21" s="82">
        <v>2</v>
      </c>
      <c r="J21" s="92">
        <v>10326800000</v>
      </c>
      <c r="K21" s="5">
        <v>10300000</v>
      </c>
      <c r="L21" s="60">
        <f>(K21/J21*1000)*1/12</f>
        <v>8.3117067565299366E-2</v>
      </c>
      <c r="M21" s="89">
        <f>H21*L21/1000</f>
        <v>59969.013453667489</v>
      </c>
    </row>
    <row r="22" spans="2:14" x14ac:dyDescent="0.35">
      <c r="B22" s="85" t="s">
        <v>37</v>
      </c>
      <c r="C22" s="58" t="s">
        <v>43</v>
      </c>
      <c r="D22" s="61" t="s">
        <v>38</v>
      </c>
      <c r="E22" s="110"/>
      <c r="F22" s="112"/>
      <c r="G22" s="114">
        <f>AVERAGE($G$8,$H$8,$I$8,$J$8)</f>
        <v>0.12656117668230815</v>
      </c>
      <c r="H22" s="63">
        <f>AVERAGE($G$7,$H$7,$I$7,$J$7)</f>
        <v>726939715.75</v>
      </c>
      <c r="I22" s="82">
        <v>4</v>
      </c>
      <c r="J22" s="92">
        <v>1654884936</v>
      </c>
      <c r="K22" s="5">
        <v>904981</v>
      </c>
      <c r="L22" s="60">
        <f>(K22/J22*1000)*1/12</f>
        <v>4.5571194524024194E-2</v>
      </c>
      <c r="M22" s="89">
        <f>H22*L22/1000</f>
        <v>33127.511193682105</v>
      </c>
    </row>
    <row r="23" spans="2:14" x14ac:dyDescent="0.35">
      <c r="B23" s="86" t="s">
        <v>2</v>
      </c>
      <c r="C23" s="141" t="s">
        <v>73</v>
      </c>
      <c r="D23" s="142"/>
      <c r="E23" s="74"/>
      <c r="F23" s="6"/>
      <c r="G23" s="32">
        <f>AVERAGE($C$12:$J$12)</f>
        <v>0.91028302235967307</v>
      </c>
      <c r="H23" s="62">
        <f>AVERAGE($C$11:$J$11)</f>
        <v>1813305166</v>
      </c>
      <c r="I23" s="82">
        <v>8</v>
      </c>
      <c r="J23" s="143" t="s">
        <v>71</v>
      </c>
      <c r="K23" s="144"/>
      <c r="L23" s="61">
        <f>(1.092199218)*8/12</f>
        <v>0.72813281200000002</v>
      </c>
      <c r="M23" s="89">
        <f>H23*L23/1000</f>
        <v>1320326.9895337068</v>
      </c>
      <c r="N23" t="s">
        <v>72</v>
      </c>
    </row>
    <row r="24" spans="2:14" ht="15" thickBot="1" x14ac:dyDescent="0.4">
      <c r="B24" s="86" t="s">
        <v>3</v>
      </c>
      <c r="C24" s="67" t="s">
        <v>44</v>
      </c>
      <c r="D24" s="61" t="s">
        <v>45</v>
      </c>
      <c r="E24" s="57" t="s">
        <v>40</v>
      </c>
      <c r="F24" s="6">
        <v>0</v>
      </c>
      <c r="G24" s="32">
        <f>AVERAGE($I$15:$J$15)</f>
        <v>3.2949834059390151</v>
      </c>
      <c r="H24" s="12">
        <f>AVERAGE($E$14:$J$14)</f>
        <v>2302128321.3333335</v>
      </c>
      <c r="I24" s="82">
        <v>6</v>
      </c>
      <c r="J24" s="92">
        <v>3943212387</v>
      </c>
      <c r="K24" s="5">
        <v>2358364</v>
      </c>
      <c r="L24" s="60">
        <f>(K24/J24*1000)*6/12</f>
        <v>0.29904095551320858</v>
      </c>
      <c r="M24" s="90">
        <f>H24*L24/1000</f>
        <v>688430.65292553895</v>
      </c>
    </row>
    <row r="25" spans="2:14" ht="15" thickBot="1" x14ac:dyDescent="0.4">
      <c r="B25" s="87" t="s">
        <v>26</v>
      </c>
      <c r="C25" s="68"/>
      <c r="D25" s="65"/>
      <c r="E25" s="66">
        <f>SUM(E20:E24)</f>
        <v>-1012957681</v>
      </c>
      <c r="F25" s="64"/>
      <c r="G25" s="64"/>
      <c r="H25" s="64"/>
      <c r="I25" s="88"/>
      <c r="J25" s="68"/>
      <c r="K25" s="64"/>
      <c r="L25" s="65"/>
      <c r="M25" s="93">
        <f>SUM(M20:M24)</f>
        <v>2497890.5809384105</v>
      </c>
    </row>
    <row r="26" spans="2:14" x14ac:dyDescent="0.35">
      <c r="D26" s="4"/>
      <c r="G26" s="115"/>
    </row>
    <row r="27" spans="2:14" x14ac:dyDescent="0.35">
      <c r="D27" s="2"/>
    </row>
    <row r="28" spans="2:14" x14ac:dyDescent="0.35">
      <c r="C28" s="73" t="s">
        <v>51</v>
      </c>
    </row>
  </sheetData>
  <mergeCells count="7">
    <mergeCell ref="M18:M19"/>
    <mergeCell ref="C23:D23"/>
    <mergeCell ref="J23:K23"/>
    <mergeCell ref="B18:B19"/>
    <mergeCell ref="C18:D18"/>
    <mergeCell ref="E18:I18"/>
    <mergeCell ref="J18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C26BF-548B-4C76-8387-87B857E168B7}">
  <dimension ref="B1:L27"/>
  <sheetViews>
    <sheetView showGridLines="0" topLeftCell="D1" workbookViewId="0">
      <selection activeCell="C23" sqref="C23"/>
    </sheetView>
  </sheetViews>
  <sheetFormatPr defaultRowHeight="14.5" x14ac:dyDescent="0.35"/>
  <cols>
    <col min="2" max="2" width="25.1796875" bestFit="1" customWidth="1"/>
    <col min="3" max="3" width="19.08984375" bestFit="1" customWidth="1"/>
    <col min="4" max="4" width="25.81640625" bestFit="1" customWidth="1"/>
    <col min="5" max="5" width="17.453125" bestFit="1" customWidth="1"/>
    <col min="6" max="6" width="18.81640625" bestFit="1" customWidth="1"/>
    <col min="7" max="7" width="16.36328125" bestFit="1" customWidth="1"/>
    <col min="8" max="8" width="18.81640625" bestFit="1" customWidth="1"/>
    <col min="9" max="10" width="16.36328125" bestFit="1" customWidth="1"/>
    <col min="11" max="11" width="21.08984375" bestFit="1" customWidth="1"/>
    <col min="12" max="12" width="21.08984375" customWidth="1"/>
    <col min="13" max="13" width="22.81640625" customWidth="1"/>
    <col min="14" max="14" width="19.90625" bestFit="1" customWidth="1"/>
    <col min="15" max="15" width="12.54296875" bestFit="1" customWidth="1"/>
    <col min="16" max="16" width="12.08984375" bestFit="1" customWidth="1"/>
    <col min="17" max="17" width="18.81640625" bestFit="1" customWidth="1"/>
  </cols>
  <sheetData>
    <row r="1" spans="2:12" ht="15" thickBot="1" x14ac:dyDescent="0.4"/>
    <row r="2" spans="2:12" ht="15" thickBot="1" x14ac:dyDescent="0.4">
      <c r="B2" s="39" t="s">
        <v>27</v>
      </c>
      <c r="C2" s="39" t="s">
        <v>4</v>
      </c>
      <c r="D2" s="39" t="s">
        <v>5</v>
      </c>
      <c r="E2" s="39" t="s">
        <v>6</v>
      </c>
      <c r="F2" s="39" t="s">
        <v>7</v>
      </c>
      <c r="G2" s="39" t="s">
        <v>8</v>
      </c>
      <c r="H2" s="39" t="s">
        <v>9</v>
      </c>
      <c r="I2" s="39" t="s">
        <v>10</v>
      </c>
      <c r="J2" s="39" t="s">
        <v>11</v>
      </c>
      <c r="K2" s="40" t="s">
        <v>12</v>
      </c>
      <c r="L2" s="1"/>
    </row>
    <row r="3" spans="2:12" x14ac:dyDescent="0.35">
      <c r="B3" s="37" t="s">
        <v>0</v>
      </c>
      <c r="C3" s="42">
        <f>1197*100000</f>
        <v>119700000</v>
      </c>
      <c r="D3" s="38">
        <v>333381387</v>
      </c>
      <c r="E3" s="38">
        <v>333381387</v>
      </c>
      <c r="F3" s="38">
        <v>137436901</v>
      </c>
      <c r="G3" s="38">
        <v>153154666</v>
      </c>
      <c r="H3" s="38">
        <v>133460189</v>
      </c>
      <c r="I3" s="38">
        <v>333231225</v>
      </c>
      <c r="J3" s="41" t="s">
        <v>13</v>
      </c>
      <c r="K3" s="24">
        <v>699637964</v>
      </c>
      <c r="L3" s="2"/>
    </row>
    <row r="4" spans="2:12" x14ac:dyDescent="0.35">
      <c r="B4" s="33" t="s">
        <v>15</v>
      </c>
      <c r="C4" s="29">
        <f>$K$3-C3</f>
        <v>579937964</v>
      </c>
      <c r="D4" s="29">
        <f>$K$3-D3</f>
        <v>366256577</v>
      </c>
      <c r="E4" s="29">
        <f t="shared" ref="E4:I4" si="0">$K$3-E3</f>
        <v>366256577</v>
      </c>
      <c r="F4" s="29">
        <f t="shared" si="0"/>
        <v>562201063</v>
      </c>
      <c r="G4" s="29">
        <f t="shared" si="0"/>
        <v>546483298</v>
      </c>
      <c r="H4" s="29">
        <f t="shared" si="0"/>
        <v>566177775</v>
      </c>
      <c r="I4" s="29">
        <f t="shared" si="0"/>
        <v>366406739</v>
      </c>
      <c r="J4" s="27"/>
      <c r="K4" s="14"/>
      <c r="L4" s="3"/>
    </row>
    <row r="5" spans="2:12" x14ac:dyDescent="0.35">
      <c r="B5" s="33" t="s">
        <v>14</v>
      </c>
      <c r="C5" s="30">
        <f>C4/C3</f>
        <v>4.8449286883876361</v>
      </c>
      <c r="D5" s="30">
        <f>D4/D3</f>
        <v>1.0986113540885831</v>
      </c>
      <c r="E5" s="30">
        <f t="shared" ref="E5:I5" si="1">E4/E3</f>
        <v>1.0986113540885831</v>
      </c>
      <c r="F5" s="30">
        <f t="shared" si="1"/>
        <v>4.0906121930092123</v>
      </c>
      <c r="G5" s="30">
        <f t="shared" si="1"/>
        <v>3.5681792287020495</v>
      </c>
      <c r="H5" s="30">
        <f t="shared" si="1"/>
        <v>4.2422971167828933</v>
      </c>
      <c r="I5" s="30">
        <f t="shared" si="1"/>
        <v>1.0995570388099134</v>
      </c>
      <c r="J5" s="27"/>
      <c r="K5" s="7"/>
    </row>
    <row r="6" spans="2:12" x14ac:dyDescent="0.35">
      <c r="B6" s="15" t="s">
        <v>1</v>
      </c>
      <c r="C6" s="45">
        <v>7422285920</v>
      </c>
      <c r="D6" s="28">
        <v>7918616594</v>
      </c>
      <c r="E6" s="43">
        <v>5899511141</v>
      </c>
      <c r="F6" s="28">
        <v>6595402775</v>
      </c>
      <c r="G6" s="28">
        <v>6185660558</v>
      </c>
      <c r="H6" s="28">
        <v>7467217209</v>
      </c>
      <c r="I6" s="29">
        <v>7388383397</v>
      </c>
      <c r="J6" s="29">
        <v>7624833335</v>
      </c>
      <c r="K6" s="13">
        <v>6678952131</v>
      </c>
      <c r="L6" s="2"/>
    </row>
    <row r="7" spans="2:12" x14ac:dyDescent="0.35">
      <c r="B7" s="33" t="s">
        <v>15</v>
      </c>
      <c r="C7" s="46">
        <f t="shared" ref="C7:J7" si="2">$K$6-C6</f>
        <v>-743333789</v>
      </c>
      <c r="D7" s="29">
        <f t="shared" si="2"/>
        <v>-1239664463</v>
      </c>
      <c r="E7" s="29">
        <f t="shared" si="2"/>
        <v>779440990</v>
      </c>
      <c r="F7" s="29">
        <f t="shared" si="2"/>
        <v>83549356</v>
      </c>
      <c r="G7" s="29">
        <f t="shared" si="2"/>
        <v>493291573</v>
      </c>
      <c r="H7" s="29">
        <f t="shared" si="2"/>
        <v>-788265078</v>
      </c>
      <c r="I7" s="29">
        <f t="shared" si="2"/>
        <v>-709431266</v>
      </c>
      <c r="J7" s="29">
        <f t="shared" si="2"/>
        <v>-945881204</v>
      </c>
      <c r="K7" s="7"/>
    </row>
    <row r="8" spans="2:12" x14ac:dyDescent="0.35">
      <c r="B8" s="33" t="s">
        <v>14</v>
      </c>
      <c r="C8" s="31">
        <f t="shared" ref="C8:J8" si="3">C7/C6</f>
        <v>-0.10014890250953846</v>
      </c>
      <c r="D8" s="31">
        <f t="shared" si="3"/>
        <v>-0.15655063586981896</v>
      </c>
      <c r="E8" s="44">
        <f t="shared" si="3"/>
        <v>0.13211958946616725</v>
      </c>
      <c r="F8" s="30">
        <f t="shared" si="3"/>
        <v>1.2667817091731749E-2</v>
      </c>
      <c r="G8" s="30">
        <f t="shared" si="3"/>
        <v>7.9747598235409028E-2</v>
      </c>
      <c r="H8" s="31">
        <f t="shared" si="3"/>
        <v>-0.10556343225826204</v>
      </c>
      <c r="I8" s="31">
        <f t="shared" si="3"/>
        <v>-9.6019822995116827E-2</v>
      </c>
      <c r="J8" s="31">
        <f t="shared" si="3"/>
        <v>-0.12405270547464366</v>
      </c>
      <c r="K8" s="7"/>
    </row>
    <row r="9" spans="2:12" x14ac:dyDescent="0.35">
      <c r="B9" s="15" t="s">
        <v>2</v>
      </c>
      <c r="C9" s="28">
        <v>2553661569</v>
      </c>
      <c r="D9" s="28">
        <v>2459986857</v>
      </c>
      <c r="E9" s="28">
        <v>2402094309</v>
      </c>
      <c r="F9" s="28">
        <v>2607889588</v>
      </c>
      <c r="G9" s="28">
        <v>3306820193</v>
      </c>
      <c r="H9" s="28">
        <v>2659890206</v>
      </c>
      <c r="I9" s="28">
        <v>2620277825</v>
      </c>
      <c r="J9" s="29">
        <v>2851324642</v>
      </c>
      <c r="K9" s="13">
        <f>2962773591</f>
        <v>2962773591</v>
      </c>
      <c r="L9" s="2"/>
    </row>
    <row r="10" spans="2:12" x14ac:dyDescent="0.35">
      <c r="B10" s="33" t="s">
        <v>15</v>
      </c>
      <c r="C10" s="29">
        <f>$K$9-C9</f>
        <v>409112022</v>
      </c>
      <c r="D10" s="29">
        <f t="shared" ref="D10:J10" si="4">$K$9-D9</f>
        <v>502786734</v>
      </c>
      <c r="E10" s="29">
        <f t="shared" si="4"/>
        <v>560679282</v>
      </c>
      <c r="F10" s="29">
        <f t="shared" si="4"/>
        <v>354884003</v>
      </c>
      <c r="G10" s="29">
        <f t="shared" si="4"/>
        <v>-344046602</v>
      </c>
      <c r="H10" s="29">
        <f t="shared" si="4"/>
        <v>302883385</v>
      </c>
      <c r="I10" s="29">
        <f t="shared" si="4"/>
        <v>342495766</v>
      </c>
      <c r="J10" s="29">
        <f t="shared" si="4"/>
        <v>111448949</v>
      </c>
      <c r="K10" s="13"/>
      <c r="L10" s="2"/>
    </row>
    <row r="11" spans="2:12" x14ac:dyDescent="0.35">
      <c r="B11" s="33" t="s">
        <v>14</v>
      </c>
      <c r="C11" s="32">
        <f>C10/C9</f>
        <v>0.16020604568999566</v>
      </c>
      <c r="D11" s="32">
        <f t="shared" ref="D11:J11" si="5">D10/D9</f>
        <v>0.20438594318880135</v>
      </c>
      <c r="E11" s="32">
        <f t="shared" si="5"/>
        <v>0.23341268488055852</v>
      </c>
      <c r="F11" s="32">
        <f t="shared" si="5"/>
        <v>0.13608091563115671</v>
      </c>
      <c r="G11" s="47">
        <f t="shared" si="5"/>
        <v>-0.10404152083269923</v>
      </c>
      <c r="H11" s="32">
        <f t="shared" si="5"/>
        <v>0.11387063432797948</v>
      </c>
      <c r="I11" s="32">
        <f t="shared" si="5"/>
        <v>0.13070971434107373</v>
      </c>
      <c r="J11" s="32">
        <f t="shared" si="5"/>
        <v>3.9086727396227511E-2</v>
      </c>
      <c r="K11" s="7"/>
    </row>
    <row r="12" spans="2:12" x14ac:dyDescent="0.35">
      <c r="B12" s="33" t="s">
        <v>28</v>
      </c>
      <c r="C12" s="32"/>
      <c r="D12" s="32"/>
      <c r="E12" s="32"/>
      <c r="F12" s="32"/>
      <c r="G12" s="32"/>
      <c r="H12" s="32"/>
      <c r="I12" s="32"/>
      <c r="J12" s="32"/>
      <c r="K12" s="7"/>
    </row>
    <row r="13" spans="2:12" x14ac:dyDescent="0.35">
      <c r="B13" s="33" t="s">
        <v>29</v>
      </c>
      <c r="C13" s="32"/>
      <c r="D13" s="32"/>
      <c r="E13" s="32"/>
      <c r="F13" s="32"/>
      <c r="G13" s="32"/>
      <c r="H13" s="32"/>
      <c r="I13" s="32"/>
      <c r="J13" s="32"/>
      <c r="K13" s="7"/>
    </row>
    <row r="14" spans="2:12" x14ac:dyDescent="0.35">
      <c r="B14" s="15" t="s">
        <v>3</v>
      </c>
      <c r="C14" s="6"/>
      <c r="D14" s="6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5">
        <v>1324192719</v>
      </c>
      <c r="K14" s="13">
        <v>2500000000</v>
      </c>
      <c r="L14" s="2"/>
    </row>
    <row r="15" spans="2:12" x14ac:dyDescent="0.35">
      <c r="B15" s="33" t="s">
        <v>15</v>
      </c>
      <c r="C15" s="6"/>
      <c r="D15" s="6"/>
      <c r="E15" s="12">
        <f t="shared" ref="E15:I15" si="6">$K$14-E14</f>
        <v>2500000000</v>
      </c>
      <c r="F15" s="12">
        <f t="shared" si="6"/>
        <v>2500000000</v>
      </c>
      <c r="G15" s="12">
        <f t="shared" si="6"/>
        <v>2500000000</v>
      </c>
      <c r="H15" s="12">
        <f t="shared" si="6"/>
        <v>2500000000</v>
      </c>
      <c r="I15" s="12">
        <f t="shared" si="6"/>
        <v>2500000000</v>
      </c>
      <c r="J15" s="12">
        <f>$K$14-J14</f>
        <v>1175807281</v>
      </c>
      <c r="K15" s="7"/>
    </row>
    <row r="16" spans="2:12" ht="15" thickBot="1" x14ac:dyDescent="0.4">
      <c r="B16" s="34" t="s">
        <v>14</v>
      </c>
      <c r="C16" s="35"/>
      <c r="D16" s="35"/>
      <c r="E16" s="35"/>
      <c r="F16" s="35"/>
      <c r="G16" s="35"/>
      <c r="H16" s="35"/>
      <c r="I16" s="35"/>
      <c r="J16" s="36">
        <f>J15/J14</f>
        <v>0.88794271719598539</v>
      </c>
      <c r="K16" s="8"/>
    </row>
    <row r="18" spans="2:12" ht="15" thickBot="1" x14ac:dyDescent="0.4"/>
    <row r="19" spans="2:12" s="11" customFormat="1" ht="29.5" thickBot="1" x14ac:dyDescent="0.4">
      <c r="B19" s="25" t="s">
        <v>16</v>
      </c>
      <c r="C19" s="11" t="s">
        <v>32</v>
      </c>
      <c r="D19" s="11" t="s">
        <v>31</v>
      </c>
      <c r="E19" s="48" t="s">
        <v>21</v>
      </c>
      <c r="F19" s="52" t="s">
        <v>30</v>
      </c>
      <c r="G19" s="49" t="s">
        <v>18</v>
      </c>
      <c r="H19" s="26" t="s">
        <v>22</v>
      </c>
      <c r="I19" s="50" t="s">
        <v>17</v>
      </c>
      <c r="J19" s="50" t="s">
        <v>19</v>
      </c>
      <c r="K19" s="51" t="s">
        <v>20</v>
      </c>
    </row>
    <row r="20" spans="2:12" x14ac:dyDescent="0.35">
      <c r="B20" s="9" t="s">
        <v>0</v>
      </c>
      <c r="C20" s="55" t="s">
        <v>33</v>
      </c>
      <c r="D20" t="s">
        <v>34</v>
      </c>
      <c r="E20" s="21"/>
      <c r="F20" s="53">
        <v>462297005</v>
      </c>
      <c r="G20" s="22">
        <f>D4+E4+F4+G4+H4+I4</f>
        <v>2773782029</v>
      </c>
      <c r="H20" s="22">
        <v>1090083894</v>
      </c>
      <c r="I20" s="22">
        <v>1544719</v>
      </c>
      <c r="J20" s="23">
        <f>I20/H20*1000</f>
        <v>1.417064327344332</v>
      </c>
      <c r="K20" s="24">
        <f>G20*J20/1000</f>
        <v>3930627.5651246817</v>
      </c>
      <c r="L20" s="3">
        <f t="shared" ref="L20:L24" si="7">F20*J20/1000</f>
        <v>655104.59442362422</v>
      </c>
    </row>
    <row r="21" spans="2:12" x14ac:dyDescent="0.35">
      <c r="B21" s="10" t="s">
        <v>1</v>
      </c>
      <c r="C21" t="s">
        <v>35</v>
      </c>
      <c r="D21" t="s">
        <v>36</v>
      </c>
      <c r="E21" s="12">
        <f>C7+D7+H7</f>
        <v>-2771263330</v>
      </c>
      <c r="F21" s="53"/>
      <c r="G21" s="12">
        <f>F7+G7</f>
        <v>576840929</v>
      </c>
      <c r="H21" s="56">
        <v>10326800000</v>
      </c>
      <c r="I21">
        <v>10300000</v>
      </c>
      <c r="J21" s="6">
        <f>I21/H21*1000</f>
        <v>0.99740481078359233</v>
      </c>
      <c r="K21" s="14">
        <f>G21*J21/1000</f>
        <v>575343.91764147661</v>
      </c>
      <c r="L21" s="3">
        <f t="shared" si="7"/>
        <v>0</v>
      </c>
    </row>
    <row r="22" spans="2:12" x14ac:dyDescent="0.35">
      <c r="B22" s="10" t="s">
        <v>37</v>
      </c>
      <c r="D22" t="s">
        <v>38</v>
      </c>
      <c r="E22" s="12"/>
      <c r="F22" s="53"/>
      <c r="G22" s="12">
        <f>F8+G8</f>
        <v>9.2415415327140774E-2</v>
      </c>
      <c r="H22" s="56">
        <v>1654884936</v>
      </c>
      <c r="I22">
        <v>904981</v>
      </c>
      <c r="J22" s="6"/>
      <c r="K22" s="14"/>
      <c r="L22" s="3"/>
    </row>
    <row r="23" spans="2:12" x14ac:dyDescent="0.35">
      <c r="B23" s="15" t="s">
        <v>2</v>
      </c>
      <c r="E23" s="6"/>
      <c r="F23" s="53">
        <v>369184306</v>
      </c>
      <c r="G23" s="12">
        <f>C10+D10+E10+F10+G10+H10+I10</f>
        <v>2128794590</v>
      </c>
      <c r="H23" s="5"/>
      <c r="I23" s="5"/>
      <c r="J23" s="6">
        <v>1.185614717</v>
      </c>
      <c r="K23" s="14">
        <f>G23*J23/1000</f>
        <v>2523930.1953739808</v>
      </c>
      <c r="L23" s="3">
        <f t="shared" si="7"/>
        <v>437710.34647903137</v>
      </c>
    </row>
    <row r="24" spans="2:12" x14ac:dyDescent="0.35">
      <c r="B24" s="15" t="s">
        <v>3</v>
      </c>
      <c r="E24" s="6"/>
      <c r="F24" s="53">
        <v>2279301214</v>
      </c>
      <c r="G24" s="12">
        <f>J15+I15+H15+G15+F15+E15</f>
        <v>13675807281</v>
      </c>
      <c r="H24" s="5">
        <v>3943212387</v>
      </c>
      <c r="I24" s="5">
        <v>2358364</v>
      </c>
      <c r="J24" s="6">
        <f>I24/H24*1000</f>
        <v>0.59808191102641717</v>
      </c>
      <c r="K24" s="16">
        <f>G24*J24/1000</f>
        <v>8179252.9534494709</v>
      </c>
      <c r="L24" s="3">
        <f t="shared" si="7"/>
        <v>1363208.8258739526</v>
      </c>
    </row>
    <row r="25" spans="2:12" ht="15" thickBot="1" x14ac:dyDescent="0.4">
      <c r="B25" s="17" t="s">
        <v>26</v>
      </c>
      <c r="E25" s="18">
        <f>SUM(E20:E24)</f>
        <v>-2771263330</v>
      </c>
      <c r="G25" s="18">
        <f>SUM(G20:G24)</f>
        <v>19155224829.092415</v>
      </c>
      <c r="H25" s="19"/>
      <c r="I25" s="19"/>
      <c r="J25" s="19"/>
      <c r="K25" s="20">
        <f>SUM(K20:K24)</f>
        <v>15209154.63158961</v>
      </c>
      <c r="L25" s="54">
        <f>SUM(L20:L24)</f>
        <v>2456023.7667766083</v>
      </c>
    </row>
    <row r="26" spans="2:12" x14ac:dyDescent="0.35">
      <c r="D26" s="4"/>
    </row>
    <row r="27" spans="2:12" x14ac:dyDescent="0.35">
      <c r="D27" s="2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05F1-5C86-4351-A25D-08A9CB685D58}">
  <dimension ref="A1"/>
  <sheetViews>
    <sheetView topLeftCell="A12" zoomScale="93" workbookViewId="0">
      <selection activeCell="O5" sqref="O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4C8A-A1DF-4F7A-99DF-BD253344A78F}">
  <dimension ref="A1"/>
  <sheetViews>
    <sheetView workbookViewId="0">
      <selection activeCell="L4" sqref="L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637B-6387-4DE3-8D7F-1687222337CB}">
  <dimension ref="A17:AE27"/>
  <sheetViews>
    <sheetView topLeftCell="L3" zoomScale="123" workbookViewId="0">
      <selection activeCell="D27" sqref="D27"/>
    </sheetView>
  </sheetViews>
  <sheetFormatPr defaultRowHeight="14.5" x14ac:dyDescent="0.35"/>
  <cols>
    <col min="2" max="2" width="11.90625" bestFit="1" customWidth="1"/>
    <col min="3" max="3" width="11.1796875" bestFit="1" customWidth="1"/>
    <col min="4" max="4" width="11.7265625" bestFit="1" customWidth="1"/>
    <col min="31" max="31" width="16.54296875" bestFit="1" customWidth="1"/>
  </cols>
  <sheetData>
    <row r="17" spans="1:31" x14ac:dyDescent="0.35">
      <c r="AE17" s="2"/>
    </row>
    <row r="21" spans="1:31" x14ac:dyDescent="0.35">
      <c r="A21" t="s">
        <v>25</v>
      </c>
      <c r="B21" t="s">
        <v>17</v>
      </c>
      <c r="C21" t="s">
        <v>23</v>
      </c>
      <c r="D21" t="s">
        <v>19</v>
      </c>
    </row>
    <row r="22" spans="1:31" x14ac:dyDescent="0.35">
      <c r="A22">
        <v>1</v>
      </c>
      <c r="B22">
        <v>3889990</v>
      </c>
      <c r="C22">
        <v>3757637410</v>
      </c>
      <c r="D22">
        <f>B22/C22*1000</f>
        <v>1.0352222887838451</v>
      </c>
    </row>
    <row r="23" spans="1:31" x14ac:dyDescent="0.35">
      <c r="A23">
        <v>2</v>
      </c>
      <c r="B23">
        <v>3889990</v>
      </c>
      <c r="C23">
        <v>3676700000</v>
      </c>
      <c r="D23">
        <f t="shared" ref="D23:D25" si="0">B23/C23*1000</f>
        <v>1.0580112600973699</v>
      </c>
    </row>
    <row r="24" spans="1:31" x14ac:dyDescent="0.35">
      <c r="A24">
        <v>3</v>
      </c>
      <c r="B24">
        <v>3889990</v>
      </c>
      <c r="C24">
        <v>2936700000</v>
      </c>
      <c r="D24">
        <f t="shared" si="0"/>
        <v>1.3246126604692341</v>
      </c>
    </row>
    <row r="25" spans="1:31" x14ac:dyDescent="0.35">
      <c r="A25">
        <v>4</v>
      </c>
      <c r="B25">
        <v>3889990</v>
      </c>
      <c r="C25">
        <v>2936700000</v>
      </c>
      <c r="D25">
        <f t="shared" si="0"/>
        <v>1.3246126604692341</v>
      </c>
    </row>
    <row r="27" spans="1:31" x14ac:dyDescent="0.35">
      <c r="C27" t="s">
        <v>24</v>
      </c>
      <c r="D27">
        <v>1.185614717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DF6CD-4830-4CB4-943E-292DE9DA3DA3}">
  <dimension ref="C1:I15"/>
  <sheetViews>
    <sheetView topLeftCell="B1" workbookViewId="0">
      <selection activeCell="C1" sqref="C1"/>
    </sheetView>
  </sheetViews>
  <sheetFormatPr defaultRowHeight="14.5" x14ac:dyDescent="0.35"/>
  <cols>
    <col min="5" max="5" width="20.7265625" bestFit="1" customWidth="1"/>
    <col min="6" max="6" width="20.7265625" customWidth="1"/>
    <col min="7" max="7" width="16.36328125" bestFit="1" customWidth="1"/>
    <col min="8" max="8" width="12.7265625" bestFit="1" customWidth="1"/>
    <col min="9" max="9" width="13.81640625" bestFit="1" customWidth="1"/>
  </cols>
  <sheetData>
    <row r="1" spans="3:9" x14ac:dyDescent="0.35">
      <c r="C1" t="s">
        <v>2</v>
      </c>
      <c r="D1" t="s">
        <v>32</v>
      </c>
      <c r="E1" t="s">
        <v>55</v>
      </c>
      <c r="F1" t="s">
        <v>57</v>
      </c>
      <c r="G1" t="s">
        <v>23</v>
      </c>
      <c r="H1" t="s">
        <v>54</v>
      </c>
    </row>
    <row r="2" spans="3:9" x14ac:dyDescent="0.35">
      <c r="C2" s="145" t="s">
        <v>53</v>
      </c>
      <c r="E2" t="s">
        <v>56</v>
      </c>
      <c r="F2" s="2">
        <v>1000000000</v>
      </c>
      <c r="G2" s="2">
        <v>2936700000</v>
      </c>
      <c r="H2" s="2">
        <v>3889990</v>
      </c>
      <c r="I2">
        <f>H2/G2*1000</f>
        <v>1.3246126604692341</v>
      </c>
    </row>
    <row r="3" spans="3:9" x14ac:dyDescent="0.35">
      <c r="C3" s="145"/>
      <c r="D3" t="s">
        <v>58</v>
      </c>
      <c r="E3" t="s">
        <v>59</v>
      </c>
      <c r="F3" s="2">
        <v>2222773591</v>
      </c>
      <c r="G3" s="2">
        <f>3964127027-G2</f>
        <v>1027427027</v>
      </c>
      <c r="H3" s="2">
        <v>1073881</v>
      </c>
      <c r="I3">
        <f t="shared" ref="I3:I8" si="0">H3/G3*1000</f>
        <v>1.0452138904070312</v>
      </c>
    </row>
    <row r="4" spans="3:9" x14ac:dyDescent="0.35">
      <c r="C4" s="145"/>
      <c r="D4" t="s">
        <v>58</v>
      </c>
      <c r="E4" t="s">
        <v>60</v>
      </c>
      <c r="F4" s="3">
        <f>F3+740000000</f>
        <v>2962773591</v>
      </c>
      <c r="G4" s="2">
        <v>740000000</v>
      </c>
      <c r="H4" s="2">
        <v>528673</v>
      </c>
      <c r="I4">
        <f t="shared" si="0"/>
        <v>0.71442297297297297</v>
      </c>
    </row>
    <row r="5" spans="3:9" x14ac:dyDescent="0.35">
      <c r="C5" s="145"/>
      <c r="E5" t="s">
        <v>61</v>
      </c>
      <c r="F5" s="3">
        <v>2962773591</v>
      </c>
      <c r="G5" s="2">
        <v>4884632814</v>
      </c>
      <c r="H5" s="2">
        <v>2755770</v>
      </c>
      <c r="I5">
        <f t="shared" si="0"/>
        <v>0.56417137273892948</v>
      </c>
    </row>
    <row r="6" spans="3:9" x14ac:dyDescent="0.35">
      <c r="C6" s="145" t="s">
        <v>52</v>
      </c>
      <c r="E6" t="s">
        <v>62</v>
      </c>
      <c r="F6" s="75">
        <v>437527803</v>
      </c>
      <c r="G6" s="2">
        <v>4814151952</v>
      </c>
      <c r="H6" s="2">
        <v>3182375</v>
      </c>
      <c r="I6">
        <f t="shared" si="0"/>
        <v>0.66104581486629399</v>
      </c>
    </row>
    <row r="7" spans="3:9" x14ac:dyDescent="0.35">
      <c r="C7" s="145"/>
      <c r="E7" t="s">
        <v>63</v>
      </c>
      <c r="G7" s="2">
        <v>5426600000</v>
      </c>
      <c r="H7" s="2">
        <v>6761282</v>
      </c>
      <c r="I7">
        <f t="shared" si="0"/>
        <v>1.2459517930195703</v>
      </c>
    </row>
    <row r="8" spans="3:9" x14ac:dyDescent="0.35">
      <c r="C8" s="145"/>
      <c r="D8" t="s">
        <v>58</v>
      </c>
      <c r="E8" t="s">
        <v>64</v>
      </c>
      <c r="F8" s="3">
        <v>1504839324</v>
      </c>
      <c r="G8" s="2">
        <f>5949323701-G7</f>
        <v>522723701</v>
      </c>
      <c r="H8" s="2">
        <v>1092480</v>
      </c>
      <c r="I8">
        <f t="shared" si="0"/>
        <v>2.0899760196639718</v>
      </c>
    </row>
    <row r="9" spans="3:9" x14ac:dyDescent="0.35">
      <c r="C9" s="77"/>
      <c r="F9" s="3"/>
      <c r="G9" s="2"/>
      <c r="H9" s="2"/>
    </row>
    <row r="10" spans="3:9" x14ac:dyDescent="0.35">
      <c r="F10" t="s">
        <v>28</v>
      </c>
      <c r="G10" t="s">
        <v>29</v>
      </c>
    </row>
    <row r="11" spans="3:9" x14ac:dyDescent="0.35">
      <c r="E11" t="s">
        <v>67</v>
      </c>
      <c r="F11" s="3">
        <f>F3</f>
        <v>2222773591</v>
      </c>
      <c r="G11" s="3">
        <f>F8</f>
        <v>1504839324</v>
      </c>
      <c r="I11" s="3">
        <f>F11+G11</f>
        <v>3727612915</v>
      </c>
    </row>
    <row r="12" spans="3:9" x14ac:dyDescent="0.35">
      <c r="E12" t="s">
        <v>65</v>
      </c>
      <c r="F12" s="3">
        <f>F4</f>
        <v>2962773591</v>
      </c>
      <c r="I12" s="3">
        <f>F12+G11</f>
        <v>4467612915</v>
      </c>
    </row>
    <row r="14" spans="3:9" x14ac:dyDescent="0.35">
      <c r="E14" t="s">
        <v>66</v>
      </c>
      <c r="F14" s="3">
        <f>F8</f>
        <v>1504839324</v>
      </c>
    </row>
    <row r="15" spans="3:9" x14ac:dyDescent="0.35">
      <c r="E15" t="s">
        <v>68</v>
      </c>
      <c r="F15" s="3">
        <f>F6</f>
        <v>437527803</v>
      </c>
    </row>
  </sheetData>
  <mergeCells count="2">
    <mergeCell ref="C2:C5"/>
    <mergeCell ref="C6:C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DDBD-DDE3-4D5B-9F7C-A7EC3F8E1ED3}">
  <dimension ref="A1"/>
  <sheetViews>
    <sheetView topLeftCell="A5" workbookViewId="0">
      <selection activeCell="I18" sqref="I1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Stock In-transit</vt:lpstr>
      <vt:lpstr>Insurance coverage analysis (3)</vt:lpstr>
      <vt:lpstr>Insurance coverage analysis (2)</vt:lpstr>
      <vt:lpstr>Sheet1</vt:lpstr>
      <vt:lpstr>PEL</vt:lpstr>
      <vt:lpstr>PEPPL</vt:lpstr>
      <vt:lpstr>PEIPL</vt:lpstr>
      <vt:lpstr>PEIPL ins calc.</vt:lpstr>
      <vt:lpstr>PEGEPL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Wajihuddin (IND)</dc:creator>
  <cp:lastModifiedBy>Borra Prasanna (IND)</cp:lastModifiedBy>
  <dcterms:created xsi:type="dcterms:W3CDTF">2024-12-16T06:04:41Z</dcterms:created>
  <dcterms:modified xsi:type="dcterms:W3CDTF">2025-11-25T06:07:35Z</dcterms:modified>
</cp:coreProperties>
</file>