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AaronH\Desktop\"/>
    </mc:Choice>
  </mc:AlternateContent>
  <xr:revisionPtr revIDLastSave="0" documentId="13_ncr:1_{ACC20FD9-9A58-4DE8-BE41-E822774FD1BB}" xr6:coauthVersionLast="41" xr6:coauthVersionMax="41" xr10:uidLastSave="{00000000-0000-0000-0000-000000000000}"/>
  <bookViews>
    <workbookView xWindow="2250" yWindow="2250" windowWidth="18000" windowHeight="9360" xr2:uid="{00000000-000D-0000-FFFF-FFFF00000000}"/>
  </bookViews>
  <sheets>
    <sheet name="Sheet1" sheetId="4" r:id="rId1"/>
  </sheets>
  <calcPr calcId="191029" concurrentManualCount="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73" i="4" l="1"/>
  <c r="G372" i="4"/>
  <c r="H372" i="4"/>
  <c r="I372" i="4"/>
  <c r="J372" i="4"/>
  <c r="G392" i="4"/>
  <c r="H392" i="4" s="1"/>
  <c r="I392" i="4" s="1"/>
  <c r="J392" i="4" s="1"/>
  <c r="G395" i="4"/>
  <c r="G373" i="4" s="1"/>
  <c r="H395" i="4"/>
  <c r="H373" i="4" s="1"/>
  <c r="I395" i="4"/>
  <c r="J395" i="4"/>
  <c r="G394" i="4"/>
  <c r="H394" i="4"/>
  <c r="I394" i="4"/>
  <c r="J394" i="4"/>
  <c r="J403" i="4"/>
  <c r="J404" i="4"/>
  <c r="J405" i="4"/>
  <c r="G405" i="4"/>
  <c r="H405" i="4"/>
  <c r="I405" i="4"/>
  <c r="G404" i="4"/>
  <c r="H404" i="4"/>
  <c r="I404" i="4"/>
  <c r="G403" i="4"/>
  <c r="H403" i="4"/>
  <c r="I403" i="4"/>
  <c r="G396" i="4"/>
  <c r="H396" i="4"/>
  <c r="I396" i="4"/>
  <c r="I333" i="4"/>
  <c r="J333" i="4"/>
  <c r="K333" i="4"/>
  <c r="H333" i="4"/>
  <c r="H323" i="4"/>
  <c r="I323" i="4"/>
  <c r="J323" i="4"/>
  <c r="K323" i="4"/>
  <c r="I319" i="4"/>
  <c r="J319" i="4"/>
  <c r="K319" i="4"/>
  <c r="H319" i="4"/>
  <c r="I314" i="4"/>
  <c r="J314" i="4"/>
  <c r="K314" i="4"/>
  <c r="I315" i="4"/>
  <c r="J315" i="4"/>
  <c r="K315" i="4"/>
  <c r="H315" i="4"/>
  <c r="H314" i="4"/>
  <c r="I313" i="4"/>
  <c r="J313" i="4"/>
  <c r="K313" i="4"/>
  <c r="H313" i="4"/>
  <c r="H297" i="4"/>
  <c r="I297" i="4"/>
  <c r="J297" i="4"/>
  <c r="K297" i="4"/>
  <c r="G297" i="4"/>
  <c r="G290" i="4"/>
  <c r="H290" i="4"/>
  <c r="I290" i="4"/>
  <c r="J290" i="4"/>
  <c r="K290" i="4"/>
  <c r="H288" i="4"/>
  <c r="I288" i="4"/>
  <c r="J288" i="4"/>
  <c r="K288" i="4"/>
  <c r="G288" i="4"/>
  <c r="H287" i="4"/>
  <c r="I287" i="4"/>
  <c r="J287" i="4"/>
  <c r="K287" i="4"/>
  <c r="G287" i="4"/>
  <c r="G286" i="4"/>
  <c r="H286" i="4"/>
  <c r="I286" i="4"/>
  <c r="J286" i="4"/>
  <c r="J329" i="4" s="1"/>
  <c r="K286" i="4"/>
  <c r="G283" i="4"/>
  <c r="H283" i="4"/>
  <c r="I283" i="4"/>
  <c r="J283" i="4"/>
  <c r="K283" i="4"/>
  <c r="G284" i="4"/>
  <c r="H284" i="4"/>
  <c r="I284" i="4"/>
  <c r="J284" i="4"/>
  <c r="K284" i="4"/>
  <c r="H282" i="4"/>
  <c r="I282" i="4"/>
  <c r="J282" i="4"/>
  <c r="K282" i="4"/>
  <c r="G282" i="4"/>
  <c r="G281" i="4"/>
  <c r="H281" i="4"/>
  <c r="I281" i="4"/>
  <c r="J281" i="4"/>
  <c r="K281" i="4"/>
  <c r="G272" i="4"/>
  <c r="H272" i="4"/>
  <c r="I272" i="4"/>
  <c r="J272" i="4"/>
  <c r="K272" i="4"/>
  <c r="K274" i="4"/>
  <c r="J274" i="4"/>
  <c r="I274" i="4"/>
  <c r="H274" i="4"/>
  <c r="G274" i="4"/>
  <c r="K269" i="4"/>
  <c r="J269" i="4"/>
  <c r="I269" i="4"/>
  <c r="H269" i="4"/>
  <c r="G269" i="4"/>
  <c r="K268" i="4"/>
  <c r="J268" i="4"/>
  <c r="I268" i="4"/>
  <c r="H268" i="4"/>
  <c r="G268" i="4"/>
  <c r="K267" i="4"/>
  <c r="J267" i="4"/>
  <c r="I267" i="4"/>
  <c r="H267" i="4"/>
  <c r="G267" i="4"/>
  <c r="G266" i="4"/>
  <c r="H266" i="4"/>
  <c r="I266" i="4"/>
  <c r="I318" i="4" s="1"/>
  <c r="J266" i="4"/>
  <c r="J311" i="4" s="1"/>
  <c r="K266" i="4"/>
  <c r="H262" i="4"/>
  <c r="H263" i="4" s="1"/>
  <c r="I262" i="4"/>
  <c r="J262" i="4"/>
  <c r="K262" i="4"/>
  <c r="I263" i="4"/>
  <c r="J263" i="4"/>
  <c r="K263" i="4"/>
  <c r="G262" i="4"/>
  <c r="G263" i="4"/>
  <c r="G259" i="4"/>
  <c r="H259" i="4"/>
  <c r="I259" i="4"/>
  <c r="J259" i="4"/>
  <c r="K318" i="4" s="1"/>
  <c r="K259" i="4"/>
  <c r="H258" i="4"/>
  <c r="H260" i="4" s="1"/>
  <c r="I258" i="4"/>
  <c r="I325" i="4" s="1"/>
  <c r="I327" i="4" s="1"/>
  <c r="I260" i="4"/>
  <c r="J258" i="4"/>
  <c r="J325" i="4" s="1"/>
  <c r="J327" i="4" s="1"/>
  <c r="K258" i="4"/>
  <c r="G258" i="4"/>
  <c r="H325" i="4" s="1"/>
  <c r="H327" i="4" s="1"/>
  <c r="F97" i="4"/>
  <c r="G94" i="4"/>
  <c r="G95" i="4" s="1"/>
  <c r="G96" i="4" s="1"/>
  <c r="F94" i="4"/>
  <c r="F95" i="4" s="1"/>
  <c r="F96" i="4" s="1"/>
  <c r="E94" i="4"/>
  <c r="E95" i="4"/>
  <c r="F91" i="4"/>
  <c r="F98" i="4" s="1"/>
  <c r="G81" i="4"/>
  <c r="G87" i="4" s="1"/>
  <c r="G90" i="4" s="1"/>
  <c r="F81" i="4"/>
  <c r="F87" i="4" s="1"/>
  <c r="F90" i="4" s="1"/>
  <c r="E81" i="4"/>
  <c r="H64" i="4"/>
  <c r="G64" i="4"/>
  <c r="E64" i="4"/>
  <c r="H55" i="4"/>
  <c r="G55" i="4"/>
  <c r="E55" i="4"/>
  <c r="F38" i="4"/>
  <c r="E38" i="4"/>
  <c r="E39" i="4" s="1"/>
  <c r="G36" i="4"/>
  <c r="G38" i="4" s="1"/>
  <c r="G32" i="4"/>
  <c r="F32" i="4"/>
  <c r="E33" i="4" s="1"/>
  <c r="E32" i="4"/>
  <c r="E87" i="4"/>
  <c r="E90" i="4" s="1"/>
  <c r="G91" i="4"/>
  <c r="K329" i="4" l="1"/>
  <c r="F356" i="4"/>
  <c r="J285" i="4"/>
  <c r="J289" i="4" s="1"/>
  <c r="F380" i="4"/>
  <c r="F353" i="4"/>
  <c r="H318" i="4"/>
  <c r="F352" i="4"/>
  <c r="E56" i="4"/>
  <c r="F357" i="4"/>
  <c r="G357" i="4" s="1"/>
  <c r="H357" i="4" s="1"/>
  <c r="J335" i="4"/>
  <c r="J334" i="4"/>
  <c r="I285" i="4"/>
  <c r="I289" i="4" s="1"/>
  <c r="I291" i="4" s="1"/>
  <c r="I296" i="4" s="1"/>
  <c r="I298" i="4" s="1"/>
  <c r="G285" i="4"/>
  <c r="G289" i="4" s="1"/>
  <c r="G291" i="4" s="1"/>
  <c r="G296" i="4" s="1"/>
  <c r="G298" i="4" s="1"/>
  <c r="I329" i="4"/>
  <c r="E65" i="4"/>
  <c r="J317" i="4"/>
  <c r="J318" i="4"/>
  <c r="H329" i="4"/>
  <c r="K325" i="4"/>
  <c r="K327" i="4" s="1"/>
  <c r="J270" i="4"/>
  <c r="J310" i="4" s="1"/>
  <c r="J309" i="4" s="1"/>
  <c r="G270" i="4"/>
  <c r="H270" i="4"/>
  <c r="H310" i="4"/>
  <c r="J291" i="4"/>
  <c r="J296" i="4" s="1"/>
  <c r="J298" i="4" s="1"/>
  <c r="J292" i="4"/>
  <c r="I334" i="4"/>
  <c r="G352" i="4"/>
  <c r="F354" i="4"/>
  <c r="F388" i="4" s="1"/>
  <c r="E91" i="4"/>
  <c r="I311" i="4"/>
  <c r="G97" i="4"/>
  <c r="G98" i="4" s="1"/>
  <c r="K260" i="4"/>
  <c r="K270" i="4"/>
  <c r="K285" i="4"/>
  <c r="K289" i="4" s="1"/>
  <c r="F359" i="4"/>
  <c r="G359" i="4" s="1"/>
  <c r="H317" i="4"/>
  <c r="I261" i="4"/>
  <c r="I270" i="4"/>
  <c r="G356" i="4"/>
  <c r="H356" i="4" s="1"/>
  <c r="E96" i="4"/>
  <c r="E97" i="4" s="1"/>
  <c r="E98" i="4" s="1"/>
  <c r="G260" i="4"/>
  <c r="H285" i="4"/>
  <c r="H289" i="4" s="1"/>
  <c r="I317" i="4"/>
  <c r="I335" i="4"/>
  <c r="J260" i="4"/>
  <c r="K311" i="4" s="1"/>
  <c r="K317" i="4"/>
  <c r="J338" i="4" l="1"/>
  <c r="J342" i="4" s="1"/>
  <c r="F401" i="4"/>
  <c r="G401" i="4" s="1"/>
  <c r="K335" i="4"/>
  <c r="K261" i="4"/>
  <c r="G353" i="4"/>
  <c r="H353" i="4" s="1"/>
  <c r="I353" i="4" s="1"/>
  <c r="G292" i="4"/>
  <c r="G302" i="4" s="1"/>
  <c r="G371" i="4"/>
  <c r="I292" i="4"/>
  <c r="I275" i="4" s="1"/>
  <c r="F371" i="4"/>
  <c r="I356" i="4"/>
  <c r="H371" i="4"/>
  <c r="H311" i="4"/>
  <c r="H309" i="4" s="1"/>
  <c r="H334" i="4"/>
  <c r="I310" i="4"/>
  <c r="I309" i="4" s="1"/>
  <c r="H352" i="4"/>
  <c r="I357" i="4"/>
  <c r="H335" i="4"/>
  <c r="I277" i="4"/>
  <c r="J261" i="4"/>
  <c r="K334" i="4"/>
  <c r="K310" i="4"/>
  <c r="K309" i="4" s="1"/>
  <c r="F400" i="4"/>
  <c r="J302" i="4"/>
  <c r="J271" i="4"/>
  <c r="J277" i="4"/>
  <c r="J301" i="4"/>
  <c r="J299" i="4"/>
  <c r="J300" i="4" s="1"/>
  <c r="J303" i="4" s="1"/>
  <c r="J276" i="4"/>
  <c r="J275" i="4"/>
  <c r="G275" i="4"/>
  <c r="G271" i="4"/>
  <c r="G273" i="4" s="1"/>
  <c r="K291" i="4"/>
  <c r="K296" i="4" s="1"/>
  <c r="K298" i="4" s="1"/>
  <c r="K292" i="4"/>
  <c r="I401" i="4"/>
  <c r="H401" i="4"/>
  <c r="H261" i="4"/>
  <c r="H291" i="4"/>
  <c r="H296" i="4" s="1"/>
  <c r="H298" i="4" s="1"/>
  <c r="H292" i="4"/>
  <c r="G365" i="4"/>
  <c r="G362" i="4"/>
  <c r="G361" i="4"/>
  <c r="G360" i="4"/>
  <c r="H359" i="4"/>
  <c r="G399" i="4"/>
  <c r="I301" i="4" l="1"/>
  <c r="I299" i="4"/>
  <c r="I300" i="4" s="1"/>
  <c r="I302" i="4"/>
  <c r="I338" i="4"/>
  <c r="I342" i="4" s="1"/>
  <c r="I276" i="4"/>
  <c r="G299" i="4"/>
  <c r="G300" i="4" s="1"/>
  <c r="G303" i="4" s="1"/>
  <c r="G276" i="4"/>
  <c r="G278" i="4" s="1"/>
  <c r="K338" i="4"/>
  <c r="K342" i="4" s="1"/>
  <c r="G301" i="4"/>
  <c r="G277" i="4"/>
  <c r="G354" i="4"/>
  <c r="H399" i="4" s="1"/>
  <c r="G363" i="4"/>
  <c r="G398" i="4" s="1"/>
  <c r="J278" i="4"/>
  <c r="I271" i="4"/>
  <c r="I371" i="4"/>
  <c r="J322" i="4"/>
  <c r="J307" i="4"/>
  <c r="H275" i="4"/>
  <c r="H271" i="4"/>
  <c r="H301" i="4"/>
  <c r="H276" i="4"/>
  <c r="H277" i="4"/>
  <c r="H299" i="4"/>
  <c r="H302" i="4"/>
  <c r="H300" i="4"/>
  <c r="K301" i="4"/>
  <c r="K276" i="4"/>
  <c r="K277" i="4"/>
  <c r="K275" i="4"/>
  <c r="K302" i="4"/>
  <c r="K271" i="4"/>
  <c r="K299" i="4"/>
  <c r="K300" i="4" s="1"/>
  <c r="H354" i="4"/>
  <c r="I352" i="4"/>
  <c r="I354" i="4" s="1"/>
  <c r="J355" i="4" s="1"/>
  <c r="J396" i="4" s="1"/>
  <c r="J397" i="4" s="1"/>
  <c r="H362" i="4"/>
  <c r="H365" i="4"/>
  <c r="H361" i="4"/>
  <c r="I359" i="4"/>
  <c r="H360" i="4"/>
  <c r="G400" i="4"/>
  <c r="H400" i="4"/>
  <c r="I400" i="4"/>
  <c r="I278" i="4"/>
  <c r="G355" i="4"/>
  <c r="G367" i="4" s="1"/>
  <c r="H338" i="4"/>
  <c r="H342" i="4" s="1"/>
  <c r="J273" i="4"/>
  <c r="J308" i="4"/>
  <c r="I303" i="4" l="1"/>
  <c r="G364" i="4"/>
  <c r="G366" i="4" s="1"/>
  <c r="G368" i="4" s="1"/>
  <c r="G376" i="4" s="1"/>
  <c r="H363" i="4"/>
  <c r="J356" i="4"/>
  <c r="I273" i="4"/>
  <c r="I308" i="4"/>
  <c r="K303" i="4"/>
  <c r="K322" i="4" s="1"/>
  <c r="H278" i="4"/>
  <c r="J357" i="4"/>
  <c r="I393" i="4"/>
  <c r="G393" i="4"/>
  <c r="G391" i="4"/>
  <c r="G397" i="4" s="1"/>
  <c r="G370" i="4"/>
  <c r="G385" i="4" s="1"/>
  <c r="H364" i="4"/>
  <c r="H366" i="4" s="1"/>
  <c r="H398" i="4"/>
  <c r="I360" i="4"/>
  <c r="I399" i="4"/>
  <c r="I362" i="4"/>
  <c r="I365" i="4"/>
  <c r="I361" i="4"/>
  <c r="J366" i="4"/>
  <c r="J370" i="4" s="1"/>
  <c r="I386" i="4" s="1"/>
  <c r="F387" i="4" s="1"/>
  <c r="I355" i="4"/>
  <c r="I367" i="4" s="1"/>
  <c r="J324" i="4"/>
  <c r="J328" i="4" s="1"/>
  <c r="J330" i="4" s="1"/>
  <c r="J341" i="4"/>
  <c r="J343" i="4" s="1"/>
  <c r="H355" i="4"/>
  <c r="H367" i="4" s="1"/>
  <c r="H393" i="4"/>
  <c r="K278" i="4"/>
  <c r="H303" i="4"/>
  <c r="H273" i="4"/>
  <c r="H308" i="4"/>
  <c r="K273" i="4"/>
  <c r="K308" i="4"/>
  <c r="I322" i="4" l="1"/>
  <c r="I307" i="4"/>
  <c r="I363" i="4"/>
  <c r="K307" i="4"/>
  <c r="H370" i="4"/>
  <c r="H385" i="4" s="1"/>
  <c r="H368" i="4"/>
  <c r="H376" i="4" s="1"/>
  <c r="H391" i="4"/>
  <c r="H397" i="4" s="1"/>
  <c r="I364" i="4"/>
  <c r="I366" i="4" s="1"/>
  <c r="I398" i="4"/>
  <c r="K324" i="4"/>
  <c r="K328" i="4" s="1"/>
  <c r="K330" i="4" s="1"/>
  <c r="K341" i="4"/>
  <c r="K343" i="4" s="1"/>
  <c r="H307" i="4"/>
  <c r="H322" i="4"/>
  <c r="I324" i="4" l="1"/>
  <c r="I328" i="4" s="1"/>
  <c r="I330" i="4" s="1"/>
  <c r="I341" i="4"/>
  <c r="I343" i="4" s="1"/>
  <c r="I370" i="4"/>
  <c r="I385" i="4" s="1"/>
  <c r="F385" i="4" s="1"/>
  <c r="F389" i="4" s="1"/>
  <c r="I368" i="4"/>
  <c r="I376" i="4" s="1"/>
  <c r="F376" i="4" s="1"/>
  <c r="I391" i="4"/>
  <c r="I397" i="4" s="1"/>
  <c r="H341" i="4"/>
  <c r="H343" i="4" s="1"/>
  <c r="H324" i="4"/>
  <c r="H328" i="4" s="1"/>
  <c r="H330" i="4" s="1"/>
  <c r="J393" i="4" l="1"/>
  <c r="J371" i="4"/>
  <c r="J367" i="4"/>
  <c r="J368" i="4" s="1"/>
  <c r="I377" i="4" s="1"/>
  <c r="F378" i="4" s="1"/>
  <c r="F379" i="4" s="1"/>
  <c r="F381" i="4" s="1"/>
  <c r="F383" i="4" s="1"/>
</calcChain>
</file>

<file path=xl/sharedStrings.xml><?xml version="1.0" encoding="utf-8"?>
<sst xmlns="http://schemas.openxmlformats.org/spreadsheetml/2006/main" count="403" uniqueCount="371">
  <si>
    <t>Subjunctive Mood ("WHEN TO USE IT")</t>
    <phoneticPr fontId="2"/>
  </si>
  <si>
    <r>
      <rPr>
        <b/>
        <sz val="11"/>
        <color theme="1"/>
        <rFont val="Cambria"/>
        <family val="1"/>
      </rPr>
      <t>W</t>
    </r>
    <r>
      <rPr>
        <sz val="11"/>
        <color theme="1"/>
        <rFont val="Cambria"/>
        <family val="2"/>
        <charset val="128"/>
      </rPr>
      <t>ishes, supplication, necessity, prohibition, preference, insistence</t>
    </r>
    <phoneticPr fontId="2"/>
  </si>
  <si>
    <r>
      <rPr>
        <b/>
        <sz val="11"/>
        <color theme="1"/>
        <rFont val="Cambria"/>
        <family val="1"/>
      </rPr>
      <t>H</t>
    </r>
    <r>
      <rPr>
        <sz val="11"/>
        <color theme="1"/>
        <rFont val="Cambria"/>
        <family val="2"/>
        <charset val="128"/>
      </rPr>
      <t>opes, obligations, suggestions</t>
    </r>
    <phoneticPr fontId="2"/>
  </si>
  <si>
    <r>
      <rPr>
        <b/>
        <sz val="11"/>
        <color theme="1"/>
        <rFont val="Cambria"/>
        <family val="1"/>
      </rPr>
      <t>E</t>
    </r>
    <r>
      <rPr>
        <sz val="11"/>
        <color theme="1"/>
        <rFont val="Cambria"/>
        <family val="2"/>
        <charset val="128"/>
      </rPr>
      <t>motions, regrets, advice and counsel</t>
    </r>
    <phoneticPr fontId="2"/>
  </si>
  <si>
    <r>
      <rPr>
        <b/>
        <sz val="11"/>
        <color theme="1"/>
        <rFont val="Cambria"/>
        <family val="1"/>
      </rPr>
      <t>N</t>
    </r>
    <r>
      <rPr>
        <sz val="11"/>
        <color theme="1"/>
        <rFont val="Cambria"/>
        <family val="2"/>
        <charset val="128"/>
      </rPr>
      <t>egation, doubt, and denial</t>
    </r>
    <phoneticPr fontId="2"/>
  </si>
  <si>
    <r>
      <rPr>
        <b/>
        <sz val="11"/>
        <color theme="1"/>
        <rFont val="Cambria"/>
        <family val="1"/>
      </rPr>
      <t>T</t>
    </r>
    <r>
      <rPr>
        <sz val="11"/>
        <color theme="1"/>
        <rFont val="Cambria"/>
        <family val="2"/>
        <charset val="128"/>
      </rPr>
      <t>al vez, acaso, quiz</t>
    </r>
    <r>
      <rPr>
        <sz val="11"/>
        <color theme="1"/>
        <rFont val="Cambria"/>
        <family val="1"/>
      </rPr>
      <t>á</t>
    </r>
    <r>
      <rPr>
        <sz val="11"/>
        <color theme="1"/>
        <rFont val="Cambria"/>
        <family val="2"/>
        <charset val="128"/>
      </rPr>
      <t>s</t>
    </r>
    <phoneticPr fontId="2"/>
  </si>
  <si>
    <r>
      <rPr>
        <b/>
        <sz val="11"/>
        <color theme="1"/>
        <rFont val="Cambria"/>
        <family val="1"/>
      </rPr>
      <t>O</t>
    </r>
    <r>
      <rPr>
        <sz val="11"/>
        <color theme="1"/>
        <rFont val="Cambria"/>
        <family val="2"/>
        <charset val="128"/>
      </rPr>
      <t>jal</t>
    </r>
    <r>
      <rPr>
        <sz val="11"/>
        <color theme="1"/>
        <rFont val="Cambria"/>
        <family val="1"/>
      </rPr>
      <t>á</t>
    </r>
    <phoneticPr fontId="2"/>
  </si>
  <si>
    <r>
      <rPr>
        <b/>
        <sz val="11"/>
        <color theme="1"/>
        <rFont val="Cambria"/>
        <family val="1"/>
      </rPr>
      <t>U</t>
    </r>
    <r>
      <rPr>
        <sz val="11"/>
        <color theme="1"/>
        <rFont val="Cambria"/>
        <family val="2"/>
        <charset val="128"/>
      </rPr>
      <t>nkown, or nonexistence antecedent</t>
    </r>
    <phoneticPr fontId="2"/>
  </si>
  <si>
    <r>
      <rPr>
        <b/>
        <sz val="11"/>
        <color theme="1"/>
        <rFont val="Cambria"/>
        <family val="1"/>
      </rPr>
      <t>S</t>
    </r>
    <r>
      <rPr>
        <sz val="11"/>
        <color theme="1"/>
        <rFont val="Cambria"/>
        <family val="2"/>
        <charset val="128"/>
      </rPr>
      <t>ome conjunction and adverbial clauses</t>
    </r>
    <phoneticPr fontId="2"/>
  </si>
  <si>
    <r>
      <rPr>
        <b/>
        <sz val="11"/>
        <color theme="1"/>
        <rFont val="Cambria"/>
        <family val="1"/>
      </rPr>
      <t>E</t>
    </r>
    <r>
      <rPr>
        <sz val="11"/>
        <color theme="1"/>
        <rFont val="Cambria"/>
        <family val="2"/>
        <charset val="128"/>
      </rPr>
      <t>xpressions (impersonal, etc.)</t>
    </r>
    <phoneticPr fontId="2"/>
  </si>
  <si>
    <r>
      <rPr>
        <b/>
        <sz val="11"/>
        <color theme="1"/>
        <rFont val="Cambria"/>
        <family val="1"/>
      </rPr>
      <t>I</t>
    </r>
    <r>
      <rPr>
        <sz val="11"/>
        <color theme="1"/>
        <rFont val="Cambria"/>
        <family val="2"/>
        <charset val="128"/>
      </rPr>
      <t>mperatives (except t</t>
    </r>
    <r>
      <rPr>
        <sz val="11"/>
        <color theme="1"/>
        <rFont val="Cambria"/>
        <family val="1"/>
      </rPr>
      <t>ú</t>
    </r>
    <r>
      <rPr>
        <sz val="11"/>
        <color theme="1"/>
        <rFont val="Cambria"/>
        <family val="2"/>
        <charset val="128"/>
      </rPr>
      <t xml:space="preserve"> affirmative)</t>
    </r>
    <phoneticPr fontId="2"/>
  </si>
  <si>
    <r>
      <rPr>
        <b/>
        <sz val="11"/>
        <color theme="1"/>
        <rFont val="Cambria"/>
        <family val="1"/>
      </rPr>
      <t>T</t>
    </r>
    <r>
      <rPr>
        <sz val="11"/>
        <color theme="1"/>
        <rFont val="Cambria"/>
        <family val="2"/>
        <charset val="128"/>
      </rPr>
      <t>o influence another's behavior</t>
    </r>
    <phoneticPr fontId="2"/>
  </si>
  <si>
    <t>In order to be consistent with the enterprise-discounted cash flow model, the cost of capital must:</t>
    <phoneticPr fontId="2"/>
  </si>
  <si>
    <t>a. Be computed on after-tax basis (free cash flow is after-tax)</t>
    <phoneticPr fontId="2"/>
  </si>
  <si>
    <t>b. Use nominal rates of return (real returns + expected inflation)</t>
    <phoneticPr fontId="2"/>
  </si>
  <si>
    <t>c. Reflect the systematic riskiness of cash flows</t>
    <phoneticPr fontId="2"/>
  </si>
  <si>
    <t>d. Reflect the time-varying nature of interest rates and risk premia (i.e., different rates at future dates)</t>
    <phoneticPr fontId="2"/>
  </si>
  <si>
    <t>10 - Estimating the Cost of Capital</t>
    <phoneticPr fontId="2"/>
  </si>
  <si>
    <t>Steps to estimate the weighted-average cost of capital:</t>
    <phoneticPr fontId="2"/>
  </si>
  <si>
    <t>a. Establish target market value weights for each capital layer</t>
    <phoneticPr fontId="2"/>
  </si>
  <si>
    <t>b. Estimate the opportunity cost of non-equity financing on an after-tax basis</t>
    <phoneticPr fontId="2"/>
  </si>
  <si>
    <t>c. Estimate the opportunity cost of equity financing</t>
    <phoneticPr fontId="2"/>
  </si>
  <si>
    <t>Approaches used to develop market value weights:</t>
    <phoneticPr fontId="2"/>
  </si>
  <si>
    <t>a. Estimate current market value of the capital structure of the company</t>
    <phoneticPr fontId="2"/>
  </si>
  <si>
    <t>b. Review capital structure of comparable companies</t>
    <phoneticPr fontId="2"/>
  </si>
  <si>
    <t>c. Review management's approach to financing and its implications for a target capital structure</t>
    <phoneticPr fontId="2"/>
  </si>
  <si>
    <t>Bond A</t>
    <phoneticPr fontId="2"/>
  </si>
  <si>
    <t>Bond B</t>
    <phoneticPr fontId="2"/>
  </si>
  <si>
    <t>Principle repayment</t>
    <phoneticPr fontId="2"/>
  </si>
  <si>
    <t>50% at end of each year</t>
    <phoneticPr fontId="2"/>
  </si>
  <si>
    <t>Sinking fund interest earned</t>
    <phoneticPr fontId="2"/>
  </si>
  <si>
    <t>n/a</t>
    <phoneticPr fontId="2"/>
  </si>
  <si>
    <t>100% at end of Y2</t>
    <phoneticPr fontId="2"/>
  </si>
  <si>
    <t>Pretax cost of capital (IRR)</t>
    <phoneticPr fontId="2"/>
  </si>
  <si>
    <t>Face value</t>
    <phoneticPr fontId="2"/>
  </si>
  <si>
    <t>Bond A:</t>
    <phoneticPr fontId="2"/>
  </si>
  <si>
    <t>Year</t>
    <phoneticPr fontId="2"/>
  </si>
  <si>
    <t>Principal</t>
    <phoneticPr fontId="2"/>
  </si>
  <si>
    <t>Net cash flow</t>
    <phoneticPr fontId="2"/>
  </si>
  <si>
    <t>IRR</t>
    <phoneticPr fontId="2"/>
  </si>
  <si>
    <t>Bond B:</t>
    <phoneticPr fontId="2"/>
  </si>
  <si>
    <t>Coupon</t>
    <phoneticPr fontId="2"/>
  </si>
  <si>
    <t>Interest, net</t>
    <phoneticPr fontId="2"/>
  </si>
  <si>
    <t>The sinking fund Bond B might actually sell for a premium due to decreased interest rate reinvestment risk.</t>
    <phoneticPr fontId="2"/>
  </si>
  <si>
    <t>Effect of taxes on the cost of capital from the Bonds A and B (above):</t>
    <phoneticPr fontId="2"/>
  </si>
  <si>
    <t>Interest received</t>
    <phoneticPr fontId="2"/>
  </si>
  <si>
    <t>Interest paid</t>
    <phoneticPr fontId="2"/>
  </si>
  <si>
    <t>Tax</t>
    <phoneticPr fontId="2"/>
  </si>
  <si>
    <t>Principal</t>
    <phoneticPr fontId="2"/>
  </si>
  <si>
    <t>Net cash flow</t>
    <phoneticPr fontId="2"/>
  </si>
  <si>
    <t>IRR</t>
    <phoneticPr fontId="2"/>
  </si>
  <si>
    <t>Bond A:</t>
    <phoneticPr fontId="2"/>
  </si>
  <si>
    <t>Face</t>
    <phoneticPr fontId="2"/>
  </si>
  <si>
    <t xml:space="preserve">Coupon </t>
    <phoneticPr fontId="2"/>
  </si>
  <si>
    <t>Tax rate</t>
    <phoneticPr fontId="2"/>
  </si>
  <si>
    <t>Bond B:</t>
    <phoneticPr fontId="2"/>
  </si>
  <si>
    <t>Suppose your company has consistently communicate to investors that the firm will take a book value target capital structure approach to financing operations.</t>
    <phoneticPr fontId="2"/>
  </si>
  <si>
    <t>Initial capital structure:</t>
    <phoneticPr fontId="2"/>
  </si>
  <si>
    <t>All equity:</t>
    <phoneticPr fontId="2"/>
  </si>
  <si>
    <t>book value</t>
    <phoneticPr fontId="2"/>
  </si>
  <si>
    <t>The cost of debt for each capital structure was determined by your firm's investment bankers based on comparable analysis of ratings (spreads over treasury rates) and times-interest-earned ratios for firms similar enough to yours in size, market, and overall business risk.</t>
    <phoneticPr fontId="2"/>
  </si>
  <si>
    <t>Target debt percent</t>
    <phoneticPr fontId="2"/>
  </si>
  <si>
    <t>Target equity percent</t>
    <phoneticPr fontId="2"/>
  </si>
  <si>
    <t>Target growth</t>
    <phoneticPr fontId="2"/>
  </si>
  <si>
    <t>Target ROIC</t>
    <phoneticPr fontId="2"/>
  </si>
  <si>
    <t>Face value of debt</t>
    <phoneticPr fontId="2"/>
  </si>
  <si>
    <t>Book value: Equity</t>
    <phoneticPr fontId="2"/>
  </si>
  <si>
    <t>Book value: Assets</t>
    <phoneticPr fontId="2"/>
  </si>
  <si>
    <t>Tax rate</t>
    <phoneticPr fontId="2"/>
  </si>
  <si>
    <t>Cost of debt</t>
    <phoneticPr fontId="2"/>
  </si>
  <si>
    <t>Unlevered beta</t>
    <phoneticPr fontId="2"/>
  </si>
  <si>
    <t>Levered beta</t>
    <phoneticPr fontId="2"/>
  </si>
  <si>
    <t>Risk-free rate</t>
    <phoneticPr fontId="2"/>
  </si>
  <si>
    <t>Market premium</t>
    <phoneticPr fontId="2"/>
  </si>
  <si>
    <t>Cost of equity</t>
    <phoneticPr fontId="2"/>
  </si>
  <si>
    <t>WACC</t>
    <phoneticPr fontId="2"/>
  </si>
  <si>
    <t>NOI</t>
    <phoneticPr fontId="2"/>
  </si>
  <si>
    <t>Tax</t>
    <phoneticPr fontId="2"/>
  </si>
  <si>
    <t>NOPLAT</t>
    <phoneticPr fontId="2"/>
  </si>
  <si>
    <t>Net investment</t>
    <phoneticPr fontId="2"/>
  </si>
  <si>
    <t>Free cash flow</t>
    <phoneticPr fontId="2"/>
  </si>
  <si>
    <t>Value of assets</t>
    <phoneticPr fontId="2"/>
  </si>
  <si>
    <t>&lt;- This value is placed in the "Book value: Assets" cells above until the WACC stops changing significantly.</t>
    <phoneticPr fontId="2"/>
  </si>
  <si>
    <t>Eventually, after n iterations, the WACC will stop changing by at the second decimal place (and this will be the estimated asset market value under the particular capital structure</t>
    <phoneticPr fontId="2"/>
  </si>
  <si>
    <t>11 - Forecasting Performance</t>
    <phoneticPr fontId="2"/>
  </si>
  <si>
    <t>Steps in producing a firm's financial forecast:</t>
    <phoneticPr fontId="2"/>
  </si>
  <si>
    <t>a. Determine length and level of forecast detail. Most analylsts use stages of growth: near, intermediate, and far.</t>
    <phoneticPr fontId="2"/>
  </si>
  <si>
    <t>b. Develop a strategy story that links to performance. This is typically a "Porter" style industry analysis with strengths, weaknesses, threats, and opportunities internally. A balanced score card should map future strategic realizations to performance forecast scenarios.</t>
    <phoneticPr fontId="2"/>
  </si>
  <si>
    <t>c. Translate strategy into financial forecasts: income statement, balance sheet, free cash flow, and value drivers.</t>
    <phoneticPr fontId="2"/>
  </si>
  <si>
    <t>d. Develop performance scenarios that can be simulated.</t>
    <phoneticPr fontId="2"/>
  </si>
  <si>
    <t>e. Check forecasts for consistency, completeness, and alignment with strategy.</t>
    <phoneticPr fontId="2"/>
  </si>
  <si>
    <t>Adding value translates into an ROIC greater than WACC.</t>
    <phoneticPr fontId="2"/>
  </si>
  <si>
    <t>Evaluation of Strategic Position:</t>
    <phoneticPr fontId="2"/>
  </si>
  <si>
    <t>a. Buyers</t>
    <phoneticPr fontId="2"/>
  </si>
  <si>
    <t>Who are they? What are their preferences? What pricing and product practices will meet their expectations? Increasing ROIC derives from enhanced revenues, less charge backs for returned and poor quality product, and reasonably designed customer satisfaction.</t>
    <phoneticPr fontId="2"/>
  </si>
  <si>
    <t>b. Sellers</t>
    <phoneticPr fontId="2"/>
  </si>
  <si>
    <t>Who are they? How can they best serve the firm in its mission to serve the firm's customers and clients? Increasing ROIC and lower WACC derives from lower, efficient, and more productive and effective cost and asset structures. Lower WACC derives from higher financial quality, lower perceived risks from financial capital suppliers, due to lower perceived volatility and greater ability to manage uncertainty.</t>
    <phoneticPr fontId="2"/>
  </si>
  <si>
    <t>c. Technology</t>
    <phoneticPr fontId="2"/>
  </si>
  <si>
    <t>What is the cycle of innovation in the industry, the rate of turnover of generatoins of capital, the ability of the firm to innovate in well-planned research and development? Higher ROIC and lower WACC derive from the firm's short run ability to react to incursions in its technological base and obsolescence as technology turns over from generation to generation. More R&amp;D means lower-cost production and products that meet the changing expectations of customers.</t>
    <phoneticPr fontId="2"/>
  </si>
  <si>
    <t>d. Government</t>
    <phoneticPr fontId="2"/>
  </si>
  <si>
    <t xml:space="preserve">What are the cycles of regulation, deregulation, and re-regulation in the industry? How do these regulatory movements impact production, choice of capital, choice of where to raise capital, vendor quality, liability with stakeholders, and choice of customer market segments? Each of these items impacts: (1) the ability of the firm to influence operating margins, (2) investors to post a level of perceived risk in the cost of capital, and (3) find and retain customers with appropriate pricing strategies. </t>
    <phoneticPr fontId="2"/>
  </si>
  <si>
    <t>e. New entrants</t>
    <phoneticPr fontId="2"/>
  </si>
  <si>
    <t>What are the threats, barriers to entry, ability to re-engineer new technology, and entrepreneurial availability in the industry? This question directly impacts the ability of the firm to maintain its positive ROIC over WACC, in other words, its quasi-monopolistic position. Relatively low barriers to entry can be produced by skewed regulatory systems, for example, that favor small over larger businesses. In the long run, a financial forecast must recognize the positive probability of handing over the long-run asset base produced by current thinking and technology to new entrants. In this case, ROIC will tend to WACC and even fall below WACC at which point the firm goes out of its current busines and into another.</t>
    <phoneticPr fontId="2"/>
  </si>
  <si>
    <t>f. Substitute products/services:</t>
    <phoneticPr fontId="2"/>
  </si>
  <si>
    <t>Even a competing product can be found within a firm's multidivisional structure. High value added occurs with high ROIC and low WACC. High ROIC occurs with higher operational efficiency (seller), more effective capital (seller, technology), achieving lower costs than the competition (substitute products, new entrants), and providing superior value to the customer (buyer).</t>
    <phoneticPr fontId="2"/>
  </si>
  <si>
    <t>Customer segmentation - align firm's core competencies with customer segments by needs</t>
    <phoneticPr fontId="2"/>
  </si>
  <si>
    <t>Business systems analysis - time to market, access to sources of material and labor, cycle time, packaging, and distribution channels constitute sources of competitive advantage and disadvantages</t>
    <phoneticPr fontId="2"/>
  </si>
  <si>
    <t>Industry structure - cycle of feed forward and feedback networks in the industry analysis of buyer, seller, government, technology, new entrants, and substitute product attributes</t>
    <phoneticPr fontId="2"/>
  </si>
  <si>
    <t>Scenarios for value:</t>
    <phoneticPr fontId="2"/>
  </si>
  <si>
    <t xml:space="preserve">Aggressive (AG) - high growth; firm introduces significant changes and increases its product line and ability to meet technological change in the industry; the goal is to improve all expense structures at high levels of sales growth over the near term. </t>
    <phoneticPr fontId="2"/>
  </si>
  <si>
    <t>Conservative (CO) - low growth; firm is barely able to hold its own in the global arena of faster paced technological change and customer demands; the goal is to maintain historical sales, operating and general expense structures.</t>
    <phoneticPr fontId="2"/>
  </si>
  <si>
    <t xml:space="preserve">Status quo (SQ) - moderate growth; project same growth as experienced historically, maintain current market share and technological and global competitiveness; the goal is to maintain operational efficiency and capital effectiveness and improve overhead expense structures; </t>
    <phoneticPr fontId="2"/>
  </si>
  <si>
    <t>15 - Valuing Dot.coms</t>
    <phoneticPr fontId="2"/>
  </si>
  <si>
    <t>Issues with Dot.coms:</t>
    <phoneticPr fontId="2"/>
  </si>
  <si>
    <t xml:space="preserve">Issue: </t>
    <phoneticPr fontId="2"/>
  </si>
  <si>
    <t>Resolution:</t>
    <phoneticPr fontId="2"/>
  </si>
  <si>
    <t xml:space="preserve">a. </t>
  </si>
  <si>
    <t>b.</t>
    <phoneticPr fontId="2"/>
  </si>
  <si>
    <t>The companies exhibit hyper-growth rates</t>
    <phoneticPr fontId="2"/>
  </si>
  <si>
    <t>Don't use PE, revenue multiples; they are backward looking. Use economic fundamentals.</t>
    <phoneticPr fontId="2"/>
  </si>
  <si>
    <t>They don't make any money the first few years.</t>
    <phoneticPr fontId="2"/>
  </si>
  <si>
    <t>Start with fixed point in future and work backward to the present using economic fundamentals to parse sources of growth.</t>
    <phoneticPr fontId="2"/>
  </si>
  <si>
    <t>c.</t>
    <phoneticPr fontId="2"/>
  </si>
  <si>
    <t>The fate of these companies is highly uncertain.</t>
    <phoneticPr fontId="2"/>
  </si>
  <si>
    <t>Example: Amazon</t>
    <phoneticPr fontId="2"/>
  </si>
  <si>
    <t>Value drivers that explain variation in future growth:</t>
    <phoneticPr fontId="2"/>
  </si>
  <si>
    <t>Value driver:</t>
    <phoneticPr fontId="2"/>
  </si>
  <si>
    <t>Relation to growth:</t>
    <phoneticPr fontId="2"/>
  </si>
  <si>
    <t>Penetration rate</t>
    <phoneticPr fontId="2"/>
  </si>
  <si>
    <t>Ability to enter new markets and acquire share of marekt to drive revenue growth</t>
    <phoneticPr fontId="2"/>
  </si>
  <si>
    <t>Develop probability  weighted scenarios explicitly.</t>
    <phoneticPr fontId="2"/>
  </si>
  <si>
    <t>Average revenue per customer</t>
    <phoneticPr fontId="2"/>
  </si>
  <si>
    <t>Sustainable growth margin</t>
    <phoneticPr fontId="2"/>
  </si>
  <si>
    <t>Capital</t>
    <phoneticPr fontId="2"/>
  </si>
  <si>
    <t>Exposes range of customer diversification and segment profitability and drives.</t>
    <phoneticPr fontId="2"/>
  </si>
  <si>
    <t>Platform for future growth, insured returns on invested capital composed of cost of custome acquisition and customer contribution margin; also relates to amount of capital needed to support revenues.</t>
    <phoneticPr fontId="2"/>
  </si>
  <si>
    <t>Amount of sales supported by capital is influenced by "clicks" versus "bricks" and mortar and working capital; also the market perception of riskiness of cash flow.</t>
    <phoneticPr fontId="2"/>
  </si>
  <si>
    <t>Revenue</t>
    <phoneticPr fontId="2"/>
  </si>
  <si>
    <t>Item:</t>
    <phoneticPr fontId="2"/>
  </si>
  <si>
    <t>Calculation:</t>
    <phoneticPr fontId="2"/>
  </si>
  <si>
    <t>Total number x Share x Revenue per customer</t>
    <phoneticPr fontId="2"/>
  </si>
  <si>
    <t>Contribution margin</t>
    <phoneticPr fontId="2"/>
  </si>
  <si>
    <t>Total number x Share x Contribution per customer</t>
    <phoneticPr fontId="2"/>
  </si>
  <si>
    <t>Acquisition cost</t>
    <phoneticPr fontId="2"/>
  </si>
  <si>
    <t>Total number x Share x Acquisition cost x Churn rate</t>
    <phoneticPr fontId="2"/>
  </si>
  <si>
    <t>EBIT</t>
    <phoneticPr fontId="2"/>
  </si>
  <si>
    <t>Contribution margin - Acquisition cost</t>
    <phoneticPr fontId="2"/>
  </si>
  <si>
    <t>Tax</t>
    <phoneticPr fontId="2"/>
  </si>
  <si>
    <t>Tax rate x EBIT</t>
    <phoneticPr fontId="2"/>
  </si>
  <si>
    <t>Net operating profit less tax</t>
    <phoneticPr fontId="2"/>
  </si>
  <si>
    <t>EBIT - Tax</t>
    <phoneticPr fontId="2"/>
  </si>
  <si>
    <t>Invested capital</t>
    <phoneticPr fontId="2"/>
  </si>
  <si>
    <t>Revenue/Sales turns</t>
    <phoneticPr fontId="2"/>
  </si>
  <si>
    <t>ROIC</t>
    <phoneticPr fontId="2"/>
  </si>
  <si>
    <t>NOPLAT/Invested capital</t>
    <phoneticPr fontId="2"/>
  </si>
  <si>
    <t>Growth</t>
    <phoneticPr fontId="2"/>
  </si>
  <si>
    <t>Assumption</t>
    <phoneticPr fontId="2"/>
  </si>
  <si>
    <t>Reinvestment rate</t>
    <phoneticPr fontId="2"/>
  </si>
  <si>
    <t>Growth/ROIC</t>
    <phoneticPr fontId="2"/>
  </si>
  <si>
    <t>Free cash flow</t>
    <phoneticPr fontId="2"/>
  </si>
  <si>
    <t>Cost of capital</t>
    <phoneticPr fontId="2"/>
  </si>
  <si>
    <t>Continuing value</t>
    <phoneticPr fontId="2"/>
  </si>
  <si>
    <t>Discounted cash flow</t>
    <phoneticPr fontId="2"/>
  </si>
  <si>
    <t>Number of customers</t>
    <phoneticPr fontId="2"/>
  </si>
  <si>
    <t>Value per customer</t>
    <phoneticPr fontId="2"/>
  </si>
  <si>
    <t>NOPLAT x (1-Reinvestment rate)</t>
    <phoneticPr fontId="2"/>
  </si>
  <si>
    <t>Free cash flow / (Cost of capital - Growth)</t>
    <phoneticPr fontId="2"/>
  </si>
  <si>
    <t>Continuing value / (1 + Cost of capital)^10</t>
    <phoneticPr fontId="2"/>
  </si>
  <si>
    <t>Total number x Share</t>
    <phoneticPr fontId="2"/>
  </si>
  <si>
    <t>Discounted cash flow / Number of customers</t>
    <phoneticPr fontId="2"/>
  </si>
  <si>
    <t>16 - Valuing Cyclical Companies</t>
    <phoneticPr fontId="2"/>
  </si>
  <si>
    <t>Two reasons why cyclical firms (e.g., airlines, paper, steel, chemicals) are difficult to value:</t>
    <phoneticPr fontId="2"/>
  </si>
  <si>
    <t>b. Share prices reflect high levels of volatility.</t>
    <phoneticPr fontId="2"/>
  </si>
  <si>
    <t>a. Base years will neither be too high or too low as a basis for forecasting future cash flows.</t>
    <phoneticPr fontId="2"/>
  </si>
  <si>
    <t>Steps for calculating cyclical firm value:</t>
    <phoneticPr fontId="2"/>
  </si>
  <si>
    <t>a. Use past cycles to value the normal-cycle scenario.</t>
    <phoneticPr fontId="2"/>
  </si>
  <si>
    <t>b. Use recent performance to construct a new-trend-line scenario.</t>
    <phoneticPr fontId="2"/>
  </si>
  <si>
    <t>c. Consider supply and demand growth, new entries and exits from the industry, technology, and government changes as the rationale for the two scenarios.</t>
    <phoneticPr fontId="2"/>
  </si>
  <si>
    <t>d. Assign probabilities to each scenario and calculate expected value.</t>
    <phoneticPr fontId="2"/>
  </si>
  <si>
    <t>Given data:</t>
    <phoneticPr fontId="2"/>
  </si>
  <si>
    <t>Financial data input:</t>
    <phoneticPr fontId="2"/>
  </si>
  <si>
    <t>Current assets</t>
    <phoneticPr fontId="2"/>
  </si>
  <si>
    <t>Current liabilities</t>
    <phoneticPr fontId="2"/>
  </si>
  <si>
    <t>Debt in current liabilities</t>
    <phoneticPr fontId="2"/>
  </si>
  <si>
    <t>Long term debt</t>
    <phoneticPr fontId="2"/>
  </si>
  <si>
    <t>Total assets</t>
    <phoneticPr fontId="2"/>
  </si>
  <si>
    <t>Capital expenditures</t>
    <phoneticPr fontId="2"/>
  </si>
  <si>
    <t>Change in deferred taxes</t>
    <phoneticPr fontId="2"/>
  </si>
  <si>
    <t>Sales</t>
    <phoneticPr fontId="2"/>
  </si>
  <si>
    <t>Operating expenses</t>
    <phoneticPr fontId="2"/>
  </si>
  <si>
    <t>General expenses</t>
    <phoneticPr fontId="2"/>
  </si>
  <si>
    <t>Depreciation</t>
    <phoneticPr fontId="2"/>
  </si>
  <si>
    <t>Investment income</t>
    <phoneticPr fontId="2"/>
  </si>
  <si>
    <t>Interest expense</t>
    <phoneticPr fontId="2"/>
  </si>
  <si>
    <t>Miscellaneous income, net</t>
    <phoneticPr fontId="2"/>
  </si>
  <si>
    <t>Income taxes</t>
    <phoneticPr fontId="2"/>
  </si>
  <si>
    <t>Beta</t>
    <phoneticPr fontId="2"/>
  </si>
  <si>
    <t>Example: Georgia Pacific (GP)</t>
    <phoneticPr fontId="2"/>
  </si>
  <si>
    <t>Invested capital statement:</t>
    <phoneticPr fontId="2"/>
  </si>
  <si>
    <t>Working capital</t>
    <phoneticPr fontId="2"/>
  </si>
  <si>
    <t>Long term assets</t>
    <phoneticPr fontId="2"/>
  </si>
  <si>
    <t>Operating invested capital</t>
    <phoneticPr fontId="2"/>
  </si>
  <si>
    <t>Debt</t>
    <phoneticPr fontId="2"/>
  </si>
  <si>
    <t>Equity</t>
    <phoneticPr fontId="2"/>
  </si>
  <si>
    <t>NOPLAT statement:</t>
    <phoneticPr fontId="2"/>
  </si>
  <si>
    <t>Sales</t>
    <phoneticPr fontId="2"/>
  </si>
  <si>
    <t>Operating expenses</t>
    <phoneticPr fontId="2"/>
  </si>
  <si>
    <t>General expenses</t>
    <phoneticPr fontId="2"/>
  </si>
  <si>
    <t>Depreciation</t>
    <phoneticPr fontId="2"/>
  </si>
  <si>
    <t>EBIT</t>
    <phoneticPr fontId="2"/>
  </si>
  <si>
    <t>Taxes on EBIT</t>
    <phoneticPr fontId="2"/>
  </si>
  <si>
    <t>Change in deferred taxes</t>
    <phoneticPr fontId="2"/>
  </si>
  <si>
    <t>NOPLAT</t>
    <phoneticPr fontId="2"/>
  </si>
  <si>
    <t>Provision for income taxes</t>
    <phoneticPr fontId="2"/>
  </si>
  <si>
    <t>Tax on investment income</t>
    <phoneticPr fontId="2"/>
  </si>
  <si>
    <t>Tax on non-operating income</t>
    <phoneticPr fontId="2"/>
  </si>
  <si>
    <t>Taxes on EBIT</t>
    <phoneticPr fontId="2"/>
  </si>
  <si>
    <t>Net income statement:</t>
    <phoneticPr fontId="2"/>
  </si>
  <si>
    <t>?</t>
    <phoneticPr fontId="2"/>
  </si>
  <si>
    <t>Investment income</t>
    <phoneticPr fontId="2"/>
  </si>
  <si>
    <t>Investment expense</t>
    <phoneticPr fontId="2"/>
  </si>
  <si>
    <t>Miscellaneous, net</t>
    <phoneticPr fontId="2"/>
  </si>
  <si>
    <t>Earnings before taxes</t>
    <phoneticPr fontId="2"/>
  </si>
  <si>
    <t>Income taxes</t>
    <phoneticPr fontId="2"/>
  </si>
  <si>
    <t>Net income (before extra items)</t>
    <phoneticPr fontId="2"/>
  </si>
  <si>
    <t>Tax shield on interest expense</t>
    <phoneticPr fontId="2"/>
  </si>
  <si>
    <t>Reconciliation to net income statement:</t>
    <phoneticPr fontId="2"/>
  </si>
  <si>
    <t>Net income</t>
    <phoneticPr fontId="2"/>
  </si>
  <si>
    <t>Adjusted net income</t>
    <phoneticPr fontId="2"/>
  </si>
  <si>
    <t>Add: Interest expense after tax</t>
    <phoneticPr fontId="2"/>
  </si>
  <si>
    <t>Income available to investors</t>
    <phoneticPr fontId="2"/>
  </si>
  <si>
    <t>Less: Interest income after tax</t>
    <phoneticPr fontId="2"/>
  </si>
  <si>
    <t>Less: Non-operating income after tax</t>
    <phoneticPr fontId="2"/>
  </si>
  <si>
    <t>NOPLAT</t>
    <phoneticPr fontId="2"/>
  </si>
  <si>
    <t>Add: Increase in deferred taxes</t>
    <phoneticPr fontId="2"/>
  </si>
  <si>
    <t>ROIC tree:</t>
    <phoneticPr fontId="2"/>
  </si>
  <si>
    <t>ROIC</t>
    <phoneticPr fontId="2"/>
  </si>
  <si>
    <t xml:space="preserve"> = (1-EBIT cash tax rate) </t>
    <phoneticPr fontId="2"/>
  </si>
  <si>
    <t xml:space="preserve"> x Pretax ROIC</t>
    <phoneticPr fontId="2"/>
  </si>
  <si>
    <t xml:space="preserve"> = EBIT/Sales</t>
    <phoneticPr fontId="2"/>
  </si>
  <si>
    <t xml:space="preserve"> x Sales/Invested capital</t>
    <phoneticPr fontId="2"/>
  </si>
  <si>
    <t>EBIT/Sales</t>
    <phoneticPr fontId="2"/>
  </si>
  <si>
    <t xml:space="preserve"> = 1 - (Operating expenses/Sales </t>
    <phoneticPr fontId="2"/>
  </si>
  <si>
    <t xml:space="preserve"> + Depreciation/Sales)</t>
    <phoneticPr fontId="2"/>
  </si>
  <si>
    <t xml:space="preserve"> + General expenses/Sales</t>
    <phoneticPr fontId="2"/>
  </si>
  <si>
    <t>Sales/Invested capital</t>
    <phoneticPr fontId="2"/>
  </si>
  <si>
    <t xml:space="preserve"> = 1/(Operating working capital/Sales</t>
    <phoneticPr fontId="2"/>
  </si>
  <si>
    <t xml:space="preserve"> + Long term operating assets/Sales)</t>
    <phoneticPr fontId="2"/>
  </si>
  <si>
    <t>Change in deferred tax/Sales</t>
    <phoneticPr fontId="2"/>
  </si>
  <si>
    <t>Free cash flow statement</t>
    <phoneticPr fontId="2"/>
  </si>
  <si>
    <t>Gross cash flow</t>
    <phoneticPr fontId="2"/>
  </si>
  <si>
    <t>Increase in operating working capital</t>
    <phoneticPr fontId="2"/>
  </si>
  <si>
    <t>Capital expenditures</t>
    <phoneticPr fontId="2"/>
  </si>
  <si>
    <t>Gross investment</t>
    <phoneticPr fontId="2"/>
  </si>
  <si>
    <t>Non-operating cash flow</t>
    <phoneticPr fontId="2"/>
  </si>
  <si>
    <t>Cash flow available to investors</t>
    <phoneticPr fontId="2"/>
  </si>
  <si>
    <t>Cost of capital:</t>
    <phoneticPr fontId="2"/>
  </si>
  <si>
    <t>Beta</t>
    <phoneticPr fontId="2"/>
  </si>
  <si>
    <t>Equity/invested capital</t>
    <phoneticPr fontId="2"/>
  </si>
  <si>
    <t>Weighted average cost of capital (WACC)</t>
    <phoneticPr fontId="2"/>
  </si>
  <si>
    <t>Economic profit</t>
    <phoneticPr fontId="2"/>
  </si>
  <si>
    <t>Capital charge</t>
    <phoneticPr fontId="2"/>
  </si>
  <si>
    <t>Economic profit:</t>
    <phoneticPr fontId="2"/>
  </si>
  <si>
    <t>???? - How was this calculated?</t>
    <phoneticPr fontId="2"/>
  </si>
  <si>
    <t>Debt/invested capital</t>
    <phoneticPr fontId="2"/>
  </si>
  <si>
    <t>Should be these numbers, but maybe due to Excel setting for precision</t>
    <phoneticPr fontId="2"/>
  </si>
  <si>
    <t>Forecasted Financials:</t>
    <phoneticPr fontId="2"/>
  </si>
  <si>
    <t>Average
1995-1999</t>
    <phoneticPr fontId="2"/>
  </si>
  <si>
    <t>F
2000</t>
    <phoneticPr fontId="2"/>
  </si>
  <si>
    <t>F
2001</t>
    <phoneticPr fontId="2"/>
  </si>
  <si>
    <t>F
2002</t>
    <phoneticPr fontId="2"/>
  </si>
  <si>
    <t>CV
2003</t>
    <phoneticPr fontId="2"/>
  </si>
  <si>
    <t>Working capital</t>
    <phoneticPr fontId="2"/>
  </si>
  <si>
    <t>Net fixed assets</t>
    <phoneticPr fontId="2"/>
  </si>
  <si>
    <t>Invested capital</t>
    <phoneticPr fontId="2"/>
  </si>
  <si>
    <t>Net investment</t>
    <phoneticPr fontId="2"/>
  </si>
  <si>
    <t>Debt</t>
    <phoneticPr fontId="2"/>
  </si>
  <si>
    <t>Equity</t>
    <phoneticPr fontId="2"/>
  </si>
  <si>
    <t>Sales growth</t>
    <phoneticPr fontId="2"/>
  </si>
  <si>
    <t>Net sales</t>
    <phoneticPr fontId="2"/>
  </si>
  <si>
    <t>Operating expense</t>
    <phoneticPr fontId="2"/>
  </si>
  <si>
    <t>General expense</t>
    <phoneticPr fontId="2"/>
  </si>
  <si>
    <t>Depreciation</t>
    <phoneticPr fontId="2"/>
  </si>
  <si>
    <t>EBIT</t>
    <phoneticPr fontId="2"/>
  </si>
  <si>
    <t>Taxes on EBIT</t>
    <phoneticPr fontId="2"/>
  </si>
  <si>
    <t>Change in deferred tax</t>
    <phoneticPr fontId="2"/>
  </si>
  <si>
    <t>Net operating profit less adjusted tax (NOPLAT)</t>
    <phoneticPr fontId="2"/>
  </si>
  <si>
    <t>Free cash flow</t>
    <phoneticPr fontId="2"/>
  </si>
  <si>
    <t>Cost of capital</t>
    <phoneticPr fontId="2"/>
  </si>
  <si>
    <t>Economic profit</t>
    <phoneticPr fontId="2"/>
  </si>
  <si>
    <t>Beta</t>
    <phoneticPr fontId="2"/>
  </si>
  <si>
    <t>Unlevered beta</t>
    <phoneticPr fontId="2"/>
  </si>
  <si>
    <t>PV factors</t>
    <phoneticPr fontId="2"/>
  </si>
  <si>
    <t>Risk Arbitrage (cont.)</t>
    <phoneticPr fontId="2"/>
  </si>
  <si>
    <t>p. 158</t>
    <phoneticPr fontId="2"/>
  </si>
  <si>
    <t>Carl Icahn in May 2008 launched a proxy fight to convince a reluctant Yahoo board of directors to accept an unsolicited offer from Microsoft</t>
    <phoneticPr fontId="2"/>
  </si>
  <si>
    <t>…reasons for undervaluation, be it management problems, strategy problems, the blend of assets to achieve a particular strategy, corporate governance problems, shareholder conflicts between majority and minority shareholders, or local contrivances such as "double voting rights" - or in some cases, no voting rights</t>
    <phoneticPr fontId="2"/>
  </si>
  <si>
    <t>Statements by the financial press and by company officials as to the value of a particular offer should be regarded skeptically. The same holds for statements by research departments of brokerage firms attempting to explain either the market action of a proposed target firm.</t>
    <phoneticPr fontId="2"/>
  </si>
  <si>
    <t>…the collective activity of professional investors who are together setting the price base on:</t>
    <phoneticPr fontId="2"/>
  </si>
  <si>
    <t xml:space="preserve"> - Their calculation of the parity</t>
    <phoneticPr fontId="2"/>
  </si>
  <si>
    <t xml:space="preserve"> - Their assessment of the risks</t>
    <phoneticPr fontId="2"/>
  </si>
  <si>
    <t xml:space="preserve"> - Their estimation of the probable time table</t>
    <phoneticPr fontId="2"/>
  </si>
  <si>
    <t xml:space="preserve"> - Their availability and cost of capital</t>
    <phoneticPr fontId="2"/>
  </si>
  <si>
    <t xml:space="preserve"> - Alternative rates of return available to them</t>
    <phoneticPr fontId="2"/>
  </si>
  <si>
    <t>Every proposed merger, tender offer, or recapitalization involves the issuance of existing or new classes of securities.</t>
    <phoneticPr fontId="2"/>
  </si>
  <si>
    <t>…selling long the acquirer and repurchasing it - at a discount - through the target firm.</t>
    <phoneticPr fontId="2"/>
  </si>
  <si>
    <t>…so long as the merger goes through.</t>
    <phoneticPr fontId="2"/>
  </si>
  <si>
    <t>One can avoid activating the "wash sale" rule in reestablishing a position, the sole requirement being that a long sale of Y and the purchase of X occur at a time when X and Y are considered to be not substantially identical securities, i.e., before the shareholders' meeting.</t>
    <phoneticPr fontId="2"/>
  </si>
  <si>
    <t>[Enter graph]</t>
    <phoneticPr fontId="2"/>
  </si>
  <si>
    <t xml:space="preserve">…activist initiatives comprise two separate and distinctive styles. </t>
    <phoneticPr fontId="2"/>
  </si>
  <si>
    <t>"Active arbitrage" is a coporate governance-type of activism in which the activist must overcome an entrenched management that is reluctant to accept a proposed or contemplated takeover offer to shareholders, even at a substantial premium.</t>
    <phoneticPr fontId="2"/>
  </si>
  <si>
    <t>"pro-active" or "operational" activism: The activist seeks to change the strategy, blend of assets, management, capital structure, or local contrivances such as "double voting rights" for the purpose of maximizing shareholder value.</t>
    <phoneticPr fontId="2"/>
  </si>
  <si>
    <t>Crown Cork &amp; Seal (CCS) delivered to Van Dorn (VD) a proposal under which CCS would acquire VD in a merger of stock and cash at a price stated to be in excess of $16 per share</t>
    <phoneticPr fontId="2"/>
  </si>
  <si>
    <t>VD rejected the proposal</t>
    <phoneticPr fontId="2"/>
  </si>
  <si>
    <t>CCD increased the proposed price to $20 per share</t>
    <phoneticPr fontId="2"/>
  </si>
  <si>
    <t>Wyser-Pratte (WP) sent a letter to the CEO of VD, which requested that a special meeting of VD's shareholders be called for the purpose of shareholder consideration of measures with respect to the corporate governance of VD</t>
    <phoneticPr fontId="2"/>
  </si>
  <si>
    <t>WP along with other shareholders filed a Statement on Schedule 13D with the SEC, which disclosed its intent to take actions to call a special meeting of the shareholders for the purpose of addressing proposals.</t>
    <phoneticPr fontId="2"/>
  </si>
  <si>
    <t>WP filed with the SEC definitive proxy material urging VD's shareholders to withhold their vote for the election to director status of the three candidates nominated by VD's board, and instead, to attend the 1992 Annual Meeting and vote in person.</t>
    <phoneticPr fontId="2"/>
  </si>
  <si>
    <t>Example: Van Dorn Corporation (1991~)</t>
    <phoneticPr fontId="2"/>
  </si>
  <si>
    <t>-</t>
    <phoneticPr fontId="2"/>
  </si>
  <si>
    <t>PV sums</t>
    <phoneticPr fontId="2"/>
  </si>
  <si>
    <t>PV short term forecast</t>
    <phoneticPr fontId="2"/>
  </si>
  <si>
    <t>Continuing value</t>
    <phoneticPr fontId="2"/>
  </si>
  <si>
    <t>PV continuing value</t>
    <phoneticPr fontId="2"/>
  </si>
  <si>
    <t>Market value of asset</t>
    <phoneticPr fontId="2"/>
  </si>
  <si>
    <t>Debt</t>
    <phoneticPr fontId="2"/>
  </si>
  <si>
    <t>Market value of equity</t>
    <phoneticPr fontId="2"/>
  </si>
  <si>
    <t>Number of shares</t>
    <phoneticPr fontId="2"/>
  </si>
  <si>
    <t>Stock price</t>
    <phoneticPr fontId="2"/>
  </si>
  <si>
    <t>PV economic profit 1-3</t>
    <phoneticPr fontId="2"/>
  </si>
  <si>
    <t>Invested capital</t>
    <phoneticPr fontId="2"/>
  </si>
  <si>
    <t>ROIC</t>
    <phoneticPr fontId="2"/>
  </si>
  <si>
    <t>D/IC</t>
    <phoneticPr fontId="2"/>
  </si>
  <si>
    <t>Eq/IC</t>
    <phoneticPr fontId="2"/>
  </si>
  <si>
    <t>Tax rate</t>
    <phoneticPr fontId="2"/>
  </si>
  <si>
    <t>Interest rate</t>
    <phoneticPr fontId="2"/>
  </si>
  <si>
    <t>Growth (Investment/Capital)</t>
    <phoneticPr fontId="2"/>
  </si>
  <si>
    <t>Investment rate (Growth/ROIC)</t>
    <phoneticPr fontId="2"/>
  </si>
  <si>
    <t>EBIT/Sales</t>
    <phoneticPr fontId="2"/>
  </si>
  <si>
    <t>Sales/IC</t>
    <phoneticPr fontId="2"/>
  </si>
  <si>
    <t>WC/Sales</t>
    <phoneticPr fontId="2"/>
  </si>
  <si>
    <t>NFAOA/Sales</t>
    <phoneticPr fontId="2"/>
  </si>
  <si>
    <t>Operating expense/Sales</t>
    <phoneticPr fontId="2"/>
  </si>
  <si>
    <t>SG&amp;A/Sales</t>
    <phoneticPr fontId="2"/>
  </si>
  <si>
    <t>Depreciation/Sales</t>
    <phoneticPr fontId="2"/>
  </si>
  <si>
    <t>Change in deferred tax/Sales</t>
    <phoneticPr fontId="2"/>
  </si>
  <si>
    <t>Best attempt at recreating the book's example (I put the formulas in)</t>
    <phoneticPr fontId="2"/>
  </si>
  <si>
    <t>There is some precision error, I suspect, due to non-visible decimal points for numbers given in the book's displayed spreadsheet.</t>
    <phoneticPr fontId="2"/>
  </si>
  <si>
    <t>??? Given ???</t>
    <phoneticPr fontId="2"/>
  </si>
  <si>
    <t>??? Formula ???</t>
    <phoneticPr fontId="2"/>
  </si>
  <si>
    <t>Royal Oak (RO) announces its C$2 billion offer for LAC Minerals (LAC)</t>
    <phoneticPr fontId="2"/>
  </si>
  <si>
    <t>LAC's board of directors rejected RO's offer</t>
    <phoneticPr fontId="2"/>
  </si>
  <si>
    <t>American Barrick Resources (ABR) joins the bidding for LAC</t>
    <phoneticPr fontId="2"/>
  </si>
  <si>
    <t>RO increases its bid to C$2.4 billion</t>
    <phoneticPr fontId="2"/>
  </si>
  <si>
    <t>LAC rejects the offer</t>
    <phoneticPr fontId="2"/>
  </si>
  <si>
    <t>ABR announced it had signed an agreement with LAC to make an increased offer</t>
    <phoneticPr fontId="2"/>
  </si>
  <si>
    <t>ABR successfully acquired over 80 percent of LAC common shares</t>
    <phoneticPr fontId="2"/>
  </si>
  <si>
    <t>More than 90 percent of the shares of LAC were tendered for the takeover offer by ABR</t>
    <phoneticPr fontId="2"/>
  </si>
  <si>
    <t>LAC chairman &amp; CEO, Peter Allen, resigns</t>
    <phoneticPr fontId="2"/>
  </si>
  <si>
    <t>Wyser-Pratte (WP) sends a letter to the board of LAC urging the board to "either accept RO's offer or work for a better one." WP further warned the board that "any attempt by the board of directors to return to the status-quo or pursue a scorched earth policy will be met with the utmost resistance on our part and the part of other shareholders." (threat of proxy fight)</t>
    <phoneticPr fontId="2"/>
  </si>
  <si>
    <t>Kinross Gold Corp. (KGC) willing to play the role of white knight. LAC will not talk with them.</t>
    <phoneticPr fontId="2"/>
  </si>
  <si>
    <t>LAC receives cash and stock offer from BRO valued at $2.4 billion. LAC accepts.</t>
    <phoneticPr fontId="2"/>
  </si>
  <si>
    <t>Example: LAC Minerals Ltd. (Canada) (1994~)</t>
    <phoneticPr fontId="2"/>
  </si>
  <si>
    <t>Wyser-Pratte (WP) urged the company to split itself into three parts: sell or spinoff its footwear, apparel, and eye-care units</t>
    <phoneticPr fontId="2"/>
  </si>
  <si>
    <t>WP filed a proxy to nominate William Frazier to be an independent director of U.S. Shoe's board</t>
    <phoneticPr fontId="2"/>
  </si>
  <si>
    <t>Luxottica Group (LG) made a $24 per share offer, which USS rejected</t>
    <phoneticPr fontId="2"/>
  </si>
  <si>
    <t>LG won its battle to take over USS with an increased offer worth $1.3 billion. Both companies reached an agreement of $28 in cash for each USS share.</t>
    <phoneticPr fontId="2"/>
  </si>
  <si>
    <t>A shareholder meeting took place at which time USS shareholders approved the acquisition. The deal closed shortly after the meeting.</t>
    <phoneticPr fontId="2"/>
  </si>
  <si>
    <t>Nine West (NW) sent a letter to the chairman and members of the board of directors of the U.S. Shoe Corporation (USS) proposing a combination of the footwear business of the two companies (with an offer valued at $425M). USS rejected the proposal two days later.</t>
    <phoneticPr fontId="2"/>
  </si>
  <si>
    <t>Example: U.S. Shoe Corporation (USA) (1994~)</t>
    <phoneticPr fontId="2"/>
  </si>
  <si>
    <t>p. 197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</si>
</sst>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_);\(\$#,##0\)"/>
    <numFmt numFmtId="165" formatCode="\$#,##0_);[Red]\(\$#,##0\)"/>
    <numFmt numFmtId="166" formatCode="#,##0_ "/>
    <numFmt numFmtId="167" formatCode="#,##0.0000;[Red]\-#,##0.0000"/>
    <numFmt numFmtId="168" formatCode="0.0%"/>
    <numFmt numFmtId="169" formatCode="0.000%"/>
    <numFmt numFmtId="170" formatCode="#,##0.0_);\(#,##0.0\)"/>
    <numFmt numFmtId="171" formatCode="0.0000%"/>
    <numFmt numFmtId="172" formatCode="0.0000"/>
    <numFmt numFmtId="173" formatCode="0.000"/>
    <numFmt numFmtId="174" formatCode="#,##0.000000"/>
  </numFmts>
  <fonts count="10">
    <font>
      <sz val="11"/>
      <color theme="1"/>
      <name val="Cambria"/>
      <family val="2"/>
      <charset val="128"/>
    </font>
    <font>
      <sz val="11"/>
      <color theme="1"/>
      <name val="Cambria"/>
      <family val="2"/>
      <charset val="128"/>
    </font>
    <font>
      <sz val="6"/>
      <name val="Cambria"/>
      <family val="2"/>
      <charset val="128"/>
    </font>
    <font>
      <sz val="11"/>
      <color rgb="FFFF0000"/>
      <name val="Cambria"/>
      <family val="2"/>
      <charset val="128"/>
    </font>
    <font>
      <sz val="11"/>
      <color rgb="FFFF0000"/>
      <name val="Cambria"/>
      <family val="1"/>
    </font>
    <font>
      <sz val="11"/>
      <name val="Cambria"/>
      <family val="2"/>
      <charset val="128"/>
    </font>
    <font>
      <sz val="11"/>
      <color theme="1"/>
      <name val="Cambria"/>
      <family val="1"/>
    </font>
    <font>
      <b/>
      <sz val="11"/>
      <color theme="1"/>
      <name val="Cambria"/>
      <family val="1"/>
    </font>
    <font>
      <b/>
      <sz val="9"/>
      <color theme="1"/>
      <name val="Cambria"/>
      <family val="1"/>
    </font>
    <font>
      <b/>
      <u/>
      <sz val="11"/>
      <color theme="1"/>
      <name val="Cambria"/>
      <family val="1"/>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top style="thin">
        <color indexed="64"/>
      </top>
      <bottom/>
      <diagonal/>
    </border>
    <border>
      <left/>
      <right/>
      <top style="double">
        <color auto="1"/>
      </top>
      <bottom style="double">
        <color auto="1"/>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8">
    <xf numFmtId="0" fontId="0" fillId="0" borderId="0" xfId="0">
      <alignment vertical="center"/>
    </xf>
    <xf numFmtId="0" fontId="3" fillId="0" borderId="0" xfId="0" applyFont="1">
      <alignment vertical="center"/>
    </xf>
    <xf numFmtId="0" fontId="7" fillId="0" borderId="0" xfId="0" applyFont="1">
      <alignment vertical="center"/>
    </xf>
    <xf numFmtId="0" fontId="6" fillId="0" borderId="0" xfId="0" applyFont="1" applyAlignment="1">
      <alignment horizontal="left" vertical="center" indent="1"/>
    </xf>
    <xf numFmtId="0" fontId="0" fillId="0" borderId="0" xfId="0" applyAlignment="1">
      <alignment horizontal="left" vertical="center" indent="1"/>
    </xf>
    <xf numFmtId="9" fontId="0" fillId="0" borderId="0" xfId="0" applyNumberFormat="1">
      <alignment vertical="center"/>
    </xf>
    <xf numFmtId="165" fontId="0" fillId="0" borderId="0" xfId="0" applyNumberFormat="1">
      <alignment vertical="center"/>
    </xf>
    <xf numFmtId="3" fontId="0" fillId="0" borderId="0" xfId="0" applyNumberFormat="1">
      <alignment vertical="center"/>
    </xf>
    <xf numFmtId="3" fontId="0" fillId="0" borderId="1" xfId="0" applyNumberFormat="1" applyBorder="1">
      <alignment vertical="center"/>
    </xf>
    <xf numFmtId="0" fontId="0" fillId="0" borderId="1" xfId="0" applyBorder="1">
      <alignment vertical="center"/>
    </xf>
    <xf numFmtId="0" fontId="7" fillId="0" borderId="1" xfId="0" applyFont="1" applyBorder="1">
      <alignment vertical="center"/>
    </xf>
    <xf numFmtId="9" fontId="0" fillId="2" borderId="0" xfId="0" applyNumberFormat="1" applyFill="1">
      <alignment vertical="center"/>
    </xf>
    <xf numFmtId="3" fontId="0" fillId="2" borderId="0" xfId="0" applyNumberFormat="1" applyFill="1">
      <alignment vertical="center"/>
    </xf>
    <xf numFmtId="10" fontId="0" fillId="0" borderId="0" xfId="0" applyNumberFormat="1">
      <alignment vertical="center"/>
    </xf>
    <xf numFmtId="0" fontId="0" fillId="2" borderId="0" xfId="0" applyFill="1">
      <alignment vertical="center"/>
    </xf>
    <xf numFmtId="10" fontId="0" fillId="2" borderId="0" xfId="0" applyNumberFormat="1" applyFill="1">
      <alignment vertical="center"/>
    </xf>
    <xf numFmtId="166" fontId="0" fillId="0" borderId="0" xfId="0" applyNumberFormat="1">
      <alignment vertical="center"/>
    </xf>
    <xf numFmtId="166" fontId="5" fillId="2" borderId="0" xfId="0" applyNumberFormat="1" applyFont="1" applyFill="1">
      <alignment vertical="center"/>
    </xf>
    <xf numFmtId="0" fontId="0" fillId="0" borderId="0" xfId="0" applyAlignment="1">
      <alignment vertical="top"/>
    </xf>
    <xf numFmtId="37" fontId="0" fillId="2" borderId="0" xfId="0" applyNumberFormat="1" applyFill="1">
      <alignment vertical="center"/>
    </xf>
    <xf numFmtId="164" fontId="0" fillId="2" borderId="0" xfId="0" applyNumberFormat="1" applyFill="1">
      <alignment vertical="center"/>
    </xf>
    <xf numFmtId="37" fontId="0" fillId="0" borderId="0" xfId="0" applyNumberFormat="1">
      <alignment vertical="center"/>
    </xf>
    <xf numFmtId="37" fontId="0" fillId="0" borderId="5" xfId="0" applyNumberFormat="1" applyBorder="1">
      <alignment vertical="center"/>
    </xf>
    <xf numFmtId="37" fontId="0" fillId="0" borderId="1" xfId="0" applyNumberFormat="1" applyBorder="1">
      <alignment vertical="center"/>
    </xf>
    <xf numFmtId="1" fontId="0" fillId="0" borderId="0" xfId="0" applyNumberFormat="1">
      <alignment vertical="center"/>
    </xf>
    <xf numFmtId="37" fontId="0" fillId="0" borderId="6" xfId="0" applyNumberFormat="1" applyBorder="1">
      <alignment vertical="center"/>
    </xf>
    <xf numFmtId="9" fontId="0" fillId="0" borderId="0" xfId="2" applyFont="1">
      <alignment vertical="center"/>
    </xf>
    <xf numFmtId="167" fontId="0" fillId="0" borderId="0" xfId="1" applyNumberFormat="1" applyFont="1">
      <alignment vertical="center"/>
    </xf>
    <xf numFmtId="1" fontId="0" fillId="0" borderId="1" xfId="0" applyNumberFormat="1" applyBorder="1">
      <alignment vertical="center"/>
    </xf>
    <xf numFmtId="168" fontId="0" fillId="0" borderId="0" xfId="2" applyNumberFormat="1" applyFont="1">
      <alignment vertical="center"/>
    </xf>
    <xf numFmtId="168" fontId="0" fillId="0" borderId="1" xfId="2" applyNumberFormat="1" applyFont="1" applyBorder="1">
      <alignment vertical="center"/>
    </xf>
    <xf numFmtId="2" fontId="0" fillId="0" borderId="1" xfId="0" applyNumberFormat="1" applyBorder="1">
      <alignment vertical="center"/>
    </xf>
    <xf numFmtId="169" fontId="0" fillId="0" borderId="0" xfId="2" applyNumberFormat="1" applyFont="1">
      <alignment vertical="center"/>
    </xf>
    <xf numFmtId="37" fontId="0" fillId="0" borderId="7" xfId="0" applyNumberFormat="1" applyBorder="1">
      <alignment vertical="center"/>
    </xf>
    <xf numFmtId="37" fontId="0" fillId="0" borderId="8" xfId="0" applyNumberFormat="1" applyBorder="1">
      <alignment vertical="center"/>
    </xf>
    <xf numFmtId="37" fontId="3" fillId="0" borderId="0" xfId="0" applyNumberFormat="1" applyFont="1">
      <alignment vertical="center"/>
    </xf>
    <xf numFmtId="2" fontId="3" fillId="0" borderId="0" xfId="0" applyNumberFormat="1" applyFont="1">
      <alignment vertical="center"/>
    </xf>
    <xf numFmtId="168" fontId="0" fillId="2" borderId="0" xfId="0" applyNumberFormat="1" applyFill="1">
      <alignment vertical="center"/>
    </xf>
    <xf numFmtId="170" fontId="0" fillId="0" borderId="0" xfId="0" applyNumberFormat="1">
      <alignment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0" fillId="0" borderId="9" xfId="0" applyBorder="1">
      <alignment vertical="center"/>
    </xf>
    <xf numFmtId="0" fontId="9" fillId="0" borderId="0" xfId="0" applyFont="1">
      <alignment vertical="center"/>
    </xf>
    <xf numFmtId="37" fontId="0" fillId="0" borderId="9" xfId="0" applyNumberFormat="1" applyBorder="1">
      <alignment vertical="center"/>
    </xf>
    <xf numFmtId="0" fontId="0" fillId="0" borderId="11" xfId="0" applyBorder="1">
      <alignment vertical="center"/>
    </xf>
    <xf numFmtId="168" fontId="0" fillId="0" borderId="0" xfId="0" applyNumberFormat="1">
      <alignment vertical="center"/>
    </xf>
    <xf numFmtId="171" fontId="0" fillId="0" borderId="0" xfId="0" applyNumberFormat="1">
      <alignment vertical="center"/>
    </xf>
    <xf numFmtId="169" fontId="0" fillId="2" borderId="0" xfId="0" applyNumberFormat="1" applyFill="1">
      <alignment vertical="center"/>
    </xf>
    <xf numFmtId="0" fontId="0" fillId="0" borderId="7" xfId="0" applyBorder="1">
      <alignment vertical="center"/>
    </xf>
    <xf numFmtId="10" fontId="0" fillId="2" borderId="14" xfId="0" applyNumberFormat="1" applyFill="1" applyBorder="1">
      <alignment vertical="center"/>
    </xf>
    <xf numFmtId="10" fontId="0" fillId="2" borderId="7" xfId="0" applyNumberFormat="1" applyFill="1" applyBorder="1">
      <alignment vertical="center"/>
    </xf>
    <xf numFmtId="10" fontId="0" fillId="2" borderId="15" xfId="0" applyNumberFormat="1" applyFill="1" applyBorder="1">
      <alignment vertical="center"/>
    </xf>
    <xf numFmtId="10" fontId="0" fillId="2" borderId="13" xfId="0" applyNumberFormat="1" applyFill="1" applyBorder="1">
      <alignment vertical="center"/>
    </xf>
    <xf numFmtId="37" fontId="0" fillId="0" borderId="3" xfId="0" applyNumberFormat="1" applyBorder="1">
      <alignment vertical="center"/>
    </xf>
    <xf numFmtId="10" fontId="0" fillId="2" borderId="2" xfId="0" applyNumberFormat="1" applyFill="1" applyBorder="1">
      <alignment vertical="center"/>
    </xf>
    <xf numFmtId="10" fontId="0" fillId="2" borderId="3" xfId="0" applyNumberFormat="1" applyFill="1" applyBorder="1">
      <alignment vertical="center"/>
    </xf>
    <xf numFmtId="10" fontId="0" fillId="2" borderId="4" xfId="0" applyNumberFormat="1" applyFill="1" applyBorder="1">
      <alignment vertical="center"/>
    </xf>
    <xf numFmtId="10" fontId="0" fillId="2" borderId="10" xfId="0" applyNumberFormat="1" applyFill="1" applyBorder="1">
      <alignment vertical="center"/>
    </xf>
    <xf numFmtId="10" fontId="0" fillId="2" borderId="16" xfId="0" applyNumberFormat="1" applyFill="1" applyBorder="1">
      <alignment vertical="center"/>
    </xf>
    <xf numFmtId="10" fontId="0" fillId="2" borderId="1" xfId="0" applyNumberFormat="1" applyFill="1" applyBorder="1">
      <alignment vertical="center"/>
    </xf>
    <xf numFmtId="10" fontId="0" fillId="2" borderId="17" xfId="0" applyNumberFormat="1" applyFill="1" applyBorder="1">
      <alignment vertical="center"/>
    </xf>
    <xf numFmtId="169" fontId="0" fillId="2" borderId="18" xfId="0" applyNumberFormat="1" applyFill="1" applyBorder="1">
      <alignment vertical="center"/>
    </xf>
    <xf numFmtId="169" fontId="0" fillId="2" borderId="19" xfId="0" applyNumberFormat="1" applyFill="1" applyBorder="1">
      <alignment vertical="center"/>
    </xf>
    <xf numFmtId="169" fontId="0" fillId="2" borderId="11" xfId="0" applyNumberFormat="1" applyFill="1" applyBorder="1">
      <alignment vertical="center"/>
    </xf>
    <xf numFmtId="169" fontId="0" fillId="2" borderId="16" xfId="0" applyNumberFormat="1" applyFill="1" applyBorder="1">
      <alignment vertical="center"/>
    </xf>
    <xf numFmtId="169" fontId="0" fillId="2" borderId="1" xfId="0" applyNumberFormat="1" applyFill="1" applyBorder="1">
      <alignment vertical="center"/>
    </xf>
    <xf numFmtId="169" fontId="0" fillId="2" borderId="17" xfId="0" applyNumberFormat="1" applyFill="1" applyBorder="1">
      <alignment vertical="center"/>
    </xf>
    <xf numFmtId="169" fontId="0" fillId="2" borderId="12" xfId="0" applyNumberFormat="1" applyFill="1" applyBorder="1">
      <alignment vertical="center"/>
    </xf>
    <xf numFmtId="171" fontId="0" fillId="2" borderId="14" xfId="0" applyNumberFormat="1" applyFill="1" applyBorder="1">
      <alignment vertical="center"/>
    </xf>
    <xf numFmtId="171" fontId="0" fillId="2" borderId="7" xfId="0" applyNumberFormat="1" applyFill="1" applyBorder="1">
      <alignment vertical="center"/>
    </xf>
    <xf numFmtId="171" fontId="0" fillId="2" borderId="15" xfId="0" applyNumberFormat="1" applyFill="1" applyBorder="1">
      <alignment vertical="center"/>
    </xf>
    <xf numFmtId="171" fontId="0" fillId="2" borderId="16" xfId="0" applyNumberFormat="1" applyFill="1" applyBorder="1">
      <alignment vertical="center"/>
    </xf>
    <xf numFmtId="171" fontId="0" fillId="2" borderId="1" xfId="0" applyNumberFormat="1" applyFill="1" applyBorder="1">
      <alignment vertical="center"/>
    </xf>
    <xf numFmtId="171" fontId="0" fillId="2" borderId="17" xfId="0" applyNumberFormat="1" applyFill="1" applyBorder="1">
      <alignment vertical="center"/>
    </xf>
    <xf numFmtId="172" fontId="0" fillId="0" borderId="0" xfId="0" applyNumberFormat="1">
      <alignment vertical="center"/>
    </xf>
    <xf numFmtId="3" fontId="0" fillId="0" borderId="6" xfId="0" applyNumberFormat="1" applyBorder="1">
      <alignment vertical="center"/>
    </xf>
    <xf numFmtId="0" fontId="0" fillId="3" borderId="0" xfId="0" applyFill="1">
      <alignment vertical="center"/>
    </xf>
    <xf numFmtId="3" fontId="0" fillId="3" borderId="0" xfId="0" applyNumberFormat="1" applyFill="1">
      <alignment vertical="center"/>
    </xf>
    <xf numFmtId="37" fontId="3" fillId="0" borderId="5" xfId="0" applyNumberFormat="1" applyFont="1" applyBorder="1">
      <alignment vertical="center"/>
    </xf>
    <xf numFmtId="171" fontId="0" fillId="3" borderId="0" xfId="0" applyNumberFormat="1" applyFill="1">
      <alignment vertical="center"/>
    </xf>
    <xf numFmtId="2" fontId="0" fillId="0" borderId="10" xfId="0" applyNumberFormat="1" applyBorder="1">
      <alignment vertical="center"/>
    </xf>
    <xf numFmtId="173" fontId="0" fillId="0" borderId="0" xfId="0" applyNumberFormat="1">
      <alignment vertical="center"/>
    </xf>
    <xf numFmtId="174" fontId="0" fillId="0" borderId="0" xfId="0" applyNumberFormat="1">
      <alignment vertical="center"/>
    </xf>
    <xf numFmtId="10" fontId="3" fillId="0" borderId="10" xfId="0" applyNumberFormat="1" applyFont="1" applyBorder="1">
      <alignment vertical="center"/>
    </xf>
    <xf numFmtId="37" fontId="5" fillId="0" borderId="9" xfId="0" applyNumberFormat="1" applyFont="1" applyBorder="1">
      <alignment vertical="center"/>
    </xf>
    <xf numFmtId="37" fontId="5" fillId="0" borderId="0" xfId="0" applyNumberFormat="1" applyFont="1">
      <alignment vertical="center"/>
    </xf>
    <xf numFmtId="3" fontId="0" fillId="0" borderId="13" xfId="0" applyNumberFormat="1" applyBorder="1">
      <alignment vertical="center"/>
    </xf>
    <xf numFmtId="3" fontId="0" fillId="0" borderId="11" xfId="0" applyNumberFormat="1" applyBorder="1">
      <alignment vertical="center"/>
    </xf>
    <xf numFmtId="37" fontId="0" fillId="0" borderId="11" xfId="0" applyNumberFormat="1" applyBorder="1">
      <alignment vertical="center"/>
    </xf>
    <xf numFmtId="3" fontId="0" fillId="0" borderId="10" xfId="0" applyNumberFormat="1" applyBorder="1">
      <alignment vertical="center"/>
    </xf>
    <xf numFmtId="0" fontId="4" fillId="0" borderId="0" xfId="0" applyFont="1" applyAlignment="1">
      <alignment horizontal="left" vertical="top"/>
    </xf>
    <xf numFmtId="37" fontId="0" fillId="0" borderId="10" xfId="0" applyNumberFormat="1" applyBorder="1">
      <alignment vertical="center"/>
    </xf>
    <xf numFmtId="0" fontId="4" fillId="0" borderId="7" xfId="0" applyFont="1" applyBorder="1" applyAlignment="1">
      <alignment horizontal="left" vertical="top"/>
    </xf>
    <xf numFmtId="0" fontId="4" fillId="0" borderId="1" xfId="0" applyFont="1" applyBorder="1">
      <alignment vertical="center"/>
    </xf>
    <xf numFmtId="0" fontId="4" fillId="0" borderId="1" xfId="0" applyFont="1" applyBorder="1" applyAlignment="1">
      <alignment horizontal="left" vertical="top"/>
    </xf>
    <xf numFmtId="0" fontId="0" fillId="0" borderId="0" xfId="0"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cellXfs>
  <cellStyles count="3">
    <cellStyle name="Comma [0]" xfId="1" builtinId="6"/>
    <cellStyle name="Normal" xfId="0" builtinId="0"/>
    <cellStyle name="Percent" xfId="2" builtinId="5"/>
  </cellStyles>
  <dxfs count="0"/>
  <tableStyles count="0" defaultTableStyle="TableStyleMedium2" defaultPivotStyle="PivotStyleLight16"/>
  <colors>
    <mruColors>
      <color rgb="FF0A3B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B2:M405"/>
  <sheetViews>
    <sheetView showGridLines="0" tabSelected="1" topLeftCell="A76" workbookViewId="0">
      <selection activeCell="C4" sqref="C4"/>
    </sheetView>
  </sheetViews>
  <sheetFormatPr defaultRowHeight="14.25"/>
  <cols>
    <col min="6" max="6" width="10.375" customWidth="1"/>
    <col min="7" max="9" width="11.875" bestFit="1" customWidth="1"/>
    <col min="10" max="10" width="12" customWidth="1"/>
  </cols>
  <sheetData>
    <row r="2" spans="2:12">
      <c r="B2" s="2" t="s">
        <v>17</v>
      </c>
      <c r="L2" s="2" t="s">
        <v>0</v>
      </c>
    </row>
    <row r="3" spans="2:12">
      <c r="L3" s="3" t="s">
        <v>1</v>
      </c>
    </row>
    <row r="4" spans="2:12">
      <c r="B4" s="2" t="s">
        <v>12</v>
      </c>
      <c r="L4" s="3" t="s">
        <v>2</v>
      </c>
    </row>
    <row r="5" spans="2:12">
      <c r="B5" t="s">
        <v>13</v>
      </c>
      <c r="L5" s="3" t="s">
        <v>3</v>
      </c>
    </row>
    <row r="6" spans="2:12">
      <c r="B6" t="s">
        <v>14</v>
      </c>
      <c r="L6" s="3" t="s">
        <v>4</v>
      </c>
    </row>
    <row r="7" spans="2:12">
      <c r="B7" t="s">
        <v>15</v>
      </c>
      <c r="L7" s="4"/>
    </row>
    <row r="8" spans="2:12">
      <c r="B8" t="s">
        <v>16</v>
      </c>
      <c r="L8" s="3" t="s">
        <v>5</v>
      </c>
    </row>
    <row r="9" spans="2:12">
      <c r="L9" s="3" t="s">
        <v>6</v>
      </c>
    </row>
    <row r="10" spans="2:12">
      <c r="B10" s="2" t="s">
        <v>18</v>
      </c>
      <c r="L10" s="4"/>
    </row>
    <row r="11" spans="2:12">
      <c r="B11" t="s">
        <v>19</v>
      </c>
      <c r="L11" s="3" t="s">
        <v>7</v>
      </c>
    </row>
    <row r="12" spans="2:12">
      <c r="B12" t="s">
        <v>20</v>
      </c>
      <c r="L12" s="3" t="s">
        <v>8</v>
      </c>
    </row>
    <row r="13" spans="2:12">
      <c r="B13" t="s">
        <v>21</v>
      </c>
      <c r="L13" s="3" t="s">
        <v>9</v>
      </c>
    </row>
    <row r="14" spans="2:12">
      <c r="L14" s="4"/>
    </row>
    <row r="15" spans="2:12">
      <c r="B15" s="2" t="s">
        <v>22</v>
      </c>
      <c r="L15" s="3" t="s">
        <v>10</v>
      </c>
    </row>
    <row r="16" spans="2:12">
      <c r="B16" t="s">
        <v>23</v>
      </c>
      <c r="L16" s="3" t="s">
        <v>11</v>
      </c>
    </row>
    <row r="17" spans="2:12">
      <c r="B17" t="s">
        <v>24</v>
      </c>
    </row>
    <row r="18" spans="2:12">
      <c r="B18" t="s">
        <v>25</v>
      </c>
    </row>
    <row r="20" spans="2:12">
      <c r="D20" t="s">
        <v>26</v>
      </c>
      <c r="E20" t="s">
        <v>27</v>
      </c>
    </row>
    <row r="21" spans="2:12">
      <c r="B21" t="s">
        <v>34</v>
      </c>
      <c r="D21" s="6">
        <v>1000</v>
      </c>
      <c r="E21" s="6">
        <v>1000</v>
      </c>
    </row>
    <row r="22" spans="2:12">
      <c r="B22" t="s">
        <v>41</v>
      </c>
      <c r="D22" s="5">
        <v>0.1</v>
      </c>
      <c r="E22" s="5">
        <v>0.1</v>
      </c>
    </row>
    <row r="23" spans="2:12">
      <c r="B23" t="s">
        <v>28</v>
      </c>
      <c r="D23" t="s">
        <v>29</v>
      </c>
      <c r="E23" t="s">
        <v>32</v>
      </c>
    </row>
    <row r="24" spans="2:12">
      <c r="B24" t="s">
        <v>30</v>
      </c>
      <c r="D24" s="5">
        <v>0.1</v>
      </c>
      <c r="E24" t="s">
        <v>31</v>
      </c>
    </row>
    <row r="25" spans="2:12">
      <c r="L25" s="2" t="s">
        <v>293</v>
      </c>
    </row>
    <row r="26" spans="2:12">
      <c r="B26" t="s">
        <v>33</v>
      </c>
      <c r="L26" t="s">
        <v>294</v>
      </c>
    </row>
    <row r="28" spans="2:12">
      <c r="L28" t="s">
        <v>296</v>
      </c>
    </row>
    <row r="29" spans="2:12">
      <c r="B29" t="s">
        <v>35</v>
      </c>
      <c r="C29" s="10" t="s">
        <v>36</v>
      </c>
      <c r="D29" s="10"/>
      <c r="E29" s="10">
        <v>0</v>
      </c>
      <c r="F29" s="10">
        <v>1</v>
      </c>
      <c r="G29" s="10">
        <v>2</v>
      </c>
    </row>
    <row r="30" spans="2:12">
      <c r="C30" t="s">
        <v>42</v>
      </c>
      <c r="E30">
        <v>0</v>
      </c>
      <c r="F30">
        <v>-100</v>
      </c>
      <c r="G30">
        <v>-100</v>
      </c>
      <c r="L30" t="s">
        <v>295</v>
      </c>
    </row>
    <row r="31" spans="2:12">
      <c r="C31" t="s">
        <v>37</v>
      </c>
      <c r="E31" s="8">
        <v>1000</v>
      </c>
      <c r="F31" s="9">
        <v>0</v>
      </c>
      <c r="G31" s="9">
        <v>-1000</v>
      </c>
    </row>
    <row r="32" spans="2:12">
      <c r="C32" t="s">
        <v>38</v>
      </c>
      <c r="E32" s="7">
        <f>SUM(E30:E31)</f>
        <v>1000</v>
      </c>
      <c r="F32">
        <f>SUM(F30:F31)</f>
        <v>-100</v>
      </c>
      <c r="G32">
        <f>SUM(G30:G31)</f>
        <v>-1100</v>
      </c>
      <c r="L32" t="s">
        <v>297</v>
      </c>
    </row>
    <row r="33" spans="2:12">
      <c r="C33" t="s">
        <v>39</v>
      </c>
      <c r="E33" s="5">
        <f>IRR(E32:G32)</f>
        <v>9.9999999999999867E-2</v>
      </c>
    </row>
    <row r="34" spans="2:12">
      <c r="L34" t="s">
        <v>298</v>
      </c>
    </row>
    <row r="35" spans="2:12">
      <c r="B35" t="s">
        <v>40</v>
      </c>
      <c r="C35" s="10" t="s">
        <v>36</v>
      </c>
      <c r="D35" s="10"/>
      <c r="E35" s="10">
        <v>0</v>
      </c>
      <c r="F35" s="10">
        <v>1</v>
      </c>
      <c r="G35" s="10">
        <v>2</v>
      </c>
      <c r="L35" t="s">
        <v>299</v>
      </c>
    </row>
    <row r="36" spans="2:12">
      <c r="C36" t="s">
        <v>42</v>
      </c>
      <c r="E36">
        <v>0</v>
      </c>
      <c r="F36">
        <v>-100</v>
      </c>
      <c r="G36">
        <f>-100+50</f>
        <v>-50</v>
      </c>
      <c r="L36" t="s">
        <v>300</v>
      </c>
    </row>
    <row r="37" spans="2:12">
      <c r="C37" t="s">
        <v>37</v>
      </c>
      <c r="E37" s="8">
        <v>1000</v>
      </c>
      <c r="F37" s="9">
        <v>-500</v>
      </c>
      <c r="G37" s="9">
        <v>-500</v>
      </c>
      <c r="L37" t="s">
        <v>301</v>
      </c>
    </row>
    <row r="38" spans="2:12">
      <c r="C38" t="s">
        <v>38</v>
      </c>
      <c r="E38" s="7">
        <f>SUM(E36:E37)</f>
        <v>1000</v>
      </c>
      <c r="F38">
        <f>SUM(F36:F37)</f>
        <v>-600</v>
      </c>
      <c r="G38">
        <f>SUM(G36:G37)</f>
        <v>-550</v>
      </c>
      <c r="L38" t="s">
        <v>302</v>
      </c>
    </row>
    <row r="39" spans="2:12">
      <c r="C39" t="s">
        <v>39</v>
      </c>
      <c r="E39" s="5">
        <f>IRR(E38:G38)</f>
        <v>9.9999999999999867E-2</v>
      </c>
      <c r="L39" t="s">
        <v>303</v>
      </c>
    </row>
    <row r="41" spans="2:12">
      <c r="C41" t="s">
        <v>43</v>
      </c>
      <c r="L41" t="s">
        <v>304</v>
      </c>
    </row>
    <row r="42" spans="2:12">
      <c r="L42" t="s">
        <v>305</v>
      </c>
    </row>
    <row r="43" spans="2:12">
      <c r="L43" t="s">
        <v>306</v>
      </c>
    </row>
    <row r="44" spans="2:12">
      <c r="B44" s="2" t="s">
        <v>44</v>
      </c>
      <c r="L44" t="s">
        <v>307</v>
      </c>
    </row>
    <row r="46" spans="2:12">
      <c r="B46" t="s">
        <v>52</v>
      </c>
      <c r="C46" s="6">
        <v>1000</v>
      </c>
    </row>
    <row r="47" spans="2:12">
      <c r="B47" t="s">
        <v>53</v>
      </c>
      <c r="C47" s="5">
        <v>0.1</v>
      </c>
      <c r="L47" t="s">
        <v>308</v>
      </c>
    </row>
    <row r="48" spans="2:12">
      <c r="B48" t="s">
        <v>54</v>
      </c>
      <c r="C48" s="5">
        <v>0.4</v>
      </c>
    </row>
    <row r="49" spans="2:12">
      <c r="C49" s="5"/>
      <c r="L49" t="s">
        <v>309</v>
      </c>
    </row>
    <row r="50" spans="2:12">
      <c r="B50" t="s">
        <v>51</v>
      </c>
      <c r="C50" s="10" t="s">
        <v>36</v>
      </c>
      <c r="D50" s="10"/>
      <c r="E50" s="10">
        <v>0</v>
      </c>
      <c r="G50" s="10">
        <v>1</v>
      </c>
      <c r="H50" s="10">
        <v>2</v>
      </c>
      <c r="L50" t="s">
        <v>310</v>
      </c>
    </row>
    <row r="51" spans="2:12">
      <c r="C51" t="s">
        <v>45</v>
      </c>
      <c r="E51">
        <v>0</v>
      </c>
      <c r="G51">
        <v>0</v>
      </c>
      <c r="H51">
        <v>0</v>
      </c>
      <c r="L51" t="s">
        <v>311</v>
      </c>
    </row>
    <row r="52" spans="2:12">
      <c r="C52" t="s">
        <v>46</v>
      </c>
      <c r="E52">
        <v>0</v>
      </c>
      <c r="G52">
        <v>-100</v>
      </c>
      <c r="H52">
        <v>-100</v>
      </c>
    </row>
    <row r="53" spans="2:12">
      <c r="C53" t="s">
        <v>47</v>
      </c>
      <c r="E53">
        <v>0</v>
      </c>
      <c r="G53">
        <v>40</v>
      </c>
      <c r="H53">
        <v>40</v>
      </c>
      <c r="L53" s="42" t="s">
        <v>318</v>
      </c>
    </row>
    <row r="54" spans="2:12">
      <c r="C54" t="s">
        <v>48</v>
      </c>
      <c r="E54" s="9">
        <v>1000</v>
      </c>
      <c r="F54" s="9"/>
      <c r="G54" s="9">
        <v>0</v>
      </c>
      <c r="H54" s="9">
        <v>-1000</v>
      </c>
      <c r="L54" t="s">
        <v>312</v>
      </c>
    </row>
    <row r="55" spans="2:12">
      <c r="C55" t="s">
        <v>49</v>
      </c>
      <c r="E55">
        <f>SUM(E51:E54)</f>
        <v>1000</v>
      </c>
      <c r="G55">
        <f>SUM(G51:G54)</f>
        <v>-60</v>
      </c>
      <c r="H55">
        <f>SUM(H51:H54)</f>
        <v>-1060</v>
      </c>
      <c r="L55" t="s">
        <v>313</v>
      </c>
    </row>
    <row r="56" spans="2:12">
      <c r="C56" t="s">
        <v>50</v>
      </c>
      <c r="E56" s="5">
        <f>IRR(E55:H55)</f>
        <v>5.9999999999979625E-2</v>
      </c>
      <c r="L56" t="s">
        <v>314</v>
      </c>
    </row>
    <row r="57" spans="2:12">
      <c r="L57" t="s">
        <v>315</v>
      </c>
    </row>
    <row r="58" spans="2:12">
      <c r="L58" t="s">
        <v>316</v>
      </c>
    </row>
    <row r="59" spans="2:12">
      <c r="B59" t="s">
        <v>55</v>
      </c>
      <c r="C59" s="10" t="s">
        <v>36</v>
      </c>
      <c r="D59" s="10"/>
      <c r="E59" s="10">
        <v>0</v>
      </c>
      <c r="G59" s="10">
        <v>1</v>
      </c>
      <c r="H59" s="10">
        <v>2</v>
      </c>
      <c r="L59" t="s">
        <v>317</v>
      </c>
    </row>
    <row r="60" spans="2:12">
      <c r="C60" t="s">
        <v>45</v>
      </c>
      <c r="E60">
        <v>0</v>
      </c>
      <c r="G60">
        <v>0</v>
      </c>
      <c r="H60">
        <v>50</v>
      </c>
    </row>
    <row r="61" spans="2:12">
      <c r="C61" t="s">
        <v>46</v>
      </c>
      <c r="E61">
        <v>0</v>
      </c>
      <c r="G61">
        <v>-100</v>
      </c>
      <c r="H61">
        <v>-100</v>
      </c>
      <c r="L61" s="42" t="s">
        <v>362</v>
      </c>
    </row>
    <row r="62" spans="2:12">
      <c r="C62" t="s">
        <v>47</v>
      </c>
      <c r="E62">
        <v>0</v>
      </c>
      <c r="G62">
        <v>40</v>
      </c>
      <c r="H62">
        <v>20</v>
      </c>
      <c r="L62" t="s">
        <v>350</v>
      </c>
    </row>
    <row r="63" spans="2:12">
      <c r="C63" t="s">
        <v>48</v>
      </c>
      <c r="E63" s="9">
        <v>1000</v>
      </c>
      <c r="F63" s="9"/>
      <c r="G63" s="9">
        <v>-500</v>
      </c>
      <c r="H63" s="9">
        <v>-500</v>
      </c>
      <c r="L63" t="s">
        <v>351</v>
      </c>
    </row>
    <row r="64" spans="2:12">
      <c r="C64" t="s">
        <v>49</v>
      </c>
      <c r="E64">
        <f>SUM(E60:E63)</f>
        <v>1000</v>
      </c>
      <c r="G64">
        <f>SUM(G60:G63)</f>
        <v>-560</v>
      </c>
      <c r="H64">
        <f>SUM(H60:H63)</f>
        <v>-530</v>
      </c>
      <c r="L64" t="s">
        <v>358</v>
      </c>
    </row>
    <row r="65" spans="2:12">
      <c r="C65" t="s">
        <v>50</v>
      </c>
      <c r="E65" s="5">
        <f>IRR(E64:H64)</f>
        <v>5.9999999999998943E-2</v>
      </c>
      <c r="L65" t="s">
        <v>359</v>
      </c>
    </row>
    <row r="66" spans="2:12">
      <c r="L66" t="s">
        <v>360</v>
      </c>
    </row>
    <row r="67" spans="2:12">
      <c r="L67" t="s">
        <v>352</v>
      </c>
    </row>
    <row r="68" spans="2:12">
      <c r="L68" t="s">
        <v>353</v>
      </c>
    </row>
    <row r="69" spans="2:12">
      <c r="B69" t="s">
        <v>56</v>
      </c>
      <c r="L69" t="s">
        <v>354</v>
      </c>
    </row>
    <row r="70" spans="2:12">
      <c r="B70" t="s">
        <v>57</v>
      </c>
      <c r="E70" t="s">
        <v>58</v>
      </c>
      <c r="G70" s="6">
        <v>10000</v>
      </c>
      <c r="H70" t="s">
        <v>59</v>
      </c>
      <c r="L70" t="s">
        <v>361</v>
      </c>
    </row>
    <row r="71" spans="2:12">
      <c r="L71" t="s">
        <v>355</v>
      </c>
    </row>
    <row r="72" spans="2:12">
      <c r="B72" t="s">
        <v>60</v>
      </c>
      <c r="L72" t="s">
        <v>356</v>
      </c>
    </row>
    <row r="73" spans="2:12">
      <c r="L73" t="s">
        <v>357</v>
      </c>
    </row>
    <row r="75" spans="2:12">
      <c r="C75" t="s">
        <v>61</v>
      </c>
      <c r="E75" s="11">
        <v>0</v>
      </c>
      <c r="F75" s="11">
        <v>0.5</v>
      </c>
      <c r="G75" s="11">
        <v>0.75</v>
      </c>
      <c r="L75" s="42" t="s">
        <v>369</v>
      </c>
    </row>
    <row r="76" spans="2:12">
      <c r="C76" t="s">
        <v>62</v>
      </c>
      <c r="E76" s="11">
        <v>1</v>
      </c>
      <c r="F76" s="11">
        <v>0.5</v>
      </c>
      <c r="G76" s="11">
        <v>0.25</v>
      </c>
      <c r="L76" t="s">
        <v>368</v>
      </c>
    </row>
    <row r="77" spans="2:12">
      <c r="C77" t="s">
        <v>63</v>
      </c>
      <c r="E77" s="11">
        <v>0.05</v>
      </c>
      <c r="F77" s="11">
        <v>0.05</v>
      </c>
      <c r="G77" s="11">
        <v>0.05</v>
      </c>
      <c r="L77" t="s">
        <v>363</v>
      </c>
    </row>
    <row r="78" spans="2:12">
      <c r="C78" t="s">
        <v>64</v>
      </c>
      <c r="E78" s="11">
        <v>0.2</v>
      </c>
      <c r="F78" s="11">
        <v>0.2</v>
      </c>
      <c r="G78" s="11">
        <v>0.2</v>
      </c>
      <c r="L78" t="s">
        <v>364</v>
      </c>
    </row>
    <row r="79" spans="2:12">
      <c r="L79" t="s">
        <v>365</v>
      </c>
    </row>
    <row r="80" spans="2:12">
      <c r="C80" t="s">
        <v>65</v>
      </c>
      <c r="E80" s="12">
        <v>0</v>
      </c>
      <c r="F80" s="12">
        <v>5000</v>
      </c>
      <c r="G80" s="12">
        <v>7500</v>
      </c>
      <c r="L80" t="s">
        <v>366</v>
      </c>
    </row>
    <row r="81" spans="3:12">
      <c r="C81" t="s">
        <v>66</v>
      </c>
      <c r="E81" s="7">
        <f>E82-E80</f>
        <v>35074</v>
      </c>
      <c r="F81" s="7">
        <f>F82-F80</f>
        <v>30014</v>
      </c>
      <c r="G81" s="7">
        <f>G82-G80</f>
        <v>24170</v>
      </c>
      <c r="L81" t="s">
        <v>367</v>
      </c>
    </row>
    <row r="82" spans="3:12">
      <c r="C82" t="s">
        <v>67</v>
      </c>
      <c r="E82" s="12">
        <v>35074</v>
      </c>
      <c r="F82" s="12">
        <v>35014</v>
      </c>
      <c r="G82" s="12">
        <v>31670</v>
      </c>
    </row>
    <row r="83" spans="3:12">
      <c r="L83" t="s">
        <v>370</v>
      </c>
    </row>
    <row r="84" spans="3:12">
      <c r="C84" t="s">
        <v>68</v>
      </c>
      <c r="E84" s="11">
        <v>0.4</v>
      </c>
      <c r="F84" s="11">
        <v>0.4</v>
      </c>
      <c r="G84" s="11">
        <v>0.4</v>
      </c>
    </row>
    <row r="85" spans="3:12">
      <c r="C85" t="s">
        <v>69</v>
      </c>
      <c r="E85" s="11">
        <v>0.1</v>
      </c>
      <c r="F85" s="11">
        <v>0.15</v>
      </c>
      <c r="G85" s="11">
        <v>0.2</v>
      </c>
    </row>
    <row r="86" spans="3:12">
      <c r="C86" t="s">
        <v>70</v>
      </c>
      <c r="E86" s="14">
        <v>0.8</v>
      </c>
      <c r="F86" s="14">
        <v>0.8</v>
      </c>
      <c r="G86" s="14">
        <v>0.8</v>
      </c>
    </row>
    <row r="87" spans="3:12">
      <c r="C87" t="s">
        <v>71</v>
      </c>
      <c r="E87">
        <f>E86*(1+(1-E84)*(E82-E81)/E81)</f>
        <v>0.8</v>
      </c>
      <c r="F87">
        <f>F86*(1+(1-F84)*(F82-F81)/F81)</f>
        <v>0.87996268408076228</v>
      </c>
      <c r="G87">
        <f>G86*(1+(1-G84)*(G82-G81)/G81)</f>
        <v>0.94894497310715775</v>
      </c>
    </row>
    <row r="88" spans="3:12">
      <c r="C88" t="s">
        <v>72</v>
      </c>
      <c r="E88" s="15">
        <v>7.0000000000000007E-2</v>
      </c>
      <c r="F88" s="15">
        <v>7.0000000000000007E-2</v>
      </c>
      <c r="G88" s="15">
        <v>7.0000000000000007E-2</v>
      </c>
    </row>
    <row r="89" spans="3:12">
      <c r="C89" t="s">
        <v>73</v>
      </c>
      <c r="E89" s="15">
        <v>0.06</v>
      </c>
      <c r="F89" s="15">
        <v>0.06</v>
      </c>
      <c r="G89" s="15">
        <v>0.06</v>
      </c>
    </row>
    <row r="90" spans="3:12">
      <c r="C90" t="s">
        <v>74</v>
      </c>
      <c r="E90" s="13">
        <f>E88+E87*E89</f>
        <v>0.11800000000000001</v>
      </c>
      <c r="F90" s="13">
        <f>F88+F87*F89</f>
        <v>0.12279776104484574</v>
      </c>
      <c r="G90" s="13">
        <f>G88+G87*G89</f>
        <v>0.12693669838642946</v>
      </c>
    </row>
    <row r="91" spans="3:12">
      <c r="C91" t="s">
        <v>75</v>
      </c>
      <c r="E91" s="13">
        <f>E80/E82*E85*(1-E84)+E81/E82*E90</f>
        <v>0.11800000000000001</v>
      </c>
      <c r="F91" s="13">
        <f>F80/F82*F85*(1-F84)+F81/F82*F90</f>
        <v>0.1181142400182784</v>
      </c>
      <c r="G91" s="13">
        <f>G80/G82*G85*(1-G84)+G81/G82*G90</f>
        <v>0.12529396905588885</v>
      </c>
    </row>
    <row r="93" spans="3:12">
      <c r="C93" t="s">
        <v>76</v>
      </c>
      <c r="E93" s="17">
        <v>5300</v>
      </c>
      <c r="F93" s="17">
        <v>5300</v>
      </c>
      <c r="G93" s="17">
        <v>5300</v>
      </c>
    </row>
    <row r="94" spans="3:12">
      <c r="C94" t="s">
        <v>77</v>
      </c>
      <c r="E94" s="16">
        <f>-E93*E84</f>
        <v>-2120</v>
      </c>
      <c r="F94" s="16">
        <f>-F93*F84</f>
        <v>-2120</v>
      </c>
      <c r="G94" s="16">
        <f>-G93*G84</f>
        <v>-2120</v>
      </c>
    </row>
    <row r="95" spans="3:12">
      <c r="C95" t="s">
        <v>78</v>
      </c>
      <c r="E95" s="16">
        <f>E93+E94</f>
        <v>3180</v>
      </c>
      <c r="F95" s="16">
        <f>F93+F94</f>
        <v>3180</v>
      </c>
      <c r="G95" s="16">
        <f>G93+G94</f>
        <v>3180</v>
      </c>
    </row>
    <row r="96" spans="3:12">
      <c r="C96" t="s">
        <v>79</v>
      </c>
      <c r="E96" s="16">
        <f>-E77/E78*E95</f>
        <v>-795</v>
      </c>
      <c r="F96" s="16">
        <f>-F77/F78*F95</f>
        <v>-795</v>
      </c>
      <c r="G96" s="16">
        <f>-G77/G78*G95</f>
        <v>-795</v>
      </c>
    </row>
    <row r="97" spans="3:9">
      <c r="C97" t="s">
        <v>80</v>
      </c>
      <c r="E97" s="16">
        <f>SUM(E95:E96)</f>
        <v>2385</v>
      </c>
      <c r="F97" s="16">
        <f>SUM(F95:F96)</f>
        <v>2385</v>
      </c>
      <c r="G97" s="16">
        <f>SUM(G95:G96)</f>
        <v>2385</v>
      </c>
    </row>
    <row r="98" spans="3:9">
      <c r="C98" t="s">
        <v>81</v>
      </c>
      <c r="E98" s="16">
        <f>E97/(E91-E77)</f>
        <v>35073.529411764706</v>
      </c>
      <c r="F98" s="16">
        <f>F97/(F91-F77)</f>
        <v>35014.70469845934</v>
      </c>
      <c r="G98" s="16">
        <f>G97/(G91-G77)</f>
        <v>31675.843761532527</v>
      </c>
      <c r="I98" t="s">
        <v>82</v>
      </c>
    </row>
    <row r="99" spans="3:9">
      <c r="I99" t="s">
        <v>83</v>
      </c>
    </row>
    <row r="104" spans="3:9">
      <c r="C104" s="2" t="s">
        <v>84</v>
      </c>
    </row>
    <row r="106" spans="3:9">
      <c r="C106" s="2" t="s">
        <v>85</v>
      </c>
    </row>
    <row r="107" spans="3:9">
      <c r="C107" t="s">
        <v>86</v>
      </c>
    </row>
    <row r="108" spans="3:9">
      <c r="C108" t="s">
        <v>87</v>
      </c>
    </row>
    <row r="109" spans="3:9">
      <c r="C109" t="s">
        <v>88</v>
      </c>
    </row>
    <row r="110" spans="3:9">
      <c r="C110" t="s">
        <v>89</v>
      </c>
    </row>
    <row r="111" spans="3:9">
      <c r="C111" t="s">
        <v>90</v>
      </c>
    </row>
    <row r="113" spans="3:13">
      <c r="C113" t="s">
        <v>91</v>
      </c>
    </row>
    <row r="115" spans="3:13">
      <c r="C115" s="2" t="s">
        <v>92</v>
      </c>
    </row>
    <row r="116" spans="3:13">
      <c r="C116" t="s">
        <v>93</v>
      </c>
    </row>
    <row r="117" spans="3:13">
      <c r="D117" s="95" t="s">
        <v>94</v>
      </c>
      <c r="E117" s="95"/>
      <c r="F117" s="95"/>
      <c r="G117" s="95"/>
      <c r="H117" s="95"/>
      <c r="I117" s="95"/>
      <c r="J117" s="95"/>
      <c r="K117" s="95"/>
      <c r="L117" s="95"/>
      <c r="M117" s="95"/>
    </row>
    <row r="118" spans="3:13">
      <c r="D118" s="95"/>
      <c r="E118" s="95"/>
      <c r="F118" s="95"/>
      <c r="G118" s="95"/>
      <c r="H118" s="95"/>
      <c r="I118" s="95"/>
      <c r="J118" s="95"/>
      <c r="K118" s="95"/>
      <c r="L118" s="95"/>
      <c r="M118" s="95"/>
    </row>
    <row r="119" spans="3:13">
      <c r="D119" s="95"/>
      <c r="E119" s="95"/>
      <c r="F119" s="95"/>
      <c r="G119" s="95"/>
      <c r="H119" s="95"/>
      <c r="I119" s="95"/>
      <c r="J119" s="95"/>
      <c r="K119" s="95"/>
      <c r="L119" s="95"/>
      <c r="M119" s="95"/>
    </row>
    <row r="120" spans="3:13">
      <c r="C120" t="s">
        <v>95</v>
      </c>
    </row>
    <row r="121" spans="3:13">
      <c r="D121" s="95" t="s">
        <v>96</v>
      </c>
      <c r="E121" s="95"/>
      <c r="F121" s="95"/>
      <c r="G121" s="95"/>
      <c r="H121" s="95"/>
      <c r="I121" s="95"/>
      <c r="J121" s="95"/>
      <c r="K121" s="95"/>
      <c r="L121" s="95"/>
      <c r="M121" s="95"/>
    </row>
    <row r="122" spans="3:13">
      <c r="D122" s="95"/>
      <c r="E122" s="95"/>
      <c r="F122" s="95"/>
      <c r="G122" s="95"/>
      <c r="H122" s="95"/>
      <c r="I122" s="95"/>
      <c r="J122" s="95"/>
      <c r="K122" s="95"/>
      <c r="L122" s="95"/>
      <c r="M122" s="95"/>
    </row>
    <row r="123" spans="3:13">
      <c r="D123" s="95"/>
      <c r="E123" s="95"/>
      <c r="F123" s="95"/>
      <c r="G123" s="95"/>
      <c r="H123" s="95"/>
      <c r="I123" s="95"/>
      <c r="J123" s="95"/>
      <c r="K123" s="95"/>
      <c r="L123" s="95"/>
      <c r="M123" s="95"/>
    </row>
    <row r="124" spans="3:13">
      <c r="D124" s="95"/>
      <c r="E124" s="95"/>
      <c r="F124" s="95"/>
      <c r="G124" s="95"/>
      <c r="H124" s="95"/>
      <c r="I124" s="95"/>
      <c r="J124" s="95"/>
      <c r="K124" s="95"/>
      <c r="L124" s="95"/>
      <c r="M124" s="95"/>
    </row>
    <row r="125" spans="3:13">
      <c r="D125" s="95"/>
      <c r="E125" s="95"/>
      <c r="F125" s="95"/>
      <c r="G125" s="95"/>
      <c r="H125" s="95"/>
      <c r="I125" s="95"/>
      <c r="J125" s="95"/>
      <c r="K125" s="95"/>
      <c r="L125" s="95"/>
      <c r="M125" s="95"/>
    </row>
    <row r="126" spans="3:13">
      <c r="C126" t="s">
        <v>97</v>
      </c>
    </row>
    <row r="127" spans="3:13">
      <c r="D127" s="95" t="s">
        <v>98</v>
      </c>
      <c r="E127" s="95"/>
      <c r="F127" s="95"/>
      <c r="G127" s="95"/>
      <c r="H127" s="95"/>
      <c r="I127" s="95"/>
      <c r="J127" s="95"/>
      <c r="K127" s="95"/>
      <c r="L127" s="95"/>
      <c r="M127" s="95"/>
    </row>
    <row r="128" spans="3:13">
      <c r="D128" s="95"/>
      <c r="E128" s="95"/>
      <c r="F128" s="95"/>
      <c r="G128" s="95"/>
      <c r="H128" s="95"/>
      <c r="I128" s="95"/>
      <c r="J128" s="95"/>
      <c r="K128" s="95"/>
      <c r="L128" s="95"/>
      <c r="M128" s="95"/>
    </row>
    <row r="129" spans="3:13">
      <c r="D129" s="95"/>
      <c r="E129" s="95"/>
      <c r="F129" s="95"/>
      <c r="G129" s="95"/>
      <c r="H129" s="95"/>
      <c r="I129" s="95"/>
      <c r="J129" s="95"/>
      <c r="K129" s="95"/>
      <c r="L129" s="95"/>
      <c r="M129" s="95"/>
    </row>
    <row r="130" spans="3:13">
      <c r="D130" s="95"/>
      <c r="E130" s="95"/>
      <c r="F130" s="95"/>
      <c r="G130" s="95"/>
      <c r="H130" s="95"/>
      <c r="I130" s="95"/>
      <c r="J130" s="95"/>
      <c r="K130" s="95"/>
      <c r="L130" s="95"/>
      <c r="M130" s="95"/>
    </row>
    <row r="131" spans="3:13">
      <c r="D131" s="95"/>
      <c r="E131" s="95"/>
      <c r="F131" s="95"/>
      <c r="G131" s="95"/>
      <c r="H131" s="95"/>
      <c r="I131" s="95"/>
      <c r="J131" s="95"/>
      <c r="K131" s="95"/>
      <c r="L131" s="95"/>
      <c r="M131" s="95"/>
    </row>
    <row r="132" spans="3:13">
      <c r="C132" t="s">
        <v>99</v>
      </c>
    </row>
    <row r="133" spans="3:13">
      <c r="D133" s="95" t="s">
        <v>100</v>
      </c>
      <c r="E133" s="95"/>
      <c r="F133" s="95"/>
      <c r="G133" s="95"/>
      <c r="H133" s="95"/>
      <c r="I133" s="95"/>
      <c r="J133" s="95"/>
      <c r="K133" s="95"/>
      <c r="L133" s="95"/>
      <c r="M133" s="95"/>
    </row>
    <row r="134" spans="3:13">
      <c r="D134" s="95"/>
      <c r="E134" s="95"/>
      <c r="F134" s="95"/>
      <c r="G134" s="95"/>
      <c r="H134" s="95"/>
      <c r="I134" s="95"/>
      <c r="J134" s="95"/>
      <c r="K134" s="95"/>
      <c r="L134" s="95"/>
      <c r="M134" s="95"/>
    </row>
    <row r="135" spans="3:13">
      <c r="D135" s="95"/>
      <c r="E135" s="95"/>
      <c r="F135" s="95"/>
      <c r="G135" s="95"/>
      <c r="H135" s="95"/>
      <c r="I135" s="95"/>
      <c r="J135" s="95"/>
      <c r="K135" s="95"/>
      <c r="L135" s="95"/>
      <c r="M135" s="95"/>
    </row>
    <row r="136" spans="3:13">
      <c r="D136" s="95"/>
      <c r="E136" s="95"/>
      <c r="F136" s="95"/>
      <c r="G136" s="95"/>
      <c r="H136" s="95"/>
      <c r="I136" s="95"/>
      <c r="J136" s="95"/>
      <c r="K136" s="95"/>
      <c r="L136" s="95"/>
      <c r="M136" s="95"/>
    </row>
    <row r="137" spans="3:13">
      <c r="D137" s="95"/>
      <c r="E137" s="95"/>
      <c r="F137" s="95"/>
      <c r="G137" s="95"/>
      <c r="H137" s="95"/>
      <c r="I137" s="95"/>
      <c r="J137" s="95"/>
      <c r="K137" s="95"/>
      <c r="L137" s="95"/>
      <c r="M137" s="95"/>
    </row>
    <row r="138" spans="3:13">
      <c r="D138" s="95"/>
      <c r="E138" s="95"/>
      <c r="F138" s="95"/>
      <c r="G138" s="95"/>
      <c r="H138" s="95"/>
      <c r="I138" s="95"/>
      <c r="J138" s="95"/>
      <c r="K138" s="95"/>
      <c r="L138" s="95"/>
      <c r="M138" s="95"/>
    </row>
    <row r="139" spans="3:13">
      <c r="C139" t="s">
        <v>101</v>
      </c>
    </row>
    <row r="140" spans="3:13">
      <c r="D140" s="95" t="s">
        <v>102</v>
      </c>
      <c r="E140" s="95"/>
      <c r="F140" s="95"/>
      <c r="G140" s="95"/>
      <c r="H140" s="95"/>
      <c r="I140" s="95"/>
      <c r="J140" s="95"/>
      <c r="K140" s="95"/>
      <c r="L140" s="95"/>
      <c r="M140" s="95"/>
    </row>
    <row r="141" spans="3:13">
      <c r="D141" s="95"/>
      <c r="E141" s="95"/>
      <c r="F141" s="95"/>
      <c r="G141" s="95"/>
      <c r="H141" s="95"/>
      <c r="I141" s="95"/>
      <c r="J141" s="95"/>
      <c r="K141" s="95"/>
      <c r="L141" s="95"/>
      <c r="M141" s="95"/>
    </row>
    <row r="142" spans="3:13">
      <c r="D142" s="95"/>
      <c r="E142" s="95"/>
      <c r="F142" s="95"/>
      <c r="G142" s="95"/>
      <c r="H142" s="95"/>
      <c r="I142" s="95"/>
      <c r="J142" s="95"/>
      <c r="K142" s="95"/>
      <c r="L142" s="95"/>
      <c r="M142" s="95"/>
    </row>
    <row r="143" spans="3:13">
      <c r="D143" s="95"/>
      <c r="E143" s="95"/>
      <c r="F143" s="95"/>
      <c r="G143" s="95"/>
      <c r="H143" s="95"/>
      <c r="I143" s="95"/>
      <c r="J143" s="95"/>
      <c r="K143" s="95"/>
      <c r="L143" s="95"/>
      <c r="M143" s="95"/>
    </row>
    <row r="144" spans="3:13">
      <c r="D144" s="95"/>
      <c r="E144" s="95"/>
      <c r="F144" s="95"/>
      <c r="G144" s="95"/>
      <c r="H144" s="95"/>
      <c r="I144" s="95"/>
      <c r="J144" s="95"/>
      <c r="K144" s="95"/>
      <c r="L144" s="95"/>
      <c r="M144" s="95"/>
    </row>
    <row r="145" spans="3:13">
      <c r="D145" s="95"/>
      <c r="E145" s="95"/>
      <c r="F145" s="95"/>
      <c r="G145" s="95"/>
      <c r="H145" s="95"/>
      <c r="I145" s="95"/>
      <c r="J145" s="95"/>
      <c r="K145" s="95"/>
      <c r="L145" s="95"/>
      <c r="M145" s="95"/>
    </row>
    <row r="146" spans="3:13">
      <c r="D146" s="95"/>
      <c r="E146" s="95"/>
      <c r="F146" s="95"/>
      <c r="G146" s="95"/>
      <c r="H146" s="95"/>
      <c r="I146" s="95"/>
      <c r="J146" s="95"/>
      <c r="K146" s="95"/>
      <c r="L146" s="95"/>
      <c r="M146" s="95"/>
    </row>
    <row r="147" spans="3:13">
      <c r="D147" s="95"/>
      <c r="E147" s="95"/>
      <c r="F147" s="95"/>
      <c r="G147" s="95"/>
      <c r="H147" s="95"/>
      <c r="I147" s="95"/>
      <c r="J147" s="95"/>
      <c r="K147" s="95"/>
      <c r="L147" s="95"/>
      <c r="M147" s="95"/>
    </row>
    <row r="148" spans="3:13">
      <c r="C148" t="s">
        <v>103</v>
      </c>
    </row>
    <row r="149" spans="3:13">
      <c r="D149" s="95" t="s">
        <v>104</v>
      </c>
      <c r="E149" s="95"/>
      <c r="F149" s="95"/>
      <c r="G149" s="95"/>
      <c r="H149" s="95"/>
      <c r="I149" s="95"/>
      <c r="J149" s="95"/>
      <c r="K149" s="95"/>
      <c r="L149" s="95"/>
      <c r="M149" s="95"/>
    </row>
    <row r="150" spans="3:13">
      <c r="D150" s="95"/>
      <c r="E150" s="95"/>
      <c r="F150" s="95"/>
      <c r="G150" s="95"/>
      <c r="H150" s="95"/>
      <c r="I150" s="95"/>
      <c r="J150" s="95"/>
      <c r="K150" s="95"/>
      <c r="L150" s="95"/>
      <c r="M150" s="95"/>
    </row>
    <row r="151" spans="3:13">
      <c r="D151" s="95"/>
      <c r="E151" s="95"/>
      <c r="F151" s="95"/>
      <c r="G151" s="95"/>
      <c r="H151" s="95"/>
      <c r="I151" s="95"/>
      <c r="J151" s="95"/>
      <c r="K151" s="95"/>
      <c r="L151" s="95"/>
      <c r="M151" s="95"/>
    </row>
    <row r="152" spans="3:13">
      <c r="D152" s="95"/>
      <c r="E152" s="95"/>
      <c r="F152" s="95"/>
      <c r="G152" s="95"/>
      <c r="H152" s="95"/>
      <c r="I152" s="95"/>
      <c r="J152" s="95"/>
      <c r="K152" s="95"/>
      <c r="L152" s="95"/>
      <c r="M152" s="95"/>
    </row>
    <row r="153" spans="3:13">
      <c r="D153" s="95"/>
      <c r="E153" s="95"/>
      <c r="F153" s="95"/>
      <c r="G153" s="95"/>
      <c r="H153" s="95"/>
      <c r="I153" s="95"/>
      <c r="J153" s="95"/>
      <c r="K153" s="95"/>
      <c r="L153" s="95"/>
      <c r="M153" s="95"/>
    </row>
    <row r="155" spans="3:13">
      <c r="C155" t="s">
        <v>105</v>
      </c>
    </row>
    <row r="156" spans="3:13">
      <c r="C156" t="s">
        <v>106</v>
      </c>
    </row>
    <row r="157" spans="3:13">
      <c r="C157" t="s">
        <v>107</v>
      </c>
    </row>
    <row r="160" spans="3:13">
      <c r="C160" s="2" t="s">
        <v>108</v>
      </c>
    </row>
    <row r="161" spans="3:11">
      <c r="C161" t="s">
        <v>111</v>
      </c>
    </row>
    <row r="162" spans="3:11">
      <c r="C162" t="s">
        <v>109</v>
      </c>
    </row>
    <row r="163" spans="3:11">
      <c r="C163" t="s">
        <v>110</v>
      </c>
    </row>
    <row r="166" spans="3:11">
      <c r="C166" s="2" t="s">
        <v>112</v>
      </c>
    </row>
    <row r="169" spans="3:11">
      <c r="C169" s="2" t="s">
        <v>113</v>
      </c>
    </row>
    <row r="170" spans="3:11">
      <c r="D170" s="2" t="s">
        <v>114</v>
      </c>
      <c r="G170" s="2" t="s">
        <v>115</v>
      </c>
    </row>
    <row r="171" spans="3:11">
      <c r="C171" t="s">
        <v>116</v>
      </c>
      <c r="D171" s="95" t="s">
        <v>120</v>
      </c>
      <c r="E171" s="95"/>
      <c r="F171" s="95"/>
      <c r="G171" s="95" t="s">
        <v>119</v>
      </c>
      <c r="H171" s="95"/>
      <c r="I171" s="95"/>
      <c r="J171" s="95"/>
      <c r="K171" s="95"/>
    </row>
    <row r="172" spans="3:11">
      <c r="D172" s="95"/>
      <c r="E172" s="95"/>
      <c r="F172" s="95"/>
      <c r="G172" s="95"/>
      <c r="H172" s="95"/>
      <c r="I172" s="95"/>
      <c r="J172" s="95"/>
      <c r="K172" s="95"/>
    </row>
    <row r="173" spans="3:11">
      <c r="D173" s="95"/>
      <c r="E173" s="95"/>
      <c r="F173" s="95"/>
      <c r="G173" s="95"/>
      <c r="H173" s="95"/>
      <c r="I173" s="95"/>
      <c r="J173" s="95"/>
      <c r="K173" s="95"/>
    </row>
    <row r="174" spans="3:11">
      <c r="D174" s="18"/>
      <c r="E174" s="18"/>
      <c r="F174" s="18"/>
      <c r="G174" s="18"/>
      <c r="H174" s="18"/>
      <c r="I174" s="18"/>
      <c r="J174" s="18"/>
      <c r="K174" s="18"/>
    </row>
    <row r="175" spans="3:11">
      <c r="C175" t="s">
        <v>117</v>
      </c>
      <c r="D175" s="95" t="s">
        <v>118</v>
      </c>
      <c r="E175" s="95"/>
      <c r="F175" s="95"/>
      <c r="G175" s="95" t="s">
        <v>121</v>
      </c>
      <c r="H175" s="95"/>
      <c r="I175" s="95"/>
      <c r="J175" s="95"/>
      <c r="K175" s="95"/>
    </row>
    <row r="176" spans="3:11">
      <c r="D176" s="95"/>
      <c r="E176" s="95"/>
      <c r="F176" s="95"/>
      <c r="G176" s="95"/>
      <c r="H176" s="95"/>
      <c r="I176" s="95"/>
      <c r="J176" s="95"/>
      <c r="K176" s="95"/>
    </row>
    <row r="177" spans="3:12">
      <c r="D177" s="95"/>
      <c r="E177" s="95"/>
      <c r="F177" s="95"/>
      <c r="G177" s="95"/>
      <c r="H177" s="95"/>
      <c r="I177" s="95"/>
      <c r="J177" s="95"/>
      <c r="K177" s="95"/>
    </row>
    <row r="178" spans="3:12">
      <c r="C178" t="s">
        <v>122</v>
      </c>
      <c r="D178" s="95" t="s">
        <v>123</v>
      </c>
      <c r="E178" s="95"/>
      <c r="F178" s="95"/>
      <c r="G178" s="95" t="s">
        <v>130</v>
      </c>
      <c r="H178" s="95"/>
      <c r="I178" s="95"/>
      <c r="J178" s="95"/>
      <c r="K178" s="95"/>
    </row>
    <row r="179" spans="3:12">
      <c r="D179" s="95"/>
      <c r="E179" s="95"/>
      <c r="F179" s="95"/>
      <c r="G179" s="95"/>
      <c r="H179" s="95"/>
      <c r="I179" s="95"/>
      <c r="J179" s="95"/>
      <c r="K179" s="95"/>
    </row>
    <row r="180" spans="3:12">
      <c r="D180" s="95"/>
      <c r="E180" s="95"/>
      <c r="F180" s="95"/>
      <c r="G180" s="95"/>
      <c r="H180" s="95"/>
      <c r="I180" s="95"/>
      <c r="J180" s="95"/>
      <c r="K180" s="95"/>
    </row>
    <row r="183" spans="3:12">
      <c r="C183" s="2" t="s">
        <v>124</v>
      </c>
    </row>
    <row r="185" spans="3:12">
      <c r="C185" s="2" t="s">
        <v>125</v>
      </c>
      <c r="D185" s="2"/>
      <c r="E185" s="2"/>
      <c r="F185" s="2"/>
      <c r="G185" s="2"/>
      <c r="H185" s="2"/>
    </row>
    <row r="186" spans="3:12">
      <c r="C186" s="2" t="s">
        <v>126</v>
      </c>
      <c r="D186" s="2"/>
      <c r="E186" s="2"/>
      <c r="F186" s="2"/>
      <c r="G186" s="2" t="s">
        <v>127</v>
      </c>
    </row>
    <row r="187" spans="3:12">
      <c r="C187" s="97" t="s">
        <v>128</v>
      </c>
      <c r="D187" s="97"/>
      <c r="E187" s="97"/>
      <c r="G187" s="96" t="s">
        <v>129</v>
      </c>
      <c r="H187" s="96"/>
      <c r="I187" s="96"/>
      <c r="J187" s="96"/>
      <c r="K187" s="96"/>
      <c r="L187" s="96"/>
    </row>
    <row r="188" spans="3:12">
      <c r="C188" s="97"/>
      <c r="D188" s="97"/>
      <c r="E188" s="97"/>
      <c r="G188" s="96"/>
      <c r="H188" s="96"/>
      <c r="I188" s="96"/>
      <c r="J188" s="96"/>
      <c r="K188" s="96"/>
      <c r="L188" s="96"/>
    </row>
    <row r="189" spans="3:12">
      <c r="C189" t="s">
        <v>131</v>
      </c>
      <c r="G189" s="96" t="s">
        <v>134</v>
      </c>
      <c r="H189" s="96"/>
      <c r="I189" s="96"/>
      <c r="J189" s="96"/>
      <c r="K189" s="96"/>
      <c r="L189" s="96"/>
    </row>
    <row r="190" spans="3:12">
      <c r="G190" s="96"/>
      <c r="H190" s="96"/>
      <c r="I190" s="96"/>
      <c r="J190" s="96"/>
      <c r="K190" s="96"/>
      <c r="L190" s="96"/>
    </row>
    <row r="191" spans="3:12">
      <c r="C191" t="s">
        <v>132</v>
      </c>
      <c r="G191" s="96" t="s">
        <v>135</v>
      </c>
      <c r="H191" s="96"/>
      <c r="I191" s="96"/>
      <c r="J191" s="96"/>
      <c r="K191" s="96"/>
      <c r="L191" s="96"/>
    </row>
    <row r="192" spans="3:12">
      <c r="G192" s="96"/>
      <c r="H192" s="96"/>
      <c r="I192" s="96"/>
      <c r="J192" s="96"/>
      <c r="K192" s="96"/>
      <c r="L192" s="96"/>
    </row>
    <row r="193" spans="3:12">
      <c r="G193" s="96"/>
      <c r="H193" s="96"/>
      <c r="I193" s="96"/>
      <c r="J193" s="96"/>
      <c r="K193" s="96"/>
      <c r="L193" s="96"/>
    </row>
    <row r="194" spans="3:12">
      <c r="G194" s="96"/>
      <c r="H194" s="96"/>
      <c r="I194" s="96"/>
      <c r="J194" s="96"/>
      <c r="K194" s="96"/>
      <c r="L194" s="96"/>
    </row>
    <row r="195" spans="3:12">
      <c r="C195" t="s">
        <v>133</v>
      </c>
      <c r="G195" s="96" t="s">
        <v>136</v>
      </c>
      <c r="H195" s="96"/>
      <c r="I195" s="96"/>
      <c r="J195" s="96"/>
      <c r="K195" s="96"/>
      <c r="L195" s="96"/>
    </row>
    <row r="196" spans="3:12">
      <c r="G196" s="96"/>
      <c r="H196" s="96"/>
      <c r="I196" s="96"/>
      <c r="J196" s="96"/>
      <c r="K196" s="96"/>
      <c r="L196" s="96"/>
    </row>
    <row r="197" spans="3:12">
      <c r="G197" s="96"/>
      <c r="H197" s="96"/>
      <c r="I197" s="96"/>
      <c r="J197" s="96"/>
      <c r="K197" s="96"/>
      <c r="L197" s="96"/>
    </row>
    <row r="199" spans="3:12">
      <c r="C199" s="10" t="s">
        <v>138</v>
      </c>
      <c r="D199" s="10"/>
      <c r="F199" s="10" t="s">
        <v>139</v>
      </c>
      <c r="G199" s="9"/>
      <c r="H199" s="9"/>
    </row>
    <row r="200" spans="3:12">
      <c r="C200" t="s">
        <v>137</v>
      </c>
      <c r="F200" t="s">
        <v>140</v>
      </c>
    </row>
    <row r="201" spans="3:12">
      <c r="C201" t="s">
        <v>141</v>
      </c>
      <c r="F201" t="s">
        <v>142</v>
      </c>
    </row>
    <row r="202" spans="3:12">
      <c r="C202" t="s">
        <v>143</v>
      </c>
      <c r="F202" t="s">
        <v>144</v>
      </c>
    </row>
    <row r="203" spans="3:12">
      <c r="C203" t="s">
        <v>145</v>
      </c>
      <c r="F203" t="s">
        <v>146</v>
      </c>
    </row>
    <row r="204" spans="3:12">
      <c r="C204" t="s">
        <v>147</v>
      </c>
      <c r="F204" t="s">
        <v>148</v>
      </c>
    </row>
    <row r="205" spans="3:12">
      <c r="C205" t="s">
        <v>149</v>
      </c>
      <c r="F205" t="s">
        <v>150</v>
      </c>
    </row>
    <row r="206" spans="3:12">
      <c r="C206" t="s">
        <v>151</v>
      </c>
      <c r="F206" t="s">
        <v>152</v>
      </c>
    </row>
    <row r="207" spans="3:12">
      <c r="C207" t="s">
        <v>153</v>
      </c>
      <c r="F207" t="s">
        <v>154</v>
      </c>
    </row>
    <row r="208" spans="3:12">
      <c r="C208" t="s">
        <v>155</v>
      </c>
      <c r="F208" t="s">
        <v>156</v>
      </c>
    </row>
    <row r="209" spans="3:6">
      <c r="C209" t="s">
        <v>157</v>
      </c>
      <c r="F209" t="s">
        <v>158</v>
      </c>
    </row>
    <row r="210" spans="3:6">
      <c r="C210" t="s">
        <v>159</v>
      </c>
      <c r="F210" t="s">
        <v>165</v>
      </c>
    </row>
    <row r="211" spans="3:6">
      <c r="C211" t="s">
        <v>160</v>
      </c>
      <c r="F211" t="s">
        <v>156</v>
      </c>
    </row>
    <row r="212" spans="3:6">
      <c r="C212" t="s">
        <v>161</v>
      </c>
      <c r="F212" t="s">
        <v>166</v>
      </c>
    </row>
    <row r="213" spans="3:6">
      <c r="C213" t="s">
        <v>162</v>
      </c>
      <c r="F213" t="s">
        <v>167</v>
      </c>
    </row>
    <row r="214" spans="3:6">
      <c r="C214" t="s">
        <v>163</v>
      </c>
      <c r="F214" t="s">
        <v>168</v>
      </c>
    </row>
    <row r="215" spans="3:6">
      <c r="C215" t="s">
        <v>164</v>
      </c>
      <c r="F215" t="s">
        <v>169</v>
      </c>
    </row>
    <row r="218" spans="3:6">
      <c r="C218" s="2" t="s">
        <v>170</v>
      </c>
    </row>
    <row r="220" spans="3:6">
      <c r="C220" s="2" t="s">
        <v>171</v>
      </c>
    </row>
    <row r="221" spans="3:6">
      <c r="C221" t="s">
        <v>173</v>
      </c>
    </row>
    <row r="222" spans="3:6">
      <c r="C222" t="s">
        <v>172</v>
      </c>
    </row>
    <row r="224" spans="3:6">
      <c r="C224" s="2" t="s">
        <v>174</v>
      </c>
    </row>
    <row r="225" spans="3:12">
      <c r="C225" t="s">
        <v>175</v>
      </c>
    </row>
    <row r="226" spans="3:12">
      <c r="C226" t="s">
        <v>176</v>
      </c>
    </row>
    <row r="227" spans="3:12">
      <c r="C227" t="s">
        <v>177</v>
      </c>
    </row>
    <row r="228" spans="3:12">
      <c r="C228" t="s">
        <v>178</v>
      </c>
    </row>
    <row r="231" spans="3:12">
      <c r="C231" s="2" t="s">
        <v>197</v>
      </c>
    </row>
    <row r="232" spans="3:12">
      <c r="C232" s="2"/>
      <c r="G232" s="90"/>
    </row>
    <row r="233" spans="3:12">
      <c r="C233" s="92" t="s">
        <v>346</v>
      </c>
      <c r="D233" s="48"/>
      <c r="E233" s="48"/>
      <c r="F233" s="48"/>
      <c r="G233" s="92"/>
      <c r="H233" s="48"/>
      <c r="I233" s="48"/>
      <c r="J233" s="48"/>
      <c r="K233" s="48"/>
      <c r="L233" s="48"/>
    </row>
    <row r="234" spans="3:12">
      <c r="C234" s="93" t="s">
        <v>347</v>
      </c>
      <c r="D234" s="9"/>
      <c r="E234" s="9"/>
      <c r="F234" s="9"/>
      <c r="G234" s="94"/>
      <c r="H234" s="9"/>
      <c r="I234" s="9"/>
      <c r="J234" s="9"/>
      <c r="K234" s="9"/>
      <c r="L234" s="9"/>
    </row>
    <row r="235" spans="3:12">
      <c r="C235" s="2"/>
      <c r="G235" s="90"/>
    </row>
    <row r="236" spans="3:12">
      <c r="C236" s="2" t="s">
        <v>179</v>
      </c>
    </row>
    <row r="238" spans="3:12">
      <c r="C238" t="s">
        <v>180</v>
      </c>
      <c r="G238" s="10">
        <v>1995</v>
      </c>
      <c r="H238" s="10">
        <v>1996</v>
      </c>
      <c r="I238" s="10">
        <v>1997</v>
      </c>
      <c r="J238" s="10">
        <v>1998</v>
      </c>
      <c r="K238" s="10">
        <v>1999</v>
      </c>
    </row>
    <row r="239" spans="3:12">
      <c r="C239" t="s">
        <v>181</v>
      </c>
      <c r="G239" s="20">
        <v>2595</v>
      </c>
      <c r="H239" s="20">
        <v>2615</v>
      </c>
      <c r="I239" s="20">
        <v>2916</v>
      </c>
      <c r="J239" s="20">
        <v>2645</v>
      </c>
      <c r="K239" s="20">
        <v>4559</v>
      </c>
    </row>
    <row r="240" spans="3:12">
      <c r="C240" t="s">
        <v>182</v>
      </c>
      <c r="G240" s="19">
        <v>1764</v>
      </c>
      <c r="H240" s="19">
        <v>2490</v>
      </c>
      <c r="I240" s="19">
        <v>3020</v>
      </c>
      <c r="J240" s="19">
        <v>2648</v>
      </c>
      <c r="K240" s="19">
        <v>4191</v>
      </c>
    </row>
    <row r="241" spans="3:12">
      <c r="C241" t="s">
        <v>183</v>
      </c>
      <c r="G241" s="19">
        <v>0</v>
      </c>
      <c r="H241" s="19">
        <v>0</v>
      </c>
      <c r="I241" s="19">
        <v>0</v>
      </c>
      <c r="J241" s="19">
        <v>0</v>
      </c>
      <c r="K241" s="19">
        <v>0</v>
      </c>
    </row>
    <row r="242" spans="3:12">
      <c r="C242" t="s">
        <v>184</v>
      </c>
      <c r="G242" s="19">
        <v>7052</v>
      </c>
      <c r="H242" s="19">
        <v>6817</v>
      </c>
      <c r="I242" s="19">
        <v>6460</v>
      </c>
      <c r="J242" s="19">
        <v>6928</v>
      </c>
      <c r="K242" s="19">
        <v>8831</v>
      </c>
    </row>
    <row r="243" spans="3:12">
      <c r="C243" t="s">
        <v>185</v>
      </c>
      <c r="G243" s="19">
        <v>12335</v>
      </c>
      <c r="H243" s="19">
        <v>12818</v>
      </c>
      <c r="I243" s="19">
        <v>12950</v>
      </c>
      <c r="J243" s="19">
        <v>12700</v>
      </c>
      <c r="K243" s="19">
        <v>16897</v>
      </c>
    </row>
    <row r="244" spans="3:12">
      <c r="C244" t="s">
        <v>186</v>
      </c>
      <c r="G244" s="19">
        <v>1503</v>
      </c>
      <c r="H244" s="19">
        <v>1564</v>
      </c>
      <c r="I244" s="19">
        <v>892</v>
      </c>
      <c r="J244" s="19">
        <v>951</v>
      </c>
      <c r="K244" s="19">
        <v>2609</v>
      </c>
    </row>
    <row r="245" spans="3:12">
      <c r="C245" t="s">
        <v>187</v>
      </c>
      <c r="G245" s="19">
        <v>10</v>
      </c>
      <c r="H245" s="19">
        <v>14</v>
      </c>
      <c r="I245" s="19">
        <v>100</v>
      </c>
      <c r="J245" s="19">
        <v>38</v>
      </c>
      <c r="K245" s="19">
        <v>73</v>
      </c>
    </row>
    <row r="246" spans="3:12">
      <c r="C246" t="s">
        <v>188</v>
      </c>
      <c r="G246" s="19">
        <v>14313</v>
      </c>
      <c r="H246" s="19">
        <v>13024</v>
      </c>
      <c r="I246" s="19">
        <v>13094</v>
      </c>
      <c r="J246" s="19">
        <v>13342</v>
      </c>
      <c r="K246" s="19">
        <v>17977</v>
      </c>
    </row>
    <row r="247" spans="3:12">
      <c r="C247" t="s">
        <v>189</v>
      </c>
      <c r="G247" s="19">
        <v>9794</v>
      </c>
      <c r="H247" s="19">
        <v>9798</v>
      </c>
      <c r="I247" s="19">
        <v>10209</v>
      </c>
      <c r="J247" s="19">
        <v>10231</v>
      </c>
      <c r="K247" s="19">
        <v>13333</v>
      </c>
    </row>
    <row r="248" spans="3:12">
      <c r="C248" t="s">
        <v>190</v>
      </c>
      <c r="G248" s="19">
        <v>1406</v>
      </c>
      <c r="H248" s="19">
        <v>1475</v>
      </c>
      <c r="I248" s="19">
        <v>1296</v>
      </c>
      <c r="J248" s="19">
        <v>1204</v>
      </c>
      <c r="K248" s="19">
        <v>1670</v>
      </c>
    </row>
    <row r="249" spans="3:12">
      <c r="C249" t="s">
        <v>191</v>
      </c>
      <c r="G249" s="19">
        <v>984</v>
      </c>
      <c r="H249" s="19">
        <v>996</v>
      </c>
      <c r="I249" s="19">
        <v>1017</v>
      </c>
      <c r="J249" s="19">
        <v>997</v>
      </c>
      <c r="K249" s="19">
        <v>1013</v>
      </c>
    </row>
    <row r="250" spans="3:12">
      <c r="C250" t="s">
        <v>192</v>
      </c>
      <c r="G250" s="19">
        <v>0</v>
      </c>
      <c r="H250" s="19">
        <v>0</v>
      </c>
      <c r="I250" s="19">
        <v>128</v>
      </c>
      <c r="J250" s="19">
        <v>24</v>
      </c>
      <c r="K250" s="19">
        <v>355</v>
      </c>
    </row>
    <row r="251" spans="3:12">
      <c r="C251" t="s">
        <v>193</v>
      </c>
      <c r="G251" s="19">
        <v>432</v>
      </c>
      <c r="H251" s="19">
        <v>459</v>
      </c>
      <c r="I251" s="19">
        <v>465</v>
      </c>
      <c r="J251" s="19">
        <v>443</v>
      </c>
      <c r="K251" s="19">
        <v>495</v>
      </c>
      <c r="L251" s="21"/>
    </row>
    <row r="252" spans="3:12">
      <c r="C252" t="s">
        <v>194</v>
      </c>
      <c r="G252" s="19">
        <v>0</v>
      </c>
      <c r="H252" s="19">
        <v>-5</v>
      </c>
      <c r="I252" s="19">
        <v>-60</v>
      </c>
      <c r="J252" s="19">
        <v>-15</v>
      </c>
      <c r="K252" s="19">
        <v>0</v>
      </c>
    </row>
    <row r="253" spans="3:12">
      <c r="C253" t="s">
        <v>195</v>
      </c>
      <c r="G253" s="19">
        <v>679</v>
      </c>
      <c r="H253" s="19">
        <v>135</v>
      </c>
      <c r="I253" s="19">
        <v>106</v>
      </c>
      <c r="J253" s="19">
        <v>202</v>
      </c>
      <c r="K253" s="19">
        <v>705</v>
      </c>
    </row>
    <row r="254" spans="3:12">
      <c r="C254" t="s">
        <v>196</v>
      </c>
      <c r="G254" s="14">
        <v>1.33</v>
      </c>
      <c r="H254" s="14">
        <v>1.33</v>
      </c>
      <c r="I254" s="14">
        <v>1.33</v>
      </c>
      <c r="J254" s="14">
        <v>1.33</v>
      </c>
      <c r="K254" s="14">
        <v>1.33</v>
      </c>
    </row>
    <row r="255" spans="3:12">
      <c r="G255" s="21"/>
      <c r="H255" s="21"/>
      <c r="I255" s="21"/>
      <c r="J255" s="21"/>
      <c r="K255" s="21"/>
    </row>
    <row r="257" spans="3:12">
      <c r="C257" s="2" t="s">
        <v>198</v>
      </c>
    </row>
    <row r="258" spans="3:12">
      <c r="C258" t="s">
        <v>199</v>
      </c>
      <c r="G258" s="21">
        <f>G239-(G240-G241)</f>
        <v>831</v>
      </c>
      <c r="H258" s="21">
        <f t="shared" ref="H258:K258" si="0">H239-(H240-H241)</f>
        <v>125</v>
      </c>
      <c r="I258" s="21">
        <f t="shared" si="0"/>
        <v>-104</v>
      </c>
      <c r="J258" s="21">
        <f t="shared" si="0"/>
        <v>-3</v>
      </c>
      <c r="K258" s="21">
        <f t="shared" si="0"/>
        <v>368</v>
      </c>
    </row>
    <row r="259" spans="3:12">
      <c r="C259" t="s">
        <v>200</v>
      </c>
      <c r="G259" s="21">
        <f t="shared" ref="G259:K259" si="1">G243-G239</f>
        <v>9740</v>
      </c>
      <c r="H259" s="21">
        <f t="shared" si="1"/>
        <v>10203</v>
      </c>
      <c r="I259" s="21">
        <f t="shared" si="1"/>
        <v>10034</v>
      </c>
      <c r="J259" s="21">
        <f t="shared" si="1"/>
        <v>10055</v>
      </c>
      <c r="K259" s="21">
        <f t="shared" si="1"/>
        <v>12338</v>
      </c>
    </row>
    <row r="260" spans="3:12" ht="15" thickBot="1">
      <c r="C260" t="s">
        <v>201</v>
      </c>
      <c r="G260" s="22">
        <f t="shared" ref="G260:K260" si="2">SUM(G258:G259)</f>
        <v>10571</v>
      </c>
      <c r="H260" s="22">
        <f t="shared" si="2"/>
        <v>10328</v>
      </c>
      <c r="I260" s="22">
        <f t="shared" si="2"/>
        <v>9930</v>
      </c>
      <c r="J260" s="22">
        <f t="shared" si="2"/>
        <v>10052</v>
      </c>
      <c r="K260" s="22">
        <f t="shared" si="2"/>
        <v>12706</v>
      </c>
    </row>
    <row r="261" spans="3:12" ht="15" thickTop="1">
      <c r="C261" t="s">
        <v>79</v>
      </c>
      <c r="H261" s="21">
        <f>H260-G260</f>
        <v>-243</v>
      </c>
      <c r="I261" s="21">
        <f t="shared" ref="I261:K261" si="3">I260-H260</f>
        <v>-398</v>
      </c>
      <c r="J261" s="21">
        <f t="shared" si="3"/>
        <v>122</v>
      </c>
      <c r="K261" s="21">
        <f t="shared" si="3"/>
        <v>2654</v>
      </c>
    </row>
    <row r="262" spans="3:12">
      <c r="C262" t="s">
        <v>202</v>
      </c>
      <c r="G262" s="21">
        <f>G242+G241</f>
        <v>7052</v>
      </c>
      <c r="H262" s="21">
        <f t="shared" ref="H262:K262" si="4">H242+H241</f>
        <v>6817</v>
      </c>
      <c r="I262" s="21">
        <f t="shared" si="4"/>
        <v>6460</v>
      </c>
      <c r="J262" s="21">
        <f t="shared" si="4"/>
        <v>6928</v>
      </c>
      <c r="K262" s="21">
        <f t="shared" si="4"/>
        <v>8831</v>
      </c>
    </row>
    <row r="263" spans="3:12">
      <c r="C263" t="s">
        <v>203</v>
      </c>
      <c r="G263" s="21">
        <f>G243-G262-G240</f>
        <v>3519</v>
      </c>
      <c r="H263" s="21">
        <f t="shared" ref="H263:K263" si="5">H243-H262-H240</f>
        <v>3511</v>
      </c>
      <c r="I263" s="21">
        <f t="shared" si="5"/>
        <v>3470</v>
      </c>
      <c r="J263" s="21">
        <f t="shared" si="5"/>
        <v>3124</v>
      </c>
      <c r="K263" s="21">
        <f t="shared" si="5"/>
        <v>3875</v>
      </c>
      <c r="L263" s="27"/>
    </row>
    <row r="264" spans="3:12">
      <c r="K264" s="36">
        <v>22.5</v>
      </c>
      <c r="L264" t="s">
        <v>218</v>
      </c>
    </row>
    <row r="265" spans="3:12">
      <c r="C265" s="2" t="s">
        <v>204</v>
      </c>
    </row>
    <row r="266" spans="3:12">
      <c r="C266" t="s">
        <v>205</v>
      </c>
      <c r="G266" s="21">
        <f t="shared" ref="G266:K266" si="6">G246</f>
        <v>14313</v>
      </c>
      <c r="H266" s="21">
        <f t="shared" si="6"/>
        <v>13024</v>
      </c>
      <c r="I266" s="21">
        <f t="shared" si="6"/>
        <v>13094</v>
      </c>
      <c r="J266" s="21">
        <f t="shared" si="6"/>
        <v>13342</v>
      </c>
      <c r="K266" s="21">
        <f t="shared" si="6"/>
        <v>17977</v>
      </c>
    </row>
    <row r="267" spans="3:12">
      <c r="C267" t="s">
        <v>206</v>
      </c>
      <c r="G267" s="21">
        <f>-G247</f>
        <v>-9794</v>
      </c>
      <c r="H267" s="21">
        <f t="shared" ref="H267:K267" si="7">-H247</f>
        <v>-9798</v>
      </c>
      <c r="I267" s="21">
        <f t="shared" si="7"/>
        <v>-10209</v>
      </c>
      <c r="J267" s="21">
        <f t="shared" si="7"/>
        <v>-10231</v>
      </c>
      <c r="K267" s="21">
        <f t="shared" si="7"/>
        <v>-13333</v>
      </c>
    </row>
    <row r="268" spans="3:12">
      <c r="C268" t="s">
        <v>207</v>
      </c>
      <c r="G268" s="21">
        <f t="shared" ref="G268:K269" si="8">-G248</f>
        <v>-1406</v>
      </c>
      <c r="H268" s="21">
        <f t="shared" si="8"/>
        <v>-1475</v>
      </c>
      <c r="I268" s="21">
        <f t="shared" si="8"/>
        <v>-1296</v>
      </c>
      <c r="J268" s="21">
        <f t="shared" si="8"/>
        <v>-1204</v>
      </c>
      <c r="K268" s="21">
        <f t="shared" si="8"/>
        <v>-1670</v>
      </c>
    </row>
    <row r="269" spans="3:12">
      <c r="C269" t="s">
        <v>208</v>
      </c>
      <c r="G269" s="23">
        <f t="shared" si="8"/>
        <v>-984</v>
      </c>
      <c r="H269" s="23">
        <f t="shared" si="8"/>
        <v>-996</v>
      </c>
      <c r="I269" s="23">
        <f t="shared" si="8"/>
        <v>-1017</v>
      </c>
      <c r="J269" s="23">
        <f t="shared" si="8"/>
        <v>-997</v>
      </c>
      <c r="K269" s="23">
        <f t="shared" si="8"/>
        <v>-1013</v>
      </c>
    </row>
    <row r="270" spans="3:12">
      <c r="C270" t="s">
        <v>209</v>
      </c>
      <c r="G270" s="21">
        <f t="shared" ref="G270:K270" si="9">SUM(G266:G269)</f>
        <v>2129</v>
      </c>
      <c r="H270" s="21">
        <f t="shared" si="9"/>
        <v>755</v>
      </c>
      <c r="I270" s="21">
        <f t="shared" si="9"/>
        <v>572</v>
      </c>
      <c r="J270" s="21">
        <f t="shared" si="9"/>
        <v>910</v>
      </c>
      <c r="K270" s="21">
        <f t="shared" si="9"/>
        <v>1961</v>
      </c>
    </row>
    <row r="271" spans="3:12">
      <c r="C271" t="s">
        <v>210</v>
      </c>
      <c r="G271" s="24">
        <f>G292*G270</f>
        <v>-851.85091337654683</v>
      </c>
      <c r="H271" s="24">
        <f>H292*H270</f>
        <v>-350.25773195876292</v>
      </c>
      <c r="I271" s="24">
        <f>I292*I270</f>
        <v>-346.46857142857147</v>
      </c>
      <c r="J271" s="24">
        <f t="shared" ref="J271:K271" si="10">J292*J270</f>
        <v>-386.1764705882353</v>
      </c>
      <c r="K271" s="24">
        <f t="shared" si="10"/>
        <v>-759.20098846787482</v>
      </c>
    </row>
    <row r="272" spans="3:12">
      <c r="C272" t="s">
        <v>211</v>
      </c>
      <c r="G272" s="21">
        <f t="shared" ref="G272:K272" si="11">G245</f>
        <v>10</v>
      </c>
      <c r="H272" s="21">
        <f t="shared" si="11"/>
        <v>14</v>
      </c>
      <c r="I272" s="21">
        <f t="shared" si="11"/>
        <v>100</v>
      </c>
      <c r="J272" s="21">
        <f t="shared" si="11"/>
        <v>38</v>
      </c>
      <c r="K272" s="21">
        <f t="shared" si="11"/>
        <v>73</v>
      </c>
    </row>
    <row r="273" spans="3:11" ht="15" thickBot="1">
      <c r="C273" t="s">
        <v>212</v>
      </c>
      <c r="G273" s="22">
        <f t="shared" ref="G273:K273" si="12">SUM(G270:G272)</f>
        <v>1287.1490866234531</v>
      </c>
      <c r="H273" s="22">
        <f t="shared" si="12"/>
        <v>418.74226804123708</v>
      </c>
      <c r="I273" s="22">
        <f t="shared" si="12"/>
        <v>325.53142857142853</v>
      </c>
      <c r="J273" s="22">
        <f t="shared" si="12"/>
        <v>561.82352941176464</v>
      </c>
      <c r="K273" s="22">
        <f t="shared" si="12"/>
        <v>1274.7990115321252</v>
      </c>
    </row>
    <row r="274" spans="3:11" ht="15" thickTop="1">
      <c r="C274" t="s">
        <v>213</v>
      </c>
      <c r="G274" s="21">
        <f>G253</f>
        <v>679</v>
      </c>
      <c r="H274" s="21">
        <f t="shared" ref="H274:K274" si="13">H253</f>
        <v>135</v>
      </c>
      <c r="I274" s="21">
        <f t="shared" si="13"/>
        <v>106</v>
      </c>
      <c r="J274" s="21">
        <f t="shared" si="13"/>
        <v>202</v>
      </c>
      <c r="K274" s="21">
        <f t="shared" si="13"/>
        <v>705</v>
      </c>
    </row>
    <row r="275" spans="3:11">
      <c r="C275" t="s">
        <v>225</v>
      </c>
      <c r="G275" s="24">
        <f>G251*-G292</f>
        <v>172.85091337654686</v>
      </c>
      <c r="H275" s="24">
        <f t="shared" ref="H275:K275" si="14">H251*-H292</f>
        <v>212.93814432989691</v>
      </c>
      <c r="I275" s="24">
        <f t="shared" si="14"/>
        <v>281.6571428571429</v>
      </c>
      <c r="J275" s="24">
        <f t="shared" si="14"/>
        <v>187.99579831932772</v>
      </c>
      <c r="K275" s="24">
        <f t="shared" si="14"/>
        <v>191.63920922570017</v>
      </c>
    </row>
    <row r="276" spans="3:11">
      <c r="C276" t="s">
        <v>214</v>
      </c>
      <c r="G276">
        <f t="shared" ref="G276:K276" si="15">G250*G292</f>
        <v>0</v>
      </c>
      <c r="H276">
        <f t="shared" si="15"/>
        <v>0</v>
      </c>
      <c r="I276" s="21">
        <f t="shared" si="15"/>
        <v>-77.531428571428577</v>
      </c>
      <c r="J276" s="21">
        <f t="shared" si="15"/>
        <v>-10.184873949579831</v>
      </c>
      <c r="K276" s="21">
        <f t="shared" si="15"/>
        <v>-137.43822075782538</v>
      </c>
    </row>
    <row r="277" spans="3:11">
      <c r="C277" t="s">
        <v>215</v>
      </c>
      <c r="G277">
        <f t="shared" ref="G277:K277" si="16">G252*G292</f>
        <v>0</v>
      </c>
      <c r="H277" s="24">
        <f t="shared" si="16"/>
        <v>2.3195876288659796</v>
      </c>
      <c r="I277" s="24">
        <f t="shared" si="16"/>
        <v>36.342857142857149</v>
      </c>
      <c r="J277" s="24">
        <f t="shared" si="16"/>
        <v>6.3655462184873945</v>
      </c>
      <c r="K277">
        <f t="shared" si="16"/>
        <v>0</v>
      </c>
    </row>
    <row r="278" spans="3:11" ht="15" thickBot="1">
      <c r="C278" t="s">
        <v>216</v>
      </c>
      <c r="G278" s="22">
        <f t="shared" ref="G278:K278" si="17">SUM(G274:G277)</f>
        <v>851.85091337654683</v>
      </c>
      <c r="H278" s="22">
        <f t="shared" si="17"/>
        <v>350.25773195876286</v>
      </c>
      <c r="I278" s="22">
        <f t="shared" si="17"/>
        <v>346.46857142857147</v>
      </c>
      <c r="J278" s="22">
        <f t="shared" si="17"/>
        <v>386.1764705882353</v>
      </c>
      <c r="K278" s="22">
        <f t="shared" si="17"/>
        <v>759.20098846787482</v>
      </c>
    </row>
    <row r="279" spans="3:11" ht="15" thickTop="1"/>
    <row r="280" spans="3:11">
      <c r="C280" s="2" t="s">
        <v>217</v>
      </c>
    </row>
    <row r="281" spans="3:11">
      <c r="C281" t="s">
        <v>205</v>
      </c>
      <c r="G281" s="21">
        <f t="shared" ref="G281:K281" si="18">G246</f>
        <v>14313</v>
      </c>
      <c r="H281" s="21">
        <f t="shared" si="18"/>
        <v>13024</v>
      </c>
      <c r="I281" s="21">
        <f t="shared" si="18"/>
        <v>13094</v>
      </c>
      <c r="J281" s="21">
        <f t="shared" si="18"/>
        <v>13342</v>
      </c>
      <c r="K281" s="21">
        <f t="shared" si="18"/>
        <v>17977</v>
      </c>
    </row>
    <row r="282" spans="3:11">
      <c r="C282" t="s">
        <v>206</v>
      </c>
      <c r="G282" s="21">
        <f>-G247</f>
        <v>-9794</v>
      </c>
      <c r="H282" s="21">
        <f t="shared" ref="H282:K282" si="19">-H247</f>
        <v>-9798</v>
      </c>
      <c r="I282" s="21">
        <f t="shared" si="19"/>
        <v>-10209</v>
      </c>
      <c r="J282" s="21">
        <f t="shared" si="19"/>
        <v>-10231</v>
      </c>
      <c r="K282" s="21">
        <f t="shared" si="19"/>
        <v>-13333</v>
      </c>
    </row>
    <row r="283" spans="3:11">
      <c r="C283" t="s">
        <v>207</v>
      </c>
      <c r="G283" s="21">
        <f t="shared" ref="G283:K283" si="20">-G248</f>
        <v>-1406</v>
      </c>
      <c r="H283" s="21">
        <f t="shared" si="20"/>
        <v>-1475</v>
      </c>
      <c r="I283" s="21">
        <f t="shared" si="20"/>
        <v>-1296</v>
      </c>
      <c r="J283" s="21">
        <f t="shared" si="20"/>
        <v>-1204</v>
      </c>
      <c r="K283" s="21">
        <f t="shared" si="20"/>
        <v>-1670</v>
      </c>
    </row>
    <row r="284" spans="3:11">
      <c r="C284" t="s">
        <v>208</v>
      </c>
      <c r="G284" s="23">
        <f t="shared" ref="G284:K284" si="21">-G249</f>
        <v>-984</v>
      </c>
      <c r="H284" s="23">
        <f t="shared" si="21"/>
        <v>-996</v>
      </c>
      <c r="I284" s="23">
        <f t="shared" si="21"/>
        <v>-1017</v>
      </c>
      <c r="J284" s="23">
        <f t="shared" si="21"/>
        <v>-997</v>
      </c>
      <c r="K284" s="23">
        <f t="shared" si="21"/>
        <v>-1013</v>
      </c>
    </row>
    <row r="285" spans="3:11">
      <c r="C285" t="s">
        <v>209</v>
      </c>
      <c r="G285" s="21">
        <f t="shared" ref="G285:K285" si="22">SUM(G281:G284)</f>
        <v>2129</v>
      </c>
      <c r="H285" s="21">
        <f t="shared" si="22"/>
        <v>755</v>
      </c>
      <c r="I285" s="21">
        <f t="shared" si="22"/>
        <v>572</v>
      </c>
      <c r="J285" s="21">
        <f t="shared" si="22"/>
        <v>910</v>
      </c>
      <c r="K285" s="21">
        <f t="shared" si="22"/>
        <v>1961</v>
      </c>
    </row>
    <row r="286" spans="3:11">
      <c r="C286" t="s">
        <v>219</v>
      </c>
      <c r="G286" s="21">
        <f t="shared" ref="G286:K286" si="23">G250</f>
        <v>0</v>
      </c>
      <c r="H286" s="21">
        <f t="shared" si="23"/>
        <v>0</v>
      </c>
      <c r="I286" s="21">
        <f t="shared" si="23"/>
        <v>128</v>
      </c>
      <c r="J286" s="21">
        <f t="shared" si="23"/>
        <v>24</v>
      </c>
      <c r="K286" s="21">
        <f t="shared" si="23"/>
        <v>355</v>
      </c>
    </row>
    <row r="287" spans="3:11">
      <c r="C287" t="s">
        <v>220</v>
      </c>
      <c r="G287" s="21">
        <f>-G251</f>
        <v>-432</v>
      </c>
      <c r="H287" s="21">
        <f t="shared" ref="H287:K287" si="24">-H251</f>
        <v>-459</v>
      </c>
      <c r="I287" s="21">
        <f t="shared" si="24"/>
        <v>-465</v>
      </c>
      <c r="J287" s="21">
        <f t="shared" si="24"/>
        <v>-443</v>
      </c>
      <c r="K287" s="21">
        <f t="shared" si="24"/>
        <v>-495</v>
      </c>
    </row>
    <row r="288" spans="3:11">
      <c r="C288" t="s">
        <v>221</v>
      </c>
      <c r="G288" s="23">
        <f>G252</f>
        <v>0</v>
      </c>
      <c r="H288" s="23">
        <f t="shared" ref="H288:K288" si="25">H252</f>
        <v>-5</v>
      </c>
      <c r="I288" s="23">
        <f t="shared" si="25"/>
        <v>-60</v>
      </c>
      <c r="J288" s="23">
        <f t="shared" si="25"/>
        <v>-15</v>
      </c>
      <c r="K288" s="23">
        <f t="shared" si="25"/>
        <v>0</v>
      </c>
    </row>
    <row r="289" spans="3:11">
      <c r="C289" t="s">
        <v>222</v>
      </c>
      <c r="G289" s="21">
        <f t="shared" ref="G289:K289" si="26">SUM(G285:G288)</f>
        <v>1697</v>
      </c>
      <c r="H289" s="21">
        <f t="shared" si="26"/>
        <v>291</v>
      </c>
      <c r="I289" s="21">
        <f t="shared" si="26"/>
        <v>175</v>
      </c>
      <c r="J289" s="21">
        <f t="shared" si="26"/>
        <v>476</v>
      </c>
      <c r="K289" s="21">
        <f t="shared" si="26"/>
        <v>1821</v>
      </c>
    </row>
    <row r="290" spans="3:11">
      <c r="C290" t="s">
        <v>223</v>
      </c>
      <c r="G290" s="23">
        <f t="shared" ref="G290:K290" si="27">-G253</f>
        <v>-679</v>
      </c>
      <c r="H290" s="23">
        <f t="shared" si="27"/>
        <v>-135</v>
      </c>
      <c r="I290" s="23">
        <f t="shared" si="27"/>
        <v>-106</v>
      </c>
      <c r="J290" s="23">
        <f t="shared" si="27"/>
        <v>-202</v>
      </c>
      <c r="K290" s="23">
        <f t="shared" si="27"/>
        <v>-705</v>
      </c>
    </row>
    <row r="291" spans="3:11" ht="15" thickBot="1">
      <c r="C291" t="s">
        <v>224</v>
      </c>
      <c r="G291" s="25">
        <f t="shared" ref="G291:K291" si="28">G289+G290</f>
        <v>1018</v>
      </c>
      <c r="H291" s="25">
        <f t="shared" si="28"/>
        <v>156</v>
      </c>
      <c r="I291" s="25">
        <f t="shared" si="28"/>
        <v>69</v>
      </c>
      <c r="J291" s="25">
        <f t="shared" si="28"/>
        <v>274</v>
      </c>
      <c r="K291" s="25">
        <f t="shared" si="28"/>
        <v>1116</v>
      </c>
    </row>
    <row r="292" spans="3:11" ht="15" thickTop="1">
      <c r="C292" t="s">
        <v>54</v>
      </c>
      <c r="G292" s="26">
        <f>G290/G289</f>
        <v>-0.40011785503830288</v>
      </c>
      <c r="H292" s="26">
        <f t="shared" ref="H292:K292" si="29">H290/H289</f>
        <v>-0.46391752577319589</v>
      </c>
      <c r="I292" s="26">
        <f t="shared" si="29"/>
        <v>-0.60571428571428576</v>
      </c>
      <c r="J292" s="26">
        <f t="shared" si="29"/>
        <v>-0.42436974789915966</v>
      </c>
      <c r="K292" s="26">
        <f t="shared" si="29"/>
        <v>-0.38714991762767709</v>
      </c>
    </row>
    <row r="295" spans="3:11">
      <c r="C295" s="2" t="s">
        <v>226</v>
      </c>
    </row>
    <row r="296" spans="3:11">
      <c r="C296" t="s">
        <v>227</v>
      </c>
      <c r="G296" s="21">
        <f t="shared" ref="G296:K296" si="30">G291</f>
        <v>1018</v>
      </c>
      <c r="H296" s="21">
        <f t="shared" si="30"/>
        <v>156</v>
      </c>
      <c r="I296" s="21">
        <f t="shared" si="30"/>
        <v>69</v>
      </c>
      <c r="J296" s="21">
        <f t="shared" si="30"/>
        <v>274</v>
      </c>
      <c r="K296" s="21">
        <f t="shared" si="30"/>
        <v>1116</v>
      </c>
    </row>
    <row r="297" spans="3:11">
      <c r="C297" t="s">
        <v>234</v>
      </c>
      <c r="G297" s="23">
        <f>G245</f>
        <v>10</v>
      </c>
      <c r="H297" s="23">
        <f t="shared" ref="H297:K297" si="31">H245</f>
        <v>14</v>
      </c>
      <c r="I297" s="23">
        <f t="shared" si="31"/>
        <v>100</v>
      </c>
      <c r="J297" s="23">
        <f t="shared" si="31"/>
        <v>38</v>
      </c>
      <c r="K297" s="23">
        <f t="shared" si="31"/>
        <v>73</v>
      </c>
    </row>
    <row r="298" spans="3:11">
      <c r="C298" t="s">
        <v>228</v>
      </c>
      <c r="G298" s="21">
        <f t="shared" ref="G298:K298" si="32">SUM(G296:G297)</f>
        <v>1028</v>
      </c>
      <c r="H298" s="21">
        <f t="shared" si="32"/>
        <v>170</v>
      </c>
      <c r="I298" s="21">
        <f t="shared" si="32"/>
        <v>169</v>
      </c>
      <c r="J298" s="21">
        <f t="shared" si="32"/>
        <v>312</v>
      </c>
      <c r="K298" s="21">
        <f t="shared" si="32"/>
        <v>1189</v>
      </c>
    </row>
    <row r="299" spans="3:11">
      <c r="C299" t="s">
        <v>229</v>
      </c>
      <c r="G299" s="28">
        <f>G251*(1+G292)</f>
        <v>259.14908662345317</v>
      </c>
      <c r="H299" s="28">
        <f t="shared" ref="H299:K299" si="33">H251*(1+H292)</f>
        <v>246.06185567010309</v>
      </c>
      <c r="I299" s="28">
        <f t="shared" si="33"/>
        <v>183.34285714285713</v>
      </c>
      <c r="J299" s="28">
        <f t="shared" si="33"/>
        <v>255.00420168067225</v>
      </c>
      <c r="K299" s="28">
        <f t="shared" si="33"/>
        <v>303.3607907742998</v>
      </c>
    </row>
    <row r="300" spans="3:11">
      <c r="C300" t="s">
        <v>230</v>
      </c>
      <c r="G300" s="21">
        <f t="shared" ref="G300:K300" si="34">SUM(G298:G299)</f>
        <v>1287.1490866234531</v>
      </c>
      <c r="H300" s="21">
        <f t="shared" si="34"/>
        <v>416.06185567010311</v>
      </c>
      <c r="I300" s="21">
        <f t="shared" si="34"/>
        <v>352.34285714285716</v>
      </c>
      <c r="J300" s="21">
        <f t="shared" si="34"/>
        <v>567.00420168067228</v>
      </c>
      <c r="K300" s="21">
        <f t="shared" si="34"/>
        <v>1492.3607907742999</v>
      </c>
    </row>
    <row r="301" spans="3:11">
      <c r="C301" t="s">
        <v>231</v>
      </c>
      <c r="G301">
        <f t="shared" ref="G301:H301" si="35">G250*(1+G292)</f>
        <v>0</v>
      </c>
      <c r="H301">
        <f t="shared" si="35"/>
        <v>0</v>
      </c>
      <c r="I301" s="21">
        <f t="shared" ref="I301:K301" si="36">-I250*(1+I292)</f>
        <v>-50.468571428571423</v>
      </c>
      <c r="J301" s="21">
        <f t="shared" si="36"/>
        <v>-13.815126050420167</v>
      </c>
      <c r="K301" s="21">
        <f t="shared" si="36"/>
        <v>-217.56177924217462</v>
      </c>
    </row>
    <row r="302" spans="3:11">
      <c r="C302" t="s">
        <v>232</v>
      </c>
      <c r="G302">
        <f t="shared" ref="G302:K302" si="37">-G252*(1+G292)</f>
        <v>0</v>
      </c>
      <c r="H302" s="24">
        <f t="shared" si="37"/>
        <v>2.6804123711340204</v>
      </c>
      <c r="I302" s="24">
        <f t="shared" si="37"/>
        <v>23.657142857142855</v>
      </c>
      <c r="J302" s="24">
        <f t="shared" si="37"/>
        <v>8.6344537815126046</v>
      </c>
      <c r="K302" s="24">
        <f t="shared" si="37"/>
        <v>0</v>
      </c>
    </row>
    <row r="303" spans="3:11" ht="15" thickBot="1">
      <c r="C303" t="s">
        <v>233</v>
      </c>
      <c r="G303" s="22">
        <f t="shared" ref="G303:K303" si="38">SUM(G300:G302)</f>
        <v>1287.1490866234531</v>
      </c>
      <c r="H303" s="22">
        <f t="shared" si="38"/>
        <v>418.74226804123714</v>
      </c>
      <c r="I303" s="22">
        <f t="shared" si="38"/>
        <v>325.53142857142859</v>
      </c>
      <c r="J303" s="22">
        <f t="shared" si="38"/>
        <v>561.82352941176464</v>
      </c>
      <c r="K303" s="22">
        <f t="shared" si="38"/>
        <v>1274.7990115321252</v>
      </c>
    </row>
    <row r="304" spans="3:11" ht="15" thickTop="1"/>
    <row r="306" spans="3:11">
      <c r="C306" s="2" t="s">
        <v>235</v>
      </c>
    </row>
    <row r="307" spans="3:11">
      <c r="C307" t="s">
        <v>236</v>
      </c>
      <c r="H307" s="30">
        <f>H303/G260</f>
        <v>3.9612360991508576E-2</v>
      </c>
      <c r="I307" s="30">
        <f t="shared" ref="I307:K307" si="39">I303/H260</f>
        <v>3.1519309505366827E-2</v>
      </c>
      <c r="J307" s="30">
        <f t="shared" si="39"/>
        <v>5.6578401753450615E-2</v>
      </c>
      <c r="K307" s="30">
        <f t="shared" si="39"/>
        <v>0.12682043489177527</v>
      </c>
    </row>
    <row r="308" spans="3:11">
      <c r="C308" t="s">
        <v>237</v>
      </c>
      <c r="H308" s="29">
        <f>1+SUM(H271:H272)/H270</f>
        <v>0.55462552058441994</v>
      </c>
      <c r="I308" s="29">
        <f t="shared" ref="I308:K308" si="40">1+SUM(I271:I272)/I270</f>
        <v>0.56911088911088903</v>
      </c>
      <c r="J308" s="29">
        <f t="shared" si="40"/>
        <v>0.61738849385908212</v>
      </c>
      <c r="K308" s="29">
        <f t="shared" si="40"/>
        <v>0.65007598752275642</v>
      </c>
    </row>
    <row r="309" spans="3:11">
      <c r="C309" t="s">
        <v>238</v>
      </c>
      <c r="H309" s="30">
        <f>H310*H311</f>
        <v>7.1421814397880992E-2</v>
      </c>
      <c r="I309" s="30">
        <f t="shared" ref="I309:K309" si="41">I310*I311</f>
        <v>5.5383423702556153E-2</v>
      </c>
      <c r="J309" s="30">
        <f t="shared" si="41"/>
        <v>9.1641490433031228E-2</v>
      </c>
      <c r="K309" s="30">
        <f t="shared" si="41"/>
        <v>0.19508555511341025</v>
      </c>
    </row>
    <row r="310" spans="3:11">
      <c r="C310" t="s">
        <v>239</v>
      </c>
      <c r="H310" s="29">
        <f>H270/H266</f>
        <v>5.7969901719901719E-2</v>
      </c>
      <c r="I310" s="29">
        <f t="shared" ref="I310:K310" si="42">I270/I266</f>
        <v>4.3684130135940122E-2</v>
      </c>
      <c r="J310" s="29">
        <f t="shared" si="42"/>
        <v>6.8205666316894023E-2</v>
      </c>
      <c r="K310" s="29">
        <f t="shared" si="42"/>
        <v>0.10908382933748678</v>
      </c>
    </row>
    <row r="311" spans="3:11">
      <c r="C311" t="s">
        <v>240</v>
      </c>
      <c r="H311" s="31">
        <f>H266/G260</f>
        <v>1.2320499479708638</v>
      </c>
      <c r="I311" s="31">
        <f t="shared" ref="I311:K311" si="43">I266/H260</f>
        <v>1.2678156467854376</v>
      </c>
      <c r="J311" s="31">
        <f t="shared" si="43"/>
        <v>1.3436052366565963</v>
      </c>
      <c r="K311" s="31">
        <f t="shared" si="43"/>
        <v>1.788400318344608</v>
      </c>
    </row>
    <row r="312" spans="3:11">
      <c r="C312" t="s">
        <v>241</v>
      </c>
    </row>
    <row r="313" spans="3:11">
      <c r="C313" t="s">
        <v>242</v>
      </c>
      <c r="H313" s="29">
        <f>H247/H246</f>
        <v>0.75230343980343983</v>
      </c>
      <c r="I313" s="29">
        <f t="shared" ref="I313:K313" si="44">I247/I246</f>
        <v>0.77967007789827403</v>
      </c>
      <c r="J313" s="29">
        <f t="shared" si="44"/>
        <v>0.76682656273422278</v>
      </c>
      <c r="K313" s="29">
        <f t="shared" si="44"/>
        <v>0.74166991155365192</v>
      </c>
    </row>
    <row r="314" spans="3:11">
      <c r="C314" t="s">
        <v>244</v>
      </c>
      <c r="H314" s="29">
        <f>H248/H246</f>
        <v>0.11325245700245701</v>
      </c>
      <c r="I314" s="29">
        <f t="shared" ref="I314:K314" si="45">I248/I246</f>
        <v>9.8976630517794414E-2</v>
      </c>
      <c r="J314" s="29">
        <f t="shared" si="45"/>
        <v>9.0241343126967466E-2</v>
      </c>
      <c r="K314" s="29">
        <f t="shared" si="45"/>
        <v>9.2896478834065752E-2</v>
      </c>
    </row>
    <row r="315" spans="3:11">
      <c r="C315" t="s">
        <v>243</v>
      </c>
      <c r="H315" s="30">
        <f>H249/H246</f>
        <v>7.6474201474201475E-2</v>
      </c>
      <c r="I315" s="30">
        <f t="shared" ref="I315:K315" si="46">I249/I246</f>
        <v>7.766916144799145E-2</v>
      </c>
      <c r="J315" s="30">
        <f t="shared" si="46"/>
        <v>7.4726427821915756E-2</v>
      </c>
      <c r="K315" s="30">
        <f t="shared" si="46"/>
        <v>5.634978027479557E-2</v>
      </c>
    </row>
    <row r="316" spans="3:11">
      <c r="C316" t="s">
        <v>245</v>
      </c>
    </row>
    <row r="317" spans="3:11">
      <c r="C317" t="s">
        <v>246</v>
      </c>
      <c r="H317" s="29">
        <f>G258/H266</f>
        <v>6.3805282555282561E-2</v>
      </c>
      <c r="I317" s="29">
        <f t="shared" ref="I317:K317" si="47">H258/I266</f>
        <v>9.5463571101267759E-3</v>
      </c>
      <c r="J317" s="29">
        <f t="shared" si="47"/>
        <v>-7.7949332933593164E-3</v>
      </c>
      <c r="K317" s="29">
        <f t="shared" si="47"/>
        <v>-1.6687990209712409E-4</v>
      </c>
    </row>
    <row r="318" spans="3:11">
      <c r="C318" t="s">
        <v>247</v>
      </c>
      <c r="H318" s="30">
        <f>G259/H266</f>
        <v>0.74785012285012287</v>
      </c>
      <c r="I318" s="30">
        <f t="shared" ref="I318:K318" si="48">H259/I266</f>
        <v>0.7792118527569879</v>
      </c>
      <c r="J318" s="30">
        <f t="shared" si="48"/>
        <v>0.75206116024584024</v>
      </c>
      <c r="K318" s="30">
        <f t="shared" si="48"/>
        <v>0.55932580519552766</v>
      </c>
    </row>
    <row r="319" spans="3:11">
      <c r="C319" t="s">
        <v>248</v>
      </c>
      <c r="H319" s="32">
        <f>H245/H246</f>
        <v>1.0749385749385749E-3</v>
      </c>
      <c r="I319" s="32">
        <f t="shared" ref="I319:K319" si="49">I245/I246</f>
        <v>7.6370856881014205E-3</v>
      </c>
      <c r="J319" s="32">
        <f t="shared" si="49"/>
        <v>2.8481487033428271E-3</v>
      </c>
      <c r="K319" s="32">
        <f t="shared" si="49"/>
        <v>4.060744284363353E-3</v>
      </c>
    </row>
    <row r="320" spans="3:11">
      <c r="H320" s="32"/>
      <c r="I320" s="32"/>
      <c r="J320" s="32"/>
      <c r="K320" s="32"/>
    </row>
    <row r="321" spans="3:12">
      <c r="C321" s="2" t="s">
        <v>249</v>
      </c>
    </row>
    <row r="322" spans="3:12">
      <c r="C322" t="s">
        <v>233</v>
      </c>
      <c r="H322" s="21">
        <f t="shared" ref="H322:K322" si="50">H303</f>
        <v>418.74226804123714</v>
      </c>
      <c r="I322" s="21">
        <f t="shared" si="50"/>
        <v>325.53142857142859</v>
      </c>
      <c r="J322" s="21">
        <f t="shared" si="50"/>
        <v>561.82352941176464</v>
      </c>
      <c r="K322" s="21">
        <f t="shared" si="50"/>
        <v>1274.7990115321252</v>
      </c>
    </row>
    <row r="323" spans="3:12">
      <c r="C323" t="s">
        <v>208</v>
      </c>
      <c r="H323" s="21">
        <f t="shared" ref="H323:K323" si="51">H249</f>
        <v>996</v>
      </c>
      <c r="I323" s="21">
        <f t="shared" si="51"/>
        <v>1017</v>
      </c>
      <c r="J323" s="21">
        <f t="shared" si="51"/>
        <v>997</v>
      </c>
      <c r="K323" s="21">
        <f t="shared" si="51"/>
        <v>1013</v>
      </c>
    </row>
    <row r="324" spans="3:12" ht="15" thickBot="1">
      <c r="C324" t="s">
        <v>250</v>
      </c>
      <c r="H324" s="22">
        <f t="shared" ref="H324:K324" si="52">SUM(H322:H323)</f>
        <v>1414.7422680412371</v>
      </c>
      <c r="I324" s="22">
        <f t="shared" si="52"/>
        <v>1342.5314285714285</v>
      </c>
      <c r="J324" s="22">
        <f t="shared" si="52"/>
        <v>1558.8235294117646</v>
      </c>
      <c r="K324" s="22">
        <f t="shared" si="52"/>
        <v>2287.7990115321254</v>
      </c>
    </row>
    <row r="325" spans="3:12" ht="15" thickTop="1">
      <c r="C325" t="s">
        <v>251</v>
      </c>
      <c r="H325" s="21">
        <f>H258-G258</f>
        <v>-706</v>
      </c>
      <c r="I325" s="21">
        <f t="shared" ref="I325:K325" si="53">I258-H258</f>
        <v>-229</v>
      </c>
      <c r="J325" s="21">
        <f t="shared" si="53"/>
        <v>101</v>
      </c>
      <c r="K325" s="21">
        <f t="shared" si="53"/>
        <v>371</v>
      </c>
    </row>
    <row r="326" spans="3:12">
      <c r="C326" t="s">
        <v>252</v>
      </c>
      <c r="H326" s="35">
        <v>1459</v>
      </c>
      <c r="I326" s="35">
        <v>848</v>
      </c>
      <c r="J326" s="35">
        <v>1018</v>
      </c>
      <c r="K326" s="35">
        <v>3296</v>
      </c>
      <c r="L326" t="s">
        <v>263</v>
      </c>
    </row>
    <row r="327" spans="3:12" ht="15" thickBot="1">
      <c r="C327" t="s">
        <v>253</v>
      </c>
      <c r="H327" s="33">
        <f t="shared" ref="H327:K327" si="54">SUM(H325:H326)</f>
        <v>753</v>
      </c>
      <c r="I327" s="33">
        <f t="shared" si="54"/>
        <v>619</v>
      </c>
      <c r="J327" s="33">
        <f t="shared" si="54"/>
        <v>1119</v>
      </c>
      <c r="K327" s="33">
        <f t="shared" si="54"/>
        <v>3667</v>
      </c>
    </row>
    <row r="328" spans="3:12" ht="15.75" thickTop="1" thickBot="1">
      <c r="C328" t="s">
        <v>80</v>
      </c>
      <c r="H328" s="34">
        <f>H324-H327</f>
        <v>661.74226804123714</v>
      </c>
      <c r="I328" s="34">
        <f t="shared" ref="I328:K328" si="55">I324-I327</f>
        <v>723.53142857142848</v>
      </c>
      <c r="J328" s="34">
        <f t="shared" si="55"/>
        <v>439.82352941176464</v>
      </c>
      <c r="K328" s="34">
        <f t="shared" si="55"/>
        <v>-1379.2009884678746</v>
      </c>
    </row>
    <row r="329" spans="3:12" ht="15" thickTop="1">
      <c r="C329" t="s">
        <v>254</v>
      </c>
      <c r="H329" s="21">
        <f t="shared" ref="H329:K329" si="56">SUM(H286,H288)</f>
        <v>-5</v>
      </c>
      <c r="I329" s="21">
        <f t="shared" si="56"/>
        <v>68</v>
      </c>
      <c r="J329" s="21">
        <f t="shared" si="56"/>
        <v>9</v>
      </c>
      <c r="K329" s="21">
        <f t="shared" si="56"/>
        <v>355</v>
      </c>
    </row>
    <row r="330" spans="3:12" ht="15" thickBot="1">
      <c r="C330" t="s">
        <v>255</v>
      </c>
      <c r="H330" s="25">
        <f t="shared" ref="H330:K330" si="57">SUM(H328:H329)</f>
        <v>656.74226804123714</v>
      </c>
      <c r="I330" s="25">
        <f t="shared" si="57"/>
        <v>791.53142857142848</v>
      </c>
      <c r="J330" s="25">
        <f t="shared" si="57"/>
        <v>448.82352941176464</v>
      </c>
      <c r="K330" s="25">
        <f t="shared" si="57"/>
        <v>-1024.2009884678746</v>
      </c>
    </row>
    <row r="331" spans="3:12" ht="15" thickTop="1"/>
    <row r="332" spans="3:12">
      <c r="C332" s="2" t="s">
        <v>256</v>
      </c>
    </row>
    <row r="333" spans="3:12">
      <c r="C333" t="s">
        <v>257</v>
      </c>
      <c r="H333">
        <f>H254</f>
        <v>1.33</v>
      </c>
      <c r="I333">
        <f t="shared" ref="I333:K333" si="58">I254</f>
        <v>1.33</v>
      </c>
      <c r="J333">
        <f t="shared" si="58"/>
        <v>1.33</v>
      </c>
      <c r="K333">
        <f t="shared" si="58"/>
        <v>1.33</v>
      </c>
    </row>
    <row r="334" spans="3:12">
      <c r="C334" t="s">
        <v>264</v>
      </c>
      <c r="H334" s="29">
        <f>G262/G260</f>
        <v>0.66710812600510827</v>
      </c>
      <c r="I334" s="29">
        <f>H262/H260</f>
        <v>0.66005034856700229</v>
      </c>
      <c r="J334" s="29">
        <f>I262/I260</f>
        <v>0.65055387713997981</v>
      </c>
      <c r="K334" s="29">
        <f>J262/J260</f>
        <v>0.68921607640270588</v>
      </c>
    </row>
    <row r="335" spans="3:12">
      <c r="C335" t="s">
        <v>258</v>
      </c>
      <c r="H335" s="29">
        <f>G263/G260</f>
        <v>0.33289187399489167</v>
      </c>
      <c r="I335" s="29">
        <f t="shared" ref="I335:K335" si="59">H263/H260</f>
        <v>0.33994965143299766</v>
      </c>
      <c r="J335" s="29">
        <f t="shared" si="59"/>
        <v>0.34944612286002014</v>
      </c>
      <c r="K335" s="29">
        <f t="shared" si="59"/>
        <v>0.31078392359729407</v>
      </c>
    </row>
    <row r="336" spans="3:12">
      <c r="C336" t="s">
        <v>69</v>
      </c>
      <c r="H336" s="37">
        <v>6.5000000000000002E-2</v>
      </c>
      <c r="I336" s="37">
        <v>6.8000000000000005E-2</v>
      </c>
      <c r="J336" s="37">
        <v>6.9000000000000006E-2</v>
      </c>
      <c r="K336" s="37">
        <v>7.0999999999999994E-2</v>
      </c>
    </row>
    <row r="337" spans="3:12">
      <c r="C337" t="s">
        <v>74</v>
      </c>
      <c r="H337" s="37">
        <v>0.15</v>
      </c>
      <c r="I337" s="37">
        <v>0.15</v>
      </c>
      <c r="J337" s="37">
        <v>0.15</v>
      </c>
      <c r="K337" s="37">
        <v>0.15</v>
      </c>
    </row>
    <row r="338" spans="3:12">
      <c r="C338" t="s">
        <v>259</v>
      </c>
      <c r="H338" s="29">
        <f>H334*H336*(1+H292)+H335*H337</f>
        <v>7.317940445899937E-2</v>
      </c>
      <c r="I338" s="29">
        <f t="shared" ref="I338:K338" si="60">I334*I336*(1+I292)+I335*I337</f>
        <v>6.8689340489100359E-2</v>
      </c>
      <c r="J338" s="29">
        <f>J334*J336*(1+J292)+J335*J337</f>
        <v>7.8255934397928356E-2</v>
      </c>
      <c r="K338" s="29">
        <f t="shared" si="60"/>
        <v>7.6607003712490754E-2</v>
      </c>
    </row>
    <row r="340" spans="3:12">
      <c r="C340" s="2" t="s">
        <v>262</v>
      </c>
    </row>
    <row r="341" spans="3:12">
      <c r="C341" t="s">
        <v>233</v>
      </c>
      <c r="H341" s="21">
        <f t="shared" ref="H341:K341" si="61">H322</f>
        <v>418.74226804123714</v>
      </c>
      <c r="I341" s="21">
        <f t="shared" si="61"/>
        <v>325.53142857142859</v>
      </c>
      <c r="J341" s="21">
        <f t="shared" si="61"/>
        <v>561.82352941176464</v>
      </c>
      <c r="K341" s="21">
        <f t="shared" si="61"/>
        <v>1274.7990115321252</v>
      </c>
    </row>
    <row r="342" spans="3:12">
      <c r="C342" t="s">
        <v>261</v>
      </c>
      <c r="H342" s="38">
        <f>-G260*H338</f>
        <v>-773.5794845360823</v>
      </c>
      <c r="I342" s="38">
        <f t="shared" ref="I342:K342" si="62">-H260*I338</f>
        <v>-709.42350857142856</v>
      </c>
      <c r="J342" s="38">
        <f t="shared" si="62"/>
        <v>-777.08142857142855</v>
      </c>
      <c r="K342" s="38">
        <f t="shared" si="62"/>
        <v>-770.05360131795703</v>
      </c>
    </row>
    <row r="343" spans="3:12" ht="15" thickBot="1">
      <c r="C343" t="s">
        <v>260</v>
      </c>
      <c r="H343" s="22">
        <f t="shared" ref="H343:K343" si="63">SUM(H341:H342)</f>
        <v>-354.83721649484517</v>
      </c>
      <c r="I343" s="22">
        <f t="shared" si="63"/>
        <v>-383.89207999999996</v>
      </c>
      <c r="J343" s="22">
        <f t="shared" si="63"/>
        <v>-215.25789915966391</v>
      </c>
      <c r="K343" s="22">
        <f t="shared" si="63"/>
        <v>504.74541021416815</v>
      </c>
    </row>
    <row r="344" spans="3:12" ht="15" thickTop="1">
      <c r="H344" s="1">
        <v>-354</v>
      </c>
      <c r="I344" s="1">
        <v>-383.3</v>
      </c>
      <c r="J344" s="1">
        <v>-212.6</v>
      </c>
      <c r="K344" s="1">
        <v>503.8</v>
      </c>
      <c r="L344" t="s">
        <v>265</v>
      </c>
    </row>
    <row r="348" spans="3:12">
      <c r="C348" s="9"/>
      <c r="D348" s="9"/>
      <c r="E348" s="9"/>
      <c r="F348" s="9"/>
      <c r="G348" s="9"/>
      <c r="H348" s="9"/>
      <c r="I348" s="9"/>
      <c r="J348" s="9"/>
      <c r="K348" s="9"/>
    </row>
    <row r="351" spans="3:12" ht="28.5">
      <c r="C351" s="10" t="s">
        <v>266</v>
      </c>
      <c r="D351" s="9"/>
      <c r="E351" s="9"/>
      <c r="F351" s="39" t="s">
        <v>267</v>
      </c>
      <c r="G351" s="40" t="s">
        <v>268</v>
      </c>
      <c r="H351" s="40" t="s">
        <v>269</v>
      </c>
      <c r="I351" s="40" t="s">
        <v>270</v>
      </c>
      <c r="J351" s="40" t="s">
        <v>271</v>
      </c>
    </row>
    <row r="352" spans="3:12">
      <c r="C352" t="s">
        <v>272</v>
      </c>
      <c r="F352" s="21">
        <f>AVERAGE(G258:K258)*1000</f>
        <v>243400</v>
      </c>
      <c r="G352" s="21">
        <f>F352*(1+G358)</f>
        <v>258004</v>
      </c>
      <c r="H352" s="21">
        <f t="shared" ref="H352:I352" si="64">G352*(1+H358)</f>
        <v>273484.24</v>
      </c>
      <c r="I352" s="21">
        <f t="shared" si="64"/>
        <v>289893.29440000001</v>
      </c>
      <c r="J352" s="21" t="s">
        <v>319</v>
      </c>
    </row>
    <row r="353" spans="3:11">
      <c r="C353" t="s">
        <v>273</v>
      </c>
      <c r="F353" s="7">
        <f>AVERAGE(G259:K259)*1000</f>
        <v>10474000</v>
      </c>
      <c r="G353" s="21">
        <f>F353*(1+G358)</f>
        <v>11102440</v>
      </c>
      <c r="H353" s="21">
        <f t="shared" ref="H353:I353" si="65">G353*(1+H358)</f>
        <v>11768586.4</v>
      </c>
      <c r="I353" s="21">
        <f t="shared" si="65"/>
        <v>12474701.584000001</v>
      </c>
      <c r="J353" s="21" t="s">
        <v>319</v>
      </c>
    </row>
    <row r="354" spans="3:11" ht="15" thickBot="1">
      <c r="C354" t="s">
        <v>274</v>
      </c>
      <c r="F354" s="22">
        <f>SUM(F352:F353)</f>
        <v>10717400</v>
      </c>
      <c r="G354" s="22">
        <f t="shared" ref="G354:I354" si="66">SUM(G352:G353)</f>
        <v>11360444</v>
      </c>
      <c r="H354" s="22">
        <f t="shared" si="66"/>
        <v>12042070.640000001</v>
      </c>
      <c r="I354" s="22">
        <f t="shared" si="66"/>
        <v>12764594.878400002</v>
      </c>
      <c r="J354" s="78">
        <v>13359935</v>
      </c>
      <c r="K354" s="1" t="s">
        <v>349</v>
      </c>
    </row>
    <row r="355" spans="3:11" ht="15" thickTop="1">
      <c r="C355" t="s">
        <v>275</v>
      </c>
      <c r="F355" s="41"/>
      <c r="G355" s="43">
        <f>G354-F354</f>
        <v>643044</v>
      </c>
      <c r="H355" s="43">
        <f t="shared" ref="H355:I355" si="67">H354-G354</f>
        <v>681626.6400000006</v>
      </c>
      <c r="I355" s="43">
        <f t="shared" si="67"/>
        <v>722524.23840000108</v>
      </c>
      <c r="J355" s="84">
        <f>J354-I354</f>
        <v>595340.12159999833</v>
      </c>
    </row>
    <row r="356" spans="3:11">
      <c r="C356" t="s">
        <v>276</v>
      </c>
      <c r="F356" s="21">
        <f>AVERAGE(G262:K262)*1000</f>
        <v>7217600</v>
      </c>
      <c r="G356" s="21">
        <f>F356*(1+G358)</f>
        <v>7650656</v>
      </c>
      <c r="H356" s="21">
        <f t="shared" ref="H356:I356" si="68">G356*(1+H358)</f>
        <v>8109695.3600000003</v>
      </c>
      <c r="I356" s="21">
        <f t="shared" si="68"/>
        <v>8596277.0816000011</v>
      </c>
      <c r="J356" s="85">
        <f>I356*(1+J396)</f>
        <v>8979340.9694906995</v>
      </c>
    </row>
    <row r="357" spans="3:11">
      <c r="C357" t="s">
        <v>277</v>
      </c>
      <c r="F357" s="23">
        <f>AVERAGE(G263:K263)*1000</f>
        <v>3499800</v>
      </c>
      <c r="G357" s="21">
        <f>F357*(1+G358)</f>
        <v>3709788</v>
      </c>
      <c r="H357" s="21">
        <f t="shared" ref="H357:I357" si="69">G357*(1+H358)</f>
        <v>3932375.2800000003</v>
      </c>
      <c r="I357" s="21">
        <f t="shared" si="69"/>
        <v>4168317.7968000006</v>
      </c>
      <c r="J357" s="85">
        <f>I357*(1+J396)</f>
        <v>4354064.7202703878</v>
      </c>
    </row>
    <row r="358" spans="3:11">
      <c r="C358" t="s">
        <v>278</v>
      </c>
      <c r="G358" s="54">
        <v>0.06</v>
      </c>
      <c r="H358" s="55">
        <v>0.06</v>
      </c>
      <c r="I358" s="55">
        <v>0.06</v>
      </c>
      <c r="J358" s="77"/>
    </row>
    <row r="359" spans="3:11">
      <c r="C359" t="s">
        <v>279</v>
      </c>
      <c r="F359" s="91">
        <f>AVERAGE(G281:K281)*1000</f>
        <v>14350000</v>
      </c>
      <c r="G359" s="21">
        <f>F359*(1+G358)</f>
        <v>15211000</v>
      </c>
      <c r="H359" s="21">
        <f t="shared" ref="H359:I359" si="70">G359*(1+H358)</f>
        <v>16123660</v>
      </c>
      <c r="I359" s="21">
        <f t="shared" si="70"/>
        <v>17091079.600000001</v>
      </c>
      <c r="J359" s="77"/>
    </row>
    <row r="360" spans="3:11">
      <c r="C360" t="s">
        <v>280</v>
      </c>
      <c r="G360" s="21">
        <f t="shared" ref="G360:I362" si="71">-G$359*G402</f>
        <v>-11104030</v>
      </c>
      <c r="H360" s="21">
        <f t="shared" si="71"/>
        <v>-11770271.799999999</v>
      </c>
      <c r="I360" s="21">
        <f t="shared" si="71"/>
        <v>-12476488.108000001</v>
      </c>
      <c r="J360" s="77"/>
    </row>
    <row r="361" spans="3:11">
      <c r="C361" t="s">
        <v>281</v>
      </c>
      <c r="G361" s="21">
        <f t="shared" si="71"/>
        <v>-1494815.392</v>
      </c>
      <c r="H361" s="21">
        <f t="shared" si="71"/>
        <v>-1584504.3155199999</v>
      </c>
      <c r="I361" s="21">
        <f t="shared" si="71"/>
        <v>-1679574.5744512002</v>
      </c>
      <c r="J361" s="77"/>
    </row>
    <row r="362" spans="3:11">
      <c r="C362" t="s">
        <v>282</v>
      </c>
      <c r="G362" s="21">
        <f t="shared" si="71"/>
        <v>-1061484.4239999999</v>
      </c>
      <c r="H362" s="21">
        <f t="shared" si="71"/>
        <v>-1125173.4894399999</v>
      </c>
      <c r="I362" s="21">
        <f t="shared" si="71"/>
        <v>-1192683.8988064001</v>
      </c>
      <c r="J362" s="77"/>
    </row>
    <row r="363" spans="3:11">
      <c r="C363" t="s">
        <v>283</v>
      </c>
      <c r="G363" s="53">
        <f t="shared" ref="G363:I363" si="72">SUM(G359:G362)</f>
        <v>1550670.1840000001</v>
      </c>
      <c r="H363" s="53">
        <f t="shared" si="72"/>
        <v>1643710.3950400015</v>
      </c>
      <c r="I363" s="53">
        <f t="shared" si="72"/>
        <v>1742333.0187424002</v>
      </c>
      <c r="J363" s="77"/>
    </row>
    <row r="364" spans="3:11">
      <c r="C364" t="s">
        <v>284</v>
      </c>
      <c r="G364" s="7">
        <f>G363*-G394</f>
        <v>-600264.42822640005</v>
      </c>
      <c r="H364" s="7">
        <f t="shared" ref="H364:I364" si="73">H363*-H394</f>
        <v>-636280.2939199846</v>
      </c>
      <c r="I364" s="7">
        <f t="shared" si="73"/>
        <v>-674457.11155518307</v>
      </c>
      <c r="J364" s="77"/>
    </row>
    <row r="365" spans="3:11">
      <c r="C365" t="s">
        <v>285</v>
      </c>
      <c r="G365" s="7">
        <f>G359*G405</f>
        <v>59475.01</v>
      </c>
      <c r="H365" s="7">
        <f>H359*H405</f>
        <v>63043.510600000001</v>
      </c>
      <c r="I365" s="7">
        <f>I359*I405</f>
        <v>66826.121236000006</v>
      </c>
      <c r="J365" s="77"/>
    </row>
    <row r="366" spans="3:11" ht="15" thickBot="1">
      <c r="C366" t="s">
        <v>286</v>
      </c>
      <c r="G366" s="22">
        <f t="shared" ref="G366:I366" si="74">SUM(G363:G365)</f>
        <v>1009880.7657736001</v>
      </c>
      <c r="H366" s="22">
        <f t="shared" si="74"/>
        <v>1070473.6117200169</v>
      </c>
      <c r="I366" s="22">
        <f t="shared" si="74"/>
        <v>1134702.0284232171</v>
      </c>
      <c r="J366" s="75">
        <f>J391*I354</f>
        <v>1187107.3236912002</v>
      </c>
    </row>
    <row r="367" spans="3:11" ht="15" thickTop="1">
      <c r="C367" t="s">
        <v>275</v>
      </c>
      <c r="G367" s="21">
        <f>-G355</f>
        <v>-643044</v>
      </c>
      <c r="H367" s="21">
        <f>-H355</f>
        <v>-681626.6400000006</v>
      </c>
      <c r="I367" s="21">
        <f>-I355</f>
        <v>-722524.23840000108</v>
      </c>
      <c r="J367" s="21">
        <f>-J355</f>
        <v>-595340.12159999833</v>
      </c>
    </row>
    <row r="368" spans="3:11" ht="15" thickBot="1">
      <c r="C368" t="s">
        <v>287</v>
      </c>
      <c r="G368" s="22">
        <f>G366+G367</f>
        <v>366836.76577360008</v>
      </c>
      <c r="H368" s="22">
        <f t="shared" ref="H368:J368" si="75">H366+H367</f>
        <v>388846.97172001633</v>
      </c>
      <c r="I368" s="22">
        <f t="shared" si="75"/>
        <v>412177.79002321605</v>
      </c>
      <c r="J368" s="22">
        <f t="shared" si="75"/>
        <v>591767.20209120191</v>
      </c>
    </row>
    <row r="369" spans="3:10" ht="15" thickTop="1">
      <c r="C369" t="s">
        <v>288</v>
      </c>
      <c r="G369" s="15">
        <v>7.46E-2</v>
      </c>
      <c r="H369" s="15">
        <v>7.46E-2</v>
      </c>
      <c r="I369" s="15">
        <v>7.46E-2</v>
      </c>
      <c r="J369" s="15">
        <v>7.46E-2</v>
      </c>
    </row>
    <row r="370" spans="3:10" ht="15" thickBot="1">
      <c r="C370" t="s">
        <v>289</v>
      </c>
      <c r="G370" s="75">
        <f>G366-F354*G369</f>
        <v>210362.72577360005</v>
      </c>
      <c r="H370" s="75">
        <f t="shared" ref="H370:J370" si="76">H366-G354*H369</f>
        <v>222984.48932001693</v>
      </c>
      <c r="I370" s="75">
        <f t="shared" si="76"/>
        <v>236363.55867921712</v>
      </c>
      <c r="J370" s="75">
        <f t="shared" si="76"/>
        <v>234868.5457625601</v>
      </c>
    </row>
    <row r="371" spans="3:10" ht="15" thickTop="1">
      <c r="C371" t="s">
        <v>290</v>
      </c>
      <c r="F371" s="80">
        <f>F372*(1+(1-F394)*F356/F357)</f>
        <v>1.368121359012515</v>
      </c>
      <c r="G371" s="81">
        <f>G372*(1+(1-G394)*G356/G357)</f>
        <v>1.368121359012515</v>
      </c>
      <c r="H371" s="81">
        <f t="shared" ref="H371:J371" si="77">H372*(1+(1-H394)*H356/H357)</f>
        <v>1.368121359012515</v>
      </c>
      <c r="I371" s="81">
        <f t="shared" si="77"/>
        <v>1.368121359012515</v>
      </c>
      <c r="J371" s="81">
        <f t="shared" si="77"/>
        <v>1.368121359012515</v>
      </c>
    </row>
    <row r="372" spans="3:10">
      <c r="C372" t="s">
        <v>291</v>
      </c>
      <c r="F372" s="14">
        <v>0.60429999999999995</v>
      </c>
      <c r="G372" s="14">
        <f t="shared" ref="G372:J372" si="78">$F$372</f>
        <v>0.60429999999999995</v>
      </c>
      <c r="H372" s="14">
        <f t="shared" si="78"/>
        <v>0.60429999999999995</v>
      </c>
      <c r="I372" s="14">
        <f t="shared" si="78"/>
        <v>0.60429999999999995</v>
      </c>
      <c r="J372" s="14">
        <f t="shared" si="78"/>
        <v>0.60429999999999995</v>
      </c>
    </row>
    <row r="373" spans="3:10">
      <c r="C373" t="s">
        <v>292</v>
      </c>
      <c r="F373" s="14">
        <v>1</v>
      </c>
      <c r="G373" s="82">
        <f>1/(1+G395)^1</f>
        <v>0.93606664794533367</v>
      </c>
      <c r="H373" s="82">
        <f>1/(1+H395)^2</f>
        <v>0.87622076939561333</v>
      </c>
      <c r="I373" s="82">
        <f>1/(1+I395)^3</f>
        <v>0.820201038468233</v>
      </c>
      <c r="J373" s="82"/>
    </row>
    <row r="375" spans="3:10">
      <c r="F375" t="s">
        <v>320</v>
      </c>
    </row>
    <row r="376" spans="3:10">
      <c r="C376" t="s">
        <v>321</v>
      </c>
      <c r="F376" s="7">
        <f>SUM(G376:I376)</f>
        <v>1022168.1058290515</v>
      </c>
      <c r="G376" s="7">
        <f>G368*G373</f>
        <v>343383.66168080136</v>
      </c>
      <c r="H376" s="7">
        <f t="shared" ref="H376:I376" si="79">H368*H373</f>
        <v>340715.79273766698</v>
      </c>
      <c r="I376" s="7">
        <f t="shared" si="79"/>
        <v>338068.65141058312</v>
      </c>
    </row>
    <row r="377" spans="3:10">
      <c r="C377" t="s">
        <v>322</v>
      </c>
      <c r="I377" s="7">
        <f>J368*(1+J396)/(J395-J396)</f>
        <v>26039555.293231525</v>
      </c>
    </row>
    <row r="378" spans="3:10">
      <c r="C378" t="s">
        <v>323</v>
      </c>
      <c r="F378" s="7">
        <f>I377*I373</f>
        <v>21357670.292759471</v>
      </c>
    </row>
    <row r="379" spans="3:10" ht="15" thickBot="1">
      <c r="C379" t="s">
        <v>324</v>
      </c>
      <c r="F379" s="75">
        <f>SUM(F376,F378)</f>
        <v>22379838.398588523</v>
      </c>
    </row>
    <row r="380" spans="3:10" ht="15.75" thickTop="1" thickBot="1">
      <c r="C380" t="s">
        <v>325</v>
      </c>
      <c r="F380" s="34">
        <f>-F356</f>
        <v>-7217600</v>
      </c>
    </row>
    <row r="381" spans="3:10" ht="15" thickTop="1">
      <c r="C381" t="s">
        <v>326</v>
      </c>
      <c r="F381" s="7">
        <f>F379+F380</f>
        <v>15162238.398588523</v>
      </c>
    </row>
    <row r="382" spans="3:10">
      <c r="C382" t="s">
        <v>327</v>
      </c>
      <c r="F382" s="12">
        <v>172300</v>
      </c>
    </row>
    <row r="383" spans="3:10">
      <c r="C383" t="s">
        <v>328</v>
      </c>
      <c r="F383" s="80">
        <f>F381/F382</f>
        <v>87.999062092794674</v>
      </c>
    </row>
    <row r="385" spans="3:11">
      <c r="C385" t="s">
        <v>329</v>
      </c>
      <c r="F385" s="86">
        <f>SUM(G385:I385)</f>
        <v>586162.80864755146</v>
      </c>
      <c r="G385" s="7">
        <f>G370*G373</f>
        <v>196913.53156753725</v>
      </c>
      <c r="H385" s="7">
        <f t="shared" ref="H385:I385" si="80">H370*H373</f>
        <v>195383.64079527315</v>
      </c>
      <c r="I385" s="7">
        <f t="shared" si="80"/>
        <v>193865.63628474102</v>
      </c>
    </row>
    <row r="386" spans="3:11">
      <c r="C386" t="s">
        <v>322</v>
      </c>
      <c r="F386" s="44"/>
      <c r="I386" s="7">
        <f>J370*(1+J396)/(J395-J396)</f>
        <v>10334929.787275532</v>
      </c>
    </row>
    <row r="387" spans="3:11">
      <c r="C387" t="s">
        <v>323</v>
      </c>
      <c r="F387" s="87">
        <f>I386*I373</f>
        <v>8476720.1440196652</v>
      </c>
    </row>
    <row r="388" spans="3:11">
      <c r="C388" t="s">
        <v>330</v>
      </c>
      <c r="F388" s="88">
        <f>F354</f>
        <v>10717400</v>
      </c>
    </row>
    <row r="389" spans="3:11">
      <c r="C389" t="s">
        <v>324</v>
      </c>
      <c r="F389" s="89">
        <f>SUM(F385:F388)</f>
        <v>19780282.952667214</v>
      </c>
    </row>
    <row r="391" spans="3:11">
      <c r="C391" t="s">
        <v>331</v>
      </c>
      <c r="F391" s="15">
        <v>6.3600000000000004E-2</v>
      </c>
      <c r="G391" s="13">
        <f t="shared" ref="G391:I391" si="81">G366/F354</f>
        <v>9.4228149156847754E-2</v>
      </c>
      <c r="H391" s="13">
        <f t="shared" si="81"/>
        <v>9.4228149156847824E-2</v>
      </c>
      <c r="I391" s="13">
        <f t="shared" si="81"/>
        <v>9.4228149156847754E-2</v>
      </c>
      <c r="J391" s="15">
        <v>9.2999999999999999E-2</v>
      </c>
    </row>
    <row r="392" spans="3:11">
      <c r="C392" t="s">
        <v>332</v>
      </c>
      <c r="F392" s="15">
        <v>0.6734</v>
      </c>
      <c r="G392" s="54">
        <f t="shared" ref="G392:J392" si="82">F392</f>
        <v>0.6734</v>
      </c>
      <c r="H392" s="55">
        <f t="shared" si="82"/>
        <v>0.6734</v>
      </c>
      <c r="I392" s="56">
        <f t="shared" si="82"/>
        <v>0.6734</v>
      </c>
      <c r="J392" s="57">
        <f t="shared" si="82"/>
        <v>0.6734</v>
      </c>
    </row>
    <row r="393" spans="3:11">
      <c r="C393" t="s">
        <v>333</v>
      </c>
      <c r="F393" s="15">
        <v>0.3266</v>
      </c>
      <c r="G393" s="13">
        <f t="shared" ref="G393:J393" si="83">G357/G354</f>
        <v>0.32655308190419319</v>
      </c>
      <c r="H393" s="13">
        <f t="shared" si="83"/>
        <v>0.32655308190419319</v>
      </c>
      <c r="I393" s="13">
        <f t="shared" si="83"/>
        <v>0.32655308190419319</v>
      </c>
      <c r="J393" s="13">
        <f t="shared" si="83"/>
        <v>0.32590463353829102</v>
      </c>
    </row>
    <row r="394" spans="3:11">
      <c r="C394" t="s">
        <v>334</v>
      </c>
      <c r="F394" s="15">
        <v>0.3871</v>
      </c>
      <c r="G394" s="49">
        <f t="shared" ref="G394:J394" si="84">$F$394</f>
        <v>0.3871</v>
      </c>
      <c r="H394" s="50">
        <f t="shared" si="84"/>
        <v>0.3871</v>
      </c>
      <c r="I394" s="50">
        <f t="shared" si="84"/>
        <v>0.3871</v>
      </c>
      <c r="J394" s="51">
        <f t="shared" si="84"/>
        <v>0.3871</v>
      </c>
    </row>
    <row r="395" spans="3:11">
      <c r="C395" t="s">
        <v>335</v>
      </c>
      <c r="F395" s="15">
        <v>6.83E-2</v>
      </c>
      <c r="G395" s="58">
        <f t="shared" ref="G395:J395" si="85">$F$395</f>
        <v>6.83E-2</v>
      </c>
      <c r="H395" s="59">
        <f t="shared" si="85"/>
        <v>6.83E-2</v>
      </c>
      <c r="I395" s="59">
        <f t="shared" si="85"/>
        <v>6.83E-2</v>
      </c>
      <c r="J395" s="60">
        <f t="shared" si="85"/>
        <v>6.83E-2</v>
      </c>
    </row>
    <row r="396" spans="3:11">
      <c r="C396" t="s">
        <v>336</v>
      </c>
      <c r="G396" s="13">
        <f t="shared" ref="G396:I396" si="86">G358</f>
        <v>0.06</v>
      </c>
      <c r="H396" s="13">
        <f t="shared" si="86"/>
        <v>0.06</v>
      </c>
      <c r="I396" s="13">
        <f t="shared" si="86"/>
        <v>0.06</v>
      </c>
      <c r="J396" s="83">
        <f>J355/J354</f>
        <v>4.4561603151512211E-2</v>
      </c>
      <c r="K396" s="1" t="s">
        <v>348</v>
      </c>
    </row>
    <row r="397" spans="3:11">
      <c r="C397" t="s">
        <v>337</v>
      </c>
      <c r="G397" s="13">
        <f>G358/G391</f>
        <v>0.63675239869273903</v>
      </c>
      <c r="H397" s="13">
        <f>H358/H391</f>
        <v>0.63675239869273847</v>
      </c>
      <c r="I397" s="13">
        <f>I358/I391</f>
        <v>0.63675239869273903</v>
      </c>
      <c r="J397" s="45">
        <f>J396/J391</f>
        <v>0.47915702313453989</v>
      </c>
    </row>
    <row r="398" spans="3:11">
      <c r="C398" t="s">
        <v>338</v>
      </c>
      <c r="G398" s="46">
        <f>G363/G359</f>
        <v>0.10194400000000001</v>
      </c>
      <c r="H398" s="46">
        <f>H363/H359</f>
        <v>0.10194400000000009</v>
      </c>
      <c r="I398" s="46">
        <f>I363/I359</f>
        <v>0.10194400000000001</v>
      </c>
      <c r="J398" s="79"/>
    </row>
    <row r="399" spans="3:11">
      <c r="C399" t="s">
        <v>339</v>
      </c>
      <c r="G399" s="74">
        <f>G359/F354</f>
        <v>1.4192807957153788</v>
      </c>
      <c r="H399" s="74">
        <f>H359/G354</f>
        <v>1.4192807957153788</v>
      </c>
      <c r="I399" s="74">
        <f>I359/H354</f>
        <v>1.4192807957153788</v>
      </c>
      <c r="J399" s="76"/>
    </row>
    <row r="400" spans="3:11">
      <c r="C400" t="s">
        <v>340</v>
      </c>
      <c r="F400" s="46">
        <f>F352/F359</f>
        <v>1.6961672473867595E-2</v>
      </c>
      <c r="G400" s="68">
        <f t="shared" ref="G400:I400" si="87">$F$400</f>
        <v>1.6961672473867595E-2</v>
      </c>
      <c r="H400" s="69">
        <f t="shared" si="87"/>
        <v>1.6961672473867595E-2</v>
      </c>
      <c r="I400" s="70">
        <f t="shared" si="87"/>
        <v>1.6961672473867595E-2</v>
      </c>
      <c r="J400" s="76"/>
    </row>
    <row r="401" spans="3:10">
      <c r="C401" t="s">
        <v>341</v>
      </c>
      <c r="F401" s="46">
        <f>F353/F359</f>
        <v>0.72989547038327529</v>
      </c>
      <c r="G401" s="71">
        <f t="shared" ref="G401:I401" si="88">$F$401</f>
        <v>0.72989547038327529</v>
      </c>
      <c r="H401" s="72">
        <f t="shared" si="88"/>
        <v>0.72989547038327529</v>
      </c>
      <c r="I401" s="73">
        <f t="shared" si="88"/>
        <v>0.72989547038327529</v>
      </c>
      <c r="J401" s="76"/>
    </row>
    <row r="402" spans="3:10">
      <c r="C402" t="s">
        <v>342</v>
      </c>
      <c r="F402" s="47">
        <v>0.74376299999999995</v>
      </c>
      <c r="G402" s="49">
        <v>0.73</v>
      </c>
      <c r="H402" s="50">
        <v>0.73</v>
      </c>
      <c r="I402" s="51">
        <v>0.73</v>
      </c>
      <c r="J402" s="52">
        <v>0.73</v>
      </c>
    </row>
    <row r="403" spans="3:10">
      <c r="C403" t="s">
        <v>343</v>
      </c>
      <c r="F403" s="47">
        <v>9.8271999999999998E-2</v>
      </c>
      <c r="G403" s="61">
        <f t="shared" ref="G403:I403" si="89">$F$403</f>
        <v>9.8271999999999998E-2</v>
      </c>
      <c r="H403" s="47">
        <f t="shared" si="89"/>
        <v>9.8271999999999998E-2</v>
      </c>
      <c r="I403" s="62">
        <f t="shared" si="89"/>
        <v>9.8271999999999998E-2</v>
      </c>
      <c r="J403" s="63">
        <f t="shared" ref="J403:J405" si="90">F403</f>
        <v>9.8271999999999998E-2</v>
      </c>
    </row>
    <row r="404" spans="3:10">
      <c r="C404" t="s">
        <v>344</v>
      </c>
      <c r="F404" s="47">
        <v>6.9783999999999999E-2</v>
      </c>
      <c r="G404" s="61">
        <f t="shared" ref="G404:I404" si="91">$F$404</f>
        <v>6.9783999999999999E-2</v>
      </c>
      <c r="H404" s="47">
        <f t="shared" si="91"/>
        <v>6.9783999999999999E-2</v>
      </c>
      <c r="I404" s="62">
        <f t="shared" si="91"/>
        <v>6.9783999999999999E-2</v>
      </c>
      <c r="J404" s="63">
        <f t="shared" si="90"/>
        <v>6.9783999999999999E-2</v>
      </c>
    </row>
    <row r="405" spans="3:10">
      <c r="C405" t="s">
        <v>345</v>
      </c>
      <c r="F405" s="47">
        <v>3.9100000000000003E-3</v>
      </c>
      <c r="G405" s="64">
        <f t="shared" ref="G405:I405" si="92">$F$405</f>
        <v>3.9100000000000003E-3</v>
      </c>
      <c r="H405" s="65">
        <f t="shared" si="92"/>
        <v>3.9100000000000003E-3</v>
      </c>
      <c r="I405" s="66">
        <f t="shared" si="92"/>
        <v>3.9100000000000003E-3</v>
      </c>
      <c r="J405" s="67">
        <f t="shared" si="90"/>
        <v>3.9100000000000003E-3</v>
      </c>
    </row>
  </sheetData>
  <mergeCells count="17">
    <mergeCell ref="G189:L190"/>
    <mergeCell ref="G191:L194"/>
    <mergeCell ref="G195:L197"/>
    <mergeCell ref="D175:F177"/>
    <mergeCell ref="G175:K177"/>
    <mergeCell ref="D178:F180"/>
    <mergeCell ref="G178:K180"/>
    <mergeCell ref="C187:E188"/>
    <mergeCell ref="G187:L188"/>
    <mergeCell ref="D117:M119"/>
    <mergeCell ref="D121:M125"/>
    <mergeCell ref="D171:F173"/>
    <mergeCell ref="G171:K173"/>
    <mergeCell ref="D127:M131"/>
    <mergeCell ref="D133:M138"/>
    <mergeCell ref="D140:M147"/>
    <mergeCell ref="D149:M15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富士見市教育委員会</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富士見市教育委員会</dc:creator>
  <cp:lastModifiedBy>AaronH</cp:lastModifiedBy>
  <dcterms:created xsi:type="dcterms:W3CDTF">2018-04-25T04:56:19Z</dcterms:created>
  <dcterms:modified xsi:type="dcterms:W3CDTF">2019-04-01T10:52:29Z</dcterms:modified>
</cp:coreProperties>
</file>