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Drive\PSU PhD\old classes\ETM 603 Dissertation Proposal (8 Credits)\excel hdm\GitHub PhD\HDM\"/>
    </mc:Choice>
  </mc:AlternateContent>
  <xr:revisionPtr revIDLastSave="0" documentId="13_ncr:1_{DC2D2657-8C6C-4FC6-92E3-1E3144C45A65}" xr6:coauthVersionLast="47" xr6:coauthVersionMax="47" xr10:uidLastSave="{00000000-0000-0000-0000-000000000000}"/>
  <bookViews>
    <workbookView xWindow="2685" yWindow="765" windowWidth="15375" windowHeight="9795" firstSheet="8" activeTab="10" xr2:uid="{09650B9A-9751-4E7C-88F1-6E2BFCCE4CED}"/>
  </bookViews>
  <sheets>
    <sheet name="Perspective Summary" sheetId="13" r:id="rId1"/>
    <sheet name="Notes" sheetId="12" r:id="rId2"/>
    <sheet name="Desirability" sheetId="2" r:id="rId3"/>
    <sheet name="Import" sheetId="4" r:id="rId4"/>
    <sheet name="PanelScore" sheetId="5" r:id="rId5"/>
    <sheet name="Composite" sheetId="1" r:id="rId6"/>
    <sheet name="Sensitivity" sheetId="7" r:id="rId7"/>
    <sheet name="FinalModel" sheetId="9" r:id="rId8"/>
    <sheet name="TraditionalPanelScore" sheetId="11" r:id="rId9"/>
    <sheet name="Traditional Sensitivity" sheetId="10" r:id="rId10"/>
    <sheet name="Report Tools" sheetId="15" r:id="rId11"/>
  </sheets>
  <definedNames>
    <definedName name="_xlnm._FilterDatabase" localSheetId="5" hidden="1">Composite!$A$1:$G$1</definedName>
    <definedName name="_xlnm._FilterDatabase" localSheetId="7" hidden="1">FinalModel!$A$1:$L$1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3" l="1"/>
  <c r="E8" i="13"/>
  <c r="D8" i="13"/>
  <c r="C8" i="13"/>
  <c r="B8" i="13"/>
  <c r="G9" i="13" s="1"/>
  <c r="F7" i="13"/>
  <c r="E7" i="13"/>
  <c r="D7" i="13"/>
  <c r="C7" i="13"/>
  <c r="B7" i="13"/>
  <c r="F6" i="13"/>
  <c r="E6" i="13"/>
  <c r="D6" i="13"/>
  <c r="C6" i="13"/>
  <c r="B6" i="13"/>
  <c r="F5" i="13"/>
  <c r="E5" i="13"/>
  <c r="D5" i="13"/>
  <c r="C5" i="13"/>
  <c r="B5" i="13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2" i="10"/>
  <c r="A1" i="10"/>
  <c r="B1" i="10"/>
  <c r="A2" i="10"/>
  <c r="D2" i="10" s="1"/>
  <c r="B2" i="10"/>
  <c r="A3" i="10"/>
  <c r="D3" i="10" s="1"/>
  <c r="B3" i="10"/>
  <c r="A4" i="10"/>
  <c r="D4" i="10" s="1"/>
  <c r="B4" i="10"/>
  <c r="A5" i="10"/>
  <c r="D5" i="10" s="1"/>
  <c r="B5" i="10"/>
  <c r="A6" i="10"/>
  <c r="E6" i="10" s="1"/>
  <c r="B6" i="10"/>
  <c r="A7" i="10"/>
  <c r="D7" i="10" s="1"/>
  <c r="B7" i="10"/>
  <c r="A8" i="10"/>
  <c r="D8" i="10" s="1"/>
  <c r="B8" i="10"/>
  <c r="A9" i="10"/>
  <c r="D9" i="10" s="1"/>
  <c r="B9" i="10"/>
  <c r="A10" i="10"/>
  <c r="E10" i="10" s="1"/>
  <c r="B10" i="10"/>
  <c r="A11" i="10"/>
  <c r="D11" i="10" s="1"/>
  <c r="B11" i="10"/>
  <c r="A12" i="10"/>
  <c r="D12" i="10" s="1"/>
  <c r="B12" i="10"/>
  <c r="A13" i="10"/>
  <c r="D13" i="10" s="1"/>
  <c r="B13" i="10"/>
  <c r="A14" i="10"/>
  <c r="E14" i="10" s="1"/>
  <c r="B14" i="10"/>
  <c r="A15" i="10"/>
  <c r="D15" i="10" s="1"/>
  <c r="B15" i="10"/>
  <c r="A16" i="10"/>
  <c r="D16" i="10" s="1"/>
  <c r="B16" i="10"/>
  <c r="A17" i="10"/>
  <c r="D17" i="10" s="1"/>
  <c r="B17" i="10"/>
  <c r="A18" i="10"/>
  <c r="E18" i="10" s="1"/>
  <c r="B18" i="10"/>
  <c r="A19" i="10"/>
  <c r="D19" i="10" s="1"/>
  <c r="B19" i="10"/>
  <c r="A20" i="10"/>
  <c r="D20" i="10" s="1"/>
  <c r="B20" i="10"/>
  <c r="A21" i="10"/>
  <c r="D21" i="10" s="1"/>
  <c r="B21" i="10"/>
  <c r="A22" i="10"/>
  <c r="E22" i="10" s="1"/>
  <c r="B22" i="10"/>
  <c r="A23" i="10"/>
  <c r="D23" i="10" s="1"/>
  <c r="B23" i="10"/>
  <c r="A24" i="10"/>
  <c r="D24" i="10" s="1"/>
  <c r="I24" i="10" s="1"/>
  <c r="O24" i="10" s="1"/>
  <c r="B24" i="10"/>
  <c r="A25" i="10"/>
  <c r="D25" i="10" s="1"/>
  <c r="B25" i="10"/>
  <c r="A26" i="10"/>
  <c r="E26" i="10" s="1"/>
  <c r="B26" i="10"/>
  <c r="A27" i="10"/>
  <c r="D27" i="10" s="1"/>
  <c r="B27" i="10"/>
  <c r="A28" i="10"/>
  <c r="D28" i="10" s="1"/>
  <c r="B28" i="10"/>
  <c r="A29" i="10"/>
  <c r="D29" i="10" s="1"/>
  <c r="B29" i="10"/>
  <c r="A30" i="10"/>
  <c r="E30" i="10" s="1"/>
  <c r="B30" i="10"/>
  <c r="G5" i="11"/>
  <c r="F4" i="11"/>
  <c r="D2" i="11"/>
  <c r="E3" i="11" s="1"/>
  <c r="I9" i="10" l="1"/>
  <c r="O9" i="10" s="1"/>
  <c r="I29" i="10"/>
  <c r="O29" i="10" s="1"/>
  <c r="I25" i="10"/>
  <c r="O25" i="10" s="1"/>
  <c r="I21" i="10"/>
  <c r="O21" i="10" s="1"/>
  <c r="I17" i="10"/>
  <c r="O17" i="10" s="1"/>
  <c r="I20" i="10"/>
  <c r="O20" i="10" s="1"/>
  <c r="I16" i="10"/>
  <c r="O16" i="10" s="1"/>
  <c r="I12" i="10"/>
  <c r="O12" i="10" s="1"/>
  <c r="I8" i="10"/>
  <c r="O8" i="10" s="1"/>
  <c r="I28" i="10"/>
  <c r="O28" i="10" s="1"/>
  <c r="I4" i="10"/>
  <c r="O4" i="10" s="1"/>
  <c r="I13" i="10"/>
  <c r="O13" i="10" s="1"/>
  <c r="I5" i="10"/>
  <c r="O5" i="10" s="1"/>
  <c r="I2" i="10"/>
  <c r="O2" i="10" s="1"/>
  <c r="I23" i="10"/>
  <c r="O23" i="10" s="1"/>
  <c r="I19" i="10"/>
  <c r="O19" i="10" s="1"/>
  <c r="I11" i="10"/>
  <c r="O11" i="10" s="1"/>
  <c r="I3" i="10"/>
  <c r="O3" i="10" s="1"/>
  <c r="J26" i="10"/>
  <c r="P26" i="10" s="1"/>
  <c r="J18" i="10"/>
  <c r="P18" i="10" s="1"/>
  <c r="J10" i="10"/>
  <c r="P10" i="10" s="1"/>
  <c r="I27" i="10"/>
  <c r="O27" i="10" s="1"/>
  <c r="I15" i="10"/>
  <c r="O15" i="10" s="1"/>
  <c r="I7" i="10"/>
  <c r="O7" i="10" s="1"/>
  <c r="J30" i="10"/>
  <c r="P30" i="10" s="1"/>
  <c r="J22" i="10"/>
  <c r="P22" i="10" s="1"/>
  <c r="J14" i="10"/>
  <c r="P14" i="10" s="1"/>
  <c r="J6" i="10"/>
  <c r="P6" i="10" s="1"/>
  <c r="H26" i="10"/>
  <c r="M26" i="10" s="1"/>
  <c r="S26" i="10" s="1"/>
  <c r="H18" i="10"/>
  <c r="M18" i="10" s="1"/>
  <c r="S18" i="10" s="1"/>
  <c r="H10" i="10"/>
  <c r="M10" i="10" s="1"/>
  <c r="S10" i="10" s="1"/>
  <c r="F24" i="10"/>
  <c r="K24" i="10" s="1"/>
  <c r="Q24" i="10" s="1"/>
  <c r="F16" i="10"/>
  <c r="K16" i="10" s="1"/>
  <c r="Q16" i="10" s="1"/>
  <c r="F8" i="10"/>
  <c r="K8" i="10" s="1"/>
  <c r="Q8" i="10" s="1"/>
  <c r="H30" i="10"/>
  <c r="M30" i="10" s="1"/>
  <c r="S30" i="10" s="1"/>
  <c r="H22" i="10"/>
  <c r="M22" i="10" s="1"/>
  <c r="S22" i="10" s="1"/>
  <c r="H14" i="10"/>
  <c r="M14" i="10" s="1"/>
  <c r="S14" i="10" s="1"/>
  <c r="H6" i="10"/>
  <c r="M6" i="10" s="1"/>
  <c r="S6" i="10" s="1"/>
  <c r="F28" i="10"/>
  <c r="K28" i="10" s="1"/>
  <c r="Q28" i="10" s="1"/>
  <c r="F20" i="10"/>
  <c r="K20" i="10" s="1"/>
  <c r="Q20" i="10" s="1"/>
  <c r="F12" i="10"/>
  <c r="K12" i="10" s="1"/>
  <c r="Q12" i="10" s="1"/>
  <c r="F4" i="10"/>
  <c r="K4" i="10" s="1"/>
  <c r="Q4" i="10" s="1"/>
  <c r="G25" i="10"/>
  <c r="L25" i="10" s="1"/>
  <c r="R25" i="10" s="1"/>
  <c r="G21" i="10"/>
  <c r="L21" i="10" s="1"/>
  <c r="R21" i="10" s="1"/>
  <c r="G17" i="10"/>
  <c r="L17" i="10" s="1"/>
  <c r="R17" i="10" s="1"/>
  <c r="G13" i="10"/>
  <c r="L13" i="10" s="1"/>
  <c r="R13" i="10" s="1"/>
  <c r="G9" i="10"/>
  <c r="L9" i="10" s="1"/>
  <c r="R9" i="10" s="1"/>
  <c r="G5" i="10"/>
  <c r="L5" i="10" s="1"/>
  <c r="R5" i="10" s="1"/>
  <c r="F2" i="10"/>
  <c r="K2" i="10" s="1"/>
  <c r="Q2" i="10" s="1"/>
  <c r="G30" i="10"/>
  <c r="L30" i="10" s="1"/>
  <c r="R30" i="10" s="1"/>
  <c r="F29" i="10"/>
  <c r="K29" i="10" s="1"/>
  <c r="Q29" i="10" s="1"/>
  <c r="H27" i="10"/>
  <c r="M27" i="10" s="1"/>
  <c r="S27" i="10" s="1"/>
  <c r="G26" i="10"/>
  <c r="L26" i="10" s="1"/>
  <c r="R26" i="10" s="1"/>
  <c r="F25" i="10"/>
  <c r="K25" i="10" s="1"/>
  <c r="Q25" i="10" s="1"/>
  <c r="H23" i="10"/>
  <c r="M23" i="10" s="1"/>
  <c r="S23" i="10" s="1"/>
  <c r="G22" i="10"/>
  <c r="L22" i="10" s="1"/>
  <c r="R22" i="10" s="1"/>
  <c r="F21" i="10"/>
  <c r="K21" i="10" s="1"/>
  <c r="Q21" i="10" s="1"/>
  <c r="H19" i="10"/>
  <c r="M19" i="10" s="1"/>
  <c r="S19" i="10" s="1"/>
  <c r="G18" i="10"/>
  <c r="L18" i="10" s="1"/>
  <c r="R18" i="10" s="1"/>
  <c r="F17" i="10"/>
  <c r="K17" i="10" s="1"/>
  <c r="Q17" i="10" s="1"/>
  <c r="H15" i="10"/>
  <c r="M15" i="10" s="1"/>
  <c r="S15" i="10" s="1"/>
  <c r="G14" i="10"/>
  <c r="L14" i="10" s="1"/>
  <c r="R14" i="10" s="1"/>
  <c r="F13" i="10"/>
  <c r="K13" i="10" s="1"/>
  <c r="Q13" i="10" s="1"/>
  <c r="H11" i="10"/>
  <c r="M11" i="10" s="1"/>
  <c r="S11" i="10" s="1"/>
  <c r="G10" i="10"/>
  <c r="L10" i="10" s="1"/>
  <c r="R10" i="10" s="1"/>
  <c r="F9" i="10"/>
  <c r="K9" i="10" s="1"/>
  <c r="Q9" i="10" s="1"/>
  <c r="H7" i="10"/>
  <c r="M7" i="10" s="1"/>
  <c r="S7" i="10" s="1"/>
  <c r="G6" i="10"/>
  <c r="L6" i="10" s="1"/>
  <c r="R6" i="10" s="1"/>
  <c r="F5" i="10"/>
  <c r="K5" i="10" s="1"/>
  <c r="Q5" i="10" s="1"/>
  <c r="H3" i="10"/>
  <c r="M3" i="10" s="1"/>
  <c r="S3" i="10" s="1"/>
  <c r="G2" i="10"/>
  <c r="L2" i="10" s="1"/>
  <c r="R2" i="10" s="1"/>
  <c r="F30" i="10"/>
  <c r="K30" i="10" s="1"/>
  <c r="Q30" i="10" s="1"/>
  <c r="H28" i="10"/>
  <c r="M28" i="10" s="1"/>
  <c r="S28" i="10" s="1"/>
  <c r="G27" i="10"/>
  <c r="L27" i="10" s="1"/>
  <c r="R27" i="10" s="1"/>
  <c r="F26" i="10"/>
  <c r="K26" i="10" s="1"/>
  <c r="Q26" i="10" s="1"/>
  <c r="H24" i="10"/>
  <c r="M24" i="10" s="1"/>
  <c r="S24" i="10" s="1"/>
  <c r="G23" i="10"/>
  <c r="L23" i="10" s="1"/>
  <c r="R23" i="10" s="1"/>
  <c r="F22" i="10"/>
  <c r="K22" i="10" s="1"/>
  <c r="Q22" i="10" s="1"/>
  <c r="H20" i="10"/>
  <c r="M20" i="10" s="1"/>
  <c r="S20" i="10" s="1"/>
  <c r="G19" i="10"/>
  <c r="L19" i="10" s="1"/>
  <c r="R19" i="10" s="1"/>
  <c r="F18" i="10"/>
  <c r="K18" i="10" s="1"/>
  <c r="Q18" i="10" s="1"/>
  <c r="H16" i="10"/>
  <c r="M16" i="10" s="1"/>
  <c r="S16" i="10" s="1"/>
  <c r="G15" i="10"/>
  <c r="L15" i="10" s="1"/>
  <c r="R15" i="10" s="1"/>
  <c r="F14" i="10"/>
  <c r="K14" i="10" s="1"/>
  <c r="Q14" i="10" s="1"/>
  <c r="H12" i="10"/>
  <c r="M12" i="10" s="1"/>
  <c r="S12" i="10" s="1"/>
  <c r="G11" i="10"/>
  <c r="L11" i="10" s="1"/>
  <c r="R11" i="10" s="1"/>
  <c r="F10" i="10"/>
  <c r="K10" i="10" s="1"/>
  <c r="Q10" i="10" s="1"/>
  <c r="H8" i="10"/>
  <c r="M8" i="10" s="1"/>
  <c r="S8" i="10" s="1"/>
  <c r="G7" i="10"/>
  <c r="L7" i="10" s="1"/>
  <c r="R7" i="10" s="1"/>
  <c r="F6" i="10"/>
  <c r="K6" i="10" s="1"/>
  <c r="Q6" i="10" s="1"/>
  <c r="H4" i="10"/>
  <c r="M4" i="10" s="1"/>
  <c r="S4" i="10" s="1"/>
  <c r="G3" i="10"/>
  <c r="L3" i="10" s="1"/>
  <c r="R3" i="10" s="1"/>
  <c r="G29" i="10"/>
  <c r="L29" i="10" s="1"/>
  <c r="R29" i="10" s="1"/>
  <c r="H2" i="10"/>
  <c r="M2" i="10" s="1"/>
  <c r="S2" i="10" s="1"/>
  <c r="H29" i="10"/>
  <c r="M29" i="10" s="1"/>
  <c r="S29" i="10" s="1"/>
  <c r="G28" i="10"/>
  <c r="L28" i="10" s="1"/>
  <c r="R28" i="10" s="1"/>
  <c r="F27" i="10"/>
  <c r="K27" i="10" s="1"/>
  <c r="Q27" i="10" s="1"/>
  <c r="H25" i="10"/>
  <c r="M25" i="10" s="1"/>
  <c r="S25" i="10" s="1"/>
  <c r="G24" i="10"/>
  <c r="L24" i="10" s="1"/>
  <c r="R24" i="10" s="1"/>
  <c r="F23" i="10"/>
  <c r="K23" i="10" s="1"/>
  <c r="Q23" i="10" s="1"/>
  <c r="H21" i="10"/>
  <c r="M21" i="10" s="1"/>
  <c r="S21" i="10" s="1"/>
  <c r="G20" i="10"/>
  <c r="L20" i="10" s="1"/>
  <c r="R20" i="10" s="1"/>
  <c r="F19" i="10"/>
  <c r="K19" i="10" s="1"/>
  <c r="Q19" i="10" s="1"/>
  <c r="H17" i="10"/>
  <c r="M17" i="10" s="1"/>
  <c r="S17" i="10" s="1"/>
  <c r="G16" i="10"/>
  <c r="L16" i="10" s="1"/>
  <c r="R16" i="10" s="1"/>
  <c r="F15" i="10"/>
  <c r="K15" i="10" s="1"/>
  <c r="Q15" i="10" s="1"/>
  <c r="H13" i="10"/>
  <c r="M13" i="10" s="1"/>
  <c r="S13" i="10" s="1"/>
  <c r="G12" i="10"/>
  <c r="L12" i="10" s="1"/>
  <c r="R12" i="10" s="1"/>
  <c r="F11" i="10"/>
  <c r="K11" i="10" s="1"/>
  <c r="Q11" i="10" s="1"/>
  <c r="H9" i="10"/>
  <c r="M9" i="10" s="1"/>
  <c r="S9" i="10" s="1"/>
  <c r="G8" i="10"/>
  <c r="L8" i="10" s="1"/>
  <c r="R8" i="10" s="1"/>
  <c r="F7" i="10"/>
  <c r="K7" i="10" s="1"/>
  <c r="Q7" i="10" s="1"/>
  <c r="H5" i="10"/>
  <c r="M5" i="10" s="1"/>
  <c r="S5" i="10" s="1"/>
  <c r="G4" i="10"/>
  <c r="L4" i="10" s="1"/>
  <c r="R4" i="10" s="1"/>
  <c r="F3" i="10"/>
  <c r="K3" i="10" s="1"/>
  <c r="Q3" i="10" s="1"/>
  <c r="E25" i="10"/>
  <c r="J25" i="10" s="1"/>
  <c r="P25" i="10" s="1"/>
  <c r="E17" i="10"/>
  <c r="J17" i="10" s="1"/>
  <c r="P17" i="10" s="1"/>
  <c r="E9" i="10"/>
  <c r="J9" i="10" s="1"/>
  <c r="P9" i="10" s="1"/>
  <c r="E28" i="10"/>
  <c r="J28" i="10" s="1"/>
  <c r="P28" i="10" s="1"/>
  <c r="E20" i="10"/>
  <c r="J20" i="10" s="1"/>
  <c r="P20" i="10" s="1"/>
  <c r="E12" i="10"/>
  <c r="J12" i="10" s="1"/>
  <c r="P12" i="10" s="1"/>
  <c r="D18" i="10"/>
  <c r="I18" i="10" s="1"/>
  <c r="O18" i="10" s="1"/>
  <c r="D30" i="10"/>
  <c r="I30" i="10" s="1"/>
  <c r="O30" i="10" s="1"/>
  <c r="D14" i="10"/>
  <c r="I14" i="10" s="1"/>
  <c r="O14" i="10" s="1"/>
  <c r="E24" i="10"/>
  <c r="J24" i="10" s="1"/>
  <c r="P24" i="10" s="1"/>
  <c r="E16" i="10"/>
  <c r="J16" i="10" s="1"/>
  <c r="P16" i="10" s="1"/>
  <c r="E8" i="10"/>
  <c r="J8" i="10" s="1"/>
  <c r="P8" i="10" s="1"/>
  <c r="D26" i="10"/>
  <c r="I26" i="10" s="1"/>
  <c r="O26" i="10" s="1"/>
  <c r="D10" i="10"/>
  <c r="I10" i="10" s="1"/>
  <c r="O10" i="10" s="1"/>
  <c r="E4" i="10"/>
  <c r="J4" i="10" s="1"/>
  <c r="P4" i="10" s="1"/>
  <c r="E29" i="10"/>
  <c r="J29" i="10" s="1"/>
  <c r="P29" i="10" s="1"/>
  <c r="E21" i="10"/>
  <c r="J21" i="10" s="1"/>
  <c r="P21" i="10" s="1"/>
  <c r="E13" i="10"/>
  <c r="J13" i="10" s="1"/>
  <c r="P13" i="10" s="1"/>
  <c r="E5" i="10"/>
  <c r="J5" i="10" s="1"/>
  <c r="P5" i="10" s="1"/>
  <c r="D22" i="10"/>
  <c r="I22" i="10" s="1"/>
  <c r="O22" i="10" s="1"/>
  <c r="D6" i="10"/>
  <c r="I6" i="10" s="1"/>
  <c r="O6" i="10" s="1"/>
  <c r="E2" i="10"/>
  <c r="J2" i="10" s="1"/>
  <c r="P2" i="10" s="1"/>
  <c r="E27" i="10"/>
  <c r="J27" i="10" s="1"/>
  <c r="P27" i="10" s="1"/>
  <c r="E23" i="10"/>
  <c r="J23" i="10" s="1"/>
  <c r="P23" i="10" s="1"/>
  <c r="E19" i="10"/>
  <c r="J19" i="10" s="1"/>
  <c r="P19" i="10" s="1"/>
  <c r="E15" i="10"/>
  <c r="J15" i="10" s="1"/>
  <c r="P15" i="10" s="1"/>
  <c r="E11" i="10"/>
  <c r="J11" i="10" s="1"/>
  <c r="P11" i="10" s="1"/>
  <c r="E7" i="10"/>
  <c r="J7" i="10" s="1"/>
  <c r="P7" i="10" s="1"/>
  <c r="E3" i="10"/>
  <c r="J3" i="10" s="1"/>
  <c r="P3" i="10" s="1"/>
  <c r="H6" i="1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2" i="9"/>
  <c r="K1" i="9"/>
  <c r="R31" i="10" l="1"/>
  <c r="S31" i="10"/>
  <c r="Q31" i="10"/>
  <c r="J31" i="10"/>
  <c r="P31" i="10"/>
  <c r="K31" i="10"/>
  <c r="M31" i="10"/>
  <c r="O31" i="10"/>
  <c r="L31" i="10"/>
  <c r="I31" i="10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2" i="7"/>
  <c r="I3" i="9"/>
  <c r="J3" i="9" s="1"/>
  <c r="I4" i="9"/>
  <c r="J4" i="9" s="1"/>
  <c r="I5" i="9"/>
  <c r="J5" i="9" s="1"/>
  <c r="I6" i="9"/>
  <c r="J6" i="9" s="1"/>
  <c r="I7" i="9"/>
  <c r="J7" i="9" s="1"/>
  <c r="I8" i="9"/>
  <c r="J8" i="9" s="1"/>
  <c r="I10" i="9"/>
  <c r="J10" i="9" s="1"/>
  <c r="I12" i="9"/>
  <c r="J12" i="9" s="1"/>
  <c r="I13" i="9"/>
  <c r="J13" i="9" s="1"/>
  <c r="I14" i="9"/>
  <c r="J14" i="9" s="1"/>
  <c r="I21" i="9"/>
  <c r="J21" i="9" s="1"/>
  <c r="I22" i="9"/>
  <c r="J22" i="9" s="1"/>
  <c r="I23" i="9"/>
  <c r="J23" i="9" s="1"/>
  <c r="I24" i="9"/>
  <c r="J24" i="9" s="1"/>
  <c r="I26" i="9"/>
  <c r="J26" i="9" s="1"/>
  <c r="I27" i="9"/>
  <c r="J27" i="9" s="1"/>
  <c r="I28" i="9"/>
  <c r="J28" i="9" s="1"/>
  <c r="I29" i="9"/>
  <c r="J29" i="9" s="1"/>
  <c r="I30" i="9"/>
  <c r="J30" i="9" s="1"/>
  <c r="I2" i="9"/>
  <c r="J2" i="9" s="1"/>
  <c r="G3" i="9"/>
  <c r="H3" i="9" s="1"/>
  <c r="G4" i="9"/>
  <c r="H4" i="9" s="1"/>
  <c r="G5" i="9"/>
  <c r="H5" i="9" s="1"/>
  <c r="G6" i="9"/>
  <c r="H6" i="9" s="1"/>
  <c r="G7" i="9"/>
  <c r="H7" i="9" s="1"/>
  <c r="G8" i="9"/>
  <c r="H8" i="9" s="1"/>
  <c r="G10" i="9"/>
  <c r="H10" i="9" s="1"/>
  <c r="G12" i="9"/>
  <c r="H12" i="9" s="1"/>
  <c r="G13" i="9"/>
  <c r="H13" i="9" s="1"/>
  <c r="G19" i="9"/>
  <c r="H19" i="9" s="1"/>
  <c r="G21" i="9"/>
  <c r="H21" i="9" s="1"/>
  <c r="G22" i="9"/>
  <c r="H22" i="9" s="1"/>
  <c r="G23" i="9"/>
  <c r="H23" i="9" s="1"/>
  <c r="G24" i="9"/>
  <c r="H24" i="9" s="1"/>
  <c r="G26" i="9"/>
  <c r="H26" i="9" s="1"/>
  <c r="G27" i="9"/>
  <c r="H27" i="9" s="1"/>
  <c r="G28" i="9"/>
  <c r="H28" i="9" s="1"/>
  <c r="G29" i="9"/>
  <c r="H29" i="9" s="1"/>
  <c r="G30" i="9"/>
  <c r="H30" i="9" s="1"/>
  <c r="G2" i="9"/>
  <c r="H2" i="9" s="1"/>
  <c r="F3" i="9"/>
  <c r="F4" i="9"/>
  <c r="F5" i="9"/>
  <c r="F6" i="9"/>
  <c r="F7" i="9"/>
  <c r="F8" i="9"/>
  <c r="F10" i="9"/>
  <c r="F11" i="9"/>
  <c r="F12" i="9"/>
  <c r="F13" i="9"/>
  <c r="F17" i="9"/>
  <c r="F21" i="9"/>
  <c r="F22" i="9"/>
  <c r="F23" i="9"/>
  <c r="F24" i="9"/>
  <c r="F26" i="9"/>
  <c r="F27" i="9"/>
  <c r="F28" i="9"/>
  <c r="F29" i="9"/>
  <c r="F30" i="9"/>
  <c r="F2" i="9"/>
  <c r="C3" i="9"/>
  <c r="D3" i="9" s="1"/>
  <c r="C4" i="9"/>
  <c r="D4" i="9" s="1"/>
  <c r="C5" i="9"/>
  <c r="D5" i="9" s="1"/>
  <c r="C6" i="9"/>
  <c r="D6" i="9" s="1"/>
  <c r="C7" i="9"/>
  <c r="D7" i="9" s="1"/>
  <c r="C8" i="9"/>
  <c r="D8" i="9" s="1"/>
  <c r="C9" i="9"/>
  <c r="D9" i="9" s="1"/>
  <c r="C10" i="9"/>
  <c r="D10" i="9" s="1"/>
  <c r="C12" i="9"/>
  <c r="D12" i="9" s="1"/>
  <c r="C13" i="9"/>
  <c r="D13" i="9" s="1"/>
  <c r="C21" i="9"/>
  <c r="D21" i="9" s="1"/>
  <c r="C22" i="9"/>
  <c r="D22" i="9" s="1"/>
  <c r="C23" i="9"/>
  <c r="D23" i="9" s="1"/>
  <c r="C24" i="9"/>
  <c r="D24" i="9" s="1"/>
  <c r="C25" i="9"/>
  <c r="D25" i="9" s="1"/>
  <c r="C27" i="9"/>
  <c r="D27" i="9" s="1"/>
  <c r="C28" i="9"/>
  <c r="D28" i="9" s="1"/>
  <c r="C29" i="9"/>
  <c r="D29" i="9" s="1"/>
  <c r="C30" i="9"/>
  <c r="D30" i="9" s="1"/>
  <c r="C2" i="9"/>
  <c r="D2" i="9" s="1"/>
  <c r="I1" i="9"/>
  <c r="G1" i="9"/>
  <c r="E1" i="9"/>
  <c r="C1" i="9"/>
  <c r="B30" i="9"/>
  <c r="A30" i="9"/>
  <c r="B29" i="9"/>
  <c r="A29" i="9"/>
  <c r="B28" i="9"/>
  <c r="A28" i="9"/>
  <c r="B27" i="9"/>
  <c r="A27" i="9"/>
  <c r="B26" i="9"/>
  <c r="C26" i="9" s="1"/>
  <c r="D26" i="9" s="1"/>
  <c r="A26" i="9"/>
  <c r="B25" i="9"/>
  <c r="A25" i="9"/>
  <c r="I25" i="9" s="1"/>
  <c r="J25" i="9" s="1"/>
  <c r="B24" i="9"/>
  <c r="A24" i="9"/>
  <c r="B23" i="9"/>
  <c r="A23" i="9"/>
  <c r="B22" i="9"/>
  <c r="A22" i="9"/>
  <c r="B21" i="9"/>
  <c r="A21" i="9"/>
  <c r="B20" i="9"/>
  <c r="A20" i="9"/>
  <c r="G20" i="9" s="1"/>
  <c r="H20" i="9" s="1"/>
  <c r="B19" i="9"/>
  <c r="A19" i="9"/>
  <c r="F19" i="9" s="1"/>
  <c r="B18" i="9"/>
  <c r="A18" i="9"/>
  <c r="F18" i="9" s="1"/>
  <c r="B17" i="9"/>
  <c r="A17" i="9"/>
  <c r="G17" i="9" s="1"/>
  <c r="H17" i="9" s="1"/>
  <c r="B16" i="9"/>
  <c r="A16" i="9"/>
  <c r="I16" i="9" s="1"/>
  <c r="J16" i="9" s="1"/>
  <c r="B15" i="9"/>
  <c r="A15" i="9"/>
  <c r="I15" i="9" s="1"/>
  <c r="J15" i="9" s="1"/>
  <c r="B14" i="9"/>
  <c r="A14" i="9"/>
  <c r="G14" i="9" s="1"/>
  <c r="H14" i="9" s="1"/>
  <c r="B13" i="9"/>
  <c r="A13" i="9"/>
  <c r="B12" i="9"/>
  <c r="A12" i="9"/>
  <c r="B11" i="9"/>
  <c r="A11" i="9"/>
  <c r="I11" i="9" s="1"/>
  <c r="J11" i="9" s="1"/>
  <c r="B10" i="9"/>
  <c r="A10" i="9"/>
  <c r="B9" i="9"/>
  <c r="A9" i="9"/>
  <c r="G9" i="9" s="1"/>
  <c r="H9" i="9" s="1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1" i="9"/>
  <c r="A1" i="9"/>
  <c r="C19" i="9" l="1"/>
  <c r="D19" i="9" s="1"/>
  <c r="F20" i="9"/>
  <c r="F16" i="9"/>
  <c r="G18" i="9"/>
  <c r="H18" i="9" s="1"/>
  <c r="G11" i="9"/>
  <c r="H11" i="9" s="1"/>
  <c r="I19" i="9"/>
  <c r="J19" i="9" s="1"/>
  <c r="I9" i="9"/>
  <c r="J9" i="9" s="1"/>
  <c r="I20" i="9"/>
  <c r="J20" i="9" s="1"/>
  <c r="C18" i="9"/>
  <c r="D18" i="9" s="1"/>
  <c r="C11" i="9"/>
  <c r="D11" i="9" s="1"/>
  <c r="F9" i="9"/>
  <c r="G16" i="9"/>
  <c r="H16" i="9" s="1"/>
  <c r="I18" i="9"/>
  <c r="J18" i="9" s="1"/>
  <c r="C20" i="9"/>
  <c r="D20" i="9" s="1"/>
  <c r="C16" i="9"/>
  <c r="D16" i="9" s="1"/>
  <c r="G25" i="9"/>
  <c r="H25" i="9" s="1"/>
  <c r="F25" i="9"/>
  <c r="C17" i="9"/>
  <c r="D17" i="9" s="1"/>
  <c r="I17" i="9"/>
  <c r="J17" i="9" s="1"/>
  <c r="C15" i="9"/>
  <c r="D15" i="9" s="1"/>
  <c r="F15" i="9"/>
  <c r="G15" i="9"/>
  <c r="H15" i="9" s="1"/>
  <c r="C14" i="9"/>
  <c r="D14" i="9" s="1"/>
  <c r="F14" i="9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B2" i="7"/>
  <c r="A2" i="7"/>
  <c r="B1" i="7"/>
  <c r="A1" i="7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2" i="4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2" i="1"/>
  <c r="F2" i="1" s="1"/>
  <c r="D7" i="5"/>
  <c r="F17" i="7" l="1"/>
  <c r="H17" i="7"/>
  <c r="J17" i="7"/>
  <c r="D17" i="7"/>
  <c r="L17" i="7"/>
  <c r="J15" i="7"/>
  <c r="D15" i="7"/>
  <c r="L15" i="7"/>
  <c r="F15" i="7"/>
  <c r="H15" i="7"/>
  <c r="F13" i="7"/>
  <c r="J13" i="7"/>
  <c r="H13" i="7"/>
  <c r="D13" i="7"/>
  <c r="L13" i="7"/>
  <c r="J11" i="7"/>
  <c r="D11" i="7"/>
  <c r="L11" i="7"/>
  <c r="F11" i="7"/>
  <c r="H11" i="7"/>
  <c r="F9" i="7"/>
  <c r="H9" i="7"/>
  <c r="J9" i="7"/>
  <c r="D9" i="7"/>
  <c r="L9" i="7"/>
  <c r="J7" i="7"/>
  <c r="D7" i="7"/>
  <c r="L7" i="7"/>
  <c r="F7" i="7"/>
  <c r="H7" i="7"/>
  <c r="F5" i="7"/>
  <c r="J5" i="7"/>
  <c r="H5" i="7"/>
  <c r="D5" i="7"/>
  <c r="L5" i="7"/>
  <c r="J3" i="7"/>
  <c r="D3" i="7"/>
  <c r="L3" i="7"/>
  <c r="F3" i="7"/>
  <c r="H3" i="7"/>
  <c r="F29" i="7"/>
  <c r="J29" i="7"/>
  <c r="H29" i="7"/>
  <c r="D29" i="7"/>
  <c r="L29" i="7"/>
  <c r="J27" i="7"/>
  <c r="F27" i="7"/>
  <c r="D27" i="7"/>
  <c r="L27" i="7"/>
  <c r="H27" i="7"/>
  <c r="F25" i="7"/>
  <c r="H25" i="7"/>
  <c r="J25" i="7"/>
  <c r="D25" i="7"/>
  <c r="L25" i="7"/>
  <c r="J23" i="7"/>
  <c r="D23" i="7"/>
  <c r="L23" i="7"/>
  <c r="F23" i="7"/>
  <c r="H23" i="7"/>
  <c r="F21" i="7"/>
  <c r="J21" i="7"/>
  <c r="H21" i="7"/>
  <c r="D21" i="7"/>
  <c r="L21" i="7"/>
  <c r="J19" i="7"/>
  <c r="F19" i="7"/>
  <c r="D19" i="7"/>
  <c r="L19" i="7"/>
  <c r="H19" i="7"/>
  <c r="J2" i="7"/>
  <c r="D2" i="7"/>
  <c r="L2" i="7"/>
  <c r="F2" i="7"/>
  <c r="H2" i="7"/>
  <c r="H16" i="7"/>
  <c r="J16" i="7"/>
  <c r="D16" i="7"/>
  <c r="L16" i="7"/>
  <c r="F16" i="7"/>
  <c r="D14" i="7"/>
  <c r="L14" i="7"/>
  <c r="F14" i="7"/>
  <c r="H14" i="7"/>
  <c r="J14" i="7"/>
  <c r="H12" i="7"/>
  <c r="J12" i="7"/>
  <c r="D12" i="7"/>
  <c r="L12" i="7"/>
  <c r="F12" i="7"/>
  <c r="D10" i="7"/>
  <c r="L10" i="7"/>
  <c r="F10" i="7"/>
  <c r="H10" i="7"/>
  <c r="J10" i="7"/>
  <c r="H8" i="7"/>
  <c r="L8" i="7"/>
  <c r="J8" i="7"/>
  <c r="D8" i="7"/>
  <c r="F8" i="7"/>
  <c r="D6" i="7"/>
  <c r="L6" i="7"/>
  <c r="H6" i="7"/>
  <c r="F6" i="7"/>
  <c r="J6" i="7"/>
  <c r="H4" i="7"/>
  <c r="J4" i="7"/>
  <c r="D4" i="7"/>
  <c r="L4" i="7"/>
  <c r="F4" i="7"/>
  <c r="D30" i="7"/>
  <c r="L30" i="7"/>
  <c r="F30" i="7"/>
  <c r="H30" i="7"/>
  <c r="J30" i="7"/>
  <c r="H28" i="7"/>
  <c r="J28" i="7"/>
  <c r="D28" i="7"/>
  <c r="L28" i="7"/>
  <c r="F28" i="7"/>
  <c r="D26" i="7"/>
  <c r="L26" i="7"/>
  <c r="H26" i="7"/>
  <c r="F26" i="7"/>
  <c r="J26" i="7"/>
  <c r="H24" i="7"/>
  <c r="D24" i="7"/>
  <c r="J24" i="7"/>
  <c r="L24" i="7"/>
  <c r="F24" i="7"/>
  <c r="D22" i="7"/>
  <c r="L22" i="7"/>
  <c r="F22" i="7"/>
  <c r="H22" i="7"/>
  <c r="J22" i="7"/>
  <c r="H20" i="7"/>
  <c r="L20" i="7"/>
  <c r="J20" i="7"/>
  <c r="D20" i="7"/>
  <c r="F20" i="7"/>
  <c r="D18" i="7"/>
  <c r="L18" i="7"/>
  <c r="H18" i="7"/>
  <c r="F18" i="7"/>
  <c r="J18" i="7"/>
  <c r="C17" i="7"/>
  <c r="M17" i="7" s="1"/>
  <c r="C15" i="7"/>
  <c r="C13" i="7"/>
  <c r="M13" i="7" s="1"/>
  <c r="C11" i="7"/>
  <c r="M11" i="7" s="1"/>
  <c r="C9" i="7"/>
  <c r="M9" i="7" s="1"/>
  <c r="C7" i="7"/>
  <c r="C5" i="7"/>
  <c r="M5" i="7" s="1"/>
  <c r="C3" i="7"/>
  <c r="M3" i="7" s="1"/>
  <c r="C29" i="7"/>
  <c r="M29" i="7" s="1"/>
  <c r="C27" i="7"/>
  <c r="M27" i="7" s="1"/>
  <c r="C25" i="7"/>
  <c r="M25" i="7" s="1"/>
  <c r="C23" i="7"/>
  <c r="M23" i="7" s="1"/>
  <c r="C21" i="7"/>
  <c r="M21" i="7" s="1"/>
  <c r="C19" i="7"/>
  <c r="M19" i="7" s="1"/>
  <c r="C2" i="7"/>
  <c r="M2" i="7" s="1"/>
  <c r="C16" i="7"/>
  <c r="C14" i="7"/>
  <c r="M14" i="7" s="1"/>
  <c r="C12" i="7"/>
  <c r="M12" i="7" s="1"/>
  <c r="C10" i="7"/>
  <c r="M10" i="7" s="1"/>
  <c r="C8" i="7"/>
  <c r="M8" i="7" s="1"/>
  <c r="C6" i="7"/>
  <c r="M6" i="7" s="1"/>
  <c r="C4" i="7"/>
  <c r="M4" i="7" s="1"/>
  <c r="C30" i="7"/>
  <c r="M30" i="7" s="1"/>
  <c r="C28" i="7"/>
  <c r="C26" i="7"/>
  <c r="M26" i="7" s="1"/>
  <c r="C24" i="7"/>
  <c r="M24" i="7" s="1"/>
  <c r="C22" i="7"/>
  <c r="M22" i="7" s="1"/>
  <c r="C20" i="7"/>
  <c r="M20" i="7" s="1"/>
  <c r="C18" i="7"/>
  <c r="M18" i="7" s="1"/>
  <c r="F31" i="1"/>
  <c r="B32" i="2"/>
  <c r="C32" i="2"/>
  <c r="D32" i="2"/>
  <c r="E32" i="2"/>
  <c r="F32" i="2"/>
  <c r="G32" i="2"/>
  <c r="H32" i="2"/>
  <c r="I32" i="2"/>
  <c r="J32" i="2"/>
  <c r="K32" i="2"/>
  <c r="L32" i="2"/>
  <c r="M32" i="2"/>
  <c r="R32" i="2"/>
  <c r="E3" i="2"/>
  <c r="R3" i="2" s="1"/>
  <c r="C2" i="1" s="1"/>
  <c r="G2" i="1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I4" i="2"/>
  <c r="R4" i="2" s="1"/>
  <c r="C3" i="1" s="1"/>
  <c r="G3" i="1" s="1"/>
  <c r="I5" i="2"/>
  <c r="I6" i="2"/>
  <c r="I7" i="2"/>
  <c r="R7" i="2" s="1"/>
  <c r="C6" i="1" s="1"/>
  <c r="G6" i="1" s="1"/>
  <c r="I8" i="2"/>
  <c r="I9" i="2"/>
  <c r="I10" i="2"/>
  <c r="R10" i="2" s="1"/>
  <c r="C9" i="1" s="1"/>
  <c r="G9" i="1" s="1"/>
  <c r="I11" i="2"/>
  <c r="I12" i="2"/>
  <c r="R12" i="2" s="1"/>
  <c r="C11" i="1" s="1"/>
  <c r="G11" i="1" s="1"/>
  <c r="I13" i="2"/>
  <c r="R13" i="2" s="1"/>
  <c r="C12" i="1" s="1"/>
  <c r="G12" i="1" s="1"/>
  <c r="I14" i="2"/>
  <c r="I15" i="2"/>
  <c r="I16" i="2"/>
  <c r="R16" i="2" s="1"/>
  <c r="C15" i="1" s="1"/>
  <c r="G15" i="1" s="1"/>
  <c r="I17" i="2"/>
  <c r="I18" i="2"/>
  <c r="I19" i="2"/>
  <c r="R19" i="2" s="1"/>
  <c r="C18" i="1" s="1"/>
  <c r="G18" i="1" s="1"/>
  <c r="I20" i="2"/>
  <c r="I21" i="2"/>
  <c r="I22" i="2"/>
  <c r="R22" i="2" s="1"/>
  <c r="C21" i="1" s="1"/>
  <c r="G21" i="1" s="1"/>
  <c r="I23" i="2"/>
  <c r="I24" i="2"/>
  <c r="I25" i="2"/>
  <c r="R25" i="2" s="1"/>
  <c r="C24" i="1" s="1"/>
  <c r="G24" i="1" s="1"/>
  <c r="I26" i="2"/>
  <c r="I27" i="2"/>
  <c r="R27" i="2" s="1"/>
  <c r="C26" i="1" s="1"/>
  <c r="G26" i="1" s="1"/>
  <c r="I28" i="2"/>
  <c r="I29" i="2"/>
  <c r="I30" i="2"/>
  <c r="R30" i="2" s="1"/>
  <c r="C29" i="1" s="1"/>
  <c r="G29" i="1" s="1"/>
  <c r="I31" i="2"/>
  <c r="R31" i="2" s="1"/>
  <c r="C30" i="1" s="1"/>
  <c r="G30" i="1" s="1"/>
  <c r="M4" i="2"/>
  <c r="M5" i="2"/>
  <c r="R5" i="2" s="1"/>
  <c r="C4" i="1" s="1"/>
  <c r="G4" i="1" s="1"/>
  <c r="M6" i="2"/>
  <c r="M7" i="2"/>
  <c r="M8" i="2"/>
  <c r="M9" i="2"/>
  <c r="R8" i="2" s="1"/>
  <c r="C7" i="1" s="1"/>
  <c r="G7" i="1" s="1"/>
  <c r="M10" i="2"/>
  <c r="M11" i="2"/>
  <c r="M12" i="2"/>
  <c r="M13" i="2"/>
  <c r="M14" i="2"/>
  <c r="R14" i="2" s="1"/>
  <c r="C13" i="1" s="1"/>
  <c r="G13" i="1" s="1"/>
  <c r="M15" i="2"/>
  <c r="M16" i="2"/>
  <c r="M17" i="2"/>
  <c r="M18" i="2"/>
  <c r="R17" i="2" s="1"/>
  <c r="C16" i="1" s="1"/>
  <c r="G16" i="1" s="1"/>
  <c r="M19" i="2"/>
  <c r="M20" i="2"/>
  <c r="M21" i="2"/>
  <c r="R20" i="2" s="1"/>
  <c r="C19" i="1" s="1"/>
  <c r="G19" i="1" s="1"/>
  <c r="M22" i="2"/>
  <c r="M23" i="2"/>
  <c r="R23" i="2" s="1"/>
  <c r="C22" i="1" s="1"/>
  <c r="G22" i="1" s="1"/>
  <c r="M24" i="2"/>
  <c r="M25" i="2"/>
  <c r="M26" i="2"/>
  <c r="R26" i="2" s="1"/>
  <c r="C25" i="1" s="1"/>
  <c r="G25" i="1" s="1"/>
  <c r="M27" i="2"/>
  <c r="M28" i="2"/>
  <c r="M29" i="2"/>
  <c r="M30" i="2"/>
  <c r="M31" i="2"/>
  <c r="Q4" i="2"/>
  <c r="Q5" i="2"/>
  <c r="Q6" i="2"/>
  <c r="R6" i="2" s="1"/>
  <c r="C5" i="1" s="1"/>
  <c r="G5" i="1" s="1"/>
  <c r="Q7" i="2"/>
  <c r="Q8" i="2"/>
  <c r="Q9" i="2"/>
  <c r="R9" i="2" s="1"/>
  <c r="C8" i="1" s="1"/>
  <c r="G8" i="1" s="1"/>
  <c r="Q10" i="2"/>
  <c r="Q11" i="2"/>
  <c r="R11" i="2" s="1"/>
  <c r="C10" i="1" s="1"/>
  <c r="G10" i="1" s="1"/>
  <c r="Q12" i="2"/>
  <c r="Q13" i="2"/>
  <c r="Q14" i="2"/>
  <c r="Q15" i="2"/>
  <c r="R15" i="2" s="1"/>
  <c r="C14" i="1" s="1"/>
  <c r="G14" i="1" s="1"/>
  <c r="Q16" i="2"/>
  <c r="Q17" i="2"/>
  <c r="Q18" i="2"/>
  <c r="R18" i="2" s="1"/>
  <c r="C17" i="1" s="1"/>
  <c r="G17" i="1" s="1"/>
  <c r="Q19" i="2"/>
  <c r="Q20" i="2"/>
  <c r="Q21" i="2"/>
  <c r="R21" i="2" s="1"/>
  <c r="C20" i="1" s="1"/>
  <c r="G20" i="1" s="1"/>
  <c r="Q22" i="2"/>
  <c r="Q23" i="2"/>
  <c r="Q24" i="2"/>
  <c r="R24" i="2" s="1"/>
  <c r="C23" i="1" s="1"/>
  <c r="G23" i="1" s="1"/>
  <c r="Q25" i="2"/>
  <c r="Q26" i="2"/>
  <c r="Q27" i="2"/>
  <c r="Q28" i="2"/>
  <c r="R28" i="2" s="1"/>
  <c r="C27" i="1" s="1"/>
  <c r="G27" i="1" s="1"/>
  <c r="Q29" i="2"/>
  <c r="R29" i="2" s="1"/>
  <c r="C28" i="1" s="1"/>
  <c r="G28" i="1" s="1"/>
  <c r="Q30" i="2"/>
  <c r="Q31" i="2"/>
  <c r="Q3" i="2"/>
  <c r="M3" i="2"/>
  <c r="I3" i="2"/>
  <c r="M28" i="7" l="1"/>
  <c r="M16" i="7"/>
  <c r="M7" i="7"/>
  <c r="M15" i="7"/>
  <c r="R31" i="7"/>
  <c r="W7" i="7" s="1"/>
  <c r="AB7" i="7" s="1"/>
  <c r="K7" i="7"/>
  <c r="Q7" i="7" s="1"/>
  <c r="I7" i="7"/>
  <c r="P7" i="7" s="1"/>
  <c r="G7" i="7"/>
  <c r="O7" i="7" s="1"/>
  <c r="E7" i="7"/>
  <c r="N7" i="7" s="1"/>
  <c r="K23" i="7"/>
  <c r="Q23" i="7" s="1"/>
  <c r="I23" i="7"/>
  <c r="P23" i="7" s="1"/>
  <c r="G23" i="7"/>
  <c r="O23" i="7" s="1"/>
  <c r="E23" i="7"/>
  <c r="N23" i="7" s="1"/>
  <c r="E4" i="7"/>
  <c r="N4" i="7" s="1"/>
  <c r="K4" i="7"/>
  <c r="Q4" i="7" s="1"/>
  <c r="G4" i="7"/>
  <c r="O4" i="7" s="1"/>
  <c r="I4" i="7"/>
  <c r="P4" i="7" s="1"/>
  <c r="E20" i="7"/>
  <c r="N20" i="7" s="1"/>
  <c r="K20" i="7"/>
  <c r="Q20" i="7" s="1"/>
  <c r="I20" i="7"/>
  <c r="P20" i="7" s="1"/>
  <c r="G20" i="7"/>
  <c r="O20" i="7" s="1"/>
  <c r="K11" i="7"/>
  <c r="Q11" i="7" s="1"/>
  <c r="I11" i="7"/>
  <c r="P11" i="7" s="1"/>
  <c r="G11" i="7"/>
  <c r="O11" i="7" s="1"/>
  <c r="E11" i="7"/>
  <c r="N11" i="7" s="1"/>
  <c r="K27" i="7"/>
  <c r="Q27" i="7" s="1"/>
  <c r="I27" i="7"/>
  <c r="P27" i="7" s="1"/>
  <c r="G27" i="7"/>
  <c r="O27" i="7" s="1"/>
  <c r="E27" i="7"/>
  <c r="N27" i="7" s="1"/>
  <c r="E8" i="7"/>
  <c r="N8" i="7" s="1"/>
  <c r="K8" i="7"/>
  <c r="Q8" i="7" s="1"/>
  <c r="I8" i="7"/>
  <c r="P8" i="7" s="1"/>
  <c r="G8" i="7"/>
  <c r="O8" i="7" s="1"/>
  <c r="E24" i="7"/>
  <c r="N24" i="7" s="1"/>
  <c r="K24" i="7"/>
  <c r="Q24" i="7" s="1"/>
  <c r="I24" i="7"/>
  <c r="P24" i="7" s="1"/>
  <c r="G24" i="7"/>
  <c r="O24" i="7" s="1"/>
  <c r="G9" i="7"/>
  <c r="O9" i="7" s="1"/>
  <c r="E9" i="7"/>
  <c r="N9" i="7" s="1"/>
  <c r="I9" i="7"/>
  <c r="P9" i="7" s="1"/>
  <c r="K9" i="7"/>
  <c r="Q9" i="7" s="1"/>
  <c r="G25" i="7"/>
  <c r="O25" i="7" s="1"/>
  <c r="E25" i="7"/>
  <c r="N25" i="7" s="1"/>
  <c r="I25" i="7"/>
  <c r="P25" i="7" s="1"/>
  <c r="K25" i="7"/>
  <c r="Q25" i="7" s="1"/>
  <c r="I10" i="7"/>
  <c r="P10" i="7" s="1"/>
  <c r="G10" i="7"/>
  <c r="O10" i="7" s="1"/>
  <c r="K10" i="7"/>
  <c r="Q10" i="7" s="1"/>
  <c r="E10" i="7"/>
  <c r="N10" i="7" s="1"/>
  <c r="I26" i="7"/>
  <c r="P26" i="7" s="1"/>
  <c r="G26" i="7"/>
  <c r="O26" i="7" s="1"/>
  <c r="E26" i="7"/>
  <c r="N26" i="7" s="1"/>
  <c r="K26" i="7"/>
  <c r="Q26" i="7" s="1"/>
  <c r="K15" i="7"/>
  <c r="Q15" i="7" s="1"/>
  <c r="I15" i="7"/>
  <c r="P15" i="7" s="1"/>
  <c r="G15" i="7"/>
  <c r="O15" i="7" s="1"/>
  <c r="E15" i="7"/>
  <c r="N15" i="7" s="1"/>
  <c r="K2" i="7"/>
  <c r="Q2" i="7" s="1"/>
  <c r="I2" i="7"/>
  <c r="P2" i="7" s="1"/>
  <c r="G2" i="7"/>
  <c r="O2" i="7" s="1"/>
  <c r="E2" i="7"/>
  <c r="N2" i="7" s="1"/>
  <c r="E12" i="7"/>
  <c r="N12" i="7" s="1"/>
  <c r="K12" i="7"/>
  <c r="Q12" i="7" s="1"/>
  <c r="G12" i="7"/>
  <c r="O12" i="7" s="1"/>
  <c r="I12" i="7"/>
  <c r="P12" i="7" s="1"/>
  <c r="E28" i="7"/>
  <c r="N28" i="7" s="1"/>
  <c r="K28" i="7"/>
  <c r="Q28" i="7" s="1"/>
  <c r="I28" i="7"/>
  <c r="P28" i="7" s="1"/>
  <c r="G28" i="7"/>
  <c r="O28" i="7" s="1"/>
  <c r="G13" i="7"/>
  <c r="O13" i="7" s="1"/>
  <c r="E13" i="7"/>
  <c r="N13" i="7" s="1"/>
  <c r="K13" i="7"/>
  <c r="Q13" i="7" s="1"/>
  <c r="I13" i="7"/>
  <c r="P13" i="7" s="1"/>
  <c r="G29" i="7"/>
  <c r="O29" i="7" s="1"/>
  <c r="E29" i="7"/>
  <c r="N29" i="7" s="1"/>
  <c r="K29" i="7"/>
  <c r="Q29" i="7" s="1"/>
  <c r="I29" i="7"/>
  <c r="P29" i="7" s="1"/>
  <c r="I14" i="7"/>
  <c r="P14" i="7" s="1"/>
  <c r="G14" i="7"/>
  <c r="O14" i="7" s="1"/>
  <c r="K14" i="7"/>
  <c r="Q14" i="7" s="1"/>
  <c r="E14" i="7"/>
  <c r="N14" i="7" s="1"/>
  <c r="I30" i="7"/>
  <c r="P30" i="7" s="1"/>
  <c r="G30" i="7"/>
  <c r="O30" i="7" s="1"/>
  <c r="K30" i="7"/>
  <c r="Q30" i="7" s="1"/>
  <c r="E30" i="7"/>
  <c r="N30" i="7" s="1"/>
  <c r="K3" i="7"/>
  <c r="Q3" i="7" s="1"/>
  <c r="I3" i="7"/>
  <c r="P3" i="7" s="1"/>
  <c r="G3" i="7"/>
  <c r="O3" i="7" s="1"/>
  <c r="E3" i="7"/>
  <c r="N3" i="7" s="1"/>
  <c r="K19" i="7"/>
  <c r="Q19" i="7" s="1"/>
  <c r="I19" i="7"/>
  <c r="P19" i="7" s="1"/>
  <c r="G19" i="7"/>
  <c r="O19" i="7" s="1"/>
  <c r="E19" i="7"/>
  <c r="N19" i="7" s="1"/>
  <c r="E16" i="7"/>
  <c r="N16" i="7" s="1"/>
  <c r="K16" i="7"/>
  <c r="Q16" i="7" s="1"/>
  <c r="I16" i="7"/>
  <c r="P16" i="7" s="1"/>
  <c r="G16" i="7"/>
  <c r="O16" i="7" s="1"/>
  <c r="G17" i="7"/>
  <c r="O17" i="7" s="1"/>
  <c r="E17" i="7"/>
  <c r="N17" i="7" s="1"/>
  <c r="I17" i="7"/>
  <c r="P17" i="7" s="1"/>
  <c r="K17" i="7"/>
  <c r="Q17" i="7" s="1"/>
  <c r="I18" i="7"/>
  <c r="P18" i="7" s="1"/>
  <c r="G18" i="7"/>
  <c r="O18" i="7" s="1"/>
  <c r="E18" i="7"/>
  <c r="N18" i="7" s="1"/>
  <c r="K18" i="7"/>
  <c r="Q18" i="7" s="1"/>
  <c r="G5" i="7"/>
  <c r="O5" i="7" s="1"/>
  <c r="E5" i="7"/>
  <c r="N5" i="7" s="1"/>
  <c r="K5" i="7"/>
  <c r="Q5" i="7" s="1"/>
  <c r="I5" i="7"/>
  <c r="P5" i="7" s="1"/>
  <c r="G21" i="7"/>
  <c r="O21" i="7" s="1"/>
  <c r="E21" i="7"/>
  <c r="N21" i="7" s="1"/>
  <c r="K21" i="7"/>
  <c r="Q21" i="7" s="1"/>
  <c r="I21" i="7"/>
  <c r="P21" i="7" s="1"/>
  <c r="I6" i="7"/>
  <c r="P6" i="7" s="1"/>
  <c r="G6" i="7"/>
  <c r="O6" i="7" s="1"/>
  <c r="K6" i="7"/>
  <c r="Q6" i="7" s="1"/>
  <c r="E6" i="7"/>
  <c r="N6" i="7" s="1"/>
  <c r="I22" i="7"/>
  <c r="P22" i="7" s="1"/>
  <c r="G22" i="7"/>
  <c r="O22" i="7" s="1"/>
  <c r="K22" i="7"/>
  <c r="Q22" i="7" s="1"/>
  <c r="E22" i="7"/>
  <c r="N22" i="7" s="1"/>
  <c r="G31" i="1"/>
  <c r="W29" i="7" l="1"/>
  <c r="AB29" i="7" s="1"/>
  <c r="W12" i="7"/>
  <c r="AB12" i="7" s="1"/>
  <c r="W10" i="7"/>
  <c r="AB10" i="7" s="1"/>
  <c r="W26" i="7"/>
  <c r="AB26" i="7" s="1"/>
  <c r="W17" i="7"/>
  <c r="AB17" i="7" s="1"/>
  <c r="W20" i="7"/>
  <c r="AB20" i="7" s="1"/>
  <c r="W28" i="7"/>
  <c r="AB28" i="7" s="1"/>
  <c r="W27" i="7"/>
  <c r="AB27" i="7" s="1"/>
  <c r="W8" i="7"/>
  <c r="AB8" i="7" s="1"/>
  <c r="W11" i="7"/>
  <c r="AB11" i="7" s="1"/>
  <c r="W5" i="7"/>
  <c r="AB5" i="7" s="1"/>
  <c r="W2" i="7"/>
  <c r="AB2" i="7" s="1"/>
  <c r="W6" i="7"/>
  <c r="AB6" i="7" s="1"/>
  <c r="W21" i="7"/>
  <c r="AB21" i="7" s="1"/>
  <c r="W24" i="7"/>
  <c r="AB24" i="7" s="1"/>
  <c r="W25" i="7"/>
  <c r="AB25" i="7" s="1"/>
  <c r="W3" i="7"/>
  <c r="AB3" i="7" s="1"/>
  <c r="W16" i="7"/>
  <c r="AB16" i="7" s="1"/>
  <c r="W9" i="7"/>
  <c r="AB9" i="7" s="1"/>
  <c r="W19" i="7"/>
  <c r="AB19" i="7" s="1"/>
  <c r="W4" i="7"/>
  <c r="AB4" i="7" s="1"/>
  <c r="W30" i="7"/>
  <c r="AB30" i="7" s="1"/>
  <c r="W23" i="7"/>
  <c r="AB23" i="7" s="1"/>
  <c r="W18" i="7"/>
  <c r="AB18" i="7" s="1"/>
  <c r="W15" i="7"/>
  <c r="AB15" i="7" s="1"/>
  <c r="W22" i="7"/>
  <c r="AB22" i="7" s="1"/>
  <c r="W14" i="7"/>
  <c r="AB14" i="7" s="1"/>
  <c r="W13" i="7"/>
  <c r="AB13" i="7" s="1"/>
  <c r="P31" i="7"/>
  <c r="U29" i="7" s="1"/>
  <c r="Z29" i="7" s="1"/>
  <c r="N31" i="7"/>
  <c r="S19" i="7" s="1"/>
  <c r="X19" i="7" s="1"/>
  <c r="O31" i="7"/>
  <c r="T24" i="7" s="1"/>
  <c r="Y24" i="7" s="1"/>
  <c r="Q31" i="7"/>
  <c r="V26" i="7" s="1"/>
  <c r="AA26" i="7" s="1"/>
  <c r="AB31" i="7" l="1"/>
  <c r="AB32" i="7" s="1"/>
  <c r="W31" i="7"/>
  <c r="S20" i="7"/>
  <c r="X20" i="7" s="1"/>
  <c r="S24" i="7"/>
  <c r="X24" i="7" s="1"/>
  <c r="T29" i="7"/>
  <c r="Y29" i="7" s="1"/>
  <c r="T21" i="7"/>
  <c r="Y21" i="7" s="1"/>
  <c r="S13" i="7"/>
  <c r="X13" i="7" s="1"/>
  <c r="T11" i="7"/>
  <c r="Y11" i="7" s="1"/>
  <c r="T5" i="7"/>
  <c r="Y5" i="7" s="1"/>
  <c r="T7" i="7"/>
  <c r="Y7" i="7" s="1"/>
  <c r="T9" i="7"/>
  <c r="Y9" i="7" s="1"/>
  <c r="U14" i="7"/>
  <c r="Z14" i="7" s="1"/>
  <c r="T16" i="7"/>
  <c r="Y16" i="7" s="1"/>
  <c r="T18" i="7"/>
  <c r="Y18" i="7" s="1"/>
  <c r="T15" i="7"/>
  <c r="Y15" i="7" s="1"/>
  <c r="T13" i="7"/>
  <c r="Y13" i="7" s="1"/>
  <c r="T10" i="7"/>
  <c r="Y10" i="7" s="1"/>
  <c r="S12" i="7"/>
  <c r="X12" i="7" s="1"/>
  <c r="S16" i="7"/>
  <c r="X16" i="7" s="1"/>
  <c r="U21" i="7"/>
  <c r="Z21" i="7" s="1"/>
  <c r="T22" i="7"/>
  <c r="Y22" i="7" s="1"/>
  <c r="T12" i="7"/>
  <c r="Y12" i="7" s="1"/>
  <c r="V11" i="7"/>
  <c r="AA11" i="7" s="1"/>
  <c r="V4" i="7"/>
  <c r="AA4" i="7" s="1"/>
  <c r="U3" i="7"/>
  <c r="Z3" i="7" s="1"/>
  <c r="U9" i="7"/>
  <c r="Z9" i="7" s="1"/>
  <c r="V14" i="7"/>
  <c r="AA14" i="7" s="1"/>
  <c r="U16" i="7"/>
  <c r="Z16" i="7" s="1"/>
  <c r="V21" i="7"/>
  <c r="AA21" i="7" s="1"/>
  <c r="S7" i="7"/>
  <c r="X7" i="7" s="1"/>
  <c r="S11" i="7"/>
  <c r="X11" i="7" s="1"/>
  <c r="V9" i="7"/>
  <c r="AA9" i="7" s="1"/>
  <c r="S15" i="7"/>
  <c r="X15" i="7" s="1"/>
  <c r="U12" i="7"/>
  <c r="Z12" i="7" s="1"/>
  <c r="S14" i="7"/>
  <c r="X14" i="7" s="1"/>
  <c r="V23" i="7"/>
  <c r="AA23" i="7" s="1"/>
  <c r="V27" i="7"/>
  <c r="AA27" i="7" s="1"/>
  <c r="T25" i="7"/>
  <c r="Y25" i="7" s="1"/>
  <c r="V2" i="7"/>
  <c r="S28" i="7"/>
  <c r="X28" i="7" s="1"/>
  <c r="U30" i="7"/>
  <c r="Z30" i="7" s="1"/>
  <c r="T17" i="7"/>
  <c r="Y17" i="7" s="1"/>
  <c r="U6" i="7"/>
  <c r="Z6" i="7" s="1"/>
  <c r="S6" i="7"/>
  <c r="X6" i="7" s="1"/>
  <c r="V20" i="7"/>
  <c r="AA20" i="7" s="1"/>
  <c r="V24" i="7"/>
  <c r="AA24" i="7" s="1"/>
  <c r="T26" i="7"/>
  <c r="Y26" i="7" s="1"/>
  <c r="U2" i="7"/>
  <c r="S29" i="7"/>
  <c r="X29" i="7" s="1"/>
  <c r="U19" i="7"/>
  <c r="Z19" i="7" s="1"/>
  <c r="S5" i="7"/>
  <c r="X5" i="7" s="1"/>
  <c r="V17" i="7"/>
  <c r="AA17" i="7" s="1"/>
  <c r="T23" i="7"/>
  <c r="Y23" i="7" s="1"/>
  <c r="T27" i="7"/>
  <c r="Y27" i="7" s="1"/>
  <c r="U25" i="7"/>
  <c r="Z25" i="7" s="1"/>
  <c r="U28" i="7"/>
  <c r="Z28" i="7" s="1"/>
  <c r="V30" i="7"/>
  <c r="AA30" i="7" s="1"/>
  <c r="U17" i="7"/>
  <c r="Z17" i="7" s="1"/>
  <c r="V6" i="7"/>
  <c r="AA6" i="7" s="1"/>
  <c r="S23" i="7"/>
  <c r="X23" i="7" s="1"/>
  <c r="S27" i="7"/>
  <c r="X27" i="7" s="1"/>
  <c r="V25" i="7"/>
  <c r="AA25" i="7" s="1"/>
  <c r="S2" i="7"/>
  <c r="T28" i="7"/>
  <c r="Y28" i="7" s="1"/>
  <c r="S30" i="7"/>
  <c r="X30" i="7" s="1"/>
  <c r="V8" i="7"/>
  <c r="AA8" i="7" s="1"/>
  <c r="S4" i="7"/>
  <c r="X4" i="7" s="1"/>
  <c r="S8" i="7"/>
  <c r="X8" i="7" s="1"/>
  <c r="U10" i="7"/>
  <c r="Z10" i="7" s="1"/>
  <c r="V3" i="7"/>
  <c r="AA3" i="7" s="1"/>
  <c r="U18" i="7"/>
  <c r="Z18" i="7" s="1"/>
  <c r="U22" i="7"/>
  <c r="Z22" i="7" s="1"/>
  <c r="U7" i="7"/>
  <c r="Z7" i="7" s="1"/>
  <c r="U11" i="7"/>
  <c r="Z11" i="7" s="1"/>
  <c r="S9" i="7"/>
  <c r="X9" i="7" s="1"/>
  <c r="U15" i="7"/>
  <c r="Z15" i="7" s="1"/>
  <c r="V12" i="7"/>
  <c r="AA12" i="7" s="1"/>
  <c r="T14" i="7"/>
  <c r="Y14" i="7" s="1"/>
  <c r="V16" i="7"/>
  <c r="AA16" i="7" s="1"/>
  <c r="S21" i="7"/>
  <c r="X21" i="7" s="1"/>
  <c r="U5" i="7"/>
  <c r="Z5" i="7" s="1"/>
  <c r="T4" i="7"/>
  <c r="Y4" i="7" s="1"/>
  <c r="U8" i="7"/>
  <c r="Z8" i="7" s="1"/>
  <c r="V10" i="7"/>
  <c r="AA10" i="7" s="1"/>
  <c r="V13" i="7"/>
  <c r="AA13" i="7" s="1"/>
  <c r="T3" i="7"/>
  <c r="Y3" i="7" s="1"/>
  <c r="S18" i="7"/>
  <c r="X18" i="7" s="1"/>
  <c r="V22" i="7"/>
  <c r="AA22" i="7" s="1"/>
  <c r="U4" i="7"/>
  <c r="Z4" i="7" s="1"/>
  <c r="T8" i="7"/>
  <c r="Y8" i="7" s="1"/>
  <c r="S10" i="7"/>
  <c r="X10" i="7" s="1"/>
  <c r="U13" i="7"/>
  <c r="Z13" i="7" s="1"/>
  <c r="S3" i="7"/>
  <c r="X3" i="7" s="1"/>
  <c r="V7" i="7"/>
  <c r="AA7" i="7" s="1"/>
  <c r="V15" i="7"/>
  <c r="AA15" i="7" s="1"/>
  <c r="U26" i="7"/>
  <c r="Z26" i="7" s="1"/>
  <c r="V19" i="7"/>
  <c r="AA19" i="7" s="1"/>
  <c r="U23" i="7"/>
  <c r="Z23" i="7" s="1"/>
  <c r="U27" i="7"/>
  <c r="Z27" i="7" s="1"/>
  <c r="S25" i="7"/>
  <c r="X25" i="7" s="1"/>
  <c r="V28" i="7"/>
  <c r="AA28" i="7" s="1"/>
  <c r="T30" i="7"/>
  <c r="Y30" i="7" s="1"/>
  <c r="S17" i="7"/>
  <c r="X17" i="7" s="1"/>
  <c r="T6" i="7"/>
  <c r="Y6" i="7" s="1"/>
  <c r="S22" i="7"/>
  <c r="X22" i="7" s="1"/>
  <c r="U20" i="7"/>
  <c r="Z20" i="7" s="1"/>
  <c r="U24" i="7"/>
  <c r="Z24" i="7" s="1"/>
  <c r="S26" i="7"/>
  <c r="X26" i="7" s="1"/>
  <c r="T2" i="7"/>
  <c r="V29" i="7"/>
  <c r="AA29" i="7" s="1"/>
  <c r="T19" i="7"/>
  <c r="Y19" i="7" s="1"/>
  <c r="V5" i="7"/>
  <c r="AA5" i="7" s="1"/>
  <c r="V18" i="7"/>
  <c r="AA18" i="7" s="1"/>
  <c r="T20" i="7"/>
  <c r="Y20" i="7" s="1"/>
  <c r="T31" i="7" l="1"/>
  <c r="Y2" i="7"/>
  <c r="Z2" i="7"/>
  <c r="U31" i="7"/>
  <c r="X2" i="7"/>
  <c r="S31" i="7"/>
  <c r="V31" i="7"/>
  <c r="AA2" i="7"/>
  <c r="AA31" i="7" l="1"/>
  <c r="AA32" i="7" s="1"/>
  <c r="Z31" i="7"/>
  <c r="Z32" i="7" s="1"/>
  <c r="Y31" i="7"/>
  <c r="Y32" i="7" s="1"/>
  <c r="X31" i="7"/>
  <c r="X32" i="7" s="1"/>
</calcChain>
</file>

<file path=xl/sharedStrings.xml><?xml version="1.0" encoding="utf-8"?>
<sst xmlns="http://schemas.openxmlformats.org/spreadsheetml/2006/main" count="360" uniqueCount="161">
  <si>
    <t>Criteria</t>
  </si>
  <si>
    <t>Org</t>
  </si>
  <si>
    <t>Prof</t>
  </si>
  <si>
    <t>Lead</t>
  </si>
  <si>
    <t>Avg</t>
  </si>
  <si>
    <t>None Criteria/Expert</t>
  </si>
  <si>
    <t>Expert 1</t>
  </si>
  <si>
    <t>Presence of Implementation Oversight</t>
  </si>
  <si>
    <t>Cybersecurity Readiness Assessments</t>
  </si>
  <si>
    <t>Presence of legislative understanding</t>
  </si>
  <si>
    <t>Computer users settings and permissions are known</t>
  </si>
  <si>
    <t>Social impact of breaches is talked about in the company</t>
  </si>
  <si>
    <t>Documents are marked and protected</t>
  </si>
  <si>
    <t>Logging is sufficient for security and forensics</t>
  </si>
  <si>
    <t>Data loss prevention system is in place</t>
  </si>
  <si>
    <t>Planning for forensic evidence collection</t>
  </si>
  <si>
    <t>Retention periods are in place and used for information and data</t>
  </si>
  <si>
    <t>Network modeling for IoT is done</t>
  </si>
  <si>
    <t>Standards are understood</t>
  </si>
  <si>
    <t>Change Management is considered</t>
  </si>
  <si>
    <t>Energy system outages are planned for</t>
  </si>
  <si>
    <t>Machine limitations are recorded</t>
  </si>
  <si>
    <t>Network and System admin procedures documented</t>
  </si>
  <si>
    <t>Outages are not required for security updates</t>
  </si>
  <si>
    <t>Info Officer is in contact with Internet Service Provider</t>
  </si>
  <si>
    <t>There is an organizational common vocabulary for cybersecurity in the energy industry</t>
  </si>
  <si>
    <t>External reporting is done</t>
  </si>
  <si>
    <t>External vendor/supply coordination is done</t>
  </si>
  <si>
    <t>Threats to organization are modeled</t>
  </si>
  <si>
    <t>Cyber awareness of all staff is checked</t>
  </si>
  <si>
    <t>Cybersecurity learning sources are available</t>
  </si>
  <si>
    <t>Cybersecurity goals of energy organization are identified</t>
  </si>
  <si>
    <t>Cybersecurity risk is considered priority by C-Suite</t>
  </si>
  <si>
    <t>Professionals with cyber certifications are in operations roles</t>
  </si>
  <si>
    <t>Policies are updated</t>
  </si>
  <si>
    <t>Supply chain cyber risk is considered during procurement</t>
  </si>
  <si>
    <t>Expert 2</t>
  </si>
  <si>
    <t>Expert 3</t>
  </si>
  <si>
    <t>Exp 1</t>
  </si>
  <si>
    <t>Exp 2</t>
  </si>
  <si>
    <t>Exp 3</t>
  </si>
  <si>
    <t>Selected D Score(average by panelists)</t>
  </si>
  <si>
    <t>None</t>
  </si>
  <si>
    <t>Low</t>
  </si>
  <si>
    <t>Medium</t>
  </si>
  <si>
    <t>High</t>
  </si>
  <si>
    <t>Avg.</t>
  </si>
  <si>
    <t>Expert 4</t>
  </si>
  <si>
    <t>Expert 5</t>
  </si>
  <si>
    <t>Expert 6</t>
  </si>
  <si>
    <t>Expert 7</t>
  </si>
  <si>
    <t>Expert 8</t>
  </si>
  <si>
    <t>Expert 9</t>
  </si>
  <si>
    <t>Expert 10</t>
  </si>
  <si>
    <t>Expert 11</t>
  </si>
  <si>
    <t>Expert 12</t>
  </si>
  <si>
    <t>Professionals with cyber certifications are in operations</t>
  </si>
  <si>
    <t>i1</t>
  </si>
  <si>
    <t>Organizational</t>
  </si>
  <si>
    <t>i2</t>
  </si>
  <si>
    <t>i3</t>
  </si>
  <si>
    <t>Professional</t>
  </si>
  <si>
    <t>i4</t>
  </si>
  <si>
    <t>Leadership</t>
  </si>
  <si>
    <t>i5</t>
  </si>
  <si>
    <t>Perspectives</t>
  </si>
  <si>
    <t>Description</t>
  </si>
  <si>
    <t>Score</t>
  </si>
  <si>
    <t>sums to one</t>
  </si>
  <si>
    <t>Enter perspectives number -&gt;</t>
  </si>
  <si>
    <t>Short Name for Perspective</t>
  </si>
  <si>
    <t>Average</t>
  </si>
  <si>
    <t>Total</t>
  </si>
  <si>
    <t>i1 sens * global</t>
  </si>
  <si>
    <t>i2 sens * global</t>
  </si>
  <si>
    <t>i3 sens * global</t>
  </si>
  <si>
    <t>i4 sens * global</t>
  </si>
  <si>
    <t>i1 sens result * D score</t>
  </si>
  <si>
    <t>i2 sens result * D score</t>
  </si>
  <si>
    <t>i3 sens result * D score</t>
  </si>
  <si>
    <t>i4 sens result * D score</t>
  </si>
  <si>
    <t>i1 sum to 1 (aka sens results)</t>
  </si>
  <si>
    <t>i2 sum to 1 (aka sens results)</t>
  </si>
  <si>
    <t>i3 sum to 1 (aka sens results)</t>
  </si>
  <si>
    <t>i4 sum to 1 (aka sens results)</t>
  </si>
  <si>
    <t>total change vs the baseline composite</t>
  </si>
  <si>
    <t>Score +1 (for positive number multiplication)</t>
  </si>
  <si>
    <t>sensitive i# composite by sum</t>
  </si>
  <si>
    <t>Sys</t>
  </si>
  <si>
    <t>Info</t>
  </si>
  <si>
    <t>SystemsMgmt</t>
  </si>
  <si>
    <t>InfoMgmt</t>
  </si>
  <si>
    <t>i5 sens * global</t>
  </si>
  <si>
    <t>i5 sum to 1 (aka sens results)</t>
  </si>
  <si>
    <t>i5 sens result * D score</t>
  </si>
  <si>
    <t>Name</t>
  </si>
  <si>
    <t>Dscore</t>
  </si>
  <si>
    <t>LocalWeight</t>
  </si>
  <si>
    <t>PersepectiveWeight</t>
  </si>
  <si>
    <t>GlobalWeight</t>
  </si>
  <si>
    <t>Perspective scores come from individual HDM calculations.</t>
  </si>
  <si>
    <t>Perspectives do not have desirability scores added to them.</t>
  </si>
  <si>
    <t>Note: does not normalize (sum to 1) to a % of contribution in the Traditional Sensitivity tab. Thus if one criteria has more criteria then it will be more sensitive.</t>
  </si>
  <si>
    <t>Perspective scores can be simply averaged out to provide a total panel perspective score (aka Final Weights).</t>
  </si>
  <si>
    <t>D Score (aka Value Curve Score)</t>
  </si>
  <si>
    <t>Format taken from: D. S. Bakry, "An evaluation of the effectiveness of innovation ecosystems in facilitating the adoption of sustainable entrepreneurship ", Engineering and Technology Managment, Portland State University, 2022.</t>
  </si>
  <si>
    <t>pages 108 and 121</t>
  </si>
  <si>
    <t>Local Weight</t>
  </si>
  <si>
    <t>i1 Score for multiplication</t>
  </si>
  <si>
    <t>i2 Score for multiplication</t>
  </si>
  <si>
    <t>i3 Score for multiplication</t>
  </si>
  <si>
    <t>i4 Score for multiplication</t>
  </si>
  <si>
    <t>i5 Score for multiplication</t>
  </si>
  <si>
    <t>i1 Global Sensitivity Weight (GSV)</t>
  </si>
  <si>
    <t>i2 Global Sensitivity Weight (GSV)</t>
  </si>
  <si>
    <t>i3 Global Sensitivity Weight (GSV)</t>
  </si>
  <si>
    <t>i4 Global Sensitivity Weight (GSV)</t>
  </si>
  <si>
    <t>i5 Global Sensitivity Weight (GSV)</t>
  </si>
  <si>
    <t>i1 Final Score (Global Sens * D Score)</t>
  </si>
  <si>
    <t>i2 Final Score (Global Sens * D Score)</t>
  </si>
  <si>
    <t>i3 Final Score (Global Sens * D Score)</t>
  </si>
  <si>
    <t>i4 Final Score (Global Sens * D Score)</t>
  </si>
  <si>
    <t>i5 Final Score (Global Sens * D Score)</t>
  </si>
  <si>
    <t>Just having more variables means the score is higher</t>
  </si>
  <si>
    <t>Final Score change (aka boost) is highly affected by the D Score</t>
  </si>
  <si>
    <t>Note: can also sum just the .96 item changes to put in a table in the paper</t>
  </si>
  <si>
    <t>Surveyed ID</t>
  </si>
  <si>
    <t>Panel 1</t>
  </si>
  <si>
    <t>Panel 2</t>
  </si>
  <si>
    <t>Panel 3</t>
  </si>
  <si>
    <t>Panel 4</t>
  </si>
  <si>
    <t>Panel 5</t>
  </si>
  <si>
    <t>X</t>
  </si>
  <si>
    <t>Boost (multiplier) in importance</t>
  </si>
  <si>
    <t>Score Change</t>
  </si>
  <si>
    <t xml:space="preserve"> Panel 1</t>
  </si>
  <si>
    <t xml:space="preserve">Original </t>
  </si>
  <si>
    <t xml:space="preserve">Scenario </t>
  </si>
  <si>
    <t>Change</t>
  </si>
  <si>
    <t xml:space="preserve">Ranking Change </t>
  </si>
  <si>
    <t>Scenario</t>
  </si>
  <si>
    <t>Putting individuals in affinity groups</t>
  </si>
  <si>
    <t>Cybersecurity Readiness Decision</t>
  </si>
  <si>
    <t>Information Management</t>
  </si>
  <si>
    <t>System Management</t>
  </si>
  <si>
    <t>Inconsistency</t>
  </si>
  <si>
    <t>Panelist 1</t>
  </si>
  <si>
    <t>Panelist 2</t>
  </si>
  <si>
    <t>Panelist 3</t>
  </si>
  <si>
    <t>Mean</t>
  </si>
  <si>
    <t>Minimum</t>
  </si>
  <si>
    <t>Maximum</t>
  </si>
  <si>
    <t>Std. Deviation</t>
  </si>
  <si>
    <t>Disagreement</t>
  </si>
  <si>
    <t>Scenario Boost</t>
  </si>
  <si>
    <t>Strategy</t>
  </si>
  <si>
    <t>Ranked Score</t>
  </si>
  <si>
    <t>Take Immediate Action</t>
  </si>
  <si>
    <t>No Action Needed</t>
  </si>
  <si>
    <t>Case</t>
  </si>
  <si>
    <t>Case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</si>
</sst>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6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 Light"/>
      <family val="2"/>
    </font>
    <font>
      <sz val="12"/>
      <color rgb="FF000000"/>
      <name val="Calibri Light"/>
      <family val="2"/>
    </font>
    <font>
      <sz val="12"/>
      <name val="Arial"/>
      <family val="2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EA"/>
        <bgColor indexed="64"/>
      </patternFill>
    </fill>
    <fill>
      <patternFill patternType="solid">
        <fgColor rgb="FFA6B727"/>
        <bgColor indexed="64"/>
      </patternFill>
    </fill>
    <fill>
      <patternFill patternType="solid">
        <fgColor rgb="FFE1E6CD"/>
        <bgColor indexed="64"/>
      </patternFill>
    </fill>
    <fill>
      <patternFill patternType="solid">
        <fgColor rgb="FFF1F3E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</fills>
  <borders count="17">
    <border>
      <left/>
      <right/>
      <top/>
      <bottom/>
      <diagonal/>
    </border>
    <border>
      <left style="thick">
        <color rgb="FF000080"/>
      </left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9BC2E6"/>
      </left>
      <right/>
      <top style="medium">
        <color rgb="FF9BC2E6"/>
      </top>
      <bottom style="medium">
        <color rgb="FF9BC2E6"/>
      </bottom>
      <diagonal/>
    </border>
    <border>
      <left/>
      <right/>
      <top style="medium">
        <color rgb="FF9BC2E6"/>
      </top>
      <bottom style="medium">
        <color rgb="FF9BC2E6"/>
      </bottom>
      <diagonal/>
    </border>
    <border>
      <left/>
      <right style="medium">
        <color rgb="FF9BC2E6"/>
      </right>
      <top style="medium">
        <color rgb="FF9BC2E6"/>
      </top>
      <bottom style="medium">
        <color rgb="FF9BC2E6"/>
      </bottom>
      <diagonal/>
    </border>
    <border>
      <left style="medium">
        <color rgb="FF9BC2E6"/>
      </left>
      <right/>
      <top/>
      <bottom style="medium">
        <color rgb="FF9BC2E6"/>
      </bottom>
      <diagonal/>
    </border>
    <border>
      <left style="thick">
        <color rgb="FF000080"/>
      </left>
      <right/>
      <top/>
      <bottom style="medium">
        <color rgb="FF9BC2E6"/>
      </bottom>
      <diagonal/>
    </border>
    <border>
      <left/>
      <right style="medium">
        <color rgb="FF9BC2E6"/>
      </right>
      <top/>
      <bottom style="medium">
        <color rgb="FF9BC2E6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3" fillId="0" borderId="0" xfId="0" applyFont="1"/>
    <xf numFmtId="165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4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  <xf numFmtId="0" fontId="4" fillId="0" borderId="0" xfId="0" applyFont="1"/>
    <xf numFmtId="0" fontId="5" fillId="0" borderId="0" xfId="0" applyFont="1"/>
    <xf numFmtId="0" fontId="6" fillId="3" borderId="2" xfId="0" applyFont="1" applyFill="1" applyBorder="1" applyAlignment="1">
      <alignment horizontal="left" vertical="center" wrapText="1" readingOrder="1"/>
    </xf>
    <xf numFmtId="0" fontId="6" fillId="3" borderId="3" xfId="0" applyFont="1" applyFill="1" applyBorder="1" applyAlignment="1">
      <alignment horizontal="right" vertical="center" wrapText="1" readingOrder="1"/>
    </xf>
    <xf numFmtId="0" fontId="7" fillId="4" borderId="3" xfId="0" applyFont="1" applyFill="1" applyBorder="1" applyAlignment="1">
      <alignment horizontal="left" vertical="center" wrapText="1" readingOrder="1"/>
    </xf>
    <xf numFmtId="0" fontId="6" fillId="3" borderId="4" xfId="0" applyFont="1" applyFill="1" applyBorder="1" applyAlignment="1">
      <alignment horizontal="right" vertical="center" wrapText="1" readingOrder="1"/>
    </xf>
    <xf numFmtId="0" fontId="7" fillId="5" borderId="4" xfId="0" applyFont="1" applyFill="1" applyBorder="1" applyAlignment="1">
      <alignment horizontal="left" vertical="center" wrapText="1" readingOrder="1"/>
    </xf>
    <xf numFmtId="0" fontId="7" fillId="4" borderId="4" xfId="0" applyFont="1" applyFill="1" applyBorder="1" applyAlignment="1">
      <alignment horizontal="left" vertical="center" wrapText="1" readingOrder="1"/>
    </xf>
    <xf numFmtId="0" fontId="6" fillId="3" borderId="4" xfId="0" applyFont="1" applyFill="1" applyBorder="1" applyAlignment="1">
      <alignment horizontal="left" vertical="center" wrapText="1" readingOrder="1"/>
    </xf>
    <xf numFmtId="0" fontId="7" fillId="4" borderId="4" xfId="0" applyFont="1" applyFill="1" applyBorder="1" applyAlignment="1">
      <alignment horizontal="right" vertical="center" wrapText="1" readingOrder="1"/>
    </xf>
    <xf numFmtId="0" fontId="8" fillId="5" borderId="4" xfId="0" applyFont="1" applyFill="1" applyBorder="1" applyAlignment="1">
      <alignment wrapText="1"/>
    </xf>
    <xf numFmtId="0" fontId="7" fillId="5" borderId="4" xfId="0" applyFont="1" applyFill="1" applyBorder="1" applyAlignment="1">
      <alignment horizontal="left" wrapText="1" readingOrder="1"/>
    </xf>
    <xf numFmtId="0" fontId="7" fillId="5" borderId="4" xfId="0" applyFont="1" applyFill="1" applyBorder="1" applyAlignment="1">
      <alignment horizontal="right" wrapText="1" readingOrder="1"/>
    </xf>
    <xf numFmtId="0" fontId="9" fillId="6" borderId="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1" fillId="7" borderId="9" xfId="0" applyFont="1" applyFill="1" applyBorder="1" applyAlignment="1">
      <alignment vertical="center" wrapText="1"/>
    </xf>
    <xf numFmtId="2" fontId="11" fillId="7" borderId="10" xfId="0" applyNumberFormat="1" applyFont="1" applyFill="1" applyBorder="1" applyAlignment="1">
      <alignment vertical="center" wrapText="1"/>
    </xf>
    <xf numFmtId="0" fontId="11" fillId="7" borderId="10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horizontal="left" wrapText="1" readingOrder="1"/>
    </xf>
    <xf numFmtId="0" fontId="7" fillId="5" borderId="6" xfId="0" applyFont="1" applyFill="1" applyBorder="1" applyAlignment="1">
      <alignment horizontal="left" wrapText="1" readingOrder="1"/>
    </xf>
    <xf numFmtId="0" fontId="6" fillId="0" borderId="0" xfId="0" applyFont="1" applyFill="1" applyBorder="1" applyAlignment="1">
      <alignment horizontal="left" vertical="center" wrapText="1" readingOrder="1"/>
    </xf>
    <xf numFmtId="0" fontId="7" fillId="0" borderId="0" xfId="0" applyFont="1" applyFill="1" applyBorder="1" applyAlignment="1">
      <alignment horizontal="right" vertical="center" wrapText="1" readingOrder="1"/>
    </xf>
    <xf numFmtId="0" fontId="5" fillId="0" borderId="0" xfId="0" applyFont="1" applyFill="1"/>
    <xf numFmtId="0" fontId="12" fillId="8" borderId="11" xfId="0" applyFont="1" applyFill="1" applyBorder="1" applyAlignment="1">
      <alignment vertical="center"/>
    </xf>
    <xf numFmtId="0" fontId="12" fillId="8" borderId="12" xfId="0" applyFont="1" applyFill="1" applyBorder="1" applyAlignment="1">
      <alignment vertical="center"/>
    </xf>
    <xf numFmtId="0" fontId="12" fillId="8" borderId="13" xfId="0" applyFont="1" applyFill="1" applyBorder="1" applyAlignment="1">
      <alignment vertical="center"/>
    </xf>
    <xf numFmtId="0" fontId="13" fillId="9" borderId="14" xfId="0" applyFont="1" applyFill="1" applyBorder="1" applyAlignment="1">
      <alignment vertical="center"/>
    </xf>
    <xf numFmtId="0" fontId="14" fillId="2" borderId="15" xfId="0" applyFont="1" applyFill="1" applyBorder="1" applyAlignment="1">
      <alignment vertical="center" wrapText="1"/>
    </xf>
    <xf numFmtId="0" fontId="13" fillId="0" borderId="16" xfId="0" applyFont="1" applyBorder="1" applyAlignment="1">
      <alignment horizontal="right" vertical="center"/>
    </xf>
    <xf numFmtId="0" fontId="0" fillId="0" borderId="14" xfId="0" applyBorder="1"/>
    <xf numFmtId="0" fontId="0" fillId="9" borderId="14" xfId="0" applyFill="1" applyBorder="1"/>
    <xf numFmtId="0" fontId="15" fillId="0" borderId="0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16">
    <dxf>
      <numFmt numFmtId="164" formatCode="0.000"/>
      <alignment horizontal="general" vertical="bottom" textRotation="0" wrapText="1" indent="0" justifyLastLine="0" shrinkToFit="0" readingOrder="0"/>
    </dxf>
    <dxf>
      <numFmt numFmtId="164" formatCode="0.000"/>
      <alignment horizontal="general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fill>
        <patternFill patternType="solid">
          <fgColor indexed="64"/>
          <bgColor rgb="FFFFFFEA"/>
        </patternFill>
      </fill>
      <alignment horizontal="general" vertical="center" textRotation="0" wrapText="1" indent="0" justifyLastLine="0" shrinkToFit="0" readingOrder="0"/>
      <border diagonalUp="0" diagonalDown="0" outline="0">
        <left style="thick">
          <color rgb="FF00008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  <fill>
        <patternFill patternType="solid">
          <fgColor indexed="64"/>
          <bgColor rgb="FFFFFFEA"/>
        </patternFill>
      </fill>
      <alignment horizontal="general" vertical="center" textRotation="0" wrapText="1" indent="0" justifyLastLine="0" shrinkToFit="0" readingOrder="0"/>
      <border diagonalUp="0" diagonalDown="0" outline="0">
        <left style="thick">
          <color rgb="FF000080"/>
        </left>
        <right/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36A57-1EB5-4E26-9CAF-3244CA3D24BC}" name="Table1" displayName="Table1" ref="A1:G31" totalsRowCount="1" headerRowDxfId="15" dataDxfId="14">
  <autoFilter ref="A1:G30" xr:uid="{DF736A57-1EB5-4E26-9CAF-3244CA3D24BC}"/>
  <tableColumns count="7">
    <tableColumn id="1" xr3:uid="{E8D4BB4D-98A7-49BF-AB24-9ECE71C982B6}" name="Name" totalsRowLabel="Total" dataDxfId="13" totalsRowDxfId="12"/>
    <tableColumn id="2" xr3:uid="{C4A038CA-30AD-430F-81CC-3B41C2060C2B}" name="Criteria" dataDxfId="11" totalsRowDxfId="10"/>
    <tableColumn id="3" xr3:uid="{E22550A6-6910-4296-BAFA-A2253CCD1238}" name="Dscore" dataDxfId="9" totalsRowDxfId="8">
      <calculatedColumnFormula>Desirability!R3</calculatedColumnFormula>
    </tableColumn>
    <tableColumn id="4" xr3:uid="{6345119C-9067-4838-BE75-EE2E1EDFDF8D}" name="LocalWeight" totalsRowFunction="sum" dataDxfId="7" totalsRowDxfId="6">
      <calculatedColumnFormula>Import!O2</calculatedColumnFormula>
    </tableColumn>
    <tableColumn id="5" xr3:uid="{89F3D977-E093-4E01-B672-C5E4A6A8BF6C}" name="PersepectiveWeight" dataDxfId="5" totalsRowDxfId="4">
      <calculatedColumnFormula>VLOOKUP(A2,PanelScore!$A$1:$D$6,4,0)</calculatedColumnFormula>
    </tableColumn>
    <tableColumn id="6" xr3:uid="{9BABED69-0298-4DD8-A09E-4817AB6DA011}" name="GlobalWeight" totalsRowFunction="sum" dataDxfId="3" totalsRowDxfId="2">
      <calculatedColumnFormula>E2*Import!O2</calculatedColumnFormula>
    </tableColumn>
    <tableColumn id="7" xr3:uid="{9B6D3E40-616B-4FB0-A5B1-7B40A1BEEC4C}" name="Score" totalsRowFunction="sum" dataDxfId="1" totalsRowDxfId="0">
      <calculatedColumnFormula>F2*C2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F851-CB08-4974-A0C3-E1F37234B5D9}">
  <dimension ref="A1:G9"/>
  <sheetViews>
    <sheetView workbookViewId="0"/>
  </sheetViews>
  <sheetFormatPr defaultColWidth="22.5703125" defaultRowHeight="15" x14ac:dyDescent="0.25"/>
  <cols>
    <col min="1" max="1" width="16.7109375" bestFit="1" customWidth="1"/>
    <col min="2" max="3" width="15.42578125" bestFit="1" customWidth="1"/>
    <col min="4" max="4" width="15.140625" bestFit="1" customWidth="1"/>
    <col min="5" max="5" width="13.7109375" bestFit="1" customWidth="1"/>
    <col min="6" max="6" width="17.28515625" bestFit="1" customWidth="1"/>
    <col min="7" max="7" width="16.7109375" bestFit="1" customWidth="1"/>
  </cols>
  <sheetData>
    <row r="1" spans="1:7" ht="48" thickBot="1" x14ac:dyDescent="0.3">
      <c r="A1" s="25" t="s">
        <v>142</v>
      </c>
      <c r="B1" s="26" t="s">
        <v>143</v>
      </c>
      <c r="C1" s="26" t="s">
        <v>144</v>
      </c>
      <c r="D1" s="26" t="s">
        <v>61</v>
      </c>
      <c r="E1" s="26" t="s">
        <v>63</v>
      </c>
      <c r="F1" s="26" t="s">
        <v>58</v>
      </c>
      <c r="G1" s="26" t="s">
        <v>145</v>
      </c>
    </row>
    <row r="2" spans="1:7" ht="15.75" thickBot="1" x14ac:dyDescent="0.3">
      <c r="A2" s="27" t="s">
        <v>146</v>
      </c>
      <c r="B2" s="28">
        <v>0.51</v>
      </c>
      <c r="C2" s="28">
        <v>0.14000000000000001</v>
      </c>
      <c r="D2" s="28">
        <v>0.15</v>
      </c>
      <c r="E2" s="28">
        <v>0.06</v>
      </c>
      <c r="F2" s="28">
        <v>0.14000000000000001</v>
      </c>
      <c r="G2" s="28">
        <v>0.06</v>
      </c>
    </row>
    <row r="3" spans="1:7" ht="15.75" thickBot="1" x14ac:dyDescent="0.3">
      <c r="A3" s="27" t="s">
        <v>147</v>
      </c>
      <c r="B3" s="28">
        <v>0.62</v>
      </c>
      <c r="C3" s="28">
        <v>0.1</v>
      </c>
      <c r="D3" s="28">
        <v>0.11</v>
      </c>
      <c r="E3" s="28">
        <v>0.08</v>
      </c>
      <c r="F3" s="28">
        <v>0.09</v>
      </c>
      <c r="G3" s="28">
        <v>0.02</v>
      </c>
    </row>
    <row r="4" spans="1:7" ht="15.75" thickBot="1" x14ac:dyDescent="0.3">
      <c r="A4" s="27" t="s">
        <v>148</v>
      </c>
      <c r="B4" s="28">
        <v>0.56000000000000005</v>
      </c>
      <c r="C4" s="28">
        <v>0.1</v>
      </c>
      <c r="D4" s="28">
        <v>0.15</v>
      </c>
      <c r="E4" s="28">
        <v>0.1</v>
      </c>
      <c r="F4" s="28">
        <v>0.1</v>
      </c>
      <c r="G4" s="28">
        <v>0.05</v>
      </c>
    </row>
    <row r="5" spans="1:7" ht="16.5" thickBot="1" x14ac:dyDescent="0.3">
      <c r="A5" s="29" t="s">
        <v>149</v>
      </c>
      <c r="B5" s="30">
        <f>AVERAGE(B2:B4)</f>
        <v>0.56333333333333335</v>
      </c>
      <c r="C5" s="30">
        <f t="shared" ref="C5:F5" si="0">AVERAGE(C2:C4)</f>
        <v>0.11333333333333334</v>
      </c>
      <c r="D5" s="30">
        <f t="shared" si="0"/>
        <v>0.13666666666666669</v>
      </c>
      <c r="E5" s="30">
        <f t="shared" si="0"/>
        <v>0.08</v>
      </c>
      <c r="F5" s="30">
        <f t="shared" si="0"/>
        <v>0.11</v>
      </c>
      <c r="G5" s="31"/>
    </row>
    <row r="6" spans="1:7" ht="16.5" thickBot="1" x14ac:dyDescent="0.3">
      <c r="A6" s="29" t="s">
        <v>150</v>
      </c>
      <c r="B6" s="31">
        <f>MIN(B2:B4)</f>
        <v>0.51</v>
      </c>
      <c r="C6" s="31">
        <f t="shared" ref="C6:F6" si="1">MIN(C2:C4)</f>
        <v>0.1</v>
      </c>
      <c r="D6" s="31">
        <f t="shared" si="1"/>
        <v>0.11</v>
      </c>
      <c r="E6" s="31">
        <f t="shared" si="1"/>
        <v>0.06</v>
      </c>
      <c r="F6" s="31">
        <f t="shared" si="1"/>
        <v>0.09</v>
      </c>
      <c r="G6" s="31"/>
    </row>
    <row r="7" spans="1:7" ht="16.5" thickBot="1" x14ac:dyDescent="0.3">
      <c r="A7" s="29" t="s">
        <v>151</v>
      </c>
      <c r="B7" s="31">
        <f>MAX(B2:B4)</f>
        <v>0.62</v>
      </c>
      <c r="C7" s="31">
        <f t="shared" ref="C7:F7" si="2">MAX(C2:C4)</f>
        <v>0.14000000000000001</v>
      </c>
      <c r="D7" s="31">
        <f t="shared" si="2"/>
        <v>0.15</v>
      </c>
      <c r="E7" s="31">
        <f t="shared" si="2"/>
        <v>0.1</v>
      </c>
      <c r="F7" s="31">
        <f t="shared" si="2"/>
        <v>0.14000000000000001</v>
      </c>
      <c r="G7" s="31"/>
    </row>
    <row r="8" spans="1:7" ht="16.5" thickBot="1" x14ac:dyDescent="0.3">
      <c r="A8" s="29" t="s">
        <v>152</v>
      </c>
      <c r="B8" s="30">
        <f>STDEV(B2:B4)</f>
        <v>5.507570547286101E-2</v>
      </c>
      <c r="C8" s="30">
        <f t="shared" ref="C8:F8" si="3">STDEV(C2:C4)</f>
        <v>2.3094010767585035E-2</v>
      </c>
      <c r="D8" s="30">
        <f t="shared" si="3"/>
        <v>2.3094010767584886E-2</v>
      </c>
      <c r="E8" s="30">
        <f t="shared" si="3"/>
        <v>1.9999999999999983E-2</v>
      </c>
      <c r="F8" s="30">
        <f t="shared" si="3"/>
        <v>2.645751311064589E-2</v>
      </c>
      <c r="G8" s="31"/>
    </row>
    <row r="9" spans="1:7" ht="16.5" thickBot="1" x14ac:dyDescent="0.3">
      <c r="A9" s="29" t="s">
        <v>153</v>
      </c>
      <c r="B9" s="31"/>
      <c r="C9" s="31"/>
      <c r="D9" s="31"/>
      <c r="E9" s="31"/>
      <c r="F9" s="31"/>
      <c r="G9" s="30">
        <f>AVERAGE(B8:F8)</f>
        <v>2.9544248023735363E-2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BD02-34DB-40D7-AB67-E15F46802AB3}">
  <dimension ref="A1:U32"/>
  <sheetViews>
    <sheetView zoomScale="60" zoomScaleNormal="60" workbookViewId="0"/>
  </sheetViews>
  <sheetFormatPr defaultRowHeight="15" x14ac:dyDescent="0.25"/>
  <cols>
    <col min="1" max="1" width="9.5703125" customWidth="1"/>
    <col min="2" max="2" width="51.5703125" bestFit="1" customWidth="1"/>
    <col min="3" max="3" width="13.5703125" bestFit="1" customWidth="1"/>
    <col min="4" max="8" width="13.5703125" customWidth="1"/>
    <col min="9" max="13" width="13.85546875" customWidth="1"/>
    <col min="14" max="14" width="17.5703125" customWidth="1"/>
    <col min="15" max="16" width="12" customWidth="1"/>
    <col min="17" max="17" width="13.42578125" customWidth="1"/>
    <col min="18" max="18" width="11" customWidth="1"/>
    <col min="19" max="19" width="12" customWidth="1"/>
  </cols>
  <sheetData>
    <row r="1" spans="1:21" ht="75" x14ac:dyDescent="0.25">
      <c r="A1" s="2" t="str">
        <f>Table1[[#Headers],[Name]]</f>
        <v>Name</v>
      </c>
      <c r="B1" s="2" t="str">
        <f>Table1[[#Headers],[Criteria]]</f>
        <v>Criteria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104</v>
      </c>
      <c r="O1" s="2" t="s">
        <v>118</v>
      </c>
      <c r="P1" s="2" t="s">
        <v>119</v>
      </c>
      <c r="Q1" s="2" t="s">
        <v>120</v>
      </c>
      <c r="R1" s="2" t="s">
        <v>121</v>
      </c>
      <c r="S1" s="2" t="s">
        <v>122</v>
      </c>
      <c r="U1" t="s">
        <v>105</v>
      </c>
    </row>
    <row r="2" spans="1:21" x14ac:dyDescent="0.25">
      <c r="A2" s="2" t="str">
        <f>Table1[[#This Row],[Name]]</f>
        <v>Prof</v>
      </c>
      <c r="B2" s="2" t="str">
        <f>Table1[[#This Row],[Criteria]]</f>
        <v>Change Management is considered</v>
      </c>
      <c r="C2" s="7">
        <f>Table1[[#This Row],[LocalWeight]]</f>
        <v>0.10978150876443155</v>
      </c>
      <c r="D2" s="7">
        <f>VLOOKUP($A2,TraditionalPanelScore!$A$2:$H$6,4,0)</f>
        <v>0.01</v>
      </c>
      <c r="E2" s="7">
        <f>VLOOKUP($A2,TraditionalPanelScore!$A$2:$H$6,5,0)</f>
        <v>0.01</v>
      </c>
      <c r="F2" s="7">
        <f>VLOOKUP($A2,TraditionalPanelScore!$A$2:$H$6,6,0)</f>
        <v>0.96</v>
      </c>
      <c r="G2" s="7">
        <f>VLOOKUP($A2,TraditionalPanelScore!$A$2:$H$6,7,0)</f>
        <v>0.01</v>
      </c>
      <c r="H2" s="7">
        <f>VLOOKUP($A2,TraditionalPanelScore!$A$2:$H$6,8,0)</f>
        <v>0.01</v>
      </c>
      <c r="I2" s="11">
        <f>$C2*D2</f>
        <v>1.0978150876443154E-3</v>
      </c>
      <c r="J2" s="11">
        <f>$C2*E2</f>
        <v>1.0978150876443154E-3</v>
      </c>
      <c r="K2" s="11">
        <f>$C2*F2</f>
        <v>0.10539024841385428</v>
      </c>
      <c r="L2" s="11">
        <f>$C2*G2</f>
        <v>1.0978150876443154E-3</v>
      </c>
      <c r="M2" s="11">
        <f>$C2*H2</f>
        <v>1.0978150876443154E-3</v>
      </c>
      <c r="N2" s="3">
        <f>Table1[[#This Row],[Dscore]]</f>
        <v>19.333333333333332</v>
      </c>
      <c r="O2" s="10">
        <f>I2*$N2</f>
        <v>2.1224425027790098E-2</v>
      </c>
      <c r="P2" s="10">
        <f t="shared" ref="P2:S2" si="0">J2*$N2</f>
        <v>2.1224425027790098E-2</v>
      </c>
      <c r="Q2" s="10">
        <f t="shared" si="0"/>
        <v>2.0375448026678491</v>
      </c>
      <c r="R2" s="10">
        <f t="shared" si="0"/>
        <v>2.1224425027790098E-2</v>
      </c>
      <c r="S2" s="10">
        <f t="shared" si="0"/>
        <v>2.1224425027790098E-2</v>
      </c>
      <c r="U2" t="s">
        <v>106</v>
      </c>
    </row>
    <row r="3" spans="1:21" x14ac:dyDescent="0.25">
      <c r="A3" s="2" t="str">
        <f>Table1[[#This Row],[Name]]</f>
        <v>Org</v>
      </c>
      <c r="B3" s="2" t="str">
        <f>Table1[[#This Row],[Criteria]]</f>
        <v>Computer users settings and permissions are known</v>
      </c>
      <c r="C3" s="7">
        <f>Table1[[#This Row],[LocalWeight]]</f>
        <v>0.11825351349518239</v>
      </c>
      <c r="D3" s="7">
        <f>VLOOKUP($A3,TraditionalPanelScore!$A$2:$H$6,4,0)</f>
        <v>0.96</v>
      </c>
      <c r="E3" s="7">
        <f>VLOOKUP($A3,TraditionalPanelScore!$A$2:$H$6,5,0)</f>
        <v>0.01</v>
      </c>
      <c r="F3" s="7">
        <f>VLOOKUP($A3,TraditionalPanelScore!$A$2:$H$6,6,0)</f>
        <v>0.01</v>
      </c>
      <c r="G3" s="7">
        <f>VLOOKUP($A3,TraditionalPanelScore!$A$2:$H$6,7,0)</f>
        <v>0.01</v>
      </c>
      <c r="H3" s="7">
        <f>VLOOKUP($A3,TraditionalPanelScore!$A$2:$H$6,8,0)</f>
        <v>0.01</v>
      </c>
      <c r="I3" s="11">
        <f t="shared" ref="I3:I30" si="1">$C3*D3</f>
        <v>0.11352337295537508</v>
      </c>
      <c r="J3" s="11">
        <f t="shared" ref="J3:J30" si="2">$C3*E3</f>
        <v>1.182535134951824E-3</v>
      </c>
      <c r="K3" s="11">
        <f t="shared" ref="K3:K30" si="3">$C3*F3</f>
        <v>1.182535134951824E-3</v>
      </c>
      <c r="L3" s="11">
        <f t="shared" ref="L3:L30" si="4">$C3*G3</f>
        <v>1.182535134951824E-3</v>
      </c>
      <c r="M3" s="11">
        <f t="shared" ref="M3:M30" si="5">$C3*H3</f>
        <v>1.182535134951824E-3</v>
      </c>
      <c r="N3" s="3">
        <f>Table1[[#This Row],[Dscore]]</f>
        <v>61.666666666666664</v>
      </c>
      <c r="O3" s="10">
        <f t="shared" ref="O3:O30" si="6">I3*$N3</f>
        <v>7.0006079989147967</v>
      </c>
      <c r="P3" s="10">
        <f t="shared" ref="P3:P30" si="7">J3*$N3</f>
        <v>7.2922999988695808E-2</v>
      </c>
      <c r="Q3" s="10">
        <f t="shared" ref="Q3:Q30" si="8">K3*$N3</f>
        <v>7.2922999988695808E-2</v>
      </c>
      <c r="R3" s="10">
        <f t="shared" ref="R3:R30" si="9">L3*$N3</f>
        <v>7.2922999988695808E-2</v>
      </c>
      <c r="S3" s="10">
        <f t="shared" ref="S3:S30" si="10">M3*$N3</f>
        <v>7.2922999988695808E-2</v>
      </c>
    </row>
    <row r="4" spans="1:21" x14ac:dyDescent="0.25">
      <c r="A4" s="2" t="str">
        <f>Table1[[#This Row],[Name]]</f>
        <v>Prof</v>
      </c>
      <c r="B4" s="2" t="str">
        <f>Table1[[#This Row],[Criteria]]</f>
        <v>Cyber awareness of all staff is checked</v>
      </c>
      <c r="C4" s="7">
        <f>Table1[[#This Row],[LocalWeight]]</f>
        <v>0.38465487749908867</v>
      </c>
      <c r="D4" s="7">
        <f>VLOOKUP($A4,TraditionalPanelScore!$A$2:$H$6,4,0)</f>
        <v>0.01</v>
      </c>
      <c r="E4" s="7">
        <f>VLOOKUP($A4,TraditionalPanelScore!$A$2:$H$6,5,0)</f>
        <v>0.01</v>
      </c>
      <c r="F4" s="7">
        <f>VLOOKUP($A4,TraditionalPanelScore!$A$2:$H$6,6,0)</f>
        <v>0.96</v>
      </c>
      <c r="G4" s="7">
        <f>VLOOKUP($A4,TraditionalPanelScore!$A$2:$H$6,7,0)</f>
        <v>0.01</v>
      </c>
      <c r="H4" s="7">
        <f>VLOOKUP($A4,TraditionalPanelScore!$A$2:$H$6,8,0)</f>
        <v>0.01</v>
      </c>
      <c r="I4" s="11">
        <f t="shared" si="1"/>
        <v>3.8465487749908866E-3</v>
      </c>
      <c r="J4" s="11">
        <f t="shared" si="2"/>
        <v>3.8465487749908866E-3</v>
      </c>
      <c r="K4" s="11">
        <f t="shared" si="3"/>
        <v>0.36926868239912508</v>
      </c>
      <c r="L4" s="11">
        <f t="shared" si="4"/>
        <v>3.8465487749908866E-3</v>
      </c>
      <c r="M4" s="11">
        <f t="shared" si="5"/>
        <v>3.8465487749908866E-3</v>
      </c>
      <c r="N4" s="3">
        <f>Table1[[#This Row],[Dscore]]</f>
        <v>76.666666666666671</v>
      </c>
      <c r="O4" s="10">
        <f t="shared" si="6"/>
        <v>0.2949020727493013</v>
      </c>
      <c r="P4" s="10">
        <f t="shared" si="7"/>
        <v>0.2949020727493013</v>
      </c>
      <c r="Q4" s="10">
        <f t="shared" si="8"/>
        <v>28.310598983932923</v>
      </c>
      <c r="R4" s="10">
        <f t="shared" si="9"/>
        <v>0.2949020727493013</v>
      </c>
      <c r="S4" s="10">
        <f t="shared" si="10"/>
        <v>0.2949020727493013</v>
      </c>
      <c r="U4" t="s">
        <v>125</v>
      </c>
    </row>
    <row r="5" spans="1:21" ht="30" x14ac:dyDescent="0.25">
      <c r="A5" s="2" t="str">
        <f>Table1[[#This Row],[Name]]</f>
        <v>Lead</v>
      </c>
      <c r="B5" s="2" t="str">
        <f>Table1[[#This Row],[Criteria]]</f>
        <v>Cybersecurity goals of energy organization are identified</v>
      </c>
      <c r="C5" s="7">
        <f>Table1[[#This Row],[LocalWeight]]</f>
        <v>0.15697359517362752</v>
      </c>
      <c r="D5" s="7">
        <f>VLOOKUP($A5,TraditionalPanelScore!$A$2:$H$6,4,0)</f>
        <v>0.01</v>
      </c>
      <c r="E5" s="7">
        <f>VLOOKUP($A5,TraditionalPanelScore!$A$2:$H$6,5,0)</f>
        <v>0.01</v>
      </c>
      <c r="F5" s="7">
        <f>VLOOKUP($A5,TraditionalPanelScore!$A$2:$H$6,6,0)</f>
        <v>0.01</v>
      </c>
      <c r="G5" s="7">
        <f>VLOOKUP($A5,TraditionalPanelScore!$A$2:$H$6,7,0)</f>
        <v>0.96</v>
      </c>
      <c r="H5" s="7">
        <f>VLOOKUP($A5,TraditionalPanelScore!$A$2:$H$6,8,0)</f>
        <v>0.01</v>
      </c>
      <c r="I5" s="11">
        <f t="shared" si="1"/>
        <v>1.5697359517362753E-3</v>
      </c>
      <c r="J5" s="11">
        <f t="shared" si="2"/>
        <v>1.5697359517362753E-3</v>
      </c>
      <c r="K5" s="11">
        <f t="shared" si="3"/>
        <v>1.5697359517362753E-3</v>
      </c>
      <c r="L5" s="11">
        <f t="shared" si="4"/>
        <v>0.15069465136668242</v>
      </c>
      <c r="M5" s="11">
        <f t="shared" si="5"/>
        <v>1.5697359517362753E-3</v>
      </c>
      <c r="N5" s="3">
        <f>Table1[[#This Row],[Dscore]]</f>
        <v>100</v>
      </c>
      <c r="O5" s="10">
        <f t="shared" si="6"/>
        <v>0.15697359517362752</v>
      </c>
      <c r="P5" s="10">
        <f t="shared" si="7"/>
        <v>0.15697359517362752</v>
      </c>
      <c r="Q5" s="10">
        <f t="shared" si="8"/>
        <v>0.15697359517362752</v>
      </c>
      <c r="R5" s="10">
        <f t="shared" si="9"/>
        <v>15.069465136668242</v>
      </c>
      <c r="S5" s="10">
        <f t="shared" si="10"/>
        <v>0.15697359517362752</v>
      </c>
    </row>
    <row r="6" spans="1:21" x14ac:dyDescent="0.25">
      <c r="A6" s="2" t="str">
        <f>Table1[[#This Row],[Name]]</f>
        <v>Lead</v>
      </c>
      <c r="B6" s="2" t="str">
        <f>Table1[[#This Row],[Criteria]]</f>
        <v>Cybersecurity learning sources are available</v>
      </c>
      <c r="C6" s="7">
        <f>Table1[[#This Row],[LocalWeight]]</f>
        <v>0.10776016991224358</v>
      </c>
      <c r="D6" s="7">
        <f>VLOOKUP($A6,TraditionalPanelScore!$A$2:$H$6,4,0)</f>
        <v>0.01</v>
      </c>
      <c r="E6" s="7">
        <f>VLOOKUP($A6,TraditionalPanelScore!$A$2:$H$6,5,0)</f>
        <v>0.01</v>
      </c>
      <c r="F6" s="7">
        <f>VLOOKUP($A6,TraditionalPanelScore!$A$2:$H$6,6,0)</f>
        <v>0.01</v>
      </c>
      <c r="G6" s="7">
        <f>VLOOKUP($A6,TraditionalPanelScore!$A$2:$H$6,7,0)</f>
        <v>0.96</v>
      </c>
      <c r="H6" s="7">
        <f>VLOOKUP($A6,TraditionalPanelScore!$A$2:$H$6,8,0)</f>
        <v>0.01</v>
      </c>
      <c r="I6" s="11">
        <f t="shared" si="1"/>
        <v>1.0776016991224358E-3</v>
      </c>
      <c r="J6" s="11">
        <f t="shared" si="2"/>
        <v>1.0776016991224358E-3</v>
      </c>
      <c r="K6" s="11">
        <f t="shared" si="3"/>
        <v>1.0776016991224358E-3</v>
      </c>
      <c r="L6" s="11">
        <f t="shared" si="4"/>
        <v>0.10344976311575382</v>
      </c>
      <c r="M6" s="11">
        <f t="shared" si="5"/>
        <v>1.0776016991224358E-3</v>
      </c>
      <c r="N6" s="3">
        <f>Table1[[#This Row],[Dscore]]</f>
        <v>54</v>
      </c>
      <c r="O6" s="10">
        <f t="shared" si="6"/>
        <v>5.8190491752611533E-2</v>
      </c>
      <c r="P6" s="10">
        <f t="shared" si="7"/>
        <v>5.8190491752611533E-2</v>
      </c>
      <c r="Q6" s="10">
        <f t="shared" si="8"/>
        <v>5.8190491752611533E-2</v>
      </c>
      <c r="R6" s="10">
        <f t="shared" si="9"/>
        <v>5.586287208250706</v>
      </c>
      <c r="S6" s="10">
        <f t="shared" si="10"/>
        <v>5.8190491752611533E-2</v>
      </c>
    </row>
    <row r="7" spans="1:21" x14ac:dyDescent="0.25">
      <c r="A7" s="2" t="str">
        <f>Table1[[#This Row],[Name]]</f>
        <v>Org</v>
      </c>
      <c r="B7" s="2" t="str">
        <f>Table1[[#This Row],[Criteria]]</f>
        <v>Cybersecurity Readiness Assessments</v>
      </c>
      <c r="C7" s="7">
        <f>Table1[[#This Row],[LocalWeight]]</f>
        <v>0.20937753649845875</v>
      </c>
      <c r="D7" s="7">
        <f>VLOOKUP($A7,TraditionalPanelScore!$A$2:$H$6,4,0)</f>
        <v>0.96</v>
      </c>
      <c r="E7" s="7">
        <f>VLOOKUP($A7,TraditionalPanelScore!$A$2:$H$6,5,0)</f>
        <v>0.01</v>
      </c>
      <c r="F7" s="7">
        <f>VLOOKUP($A7,TraditionalPanelScore!$A$2:$H$6,6,0)</f>
        <v>0.01</v>
      </c>
      <c r="G7" s="7">
        <f>VLOOKUP($A7,TraditionalPanelScore!$A$2:$H$6,7,0)</f>
        <v>0.01</v>
      </c>
      <c r="H7" s="7">
        <f>VLOOKUP($A7,TraditionalPanelScore!$A$2:$H$6,8,0)</f>
        <v>0.01</v>
      </c>
      <c r="I7" s="11">
        <f t="shared" si="1"/>
        <v>0.20100243503852039</v>
      </c>
      <c r="J7" s="11">
        <f t="shared" si="2"/>
        <v>2.0937753649845877E-3</v>
      </c>
      <c r="K7" s="11">
        <f t="shared" si="3"/>
        <v>2.0937753649845877E-3</v>
      </c>
      <c r="L7" s="11">
        <f t="shared" si="4"/>
        <v>2.0937753649845877E-3</v>
      </c>
      <c r="M7" s="11">
        <f t="shared" si="5"/>
        <v>2.0937753649845877E-3</v>
      </c>
      <c r="N7" s="3">
        <f>Table1[[#This Row],[Dscore]]</f>
        <v>84.333333333333329</v>
      </c>
      <c r="O7" s="10">
        <f t="shared" si="6"/>
        <v>16.951205354915217</v>
      </c>
      <c r="P7" s="10">
        <f t="shared" si="7"/>
        <v>0.17657505578036689</v>
      </c>
      <c r="Q7" s="10">
        <f t="shared" si="8"/>
        <v>0.17657505578036689</v>
      </c>
      <c r="R7" s="10">
        <f t="shared" si="9"/>
        <v>0.17657505578036689</v>
      </c>
      <c r="S7" s="10">
        <f t="shared" si="10"/>
        <v>0.17657505578036689</v>
      </c>
    </row>
    <row r="8" spans="1:21" x14ac:dyDescent="0.25">
      <c r="A8" s="2" t="str">
        <f>Table1[[#This Row],[Name]]</f>
        <v>Lead</v>
      </c>
      <c r="B8" s="2" t="str">
        <f>Table1[[#This Row],[Criteria]]</f>
        <v>Cybersecurity risk is considered priority by C-Suite</v>
      </c>
      <c r="C8" s="7">
        <f>Table1[[#This Row],[LocalWeight]]</f>
        <v>0.22697008385674658</v>
      </c>
      <c r="D8" s="7">
        <f>VLOOKUP($A8,TraditionalPanelScore!$A$2:$H$6,4,0)</f>
        <v>0.01</v>
      </c>
      <c r="E8" s="7">
        <f>VLOOKUP($A8,TraditionalPanelScore!$A$2:$H$6,5,0)</f>
        <v>0.01</v>
      </c>
      <c r="F8" s="7">
        <f>VLOOKUP($A8,TraditionalPanelScore!$A$2:$H$6,6,0)</f>
        <v>0.01</v>
      </c>
      <c r="G8" s="7">
        <f>VLOOKUP($A8,TraditionalPanelScore!$A$2:$H$6,7,0)</f>
        <v>0.96</v>
      </c>
      <c r="H8" s="7">
        <f>VLOOKUP($A8,TraditionalPanelScore!$A$2:$H$6,8,0)</f>
        <v>0.01</v>
      </c>
      <c r="I8" s="11">
        <f t="shared" si="1"/>
        <v>2.2697008385674658E-3</v>
      </c>
      <c r="J8" s="11">
        <f t="shared" si="2"/>
        <v>2.2697008385674658E-3</v>
      </c>
      <c r="K8" s="11">
        <f t="shared" si="3"/>
        <v>2.2697008385674658E-3</v>
      </c>
      <c r="L8" s="11">
        <f t="shared" si="4"/>
        <v>0.21789128050247672</v>
      </c>
      <c r="M8" s="11">
        <f t="shared" si="5"/>
        <v>2.2697008385674658E-3</v>
      </c>
      <c r="N8" s="3">
        <f>Table1[[#This Row],[Dscore]]</f>
        <v>100</v>
      </c>
      <c r="O8" s="10">
        <f t="shared" si="6"/>
        <v>0.22697008385674658</v>
      </c>
      <c r="P8" s="10">
        <f t="shared" si="7"/>
        <v>0.22697008385674658</v>
      </c>
      <c r="Q8" s="10">
        <f t="shared" si="8"/>
        <v>0.22697008385674658</v>
      </c>
      <c r="R8" s="10">
        <f t="shared" si="9"/>
        <v>21.789128050247673</v>
      </c>
      <c r="S8" s="10">
        <f t="shared" si="10"/>
        <v>0.22697008385674658</v>
      </c>
    </row>
    <row r="9" spans="1:21" x14ac:dyDescent="0.25">
      <c r="A9" s="2" t="str">
        <f>Table1[[#This Row],[Name]]</f>
        <v>Sys</v>
      </c>
      <c r="B9" s="2" t="str">
        <f>Table1[[#This Row],[Criteria]]</f>
        <v>Data loss prevention system is in place</v>
      </c>
      <c r="C9" s="7">
        <f>Table1[[#This Row],[LocalWeight]]</f>
        <v>0.13607130981080962</v>
      </c>
      <c r="D9" s="7">
        <f>VLOOKUP($A9,TraditionalPanelScore!$A$2:$H$6,4,0)</f>
        <v>0.01</v>
      </c>
      <c r="E9" s="7">
        <f>VLOOKUP($A9,TraditionalPanelScore!$A$2:$H$6,5,0)</f>
        <v>0.96</v>
      </c>
      <c r="F9" s="7">
        <f>VLOOKUP($A9,TraditionalPanelScore!$A$2:$H$6,6,0)</f>
        <v>0.01</v>
      </c>
      <c r="G9" s="7">
        <f>VLOOKUP($A9,TraditionalPanelScore!$A$2:$H$6,7,0)</f>
        <v>0.01</v>
      </c>
      <c r="H9" s="7">
        <f>VLOOKUP($A9,TraditionalPanelScore!$A$2:$H$6,8,0)</f>
        <v>0.01</v>
      </c>
      <c r="I9" s="11">
        <f t="shared" si="1"/>
        <v>1.3607130981080962E-3</v>
      </c>
      <c r="J9" s="11">
        <f t="shared" si="2"/>
        <v>0.13062845741837723</v>
      </c>
      <c r="K9" s="11">
        <f t="shared" si="3"/>
        <v>1.3607130981080962E-3</v>
      </c>
      <c r="L9" s="11">
        <f t="shared" si="4"/>
        <v>1.3607130981080962E-3</v>
      </c>
      <c r="M9" s="11">
        <f t="shared" si="5"/>
        <v>1.3607130981080962E-3</v>
      </c>
      <c r="N9" s="3">
        <f>Table1[[#This Row],[Dscore]]</f>
        <v>61.666666666666664</v>
      </c>
      <c r="O9" s="10">
        <f t="shared" si="6"/>
        <v>8.3910641049999263E-2</v>
      </c>
      <c r="P9" s="10">
        <f t="shared" si="7"/>
        <v>8.0554215407999283</v>
      </c>
      <c r="Q9" s="10">
        <f t="shared" si="8"/>
        <v>8.3910641049999263E-2</v>
      </c>
      <c r="R9" s="10">
        <f t="shared" si="9"/>
        <v>8.3910641049999263E-2</v>
      </c>
      <c r="S9" s="10">
        <f t="shared" si="10"/>
        <v>8.3910641049999263E-2</v>
      </c>
    </row>
    <row r="10" spans="1:21" x14ac:dyDescent="0.25">
      <c r="A10" s="2" t="str">
        <f>Table1[[#This Row],[Name]]</f>
        <v>Org</v>
      </c>
      <c r="B10" s="2" t="str">
        <f>Table1[[#This Row],[Criteria]]</f>
        <v>Documents are marked and protected</v>
      </c>
      <c r="C10" s="7">
        <f>Table1[[#This Row],[LocalWeight]]</f>
        <v>0.22836531537389626</v>
      </c>
      <c r="D10" s="7">
        <f>VLOOKUP($A10,TraditionalPanelScore!$A$2:$H$6,4,0)</f>
        <v>0.96</v>
      </c>
      <c r="E10" s="7">
        <f>VLOOKUP($A10,TraditionalPanelScore!$A$2:$H$6,5,0)</f>
        <v>0.01</v>
      </c>
      <c r="F10" s="7">
        <f>VLOOKUP($A10,TraditionalPanelScore!$A$2:$H$6,6,0)</f>
        <v>0.01</v>
      </c>
      <c r="G10" s="7">
        <f>VLOOKUP($A10,TraditionalPanelScore!$A$2:$H$6,7,0)</f>
        <v>0.01</v>
      </c>
      <c r="H10" s="7">
        <f>VLOOKUP($A10,TraditionalPanelScore!$A$2:$H$6,8,0)</f>
        <v>0.01</v>
      </c>
      <c r="I10" s="11">
        <f t="shared" si="1"/>
        <v>0.21923070275894041</v>
      </c>
      <c r="J10" s="11">
        <f t="shared" si="2"/>
        <v>2.2836531537389626E-3</v>
      </c>
      <c r="K10" s="11">
        <f t="shared" si="3"/>
        <v>2.2836531537389626E-3</v>
      </c>
      <c r="L10" s="11">
        <f t="shared" si="4"/>
        <v>2.2836531537389626E-3</v>
      </c>
      <c r="M10" s="11">
        <f t="shared" si="5"/>
        <v>2.2836531537389626E-3</v>
      </c>
      <c r="N10" s="3">
        <f>Table1[[#This Row],[Dscore]]</f>
        <v>100</v>
      </c>
      <c r="O10" s="10">
        <f t="shared" si="6"/>
        <v>21.923070275894041</v>
      </c>
      <c r="P10" s="10">
        <f t="shared" si="7"/>
        <v>0.22836531537389626</v>
      </c>
      <c r="Q10" s="10">
        <f t="shared" si="8"/>
        <v>0.22836531537389626</v>
      </c>
      <c r="R10" s="10">
        <f t="shared" si="9"/>
        <v>0.22836531537389626</v>
      </c>
      <c r="S10" s="10">
        <f t="shared" si="10"/>
        <v>0.22836531537389626</v>
      </c>
    </row>
    <row r="11" spans="1:21" x14ac:dyDescent="0.25">
      <c r="A11" s="2" t="str">
        <f>Table1[[#This Row],[Name]]</f>
        <v>Sys</v>
      </c>
      <c r="B11" s="2" t="str">
        <f>Table1[[#This Row],[Criteria]]</f>
        <v>Energy system outages are planned for</v>
      </c>
      <c r="C11" s="7">
        <f>Table1[[#This Row],[LocalWeight]]</f>
        <v>9.449417073292174E-2</v>
      </c>
      <c r="D11" s="7">
        <f>VLOOKUP($A11,TraditionalPanelScore!$A$2:$H$6,4,0)</f>
        <v>0.01</v>
      </c>
      <c r="E11" s="7">
        <f>VLOOKUP($A11,TraditionalPanelScore!$A$2:$H$6,5,0)</f>
        <v>0.96</v>
      </c>
      <c r="F11" s="7">
        <f>VLOOKUP($A11,TraditionalPanelScore!$A$2:$H$6,6,0)</f>
        <v>0.01</v>
      </c>
      <c r="G11" s="7">
        <f>VLOOKUP($A11,TraditionalPanelScore!$A$2:$H$6,7,0)</f>
        <v>0.01</v>
      </c>
      <c r="H11" s="7">
        <f>VLOOKUP($A11,TraditionalPanelScore!$A$2:$H$6,8,0)</f>
        <v>0.01</v>
      </c>
      <c r="I11" s="11">
        <f t="shared" si="1"/>
        <v>9.4494170732921736E-4</v>
      </c>
      <c r="J11" s="11">
        <f t="shared" si="2"/>
        <v>9.071440390360487E-2</v>
      </c>
      <c r="K11" s="11">
        <f t="shared" si="3"/>
        <v>9.4494170732921736E-4</v>
      </c>
      <c r="L11" s="11">
        <f t="shared" si="4"/>
        <v>9.4494170732921736E-4</v>
      </c>
      <c r="M11" s="11">
        <f t="shared" si="5"/>
        <v>9.4494170732921736E-4</v>
      </c>
      <c r="N11" s="3">
        <f>Table1[[#This Row],[Dscore]]</f>
        <v>56.333333333333336</v>
      </c>
      <c r="O11" s="10">
        <f t="shared" si="6"/>
        <v>5.3231716179545911E-2</v>
      </c>
      <c r="P11" s="10">
        <f t="shared" si="7"/>
        <v>5.1102447532364081</v>
      </c>
      <c r="Q11" s="10">
        <f t="shared" si="8"/>
        <v>5.3231716179545911E-2</v>
      </c>
      <c r="R11" s="10">
        <f t="shared" si="9"/>
        <v>5.3231716179545911E-2</v>
      </c>
      <c r="S11" s="10">
        <f t="shared" si="10"/>
        <v>5.3231716179545911E-2</v>
      </c>
    </row>
    <row r="12" spans="1:21" x14ac:dyDescent="0.25">
      <c r="A12" s="2" t="str">
        <f>Table1[[#This Row],[Name]]</f>
        <v>Prof</v>
      </c>
      <c r="B12" s="2" t="str">
        <f>Table1[[#This Row],[Criteria]]</f>
        <v>External reporting is done</v>
      </c>
      <c r="C12" s="7">
        <f>Table1[[#This Row],[LocalWeight]]</f>
        <v>0.11810995451223213</v>
      </c>
      <c r="D12" s="7">
        <f>VLOOKUP($A12,TraditionalPanelScore!$A$2:$H$6,4,0)</f>
        <v>0.01</v>
      </c>
      <c r="E12" s="7">
        <f>VLOOKUP($A12,TraditionalPanelScore!$A$2:$H$6,5,0)</f>
        <v>0.01</v>
      </c>
      <c r="F12" s="7">
        <f>VLOOKUP($A12,TraditionalPanelScore!$A$2:$H$6,6,0)</f>
        <v>0.96</v>
      </c>
      <c r="G12" s="7">
        <f>VLOOKUP($A12,TraditionalPanelScore!$A$2:$H$6,7,0)</f>
        <v>0.01</v>
      </c>
      <c r="H12" s="7">
        <f>VLOOKUP($A12,TraditionalPanelScore!$A$2:$H$6,8,0)</f>
        <v>0.01</v>
      </c>
      <c r="I12" s="11">
        <f t="shared" si="1"/>
        <v>1.1810995451223213E-3</v>
      </c>
      <c r="J12" s="11">
        <f t="shared" si="2"/>
        <v>1.1810995451223213E-3</v>
      </c>
      <c r="K12" s="11">
        <f t="shared" si="3"/>
        <v>0.11338555633174284</v>
      </c>
      <c r="L12" s="11">
        <f t="shared" si="4"/>
        <v>1.1810995451223213E-3</v>
      </c>
      <c r="M12" s="11">
        <f t="shared" si="5"/>
        <v>1.1810995451223213E-3</v>
      </c>
      <c r="N12" s="3">
        <f>Table1[[#This Row],[Dscore]]</f>
        <v>55.666666666666664</v>
      </c>
      <c r="O12" s="10">
        <f t="shared" si="6"/>
        <v>6.5747874678475884E-2</v>
      </c>
      <c r="P12" s="10">
        <f t="shared" si="7"/>
        <v>6.5747874678475884E-2</v>
      </c>
      <c r="Q12" s="10">
        <f t="shared" si="8"/>
        <v>6.3117959691336845</v>
      </c>
      <c r="R12" s="10">
        <f t="shared" si="9"/>
        <v>6.5747874678475884E-2</v>
      </c>
      <c r="S12" s="10">
        <f t="shared" si="10"/>
        <v>6.5747874678475884E-2</v>
      </c>
    </row>
    <row r="13" spans="1:21" x14ac:dyDescent="0.25">
      <c r="A13" s="2" t="str">
        <f>Table1[[#This Row],[Name]]</f>
        <v>Prof</v>
      </c>
      <c r="B13" s="2" t="str">
        <f>Table1[[#This Row],[Criteria]]</f>
        <v>External vendor/supply coordination is done</v>
      </c>
      <c r="C13" s="7">
        <f>Table1[[#This Row],[LocalWeight]]</f>
        <v>8.6064499966777577E-2</v>
      </c>
      <c r="D13" s="7">
        <f>VLOOKUP($A13,TraditionalPanelScore!$A$2:$H$6,4,0)</f>
        <v>0.01</v>
      </c>
      <c r="E13" s="7">
        <f>VLOOKUP($A13,TraditionalPanelScore!$A$2:$H$6,5,0)</f>
        <v>0.01</v>
      </c>
      <c r="F13" s="7">
        <f>VLOOKUP($A13,TraditionalPanelScore!$A$2:$H$6,6,0)</f>
        <v>0.96</v>
      </c>
      <c r="G13" s="7">
        <f>VLOOKUP($A13,TraditionalPanelScore!$A$2:$H$6,7,0)</f>
        <v>0.01</v>
      </c>
      <c r="H13" s="7">
        <f>VLOOKUP($A13,TraditionalPanelScore!$A$2:$H$6,8,0)</f>
        <v>0.01</v>
      </c>
      <c r="I13" s="11">
        <f t="shared" si="1"/>
        <v>8.6064499966777579E-4</v>
      </c>
      <c r="J13" s="11">
        <f t="shared" si="2"/>
        <v>8.6064499966777579E-4</v>
      </c>
      <c r="K13" s="11">
        <f t="shared" si="3"/>
        <v>8.2621919968106472E-2</v>
      </c>
      <c r="L13" s="11">
        <f t="shared" si="4"/>
        <v>8.6064499966777579E-4</v>
      </c>
      <c r="M13" s="11">
        <f t="shared" si="5"/>
        <v>8.6064499966777579E-4</v>
      </c>
      <c r="N13" s="3">
        <f>Table1[[#This Row],[Dscore]]</f>
        <v>90</v>
      </c>
      <c r="O13" s="10">
        <f t="shared" si="6"/>
        <v>7.7458049970099821E-2</v>
      </c>
      <c r="P13" s="10">
        <f t="shared" si="7"/>
        <v>7.7458049970099821E-2</v>
      </c>
      <c r="Q13" s="10">
        <f t="shared" si="8"/>
        <v>7.4359727971295824</v>
      </c>
      <c r="R13" s="10">
        <f t="shared" si="9"/>
        <v>7.7458049970099821E-2</v>
      </c>
      <c r="S13" s="10">
        <f t="shared" si="10"/>
        <v>7.7458049970099821E-2</v>
      </c>
    </row>
    <row r="14" spans="1:21" x14ac:dyDescent="0.25">
      <c r="A14" s="2" t="str">
        <f>Table1[[#This Row],[Name]]</f>
        <v>Info</v>
      </c>
      <c r="B14" s="2" t="str">
        <f>Table1[[#This Row],[Criteria]]</f>
        <v>Info Officer is in contact with Internet Service Provider</v>
      </c>
      <c r="C14" s="7">
        <f>Table1[[#This Row],[LocalWeight]]</f>
        <v>4.835067870464705E-2</v>
      </c>
      <c r="D14" s="7">
        <f>VLOOKUP($A14,TraditionalPanelScore!$A$2:$H$6,4,0)</f>
        <v>0.01</v>
      </c>
      <c r="E14" s="7">
        <f>VLOOKUP($A14,TraditionalPanelScore!$A$2:$H$6,5,0)</f>
        <v>0.01</v>
      </c>
      <c r="F14" s="7">
        <f>VLOOKUP($A14,TraditionalPanelScore!$A$2:$H$6,6,0)</f>
        <v>0.01</v>
      </c>
      <c r="G14" s="7">
        <f>VLOOKUP($A14,TraditionalPanelScore!$A$2:$H$6,7,0)</f>
        <v>0.01</v>
      </c>
      <c r="H14" s="7">
        <f>VLOOKUP($A14,TraditionalPanelScore!$A$2:$H$6,8,0)</f>
        <v>0.96</v>
      </c>
      <c r="I14" s="11">
        <f t="shared" si="1"/>
        <v>4.8350678704647051E-4</v>
      </c>
      <c r="J14" s="11">
        <f t="shared" si="2"/>
        <v>4.8350678704647051E-4</v>
      </c>
      <c r="K14" s="11">
        <f t="shared" si="3"/>
        <v>4.8350678704647051E-4</v>
      </c>
      <c r="L14" s="11">
        <f t="shared" si="4"/>
        <v>4.8350678704647051E-4</v>
      </c>
      <c r="M14" s="11">
        <f t="shared" si="5"/>
        <v>4.6416651556461165E-2</v>
      </c>
      <c r="N14" s="3">
        <f>Table1[[#This Row],[Dscore]]</f>
        <v>100</v>
      </c>
      <c r="O14" s="10">
        <f t="shared" si="6"/>
        <v>4.835067870464705E-2</v>
      </c>
      <c r="P14" s="10">
        <f t="shared" si="7"/>
        <v>4.835067870464705E-2</v>
      </c>
      <c r="Q14" s="10">
        <f t="shared" si="8"/>
        <v>4.835067870464705E-2</v>
      </c>
      <c r="R14" s="10">
        <f t="shared" si="9"/>
        <v>4.835067870464705E-2</v>
      </c>
      <c r="S14" s="10">
        <f t="shared" si="10"/>
        <v>4.6416651556461161</v>
      </c>
    </row>
    <row r="15" spans="1:21" x14ac:dyDescent="0.25">
      <c r="A15" s="2" t="str">
        <f>Table1[[#This Row],[Name]]</f>
        <v>Info</v>
      </c>
      <c r="B15" s="2" t="str">
        <f>Table1[[#This Row],[Criteria]]</f>
        <v>Logging is sufficient for security and forensics</v>
      </c>
      <c r="C15" s="7">
        <f>Table1[[#This Row],[LocalWeight]]</f>
        <v>7.192371933599738E-2</v>
      </c>
      <c r="D15" s="7">
        <f>VLOOKUP($A15,TraditionalPanelScore!$A$2:$H$6,4,0)</f>
        <v>0.01</v>
      </c>
      <c r="E15" s="7">
        <f>VLOOKUP($A15,TraditionalPanelScore!$A$2:$H$6,5,0)</f>
        <v>0.01</v>
      </c>
      <c r="F15" s="7">
        <f>VLOOKUP($A15,TraditionalPanelScore!$A$2:$H$6,6,0)</f>
        <v>0.01</v>
      </c>
      <c r="G15" s="7">
        <f>VLOOKUP($A15,TraditionalPanelScore!$A$2:$H$6,7,0)</f>
        <v>0.01</v>
      </c>
      <c r="H15" s="7">
        <f>VLOOKUP($A15,TraditionalPanelScore!$A$2:$H$6,8,0)</f>
        <v>0.96</v>
      </c>
      <c r="I15" s="11">
        <f t="shared" si="1"/>
        <v>7.1923719335997382E-4</v>
      </c>
      <c r="J15" s="11">
        <f t="shared" si="2"/>
        <v>7.1923719335997382E-4</v>
      </c>
      <c r="K15" s="11">
        <f t="shared" si="3"/>
        <v>7.1923719335997382E-4</v>
      </c>
      <c r="L15" s="11">
        <f t="shared" si="4"/>
        <v>7.1923719335997382E-4</v>
      </c>
      <c r="M15" s="11">
        <f t="shared" si="5"/>
        <v>6.904677056255748E-2</v>
      </c>
      <c r="N15" s="3">
        <f>Table1[[#This Row],[Dscore]]</f>
        <v>58</v>
      </c>
      <c r="O15" s="10">
        <f t="shared" si="6"/>
        <v>4.1715757214878482E-2</v>
      </c>
      <c r="P15" s="10">
        <f t="shared" si="7"/>
        <v>4.1715757214878482E-2</v>
      </c>
      <c r="Q15" s="10">
        <f t="shared" si="8"/>
        <v>4.1715757214878482E-2</v>
      </c>
      <c r="R15" s="10">
        <f t="shared" si="9"/>
        <v>4.1715757214878482E-2</v>
      </c>
      <c r="S15" s="10">
        <f t="shared" si="10"/>
        <v>4.0047126926283338</v>
      </c>
    </row>
    <row r="16" spans="1:21" x14ac:dyDescent="0.25">
      <c r="A16" s="2" t="str">
        <f>Table1[[#This Row],[Name]]</f>
        <v>Sys</v>
      </c>
      <c r="B16" s="2" t="str">
        <f>Table1[[#This Row],[Criteria]]</f>
        <v>Machine limitations are recorded</v>
      </c>
      <c r="C16" s="7">
        <f>Table1[[#This Row],[LocalWeight]]</f>
        <v>9.0420747948517788E-2</v>
      </c>
      <c r="D16" s="7">
        <f>VLOOKUP($A16,TraditionalPanelScore!$A$2:$H$6,4,0)</f>
        <v>0.01</v>
      </c>
      <c r="E16" s="7">
        <f>VLOOKUP($A16,TraditionalPanelScore!$A$2:$H$6,5,0)</f>
        <v>0.96</v>
      </c>
      <c r="F16" s="7">
        <f>VLOOKUP($A16,TraditionalPanelScore!$A$2:$H$6,6,0)</f>
        <v>0.01</v>
      </c>
      <c r="G16" s="7">
        <f>VLOOKUP($A16,TraditionalPanelScore!$A$2:$H$6,7,0)</f>
        <v>0.01</v>
      </c>
      <c r="H16" s="7">
        <f>VLOOKUP($A16,TraditionalPanelScore!$A$2:$H$6,8,0)</f>
        <v>0.01</v>
      </c>
      <c r="I16" s="11">
        <f t="shared" si="1"/>
        <v>9.0420747948517788E-4</v>
      </c>
      <c r="J16" s="11">
        <f t="shared" si="2"/>
        <v>8.6803918030577076E-2</v>
      </c>
      <c r="K16" s="11">
        <f t="shared" si="3"/>
        <v>9.0420747948517788E-4</v>
      </c>
      <c r="L16" s="11">
        <f t="shared" si="4"/>
        <v>9.0420747948517788E-4</v>
      </c>
      <c r="M16" s="11">
        <f t="shared" si="5"/>
        <v>9.0420747948517788E-4</v>
      </c>
      <c r="N16" s="3">
        <f>Table1[[#This Row],[Dscore]]</f>
        <v>85</v>
      </c>
      <c r="O16" s="10">
        <f t="shared" si="6"/>
        <v>7.685763575624012E-2</v>
      </c>
      <c r="P16" s="10">
        <f t="shared" si="7"/>
        <v>7.3783330325990519</v>
      </c>
      <c r="Q16" s="10">
        <f t="shared" si="8"/>
        <v>7.685763575624012E-2</v>
      </c>
      <c r="R16" s="10">
        <f t="shared" si="9"/>
        <v>7.685763575624012E-2</v>
      </c>
      <c r="S16" s="10">
        <f t="shared" si="10"/>
        <v>7.685763575624012E-2</v>
      </c>
    </row>
    <row r="17" spans="1:19" x14ac:dyDescent="0.25">
      <c r="A17" s="2" t="str">
        <f>Table1[[#This Row],[Name]]</f>
        <v>Info</v>
      </c>
      <c r="B17" s="2" t="str">
        <f>Table1[[#This Row],[Criteria]]</f>
        <v>Network and System admin procedures documented</v>
      </c>
      <c r="C17" s="7">
        <f>Table1[[#This Row],[LocalWeight]]</f>
        <v>0.17810788553168261</v>
      </c>
      <c r="D17" s="7">
        <f>VLOOKUP($A17,TraditionalPanelScore!$A$2:$H$6,4,0)</f>
        <v>0.01</v>
      </c>
      <c r="E17" s="7">
        <f>VLOOKUP($A17,TraditionalPanelScore!$A$2:$H$6,5,0)</f>
        <v>0.01</v>
      </c>
      <c r="F17" s="7">
        <f>VLOOKUP($A17,TraditionalPanelScore!$A$2:$H$6,6,0)</f>
        <v>0.01</v>
      </c>
      <c r="G17" s="7">
        <f>VLOOKUP($A17,TraditionalPanelScore!$A$2:$H$6,7,0)</f>
        <v>0.01</v>
      </c>
      <c r="H17" s="7">
        <f>VLOOKUP($A17,TraditionalPanelScore!$A$2:$H$6,8,0)</f>
        <v>0.96</v>
      </c>
      <c r="I17" s="11">
        <f t="shared" si="1"/>
        <v>1.7810788553168262E-3</v>
      </c>
      <c r="J17" s="11">
        <f t="shared" si="2"/>
        <v>1.7810788553168262E-3</v>
      </c>
      <c r="K17" s="11">
        <f t="shared" si="3"/>
        <v>1.7810788553168262E-3</v>
      </c>
      <c r="L17" s="11">
        <f t="shared" si="4"/>
        <v>1.7810788553168262E-3</v>
      </c>
      <c r="M17" s="11">
        <f t="shared" si="5"/>
        <v>0.17098357011041529</v>
      </c>
      <c r="N17" s="3">
        <f>Table1[[#This Row],[Dscore]]</f>
        <v>100</v>
      </c>
      <c r="O17" s="10">
        <f t="shared" si="6"/>
        <v>0.17810788553168261</v>
      </c>
      <c r="P17" s="10">
        <f t="shared" si="7"/>
        <v>0.17810788553168261</v>
      </c>
      <c r="Q17" s="10">
        <f t="shared" si="8"/>
        <v>0.17810788553168261</v>
      </c>
      <c r="R17" s="10">
        <f t="shared" si="9"/>
        <v>0.17810788553168261</v>
      </c>
      <c r="S17" s="10">
        <f t="shared" si="10"/>
        <v>17.098357011041529</v>
      </c>
    </row>
    <row r="18" spans="1:19" x14ac:dyDescent="0.25">
      <c r="A18" s="2" t="str">
        <f>Table1[[#This Row],[Name]]</f>
        <v>Sys</v>
      </c>
      <c r="B18" s="2" t="str">
        <f>Table1[[#This Row],[Criteria]]</f>
        <v>Network modeling for IoT is done</v>
      </c>
      <c r="C18" s="7">
        <f>Table1[[#This Row],[LocalWeight]]</f>
        <v>0.15537115291451864</v>
      </c>
      <c r="D18" s="7">
        <f>VLOOKUP($A18,TraditionalPanelScore!$A$2:$H$6,4,0)</f>
        <v>0.01</v>
      </c>
      <c r="E18" s="7">
        <f>VLOOKUP($A18,TraditionalPanelScore!$A$2:$H$6,5,0)</f>
        <v>0.96</v>
      </c>
      <c r="F18" s="7">
        <f>VLOOKUP($A18,TraditionalPanelScore!$A$2:$H$6,6,0)</f>
        <v>0.01</v>
      </c>
      <c r="G18" s="7">
        <f>VLOOKUP($A18,TraditionalPanelScore!$A$2:$H$6,7,0)</f>
        <v>0.01</v>
      </c>
      <c r="H18" s="7">
        <f>VLOOKUP($A18,TraditionalPanelScore!$A$2:$H$6,8,0)</f>
        <v>0.01</v>
      </c>
      <c r="I18" s="11">
        <f t="shared" si="1"/>
        <v>1.5537115291451864E-3</v>
      </c>
      <c r="J18" s="11">
        <f t="shared" si="2"/>
        <v>0.1491563067979379</v>
      </c>
      <c r="K18" s="11">
        <f t="shared" si="3"/>
        <v>1.5537115291451864E-3</v>
      </c>
      <c r="L18" s="11">
        <f t="shared" si="4"/>
        <v>1.5537115291451864E-3</v>
      </c>
      <c r="M18" s="11">
        <f t="shared" si="5"/>
        <v>1.5537115291451864E-3</v>
      </c>
      <c r="N18" s="3">
        <f>Table1[[#This Row],[Dscore]]</f>
        <v>60</v>
      </c>
      <c r="O18" s="10">
        <f t="shared" si="6"/>
        <v>9.3222691748711187E-2</v>
      </c>
      <c r="P18" s="10">
        <f t="shared" si="7"/>
        <v>8.9493784078762744</v>
      </c>
      <c r="Q18" s="10">
        <f t="shared" si="8"/>
        <v>9.3222691748711187E-2</v>
      </c>
      <c r="R18" s="10">
        <f t="shared" si="9"/>
        <v>9.3222691748711187E-2</v>
      </c>
      <c r="S18" s="10">
        <f t="shared" si="10"/>
        <v>9.3222691748711187E-2</v>
      </c>
    </row>
    <row r="19" spans="1:19" x14ac:dyDescent="0.25">
      <c r="A19" s="2" t="str">
        <f>Table1[[#This Row],[Name]]</f>
        <v>Sys</v>
      </c>
      <c r="B19" s="2" t="str">
        <f>Table1[[#This Row],[Criteria]]</f>
        <v>Outages are not required for security updates</v>
      </c>
      <c r="C19" s="7">
        <f>Table1[[#This Row],[LocalWeight]]</f>
        <v>6.1946575815374612E-2</v>
      </c>
      <c r="D19" s="7">
        <f>VLOOKUP($A19,TraditionalPanelScore!$A$2:$H$6,4,0)</f>
        <v>0.01</v>
      </c>
      <c r="E19" s="7">
        <f>VLOOKUP($A19,TraditionalPanelScore!$A$2:$H$6,5,0)</f>
        <v>0.96</v>
      </c>
      <c r="F19" s="7">
        <f>VLOOKUP($A19,TraditionalPanelScore!$A$2:$H$6,6,0)</f>
        <v>0.01</v>
      </c>
      <c r="G19" s="7">
        <f>VLOOKUP($A19,TraditionalPanelScore!$A$2:$H$6,7,0)</f>
        <v>0.01</v>
      </c>
      <c r="H19" s="7">
        <f>VLOOKUP($A19,TraditionalPanelScore!$A$2:$H$6,8,0)</f>
        <v>0.01</v>
      </c>
      <c r="I19" s="11">
        <f t="shared" si="1"/>
        <v>6.1946575815374609E-4</v>
      </c>
      <c r="J19" s="11">
        <f t="shared" si="2"/>
        <v>5.9468712782759628E-2</v>
      </c>
      <c r="K19" s="11">
        <f t="shared" si="3"/>
        <v>6.1946575815374609E-4</v>
      </c>
      <c r="L19" s="11">
        <f t="shared" si="4"/>
        <v>6.1946575815374609E-4</v>
      </c>
      <c r="M19" s="11">
        <f t="shared" si="5"/>
        <v>6.1946575815374609E-4</v>
      </c>
      <c r="N19" s="3">
        <f>Table1[[#This Row],[Dscore]]</f>
        <v>81.666666666666671</v>
      </c>
      <c r="O19" s="10">
        <f t="shared" si="6"/>
        <v>5.0589703582555934E-2</v>
      </c>
      <c r="P19" s="10">
        <f t="shared" si="7"/>
        <v>4.8566115439253696</v>
      </c>
      <c r="Q19" s="10">
        <f t="shared" si="8"/>
        <v>5.0589703582555934E-2</v>
      </c>
      <c r="R19" s="10">
        <f t="shared" si="9"/>
        <v>5.0589703582555934E-2</v>
      </c>
      <c r="S19" s="10">
        <f t="shared" si="10"/>
        <v>5.0589703582555934E-2</v>
      </c>
    </row>
    <row r="20" spans="1:19" x14ac:dyDescent="0.25">
      <c r="A20" s="2" t="str">
        <f>Table1[[#This Row],[Name]]</f>
        <v>Sys</v>
      </c>
      <c r="B20" s="2" t="str">
        <f>Table1[[#This Row],[Criteria]]</f>
        <v>Planning for forensic evidence collection</v>
      </c>
      <c r="C20" s="7">
        <f>Table1[[#This Row],[LocalWeight]]</f>
        <v>4.3594893371382684E-2</v>
      </c>
      <c r="D20" s="7">
        <f>VLOOKUP($A20,TraditionalPanelScore!$A$2:$H$6,4,0)</f>
        <v>0.01</v>
      </c>
      <c r="E20" s="7">
        <f>VLOOKUP($A20,TraditionalPanelScore!$A$2:$H$6,5,0)</f>
        <v>0.96</v>
      </c>
      <c r="F20" s="7">
        <f>VLOOKUP($A20,TraditionalPanelScore!$A$2:$H$6,6,0)</f>
        <v>0.01</v>
      </c>
      <c r="G20" s="7">
        <f>VLOOKUP($A20,TraditionalPanelScore!$A$2:$H$6,7,0)</f>
        <v>0.01</v>
      </c>
      <c r="H20" s="7">
        <f>VLOOKUP($A20,TraditionalPanelScore!$A$2:$H$6,8,0)</f>
        <v>0.01</v>
      </c>
      <c r="I20" s="11">
        <f t="shared" si="1"/>
        <v>4.3594893371382687E-4</v>
      </c>
      <c r="J20" s="11">
        <f t="shared" si="2"/>
        <v>4.1851097636527376E-2</v>
      </c>
      <c r="K20" s="11">
        <f t="shared" si="3"/>
        <v>4.3594893371382687E-4</v>
      </c>
      <c r="L20" s="11">
        <f t="shared" si="4"/>
        <v>4.3594893371382687E-4</v>
      </c>
      <c r="M20" s="11">
        <f t="shared" si="5"/>
        <v>4.3594893371382687E-4</v>
      </c>
      <c r="N20" s="3">
        <f>Table1[[#This Row],[Dscore]]</f>
        <v>100</v>
      </c>
      <c r="O20" s="10">
        <f t="shared" si="6"/>
        <v>4.3594893371382684E-2</v>
      </c>
      <c r="P20" s="10">
        <f t="shared" si="7"/>
        <v>4.1851097636527372</v>
      </c>
      <c r="Q20" s="10">
        <f t="shared" si="8"/>
        <v>4.3594893371382684E-2</v>
      </c>
      <c r="R20" s="10">
        <f t="shared" si="9"/>
        <v>4.3594893371382684E-2</v>
      </c>
      <c r="S20" s="10">
        <f t="shared" si="10"/>
        <v>4.3594893371382684E-2</v>
      </c>
    </row>
    <row r="21" spans="1:19" x14ac:dyDescent="0.25">
      <c r="A21" s="2" t="str">
        <f>Table1[[#This Row],[Name]]</f>
        <v>Lead</v>
      </c>
      <c r="B21" s="2" t="str">
        <f>Table1[[#This Row],[Criteria]]</f>
        <v>Policies are updated</v>
      </c>
      <c r="C21" s="7">
        <f>Table1[[#This Row],[LocalWeight]]</f>
        <v>8.4211184448888046E-2</v>
      </c>
      <c r="D21" s="7">
        <f>VLOOKUP($A21,TraditionalPanelScore!$A$2:$H$6,4,0)</f>
        <v>0.01</v>
      </c>
      <c r="E21" s="7">
        <f>VLOOKUP($A21,TraditionalPanelScore!$A$2:$H$6,5,0)</f>
        <v>0.01</v>
      </c>
      <c r="F21" s="7">
        <f>VLOOKUP($A21,TraditionalPanelScore!$A$2:$H$6,6,0)</f>
        <v>0.01</v>
      </c>
      <c r="G21" s="7">
        <f>VLOOKUP($A21,TraditionalPanelScore!$A$2:$H$6,7,0)</f>
        <v>0.96</v>
      </c>
      <c r="H21" s="7">
        <f>VLOOKUP($A21,TraditionalPanelScore!$A$2:$H$6,8,0)</f>
        <v>0.01</v>
      </c>
      <c r="I21" s="11">
        <f t="shared" si="1"/>
        <v>8.4211184448888051E-4</v>
      </c>
      <c r="J21" s="11">
        <f t="shared" si="2"/>
        <v>8.4211184448888051E-4</v>
      </c>
      <c r="K21" s="11">
        <f t="shared" si="3"/>
        <v>8.4211184448888051E-4</v>
      </c>
      <c r="L21" s="11">
        <f t="shared" si="4"/>
        <v>8.0842737070932522E-2</v>
      </c>
      <c r="M21" s="11">
        <f t="shared" si="5"/>
        <v>8.4211184448888051E-4</v>
      </c>
      <c r="N21" s="3">
        <f>Table1[[#This Row],[Dscore]]</f>
        <v>60</v>
      </c>
      <c r="O21" s="10">
        <f t="shared" si="6"/>
        <v>5.0526710669332828E-2</v>
      </c>
      <c r="P21" s="10">
        <f t="shared" si="7"/>
        <v>5.0526710669332828E-2</v>
      </c>
      <c r="Q21" s="10">
        <f t="shared" si="8"/>
        <v>5.0526710669332828E-2</v>
      </c>
      <c r="R21" s="10">
        <f t="shared" si="9"/>
        <v>4.850564224255951</v>
      </c>
      <c r="S21" s="10">
        <f t="shared" si="10"/>
        <v>5.0526710669332828E-2</v>
      </c>
    </row>
    <row r="22" spans="1:19" x14ac:dyDescent="0.25">
      <c r="A22" s="2" t="str">
        <f>Table1[[#This Row],[Name]]</f>
        <v>Org</v>
      </c>
      <c r="B22" s="2" t="str">
        <f>Table1[[#This Row],[Criteria]]</f>
        <v>Presence of Implementation Oversight</v>
      </c>
      <c r="C22" s="7">
        <f>Table1[[#This Row],[LocalWeight]]</f>
        <v>0.13179153638328553</v>
      </c>
      <c r="D22" s="7">
        <f>VLOOKUP($A22,TraditionalPanelScore!$A$2:$H$6,4,0)</f>
        <v>0.96</v>
      </c>
      <c r="E22" s="7">
        <f>VLOOKUP($A22,TraditionalPanelScore!$A$2:$H$6,5,0)</f>
        <v>0.01</v>
      </c>
      <c r="F22" s="7">
        <f>VLOOKUP($A22,TraditionalPanelScore!$A$2:$H$6,6,0)</f>
        <v>0.01</v>
      </c>
      <c r="G22" s="7">
        <f>VLOOKUP($A22,TraditionalPanelScore!$A$2:$H$6,7,0)</f>
        <v>0.01</v>
      </c>
      <c r="H22" s="7">
        <f>VLOOKUP($A22,TraditionalPanelScore!$A$2:$H$6,8,0)</f>
        <v>0.01</v>
      </c>
      <c r="I22" s="11">
        <f t="shared" si="1"/>
        <v>0.12651987492795411</v>
      </c>
      <c r="J22" s="11">
        <f t="shared" si="2"/>
        <v>1.3179153638328554E-3</v>
      </c>
      <c r="K22" s="11">
        <f t="shared" si="3"/>
        <v>1.3179153638328554E-3</v>
      </c>
      <c r="L22" s="11">
        <f t="shared" si="4"/>
        <v>1.3179153638328554E-3</v>
      </c>
      <c r="M22" s="11">
        <f t="shared" si="5"/>
        <v>1.3179153638328554E-3</v>
      </c>
      <c r="N22" s="3">
        <f>Table1[[#This Row],[Dscore]]</f>
        <v>86.333333333333329</v>
      </c>
      <c r="O22" s="10">
        <f t="shared" si="6"/>
        <v>10.922882535446703</v>
      </c>
      <c r="P22" s="10">
        <f t="shared" si="7"/>
        <v>0.11378002641090318</v>
      </c>
      <c r="Q22" s="10">
        <f t="shared" si="8"/>
        <v>0.11378002641090318</v>
      </c>
      <c r="R22" s="10">
        <f t="shared" si="9"/>
        <v>0.11378002641090318</v>
      </c>
      <c r="S22" s="10">
        <f t="shared" si="10"/>
        <v>0.11378002641090318</v>
      </c>
    </row>
    <row r="23" spans="1:19" x14ac:dyDescent="0.25">
      <c r="A23" s="2" t="str">
        <f>Table1[[#This Row],[Name]]</f>
        <v>Org</v>
      </c>
      <c r="B23" s="2" t="str">
        <f>Table1[[#This Row],[Criteria]]</f>
        <v>Presence of legislative understanding</v>
      </c>
      <c r="C23" s="7">
        <f>Table1[[#This Row],[LocalWeight]]</f>
        <v>0.15863752782817339</v>
      </c>
      <c r="D23" s="7">
        <f>VLOOKUP($A23,TraditionalPanelScore!$A$2:$H$6,4,0)</f>
        <v>0.96</v>
      </c>
      <c r="E23" s="7">
        <f>VLOOKUP($A23,TraditionalPanelScore!$A$2:$H$6,5,0)</f>
        <v>0.01</v>
      </c>
      <c r="F23" s="7">
        <f>VLOOKUP($A23,TraditionalPanelScore!$A$2:$H$6,6,0)</f>
        <v>0.01</v>
      </c>
      <c r="G23" s="7">
        <f>VLOOKUP($A23,TraditionalPanelScore!$A$2:$H$6,7,0)</f>
        <v>0.01</v>
      </c>
      <c r="H23" s="7">
        <f>VLOOKUP($A23,TraditionalPanelScore!$A$2:$H$6,8,0)</f>
        <v>0.01</v>
      </c>
      <c r="I23" s="11">
        <f t="shared" si="1"/>
        <v>0.15229202671504646</v>
      </c>
      <c r="J23" s="11">
        <f t="shared" si="2"/>
        <v>1.5863752782817339E-3</v>
      </c>
      <c r="K23" s="11">
        <f t="shared" si="3"/>
        <v>1.5863752782817339E-3</v>
      </c>
      <c r="L23" s="11">
        <f t="shared" si="4"/>
        <v>1.5863752782817339E-3</v>
      </c>
      <c r="M23" s="11">
        <f t="shared" si="5"/>
        <v>1.5863752782817339E-3</v>
      </c>
      <c r="N23" s="3">
        <f>Table1[[#This Row],[Dscore]]</f>
        <v>100</v>
      </c>
      <c r="O23" s="10">
        <f t="shared" si="6"/>
        <v>15.229202671504646</v>
      </c>
      <c r="P23" s="10">
        <f t="shared" si="7"/>
        <v>0.15863752782817339</v>
      </c>
      <c r="Q23" s="10">
        <f t="shared" si="8"/>
        <v>0.15863752782817339</v>
      </c>
      <c r="R23" s="10">
        <f t="shared" si="9"/>
        <v>0.15863752782817339</v>
      </c>
      <c r="S23" s="10">
        <f t="shared" si="10"/>
        <v>0.15863752782817339</v>
      </c>
    </row>
    <row r="24" spans="1:19" ht="30" x14ac:dyDescent="0.25">
      <c r="A24" s="2" t="str">
        <f>Table1[[#This Row],[Name]]</f>
        <v>Lead</v>
      </c>
      <c r="B24" s="2" t="str">
        <f>Table1[[#This Row],[Criteria]]</f>
        <v>Professionals with cyber certifications are in operations roles</v>
      </c>
      <c r="C24" s="7">
        <f>Table1[[#This Row],[LocalWeight]]</f>
        <v>0.27172114739279823</v>
      </c>
      <c r="D24" s="7">
        <f>VLOOKUP($A24,TraditionalPanelScore!$A$2:$H$6,4,0)</f>
        <v>0.01</v>
      </c>
      <c r="E24" s="7">
        <f>VLOOKUP($A24,TraditionalPanelScore!$A$2:$H$6,5,0)</f>
        <v>0.01</v>
      </c>
      <c r="F24" s="7">
        <f>VLOOKUP($A24,TraditionalPanelScore!$A$2:$H$6,6,0)</f>
        <v>0.01</v>
      </c>
      <c r="G24" s="7">
        <f>VLOOKUP($A24,TraditionalPanelScore!$A$2:$H$6,7,0)</f>
        <v>0.96</v>
      </c>
      <c r="H24" s="7">
        <f>VLOOKUP($A24,TraditionalPanelScore!$A$2:$H$6,8,0)</f>
        <v>0.01</v>
      </c>
      <c r="I24" s="11">
        <f t="shared" si="1"/>
        <v>2.7172114739279826E-3</v>
      </c>
      <c r="J24" s="11">
        <f t="shared" si="2"/>
        <v>2.7172114739279826E-3</v>
      </c>
      <c r="K24" s="11">
        <f t="shared" si="3"/>
        <v>2.7172114739279826E-3</v>
      </c>
      <c r="L24" s="11">
        <f t="shared" si="4"/>
        <v>0.26085230149708627</v>
      </c>
      <c r="M24" s="11">
        <f t="shared" si="5"/>
        <v>2.7172114739279826E-3</v>
      </c>
      <c r="N24" s="3">
        <f>Table1[[#This Row],[Dscore]]</f>
        <v>61.666666666666664</v>
      </c>
      <c r="O24" s="10">
        <f t="shared" si="6"/>
        <v>0.16756137422555892</v>
      </c>
      <c r="P24" s="10">
        <f t="shared" si="7"/>
        <v>0.16756137422555892</v>
      </c>
      <c r="Q24" s="10">
        <f t="shared" si="8"/>
        <v>0.16756137422555892</v>
      </c>
      <c r="R24" s="10">
        <f t="shared" si="9"/>
        <v>16.085891925653652</v>
      </c>
      <c r="S24" s="10">
        <f t="shared" si="10"/>
        <v>0.16756137422555892</v>
      </c>
    </row>
    <row r="25" spans="1:19" ht="30" x14ac:dyDescent="0.25">
      <c r="A25" s="2" t="str">
        <f>Table1[[#This Row],[Name]]</f>
        <v>Info</v>
      </c>
      <c r="B25" s="2" t="str">
        <f>Table1[[#This Row],[Criteria]]</f>
        <v>Retention periods are in place and used for information and data</v>
      </c>
      <c r="C25" s="7">
        <f>Table1[[#This Row],[LocalWeight]]</f>
        <v>6.2717633594184863E-2</v>
      </c>
      <c r="D25" s="7">
        <f>VLOOKUP($A25,TraditionalPanelScore!$A$2:$H$6,4,0)</f>
        <v>0.01</v>
      </c>
      <c r="E25" s="7">
        <f>VLOOKUP($A25,TraditionalPanelScore!$A$2:$H$6,5,0)</f>
        <v>0.01</v>
      </c>
      <c r="F25" s="7">
        <f>VLOOKUP($A25,TraditionalPanelScore!$A$2:$H$6,6,0)</f>
        <v>0.01</v>
      </c>
      <c r="G25" s="7">
        <f>VLOOKUP($A25,TraditionalPanelScore!$A$2:$H$6,7,0)</f>
        <v>0.01</v>
      </c>
      <c r="H25" s="7">
        <f>VLOOKUP($A25,TraditionalPanelScore!$A$2:$H$6,8,0)</f>
        <v>0.96</v>
      </c>
      <c r="I25" s="11">
        <f t="shared" si="1"/>
        <v>6.2717633594184868E-4</v>
      </c>
      <c r="J25" s="11">
        <f t="shared" si="2"/>
        <v>6.2717633594184868E-4</v>
      </c>
      <c r="K25" s="11">
        <f t="shared" si="3"/>
        <v>6.2717633594184868E-4</v>
      </c>
      <c r="L25" s="11">
        <f t="shared" si="4"/>
        <v>6.2717633594184868E-4</v>
      </c>
      <c r="M25" s="11">
        <f t="shared" si="5"/>
        <v>6.0208928250417466E-2</v>
      </c>
      <c r="N25" s="3">
        <f>Table1[[#This Row],[Dscore]]</f>
        <v>85</v>
      </c>
      <c r="O25" s="10">
        <f t="shared" si="6"/>
        <v>5.3309988555057135E-2</v>
      </c>
      <c r="P25" s="10">
        <f t="shared" si="7"/>
        <v>5.3309988555057135E-2</v>
      </c>
      <c r="Q25" s="10">
        <f t="shared" si="8"/>
        <v>5.3309988555057135E-2</v>
      </c>
      <c r="R25" s="10">
        <f t="shared" si="9"/>
        <v>5.3309988555057135E-2</v>
      </c>
      <c r="S25" s="10">
        <f t="shared" si="10"/>
        <v>5.1177589012854847</v>
      </c>
    </row>
    <row r="26" spans="1:19" ht="30" x14ac:dyDescent="0.25">
      <c r="A26" s="2" t="str">
        <f>Table1[[#This Row],[Name]]</f>
        <v>Org</v>
      </c>
      <c r="B26" s="2" t="str">
        <f>Table1[[#This Row],[Criteria]]</f>
        <v>Social impact of breaches is talked about in the company</v>
      </c>
      <c r="C26" s="7">
        <f>Table1[[#This Row],[LocalWeight]]</f>
        <v>9.8223355438179616E-2</v>
      </c>
      <c r="D26" s="7">
        <f>VLOOKUP($A26,TraditionalPanelScore!$A$2:$H$6,4,0)</f>
        <v>0.96</v>
      </c>
      <c r="E26" s="7">
        <f>VLOOKUP($A26,TraditionalPanelScore!$A$2:$H$6,5,0)</f>
        <v>0.01</v>
      </c>
      <c r="F26" s="7">
        <f>VLOOKUP($A26,TraditionalPanelScore!$A$2:$H$6,6,0)</f>
        <v>0.01</v>
      </c>
      <c r="G26" s="7">
        <f>VLOOKUP($A26,TraditionalPanelScore!$A$2:$H$6,7,0)</f>
        <v>0.01</v>
      </c>
      <c r="H26" s="7">
        <f>VLOOKUP($A26,TraditionalPanelScore!$A$2:$H$6,8,0)</f>
        <v>0.01</v>
      </c>
      <c r="I26" s="11">
        <f t="shared" si="1"/>
        <v>9.429442122065243E-2</v>
      </c>
      <c r="J26" s="11">
        <f t="shared" si="2"/>
        <v>9.8223355438179622E-4</v>
      </c>
      <c r="K26" s="11">
        <f t="shared" si="3"/>
        <v>9.8223355438179622E-4</v>
      </c>
      <c r="L26" s="11">
        <f t="shared" si="4"/>
        <v>9.8223355438179622E-4</v>
      </c>
      <c r="M26" s="11">
        <f t="shared" si="5"/>
        <v>9.8223355438179622E-4</v>
      </c>
      <c r="N26" s="3">
        <f>Table1[[#This Row],[Dscore]]</f>
        <v>63.333333333333336</v>
      </c>
      <c r="O26" s="10">
        <f t="shared" si="6"/>
        <v>5.971980010641321</v>
      </c>
      <c r="P26" s="10">
        <f t="shared" si="7"/>
        <v>6.2208125110847098E-2</v>
      </c>
      <c r="Q26" s="10">
        <f t="shared" si="8"/>
        <v>6.2208125110847098E-2</v>
      </c>
      <c r="R26" s="10">
        <f t="shared" si="9"/>
        <v>6.2208125110847098E-2</v>
      </c>
      <c r="S26" s="10">
        <f t="shared" si="10"/>
        <v>6.2208125110847098E-2</v>
      </c>
    </row>
    <row r="27" spans="1:19" x14ac:dyDescent="0.25">
      <c r="A27" s="2" t="str">
        <f>Table1[[#This Row],[Name]]</f>
        <v>Info</v>
      </c>
      <c r="B27" s="2" t="str">
        <f>Table1[[#This Row],[Criteria]]</f>
        <v>Standards are understood</v>
      </c>
      <c r="C27" s="7">
        <f>Table1[[#This Row],[LocalWeight]]</f>
        <v>6.2001232239963053E-2</v>
      </c>
      <c r="D27" s="7">
        <f>VLOOKUP($A27,TraditionalPanelScore!$A$2:$H$6,4,0)</f>
        <v>0.01</v>
      </c>
      <c r="E27" s="7">
        <f>VLOOKUP($A27,TraditionalPanelScore!$A$2:$H$6,5,0)</f>
        <v>0.01</v>
      </c>
      <c r="F27" s="7">
        <f>VLOOKUP($A27,TraditionalPanelScore!$A$2:$H$6,6,0)</f>
        <v>0.01</v>
      </c>
      <c r="G27" s="7">
        <f>VLOOKUP($A27,TraditionalPanelScore!$A$2:$H$6,7,0)</f>
        <v>0.01</v>
      </c>
      <c r="H27" s="7">
        <f>VLOOKUP($A27,TraditionalPanelScore!$A$2:$H$6,8,0)</f>
        <v>0.96</v>
      </c>
      <c r="I27" s="11">
        <f t="shared" si="1"/>
        <v>6.2001232239963051E-4</v>
      </c>
      <c r="J27" s="11">
        <f t="shared" si="2"/>
        <v>6.2001232239963051E-4</v>
      </c>
      <c r="K27" s="11">
        <f t="shared" si="3"/>
        <v>6.2001232239963051E-4</v>
      </c>
      <c r="L27" s="11">
        <f t="shared" si="4"/>
        <v>6.2001232239963051E-4</v>
      </c>
      <c r="M27" s="11">
        <f t="shared" si="5"/>
        <v>5.9521182950364529E-2</v>
      </c>
      <c r="N27" s="3">
        <f>Table1[[#This Row],[Dscore]]</f>
        <v>100</v>
      </c>
      <c r="O27" s="10">
        <f t="shared" si="6"/>
        <v>6.2001232239963053E-2</v>
      </c>
      <c r="P27" s="10">
        <f t="shared" si="7"/>
        <v>6.2001232239963053E-2</v>
      </c>
      <c r="Q27" s="10">
        <f t="shared" si="8"/>
        <v>6.2001232239963053E-2</v>
      </c>
      <c r="R27" s="10">
        <f t="shared" si="9"/>
        <v>6.2001232239963053E-2</v>
      </c>
      <c r="S27" s="10">
        <f t="shared" si="10"/>
        <v>5.9521182950364526</v>
      </c>
    </row>
    <row r="28" spans="1:19" ht="30" x14ac:dyDescent="0.25">
      <c r="A28" s="2" t="str">
        <f>Table1[[#This Row],[Name]]</f>
        <v>Lead</v>
      </c>
      <c r="B28" s="2" t="str">
        <f>Table1[[#This Row],[Criteria]]</f>
        <v>Supply chain cyber risk is considered during procurement</v>
      </c>
      <c r="C28" s="7">
        <f>Table1[[#This Row],[LocalWeight]]</f>
        <v>0.15486381921569603</v>
      </c>
      <c r="D28" s="7">
        <f>VLOOKUP($A28,TraditionalPanelScore!$A$2:$H$6,4,0)</f>
        <v>0.01</v>
      </c>
      <c r="E28" s="7">
        <f>VLOOKUP($A28,TraditionalPanelScore!$A$2:$H$6,5,0)</f>
        <v>0.01</v>
      </c>
      <c r="F28" s="7">
        <f>VLOOKUP($A28,TraditionalPanelScore!$A$2:$H$6,6,0)</f>
        <v>0.01</v>
      </c>
      <c r="G28" s="7">
        <f>VLOOKUP($A28,TraditionalPanelScore!$A$2:$H$6,7,0)</f>
        <v>0.96</v>
      </c>
      <c r="H28" s="7">
        <f>VLOOKUP($A28,TraditionalPanelScore!$A$2:$H$6,8,0)</f>
        <v>0.01</v>
      </c>
      <c r="I28" s="11">
        <f t="shared" si="1"/>
        <v>1.5486381921569602E-3</v>
      </c>
      <c r="J28" s="11">
        <f t="shared" si="2"/>
        <v>1.5486381921569602E-3</v>
      </c>
      <c r="K28" s="11">
        <f t="shared" si="3"/>
        <v>1.5486381921569602E-3</v>
      </c>
      <c r="L28" s="11">
        <f t="shared" si="4"/>
        <v>0.14866926644706818</v>
      </c>
      <c r="M28" s="11">
        <f t="shared" si="5"/>
        <v>1.5486381921569602E-3</v>
      </c>
      <c r="N28" s="3">
        <f>Table1[[#This Row],[Dscore]]</f>
        <v>100</v>
      </c>
      <c r="O28" s="10">
        <f t="shared" si="6"/>
        <v>0.15486381921569603</v>
      </c>
      <c r="P28" s="10">
        <f t="shared" si="7"/>
        <v>0.15486381921569603</v>
      </c>
      <c r="Q28" s="10">
        <f t="shared" si="8"/>
        <v>0.15486381921569603</v>
      </c>
      <c r="R28" s="10">
        <f t="shared" si="9"/>
        <v>14.866926644706819</v>
      </c>
      <c r="S28" s="10">
        <f t="shared" si="10"/>
        <v>0.15486381921569603</v>
      </c>
    </row>
    <row r="29" spans="1:19" ht="30" x14ac:dyDescent="0.25">
      <c r="A29" s="2" t="str">
        <f>Table1[[#This Row],[Name]]</f>
        <v>Org</v>
      </c>
      <c r="B29" s="2" t="str">
        <f>Table1[[#This Row],[Criteria]]</f>
        <v>There is an organizational common vocabulary for cybersecurity in the energy industry</v>
      </c>
      <c r="C29" s="7">
        <f>Table1[[#This Row],[LocalWeight]]</f>
        <v>6.2851214982824088E-2</v>
      </c>
      <c r="D29" s="7">
        <f>VLOOKUP($A29,TraditionalPanelScore!$A$2:$H$6,4,0)</f>
        <v>0.96</v>
      </c>
      <c r="E29" s="7">
        <f>VLOOKUP($A29,TraditionalPanelScore!$A$2:$H$6,5,0)</f>
        <v>0.01</v>
      </c>
      <c r="F29" s="7">
        <f>VLOOKUP($A29,TraditionalPanelScore!$A$2:$H$6,6,0)</f>
        <v>0.01</v>
      </c>
      <c r="G29" s="7">
        <f>VLOOKUP($A29,TraditionalPanelScore!$A$2:$H$6,7,0)</f>
        <v>0.01</v>
      </c>
      <c r="H29" s="7">
        <f>VLOOKUP($A29,TraditionalPanelScore!$A$2:$H$6,8,0)</f>
        <v>0.01</v>
      </c>
      <c r="I29" s="11">
        <f t="shared" si="1"/>
        <v>6.0337166383511123E-2</v>
      </c>
      <c r="J29" s="11">
        <f t="shared" si="2"/>
        <v>6.2851214982824087E-4</v>
      </c>
      <c r="K29" s="11">
        <f t="shared" si="3"/>
        <v>6.2851214982824087E-4</v>
      </c>
      <c r="L29" s="11">
        <f t="shared" si="4"/>
        <v>6.2851214982824087E-4</v>
      </c>
      <c r="M29" s="11">
        <f t="shared" si="5"/>
        <v>6.2851214982824087E-4</v>
      </c>
      <c r="N29" s="3">
        <f>Table1[[#This Row],[Dscore]]</f>
        <v>56</v>
      </c>
      <c r="O29" s="10">
        <f t="shared" si="6"/>
        <v>3.378881317476623</v>
      </c>
      <c r="P29" s="10">
        <f t="shared" si="7"/>
        <v>3.5196680390381485E-2</v>
      </c>
      <c r="Q29" s="10">
        <f t="shared" si="8"/>
        <v>3.5196680390381485E-2</v>
      </c>
      <c r="R29" s="10">
        <f t="shared" si="9"/>
        <v>3.5196680390381485E-2</v>
      </c>
      <c r="S29" s="10">
        <f t="shared" si="10"/>
        <v>3.5196680390381485E-2</v>
      </c>
    </row>
    <row r="30" spans="1:19" x14ac:dyDescent="0.25">
      <c r="A30" s="2" t="str">
        <f>Table1[[#This Row],[Name]]</f>
        <v>Prof</v>
      </c>
      <c r="B30" s="2" t="str">
        <f>Table1[[#This Row],[Criteria]]</f>
        <v>Threats to organization are modeled</v>
      </c>
      <c r="C30" s="7">
        <f>Table1[[#This Row],[LocalWeight]]</f>
        <v>0.30638915925747007</v>
      </c>
      <c r="D30" s="7">
        <f>VLOOKUP($A30,TraditionalPanelScore!$A$2:$H$6,4,0)</f>
        <v>0.01</v>
      </c>
      <c r="E30" s="7">
        <f>VLOOKUP($A30,TraditionalPanelScore!$A$2:$H$6,5,0)</f>
        <v>0.01</v>
      </c>
      <c r="F30" s="7">
        <f>VLOOKUP($A30,TraditionalPanelScore!$A$2:$H$6,6,0)</f>
        <v>0.96</v>
      </c>
      <c r="G30" s="7">
        <f>VLOOKUP($A30,TraditionalPanelScore!$A$2:$H$6,7,0)</f>
        <v>0.01</v>
      </c>
      <c r="H30" s="7">
        <f>VLOOKUP($A30,TraditionalPanelScore!$A$2:$H$6,8,0)</f>
        <v>0.01</v>
      </c>
      <c r="I30" s="11">
        <f t="shared" si="1"/>
        <v>3.0638915925747007E-3</v>
      </c>
      <c r="J30" s="11">
        <f t="shared" si="2"/>
        <v>3.0638915925747007E-3</v>
      </c>
      <c r="K30" s="11">
        <f t="shared" si="3"/>
        <v>0.29413359288717128</v>
      </c>
      <c r="L30" s="11">
        <f t="shared" si="4"/>
        <v>3.0638915925747007E-3</v>
      </c>
      <c r="M30" s="11">
        <f t="shared" si="5"/>
        <v>3.0638915925747007E-3</v>
      </c>
      <c r="N30" s="3">
        <f>Table1[[#This Row],[Dscore]]</f>
        <v>66.666666666666671</v>
      </c>
      <c r="O30" s="10">
        <f t="shared" si="6"/>
        <v>0.20425943950498007</v>
      </c>
      <c r="P30" s="10">
        <f t="shared" si="7"/>
        <v>0.20425943950498007</v>
      </c>
      <c r="Q30" s="10">
        <f t="shared" si="8"/>
        <v>19.608906192478088</v>
      </c>
      <c r="R30" s="10">
        <f t="shared" si="9"/>
        <v>0.20425943950498007</v>
      </c>
      <c r="S30" s="10">
        <f t="shared" si="10"/>
        <v>0.20425943950498007</v>
      </c>
    </row>
    <row r="31" spans="1:19" x14ac:dyDescent="0.25">
      <c r="I31">
        <f>SUM(I2:I30)</f>
        <v>0.99732500000000024</v>
      </c>
      <c r="J31">
        <f t="shared" ref="J31:M31" si="11">SUM(J2:J30)</f>
        <v>0.59300390806384895</v>
      </c>
      <c r="K31">
        <f t="shared" si="11"/>
        <v>0.99495</v>
      </c>
      <c r="L31">
        <f t="shared" si="11"/>
        <v>0.99257499999999987</v>
      </c>
      <c r="M31">
        <f t="shared" si="11"/>
        <v>0.44214609193615123</v>
      </c>
      <c r="O31">
        <f t="shared" ref="O31:P31" si="12">SUM(O2:O30)</f>
        <v>83.641400925552233</v>
      </c>
      <c r="P31">
        <f t="shared" si="12"/>
        <v>41.244948252043493</v>
      </c>
      <c r="Q31">
        <f t="shared" ref="Q31" si="13">SUM(Q2:Q30)</f>
        <v>66.152483375053635</v>
      </c>
      <c r="R31">
        <f t="shared" ref="R31" si="14">SUM(R2:R30)</f>
        <v>80.544433606531626</v>
      </c>
      <c r="S31">
        <f t="shared" ref="S31" si="15">SUM(S2:S30)</f>
        <v>39.542383005033848</v>
      </c>
    </row>
    <row r="32" spans="1:19" x14ac:dyDescent="0.25">
      <c r="I32" s="12" t="s">
        <v>123</v>
      </c>
      <c r="J32" s="12"/>
      <c r="K32" s="12"/>
      <c r="L32" s="12"/>
      <c r="M32" s="12"/>
      <c r="N32" s="12"/>
      <c r="O32" s="12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15C4-2EC2-460B-804A-C3DE68E6624C}">
  <dimension ref="A1:F31"/>
  <sheetViews>
    <sheetView tabSelected="1" topLeftCell="A3" zoomScaleNormal="100" workbookViewId="0">
      <selection activeCell="C14" sqref="C14"/>
    </sheetView>
  </sheetViews>
  <sheetFormatPr defaultRowHeight="15.75" x14ac:dyDescent="0.25"/>
  <cols>
    <col min="1" max="1" width="35.28515625" style="13" bestFit="1" customWidth="1"/>
    <col min="2" max="2" width="26.85546875" style="13" customWidth="1"/>
    <col min="3" max="16384" width="9.140625" style="13"/>
  </cols>
  <sheetData>
    <row r="1" spans="1:6" ht="16.5" thickBot="1" x14ac:dyDescent="0.3">
      <c r="A1" s="13" t="s">
        <v>141</v>
      </c>
    </row>
    <row r="2" spans="1:6" ht="16.5" thickBot="1" x14ac:dyDescent="0.3">
      <c r="A2" s="14" t="s">
        <v>126</v>
      </c>
      <c r="B2" s="14" t="s">
        <v>127</v>
      </c>
      <c r="C2" s="14" t="s">
        <v>128</v>
      </c>
      <c r="D2" s="14" t="s">
        <v>129</v>
      </c>
      <c r="E2" s="14" t="s">
        <v>130</v>
      </c>
      <c r="F2" s="14" t="s">
        <v>131</v>
      </c>
    </row>
    <row r="3" spans="1:6" ht="17.25" thickTop="1" thickBot="1" x14ac:dyDescent="0.3">
      <c r="A3" s="15">
        <v>1</v>
      </c>
      <c r="B3" s="16" t="s">
        <v>132</v>
      </c>
      <c r="C3" s="16" t="s">
        <v>132</v>
      </c>
      <c r="D3" s="16"/>
      <c r="E3" s="16" t="s">
        <v>132</v>
      </c>
      <c r="F3" s="16"/>
    </row>
    <row r="4" spans="1:6" ht="16.5" thickBot="1" x14ac:dyDescent="0.3">
      <c r="A4" s="17">
        <v>2</v>
      </c>
      <c r="B4" s="18" t="s">
        <v>132</v>
      </c>
      <c r="C4" s="18" t="s">
        <v>132</v>
      </c>
      <c r="D4" s="18"/>
      <c r="E4" s="18"/>
      <c r="F4" s="18" t="s">
        <v>132</v>
      </c>
    </row>
    <row r="5" spans="1:6" ht="16.5" thickBot="1" x14ac:dyDescent="0.3">
      <c r="A5" s="17">
        <v>3</v>
      </c>
      <c r="B5" s="19"/>
      <c r="C5" s="19"/>
      <c r="D5" s="19" t="s">
        <v>132</v>
      </c>
      <c r="E5" s="19" t="s">
        <v>132</v>
      </c>
      <c r="F5" s="19"/>
    </row>
    <row r="6" spans="1:6" ht="16.5" thickBot="1" x14ac:dyDescent="0.3">
      <c r="A6" s="17">
        <v>4</v>
      </c>
      <c r="B6" s="18" t="s">
        <v>132</v>
      </c>
      <c r="C6" s="18" t="s">
        <v>132</v>
      </c>
      <c r="D6" s="18" t="s">
        <v>132</v>
      </c>
      <c r="E6" s="18" t="s">
        <v>132</v>
      </c>
      <c r="F6" s="18" t="s">
        <v>132</v>
      </c>
    </row>
    <row r="7" spans="1:6" ht="16.5" thickBot="1" x14ac:dyDescent="0.3">
      <c r="A7" s="17">
        <v>5</v>
      </c>
      <c r="B7" s="19"/>
      <c r="C7" s="19" t="s">
        <v>132</v>
      </c>
      <c r="D7" s="19" t="s">
        <v>132</v>
      </c>
      <c r="E7" s="19" t="s">
        <v>132</v>
      </c>
      <c r="F7" s="19"/>
    </row>
    <row r="8" spans="1:6" ht="16.5" thickBot="1" x14ac:dyDescent="0.3">
      <c r="A8" s="17">
        <v>6</v>
      </c>
      <c r="B8" s="18" t="s">
        <v>132</v>
      </c>
      <c r="C8" s="18"/>
      <c r="D8" s="18"/>
      <c r="E8" s="18"/>
      <c r="F8" s="18" t="s">
        <v>132</v>
      </c>
    </row>
    <row r="9" spans="1:6" ht="16.5" thickBot="1" x14ac:dyDescent="0.3">
      <c r="A9" s="17">
        <v>7</v>
      </c>
      <c r="B9" s="19"/>
      <c r="C9" s="19" t="s">
        <v>132</v>
      </c>
      <c r="D9" s="19" t="s">
        <v>132</v>
      </c>
      <c r="E9" s="19"/>
      <c r="F9" s="19" t="s">
        <v>132</v>
      </c>
    </row>
    <row r="10" spans="1:6" ht="16.5" thickBot="1" x14ac:dyDescent="0.3">
      <c r="A10" s="17">
        <v>8</v>
      </c>
      <c r="B10" s="18"/>
      <c r="C10" s="18" t="s">
        <v>132</v>
      </c>
      <c r="D10" s="18"/>
      <c r="E10" s="18" t="s">
        <v>132</v>
      </c>
      <c r="F10" s="18" t="s">
        <v>132</v>
      </c>
    </row>
    <row r="11" spans="1:6" ht="16.5" thickBot="1" x14ac:dyDescent="0.3">
      <c r="A11" s="20" t="s">
        <v>72</v>
      </c>
      <c r="B11" s="21">
        <v>4</v>
      </c>
      <c r="C11" s="21">
        <v>6</v>
      </c>
      <c r="D11" s="21">
        <v>4</v>
      </c>
      <c r="E11" s="21">
        <v>5</v>
      </c>
      <c r="F11" s="21">
        <v>5</v>
      </c>
    </row>
    <row r="12" spans="1:6" s="36" customFormat="1" x14ac:dyDescent="0.25">
      <c r="A12" s="34"/>
      <c r="B12" s="35"/>
      <c r="C12" s="35"/>
      <c r="D12" s="35"/>
      <c r="E12" s="35"/>
      <c r="F12" s="35"/>
    </row>
    <row r="13" spans="1:6" s="36" customFormat="1" ht="16.5" thickBot="1" x14ac:dyDescent="0.3">
      <c r="A13" s="45" t="s">
        <v>160</v>
      </c>
      <c r="B13" s="35"/>
      <c r="C13" s="35"/>
      <c r="D13" s="35"/>
      <c r="E13" s="35"/>
      <c r="F13" s="35"/>
    </row>
    <row r="14" spans="1:6" s="36" customFormat="1" ht="16.5" thickBot="1" x14ac:dyDescent="0.3">
      <c r="A14" s="37" t="s">
        <v>159</v>
      </c>
      <c r="B14" s="38" t="s">
        <v>155</v>
      </c>
      <c r="C14" s="39" t="s">
        <v>156</v>
      </c>
      <c r="D14" s="35"/>
      <c r="E14" s="35"/>
      <c r="F14" s="35"/>
    </row>
    <row r="15" spans="1:6" s="36" customFormat="1" ht="30.75" thickBot="1" x14ac:dyDescent="0.3">
      <c r="A15" s="40" t="s">
        <v>157</v>
      </c>
      <c r="B15" s="41" t="s">
        <v>29</v>
      </c>
      <c r="C15" s="42">
        <v>5.78</v>
      </c>
      <c r="D15" s="35"/>
      <c r="E15" s="35"/>
      <c r="F15" s="35"/>
    </row>
    <row r="16" spans="1:6" s="36" customFormat="1" ht="30.75" thickBot="1" x14ac:dyDescent="0.3">
      <c r="A16" s="43"/>
      <c r="B16" s="41" t="s">
        <v>12</v>
      </c>
      <c r="C16" s="42">
        <v>4.96</v>
      </c>
      <c r="D16" s="35"/>
      <c r="E16" s="35"/>
      <c r="F16" s="35"/>
    </row>
    <row r="17" spans="1:6" s="36" customFormat="1" ht="30.75" thickBot="1" x14ac:dyDescent="0.3">
      <c r="A17" s="44"/>
      <c r="B17" s="41" t="s">
        <v>22</v>
      </c>
      <c r="C17" s="42">
        <v>5.13</v>
      </c>
      <c r="D17" s="35"/>
      <c r="E17" s="35"/>
      <c r="F17" s="35"/>
    </row>
    <row r="18" spans="1:6" s="36" customFormat="1" ht="16.5" thickBot="1" x14ac:dyDescent="0.3">
      <c r="A18" s="43"/>
      <c r="B18" s="41" t="s">
        <v>18</v>
      </c>
      <c r="C18" s="42">
        <v>5.79</v>
      </c>
      <c r="D18" s="35"/>
      <c r="E18" s="35"/>
      <c r="F18" s="35"/>
    </row>
    <row r="19" spans="1:6" s="36" customFormat="1" ht="30.75" thickBot="1" x14ac:dyDescent="0.3">
      <c r="A19" s="40" t="s">
        <v>158</v>
      </c>
      <c r="B19" s="41" t="s">
        <v>19</v>
      </c>
      <c r="C19" s="42">
        <v>0.41</v>
      </c>
      <c r="D19" s="35"/>
      <c r="E19" s="35"/>
      <c r="F19" s="35"/>
    </row>
    <row r="20" spans="1:6" s="36" customFormat="1" ht="60.75" thickBot="1" x14ac:dyDescent="0.3">
      <c r="A20" s="43"/>
      <c r="B20" s="41" t="s">
        <v>25</v>
      </c>
      <c r="C20" s="42">
        <v>0.38</v>
      </c>
      <c r="D20" s="35"/>
      <c r="E20" s="35"/>
      <c r="F20" s="35"/>
    </row>
    <row r="21" spans="1:6" s="36" customFormat="1" x14ac:dyDescent="0.25">
      <c r="A21" s="34"/>
      <c r="B21" s="35"/>
      <c r="C21" s="35"/>
      <c r="D21" s="35"/>
      <c r="E21" s="35"/>
      <c r="F21" s="35"/>
    </row>
    <row r="22" spans="1:6" ht="16.5" thickBot="1" x14ac:dyDescent="0.3">
      <c r="A22" s="13" t="s">
        <v>154</v>
      </c>
    </row>
    <row r="23" spans="1:6" ht="16.5" thickBot="1" x14ac:dyDescent="0.3">
      <c r="A23" s="32" t="s">
        <v>133</v>
      </c>
      <c r="B23" s="33"/>
      <c r="C23" s="22"/>
    </row>
    <row r="24" spans="1:6" ht="16.5" thickBot="1" x14ac:dyDescent="0.3">
      <c r="A24" s="23" t="s">
        <v>134</v>
      </c>
      <c r="B24" s="23" t="s">
        <v>135</v>
      </c>
      <c r="C24" s="23" t="s">
        <v>128</v>
      </c>
    </row>
    <row r="25" spans="1:6" ht="16.5" thickBot="1" x14ac:dyDescent="0.3">
      <c r="A25" s="23" t="s">
        <v>136</v>
      </c>
      <c r="B25" s="24">
        <v>74.09</v>
      </c>
      <c r="C25" s="24">
        <v>61.12</v>
      </c>
    </row>
    <row r="26" spans="1:6" ht="16.5" thickBot="1" x14ac:dyDescent="0.3">
      <c r="A26" s="23" t="s">
        <v>137</v>
      </c>
      <c r="B26" s="24">
        <v>66.22</v>
      </c>
      <c r="C26" s="24">
        <v>41.98</v>
      </c>
    </row>
    <row r="27" spans="1:6" ht="16.5" thickBot="1" x14ac:dyDescent="0.3">
      <c r="A27" s="23" t="s">
        <v>138</v>
      </c>
      <c r="B27" s="24">
        <v>-7.87</v>
      </c>
      <c r="C27" s="24">
        <v>-19.14</v>
      </c>
    </row>
    <row r="28" spans="1:6" ht="16.5" thickBot="1" x14ac:dyDescent="0.3">
      <c r="A28" s="22"/>
      <c r="B28" s="22"/>
      <c r="C28" s="22"/>
    </row>
    <row r="29" spans="1:6" ht="16.5" thickBot="1" x14ac:dyDescent="0.3">
      <c r="A29" s="23" t="s">
        <v>139</v>
      </c>
      <c r="B29" s="22"/>
      <c r="C29" s="22"/>
    </row>
    <row r="30" spans="1:6" ht="16.5" thickBot="1" x14ac:dyDescent="0.3">
      <c r="A30" s="23" t="s">
        <v>136</v>
      </c>
      <c r="B30" s="24">
        <v>1</v>
      </c>
      <c r="C30" s="24">
        <v>2</v>
      </c>
    </row>
    <row r="31" spans="1:6" ht="16.5" thickBot="1" x14ac:dyDescent="0.3">
      <c r="A31" s="23" t="s">
        <v>140</v>
      </c>
      <c r="B31" s="24">
        <v>1</v>
      </c>
      <c r="C31" s="24">
        <v>2</v>
      </c>
    </row>
  </sheetData>
  <mergeCells count="1">
    <mergeCell ref="A23:B2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0B8B-19CA-4AF6-924A-FBCCC1C92E46}">
  <dimension ref="A1:A3"/>
  <sheetViews>
    <sheetView workbookViewId="0"/>
  </sheetViews>
  <sheetFormatPr defaultRowHeight="15" x14ac:dyDescent="0.25"/>
  <sheetData>
    <row r="1" spans="1:1" x14ac:dyDescent="0.25">
      <c r="A1" t="s">
        <v>100</v>
      </c>
    </row>
    <row r="2" spans="1:1" x14ac:dyDescent="0.25">
      <c r="A2" t="s">
        <v>101</v>
      </c>
    </row>
    <row r="3" spans="1:1" x14ac:dyDescent="0.25">
      <c r="A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3A7-53CE-42C3-86EC-41E4C746D221}">
  <dimension ref="A1:R32"/>
  <sheetViews>
    <sheetView zoomScale="60" zoomScaleNormal="60" workbookViewId="0"/>
  </sheetViews>
  <sheetFormatPr defaultRowHeight="15" x14ac:dyDescent="0.25"/>
  <cols>
    <col min="1" max="1" width="24.7109375" style="2" customWidth="1"/>
    <col min="2" max="2" width="5.85546875" bestFit="1" customWidth="1"/>
    <col min="3" max="3" width="6.140625" bestFit="1" customWidth="1"/>
    <col min="4" max="4" width="6.140625" customWidth="1"/>
    <col min="5" max="5" width="7" customWidth="1"/>
    <col min="6" max="6" width="5.85546875" bestFit="1" customWidth="1"/>
    <col min="7" max="8" width="6.140625" bestFit="1" customWidth="1"/>
    <col min="9" max="9" width="6.42578125" customWidth="1"/>
    <col min="10" max="10" width="5.85546875" bestFit="1" customWidth="1"/>
    <col min="11" max="12" width="6.140625" bestFit="1" customWidth="1"/>
    <col min="13" max="13" width="7" customWidth="1"/>
    <col min="14" max="14" width="5.85546875" bestFit="1" customWidth="1"/>
    <col min="15" max="16" width="6.140625" bestFit="1" customWidth="1"/>
    <col min="17" max="17" width="5" bestFit="1" customWidth="1"/>
    <col min="18" max="18" width="10.42578125" customWidth="1"/>
  </cols>
  <sheetData>
    <row r="1" spans="1:18" x14ac:dyDescent="0.25">
      <c r="B1" t="s">
        <v>42</v>
      </c>
      <c r="F1" t="s">
        <v>43</v>
      </c>
      <c r="J1" t="s">
        <v>44</v>
      </c>
      <c r="N1" t="s">
        <v>45</v>
      </c>
    </row>
    <row r="2" spans="1:18" ht="63" customHeight="1" x14ac:dyDescent="0.25">
      <c r="A2" s="2" t="s">
        <v>5</v>
      </c>
      <c r="B2" s="2" t="s">
        <v>38</v>
      </c>
      <c r="C2" s="2" t="s">
        <v>39</v>
      </c>
      <c r="D2" s="2" t="s">
        <v>40</v>
      </c>
      <c r="E2" s="2" t="s">
        <v>4</v>
      </c>
      <c r="F2" s="2" t="s">
        <v>38</v>
      </c>
      <c r="G2" s="2" t="s">
        <v>39</v>
      </c>
      <c r="H2" s="2" t="s">
        <v>40</v>
      </c>
      <c r="I2" s="2" t="s">
        <v>4</v>
      </c>
      <c r="J2" s="2" t="s">
        <v>38</v>
      </c>
      <c r="K2" s="2" t="s">
        <v>39</v>
      </c>
      <c r="L2" s="2" t="s">
        <v>40</v>
      </c>
      <c r="M2" s="2" t="s">
        <v>4</v>
      </c>
      <c r="N2" s="2" t="s">
        <v>38</v>
      </c>
      <c r="O2" s="2" t="s">
        <v>39</v>
      </c>
      <c r="P2" s="2" t="s">
        <v>40</v>
      </c>
      <c r="Q2" s="2" t="s">
        <v>4</v>
      </c>
      <c r="R2" s="2" t="s">
        <v>41</v>
      </c>
    </row>
    <row r="3" spans="1:18" ht="30" x14ac:dyDescent="0.25">
      <c r="A3" s="1" t="s">
        <v>19</v>
      </c>
      <c r="B3" s="4">
        <v>20</v>
      </c>
      <c r="C3" s="4">
        <v>18</v>
      </c>
      <c r="D3" s="4">
        <v>20</v>
      </c>
      <c r="E3" s="4">
        <f t="shared" ref="E3:E31" si="0">AVERAGE(B3:D3)</f>
        <v>19.333333333333332</v>
      </c>
      <c r="F3" s="4">
        <v>60</v>
      </c>
      <c r="G3" s="4">
        <v>65</v>
      </c>
      <c r="H3" s="4">
        <v>60</v>
      </c>
      <c r="I3" s="4">
        <f t="shared" ref="I3:I31" si="1">AVERAGE(F3:H3)</f>
        <v>61.666666666666664</v>
      </c>
      <c r="J3" s="4">
        <v>80</v>
      </c>
      <c r="K3" s="4">
        <v>85</v>
      </c>
      <c r="L3" s="4">
        <v>90</v>
      </c>
      <c r="M3" s="4">
        <f t="shared" ref="M3:M31" si="2">AVERAGE(J3:L3)</f>
        <v>85</v>
      </c>
      <c r="N3" s="4">
        <v>100</v>
      </c>
      <c r="O3" s="4">
        <v>100</v>
      </c>
      <c r="P3" s="4">
        <v>100</v>
      </c>
      <c r="Q3" s="4">
        <f t="shared" ref="Q3:Q31" si="3">AVERAGE(N3:P3)</f>
        <v>100</v>
      </c>
      <c r="R3" s="3">
        <f>E3</f>
        <v>19.333333333333332</v>
      </c>
    </row>
    <row r="4" spans="1:18" ht="45" x14ac:dyDescent="0.25">
      <c r="A4" s="1" t="s">
        <v>10</v>
      </c>
      <c r="B4" s="4">
        <v>20</v>
      </c>
      <c r="C4" s="4">
        <v>18</v>
      </c>
      <c r="D4" s="4">
        <v>20</v>
      </c>
      <c r="E4" s="4">
        <f t="shared" si="0"/>
        <v>19.333333333333332</v>
      </c>
      <c r="F4" s="4">
        <v>60</v>
      </c>
      <c r="G4" s="4">
        <v>65</v>
      </c>
      <c r="H4" s="4">
        <v>60</v>
      </c>
      <c r="I4" s="4">
        <f t="shared" si="1"/>
        <v>61.666666666666664</v>
      </c>
      <c r="J4" s="4">
        <v>70</v>
      </c>
      <c r="K4" s="4">
        <v>85</v>
      </c>
      <c r="L4" s="4">
        <v>90</v>
      </c>
      <c r="M4" s="4">
        <f t="shared" si="2"/>
        <v>81.666666666666671</v>
      </c>
      <c r="N4" s="4">
        <v>100</v>
      </c>
      <c r="O4" s="4">
        <v>100</v>
      </c>
      <c r="P4" s="4">
        <v>100</v>
      </c>
      <c r="Q4" s="4">
        <f t="shared" si="3"/>
        <v>100</v>
      </c>
      <c r="R4" s="3">
        <f>I4</f>
        <v>61.666666666666664</v>
      </c>
    </row>
    <row r="5" spans="1:18" ht="30" x14ac:dyDescent="0.25">
      <c r="A5" s="1" t="s">
        <v>29</v>
      </c>
      <c r="B5" s="4">
        <v>20</v>
      </c>
      <c r="C5" s="4">
        <v>18</v>
      </c>
      <c r="D5" s="4">
        <v>20</v>
      </c>
      <c r="E5" s="4">
        <f t="shared" si="0"/>
        <v>19.333333333333332</v>
      </c>
      <c r="F5" s="4">
        <v>60</v>
      </c>
      <c r="G5" s="4">
        <v>65</v>
      </c>
      <c r="H5" s="4">
        <v>60</v>
      </c>
      <c r="I5" s="4">
        <f t="shared" si="1"/>
        <v>61.666666666666664</v>
      </c>
      <c r="J5" s="4">
        <v>80</v>
      </c>
      <c r="K5" s="4">
        <v>60</v>
      </c>
      <c r="L5" s="4">
        <v>90</v>
      </c>
      <c r="M5" s="4">
        <f t="shared" si="2"/>
        <v>76.666666666666671</v>
      </c>
      <c r="N5" s="4">
        <v>100</v>
      </c>
      <c r="O5" s="4">
        <v>100</v>
      </c>
      <c r="P5" s="4">
        <v>100</v>
      </c>
      <c r="Q5" s="4">
        <f t="shared" si="3"/>
        <v>100</v>
      </c>
      <c r="R5" s="3">
        <f>M5</f>
        <v>76.666666666666671</v>
      </c>
    </row>
    <row r="6" spans="1:18" ht="45" x14ac:dyDescent="0.25">
      <c r="A6" s="1" t="s">
        <v>31</v>
      </c>
      <c r="B6" s="4">
        <v>20</v>
      </c>
      <c r="C6" s="4">
        <v>18</v>
      </c>
      <c r="D6" s="4">
        <v>20</v>
      </c>
      <c r="E6" s="4">
        <f t="shared" si="0"/>
        <v>19.333333333333332</v>
      </c>
      <c r="F6" s="4">
        <v>55</v>
      </c>
      <c r="G6" s="4">
        <v>65</v>
      </c>
      <c r="H6" s="4">
        <v>60</v>
      </c>
      <c r="I6" s="4">
        <f t="shared" si="1"/>
        <v>60</v>
      </c>
      <c r="J6" s="4">
        <v>84</v>
      </c>
      <c r="K6" s="4">
        <v>85</v>
      </c>
      <c r="L6" s="4">
        <v>90</v>
      </c>
      <c r="M6" s="4">
        <f t="shared" si="2"/>
        <v>86.333333333333329</v>
      </c>
      <c r="N6" s="4">
        <v>100</v>
      </c>
      <c r="O6" s="4">
        <v>100</v>
      </c>
      <c r="P6" s="4">
        <v>100</v>
      </c>
      <c r="Q6" s="4">
        <f t="shared" si="3"/>
        <v>100</v>
      </c>
      <c r="R6" s="3">
        <f>Q6</f>
        <v>100</v>
      </c>
    </row>
    <row r="7" spans="1:18" ht="30" x14ac:dyDescent="0.25">
      <c r="A7" s="1" t="s">
        <v>30</v>
      </c>
      <c r="B7" s="4">
        <v>20</v>
      </c>
      <c r="C7" s="4">
        <v>18</v>
      </c>
      <c r="D7" s="4">
        <v>12</v>
      </c>
      <c r="E7" s="4">
        <f t="shared" si="0"/>
        <v>16.666666666666668</v>
      </c>
      <c r="F7" s="4">
        <v>60</v>
      </c>
      <c r="G7" s="4">
        <v>42</v>
      </c>
      <c r="H7" s="4">
        <v>60</v>
      </c>
      <c r="I7" s="4">
        <f t="shared" si="1"/>
        <v>54</v>
      </c>
      <c r="J7" s="4">
        <v>95</v>
      </c>
      <c r="K7" s="4">
        <v>85</v>
      </c>
      <c r="L7" s="4">
        <v>90</v>
      </c>
      <c r="M7" s="4">
        <f t="shared" si="2"/>
        <v>90</v>
      </c>
      <c r="N7" s="4">
        <v>100</v>
      </c>
      <c r="O7" s="4">
        <v>100</v>
      </c>
      <c r="P7" s="4">
        <v>100</v>
      </c>
      <c r="Q7" s="4">
        <f t="shared" si="3"/>
        <v>100</v>
      </c>
      <c r="R7" s="3">
        <f>I7</f>
        <v>54</v>
      </c>
    </row>
    <row r="8" spans="1:18" ht="45" x14ac:dyDescent="0.25">
      <c r="A8" s="1" t="s">
        <v>8</v>
      </c>
      <c r="B8" s="4">
        <v>20</v>
      </c>
      <c r="C8" s="4">
        <v>18</v>
      </c>
      <c r="D8" s="4">
        <v>19</v>
      </c>
      <c r="E8" s="4">
        <f t="shared" si="0"/>
        <v>19</v>
      </c>
      <c r="F8" s="4">
        <v>60</v>
      </c>
      <c r="G8" s="4">
        <v>65</v>
      </c>
      <c r="H8" s="4">
        <v>60</v>
      </c>
      <c r="I8" s="4">
        <f t="shared" si="1"/>
        <v>61.666666666666664</v>
      </c>
      <c r="J8" s="4">
        <v>80</v>
      </c>
      <c r="K8" s="4">
        <v>87</v>
      </c>
      <c r="L8" s="4">
        <v>90</v>
      </c>
      <c r="M8" s="4">
        <f t="shared" si="2"/>
        <v>85.666666666666671</v>
      </c>
      <c r="N8" s="4">
        <v>100</v>
      </c>
      <c r="O8" s="4">
        <v>100</v>
      </c>
      <c r="P8" s="4">
        <v>100</v>
      </c>
      <c r="Q8" s="4">
        <f t="shared" si="3"/>
        <v>100</v>
      </c>
      <c r="R8" s="3">
        <f>M9</f>
        <v>84.333333333333329</v>
      </c>
    </row>
    <row r="9" spans="1:18" ht="45" x14ac:dyDescent="0.25">
      <c r="A9" s="1" t="s">
        <v>32</v>
      </c>
      <c r="B9" s="4">
        <v>18</v>
      </c>
      <c r="C9" s="4">
        <v>12</v>
      </c>
      <c r="D9" s="4">
        <v>5</v>
      </c>
      <c r="E9" s="4">
        <f t="shared" si="0"/>
        <v>11.666666666666666</v>
      </c>
      <c r="F9" s="4">
        <v>60</v>
      </c>
      <c r="G9" s="4">
        <v>62</v>
      </c>
      <c r="H9" s="4">
        <v>60</v>
      </c>
      <c r="I9" s="4">
        <f t="shared" si="1"/>
        <v>60.666666666666664</v>
      </c>
      <c r="J9" s="4">
        <v>80</v>
      </c>
      <c r="K9" s="4">
        <v>85</v>
      </c>
      <c r="L9" s="4">
        <v>88</v>
      </c>
      <c r="M9" s="4">
        <f t="shared" si="2"/>
        <v>84.333333333333329</v>
      </c>
      <c r="N9" s="4">
        <v>100</v>
      </c>
      <c r="O9" s="4">
        <v>100</v>
      </c>
      <c r="P9" s="4">
        <v>100</v>
      </c>
      <c r="Q9" s="4">
        <f t="shared" si="3"/>
        <v>100</v>
      </c>
      <c r="R9" s="3">
        <f>Q9</f>
        <v>100</v>
      </c>
    </row>
    <row r="10" spans="1:18" ht="30" x14ac:dyDescent="0.25">
      <c r="A10" s="1" t="s">
        <v>14</v>
      </c>
      <c r="B10" s="4">
        <v>18</v>
      </c>
      <c r="C10" s="4">
        <v>19</v>
      </c>
      <c r="D10" s="4">
        <v>5</v>
      </c>
      <c r="E10" s="4">
        <f t="shared" si="0"/>
        <v>14</v>
      </c>
      <c r="F10" s="4">
        <v>60</v>
      </c>
      <c r="G10" s="4">
        <v>65</v>
      </c>
      <c r="H10" s="4">
        <v>60</v>
      </c>
      <c r="I10" s="4">
        <f t="shared" si="1"/>
        <v>61.666666666666664</v>
      </c>
      <c r="J10" s="4">
        <v>80</v>
      </c>
      <c r="K10" s="4">
        <v>85</v>
      </c>
      <c r="L10" s="4">
        <v>90</v>
      </c>
      <c r="M10" s="4">
        <f t="shared" si="2"/>
        <v>85</v>
      </c>
      <c r="N10" s="4">
        <v>100</v>
      </c>
      <c r="O10" s="4">
        <v>100</v>
      </c>
      <c r="P10" s="4">
        <v>100</v>
      </c>
      <c r="Q10" s="4">
        <f t="shared" si="3"/>
        <v>100</v>
      </c>
      <c r="R10" s="3">
        <f>I10</f>
        <v>61.666666666666664</v>
      </c>
    </row>
    <row r="11" spans="1:18" ht="30" x14ac:dyDescent="0.25">
      <c r="A11" s="1" t="s">
        <v>12</v>
      </c>
      <c r="B11" s="4">
        <v>18</v>
      </c>
      <c r="C11" s="4">
        <v>22</v>
      </c>
      <c r="D11" s="4">
        <v>5</v>
      </c>
      <c r="E11" s="4">
        <f t="shared" si="0"/>
        <v>15</v>
      </c>
      <c r="F11" s="4">
        <v>60</v>
      </c>
      <c r="G11" s="4">
        <v>65</v>
      </c>
      <c r="H11" s="4">
        <v>55</v>
      </c>
      <c r="I11" s="4">
        <f t="shared" si="1"/>
        <v>60</v>
      </c>
      <c r="J11" s="4">
        <v>70</v>
      </c>
      <c r="K11" s="4">
        <v>85</v>
      </c>
      <c r="L11" s="4">
        <v>90</v>
      </c>
      <c r="M11" s="4">
        <f t="shared" si="2"/>
        <v>81.666666666666671</v>
      </c>
      <c r="N11" s="4">
        <v>100</v>
      </c>
      <c r="O11" s="4">
        <v>100</v>
      </c>
      <c r="P11" s="4">
        <v>100</v>
      </c>
      <c r="Q11" s="4">
        <f t="shared" si="3"/>
        <v>100</v>
      </c>
      <c r="R11" s="3">
        <f>Q11</f>
        <v>100</v>
      </c>
    </row>
    <row r="12" spans="1:18" ht="45" x14ac:dyDescent="0.25">
      <c r="A12" s="1" t="s">
        <v>20</v>
      </c>
      <c r="B12" s="4">
        <v>27</v>
      </c>
      <c r="C12" s="4">
        <v>29</v>
      </c>
      <c r="D12" s="4">
        <v>5</v>
      </c>
      <c r="E12" s="4">
        <f t="shared" si="0"/>
        <v>20.333333333333332</v>
      </c>
      <c r="F12" s="4">
        <v>60</v>
      </c>
      <c r="G12" s="4">
        <v>65</v>
      </c>
      <c r="H12" s="4">
        <v>44</v>
      </c>
      <c r="I12" s="4">
        <f t="shared" si="1"/>
        <v>56.333333333333336</v>
      </c>
      <c r="J12" s="4">
        <v>80</v>
      </c>
      <c r="K12" s="4">
        <v>60</v>
      </c>
      <c r="L12" s="4">
        <v>90</v>
      </c>
      <c r="M12" s="4">
        <f t="shared" si="2"/>
        <v>76.666666666666671</v>
      </c>
      <c r="N12" s="4">
        <v>100</v>
      </c>
      <c r="O12" s="4">
        <v>100</v>
      </c>
      <c r="P12" s="4">
        <v>100</v>
      </c>
      <c r="Q12" s="4">
        <f t="shared" si="3"/>
        <v>100</v>
      </c>
      <c r="R12" s="3">
        <f>I12</f>
        <v>56.333333333333336</v>
      </c>
    </row>
    <row r="13" spans="1:18" ht="30" x14ac:dyDescent="0.25">
      <c r="A13" s="1" t="s">
        <v>26</v>
      </c>
      <c r="B13" s="4">
        <v>14</v>
      </c>
      <c r="C13" s="4">
        <v>20</v>
      </c>
      <c r="D13" s="4">
        <v>5</v>
      </c>
      <c r="E13" s="4">
        <f t="shared" si="0"/>
        <v>13</v>
      </c>
      <c r="F13" s="4">
        <v>60</v>
      </c>
      <c r="G13" s="4">
        <v>65</v>
      </c>
      <c r="H13" s="4">
        <v>42</v>
      </c>
      <c r="I13" s="4">
        <f t="shared" si="1"/>
        <v>55.666666666666664</v>
      </c>
      <c r="J13" s="4">
        <v>84</v>
      </c>
      <c r="K13" s="4">
        <v>85</v>
      </c>
      <c r="L13" s="4">
        <v>90</v>
      </c>
      <c r="M13" s="4">
        <f t="shared" si="2"/>
        <v>86.333333333333329</v>
      </c>
      <c r="N13" s="4">
        <v>100</v>
      </c>
      <c r="O13" s="4">
        <v>100</v>
      </c>
      <c r="P13" s="4">
        <v>100</v>
      </c>
      <c r="Q13" s="4">
        <f t="shared" si="3"/>
        <v>100</v>
      </c>
      <c r="R13" s="3">
        <f>I13</f>
        <v>55.666666666666664</v>
      </c>
    </row>
    <row r="14" spans="1:18" ht="30" x14ac:dyDescent="0.25">
      <c r="A14" s="1" t="s">
        <v>27</v>
      </c>
      <c r="B14" s="4">
        <v>20</v>
      </c>
      <c r="C14" s="4">
        <v>10</v>
      </c>
      <c r="D14" s="4">
        <v>20</v>
      </c>
      <c r="E14" s="4">
        <f t="shared" si="0"/>
        <v>16.666666666666668</v>
      </c>
      <c r="F14" s="4">
        <v>60</v>
      </c>
      <c r="G14" s="4">
        <v>65</v>
      </c>
      <c r="H14" s="4">
        <v>33</v>
      </c>
      <c r="I14" s="4">
        <f t="shared" si="1"/>
        <v>52.666666666666664</v>
      </c>
      <c r="J14" s="4">
        <v>95</v>
      </c>
      <c r="K14" s="4">
        <v>85</v>
      </c>
      <c r="L14" s="4">
        <v>90</v>
      </c>
      <c r="M14" s="4">
        <f t="shared" si="2"/>
        <v>90</v>
      </c>
      <c r="N14" s="4">
        <v>100</v>
      </c>
      <c r="O14" s="4">
        <v>100</v>
      </c>
      <c r="P14" s="4">
        <v>100</v>
      </c>
      <c r="Q14" s="4">
        <f t="shared" si="3"/>
        <v>100</v>
      </c>
      <c r="R14" s="3">
        <f>M14</f>
        <v>90</v>
      </c>
    </row>
    <row r="15" spans="1:18" ht="45" x14ac:dyDescent="0.25">
      <c r="A15" s="1" t="s">
        <v>24</v>
      </c>
      <c r="B15" s="4">
        <v>20</v>
      </c>
      <c r="C15" s="4">
        <v>22</v>
      </c>
      <c r="D15" s="4">
        <v>20</v>
      </c>
      <c r="E15" s="4">
        <f t="shared" si="0"/>
        <v>20.666666666666668</v>
      </c>
      <c r="F15" s="4">
        <v>60</v>
      </c>
      <c r="G15" s="4">
        <v>65</v>
      </c>
      <c r="H15" s="4">
        <v>65</v>
      </c>
      <c r="I15" s="4">
        <f t="shared" si="1"/>
        <v>63.333333333333336</v>
      </c>
      <c r="J15" s="4">
        <v>80</v>
      </c>
      <c r="K15" s="4">
        <v>87</v>
      </c>
      <c r="L15" s="4">
        <v>90</v>
      </c>
      <c r="M15" s="4">
        <f t="shared" si="2"/>
        <v>85.666666666666671</v>
      </c>
      <c r="N15" s="4">
        <v>100</v>
      </c>
      <c r="O15" s="4">
        <v>100</v>
      </c>
      <c r="P15" s="4">
        <v>100</v>
      </c>
      <c r="Q15" s="4">
        <f t="shared" si="3"/>
        <v>100</v>
      </c>
      <c r="R15" s="3">
        <f>Q15</f>
        <v>100</v>
      </c>
    </row>
    <row r="16" spans="1:18" ht="30" x14ac:dyDescent="0.25">
      <c r="A16" s="1" t="s">
        <v>13</v>
      </c>
      <c r="B16" s="4">
        <v>20</v>
      </c>
      <c r="C16" s="4">
        <v>30</v>
      </c>
      <c r="D16" s="4">
        <v>20</v>
      </c>
      <c r="E16" s="4">
        <f t="shared" si="0"/>
        <v>23.333333333333332</v>
      </c>
      <c r="F16" s="4">
        <v>60</v>
      </c>
      <c r="G16" s="4">
        <v>65</v>
      </c>
      <c r="H16" s="4">
        <v>49</v>
      </c>
      <c r="I16" s="4">
        <f t="shared" si="1"/>
        <v>58</v>
      </c>
      <c r="J16" s="4">
        <v>80</v>
      </c>
      <c r="K16" s="4">
        <v>85</v>
      </c>
      <c r="L16" s="4">
        <v>88</v>
      </c>
      <c r="M16" s="4">
        <f t="shared" si="2"/>
        <v>84.333333333333329</v>
      </c>
      <c r="N16" s="4">
        <v>100</v>
      </c>
      <c r="O16" s="4">
        <v>100</v>
      </c>
      <c r="P16" s="4">
        <v>100</v>
      </c>
      <c r="Q16" s="4">
        <f t="shared" si="3"/>
        <v>100</v>
      </c>
      <c r="R16" s="3">
        <f>I16</f>
        <v>58</v>
      </c>
    </row>
    <row r="17" spans="1:18" ht="30" x14ac:dyDescent="0.25">
      <c r="A17" s="1" t="s">
        <v>21</v>
      </c>
      <c r="B17" s="4">
        <v>18</v>
      </c>
      <c r="C17" s="4">
        <v>20</v>
      </c>
      <c r="D17" s="4">
        <v>5</v>
      </c>
      <c r="E17" s="4">
        <f t="shared" si="0"/>
        <v>14.333333333333334</v>
      </c>
      <c r="F17" s="4">
        <v>60</v>
      </c>
      <c r="G17" s="4">
        <v>55</v>
      </c>
      <c r="H17" s="4">
        <v>65</v>
      </c>
      <c r="I17" s="4">
        <f t="shared" si="1"/>
        <v>60</v>
      </c>
      <c r="J17" s="4">
        <v>80</v>
      </c>
      <c r="K17" s="4">
        <v>74</v>
      </c>
      <c r="L17" s="4">
        <v>90</v>
      </c>
      <c r="M17" s="4">
        <f t="shared" si="2"/>
        <v>81.333333333333329</v>
      </c>
      <c r="N17" s="4">
        <v>100</v>
      </c>
      <c r="O17" s="4">
        <v>100</v>
      </c>
      <c r="P17" s="4">
        <v>100</v>
      </c>
      <c r="Q17" s="4">
        <f t="shared" si="3"/>
        <v>100</v>
      </c>
      <c r="R17" s="3">
        <f>M18</f>
        <v>85</v>
      </c>
    </row>
    <row r="18" spans="1:18" ht="45" x14ac:dyDescent="0.25">
      <c r="A18" s="1" t="s">
        <v>22</v>
      </c>
      <c r="B18" s="4">
        <v>18</v>
      </c>
      <c r="C18" s="4">
        <v>20</v>
      </c>
      <c r="D18" s="4">
        <v>5</v>
      </c>
      <c r="E18" s="4">
        <f t="shared" si="0"/>
        <v>14.333333333333334</v>
      </c>
      <c r="F18" s="4">
        <v>60</v>
      </c>
      <c r="G18" s="4">
        <v>60</v>
      </c>
      <c r="H18" s="4">
        <v>42</v>
      </c>
      <c r="I18" s="4">
        <f t="shared" si="1"/>
        <v>54</v>
      </c>
      <c r="J18" s="4">
        <v>80</v>
      </c>
      <c r="K18" s="4">
        <v>85</v>
      </c>
      <c r="L18" s="4">
        <v>90</v>
      </c>
      <c r="M18" s="4">
        <f t="shared" si="2"/>
        <v>85</v>
      </c>
      <c r="N18" s="4">
        <v>100</v>
      </c>
      <c r="O18" s="4">
        <v>100</v>
      </c>
      <c r="P18" s="4">
        <v>100</v>
      </c>
      <c r="Q18" s="4">
        <f t="shared" si="3"/>
        <v>100</v>
      </c>
      <c r="R18" s="3">
        <f>Q18</f>
        <v>100</v>
      </c>
    </row>
    <row r="19" spans="1:18" ht="30" x14ac:dyDescent="0.25">
      <c r="A19" s="1" t="s">
        <v>17</v>
      </c>
      <c r="B19" s="4">
        <v>18</v>
      </c>
      <c r="C19" s="4">
        <v>12</v>
      </c>
      <c r="D19" s="4">
        <v>5</v>
      </c>
      <c r="E19" s="4">
        <f t="shared" si="0"/>
        <v>11.666666666666666</v>
      </c>
      <c r="F19" s="4">
        <v>55</v>
      </c>
      <c r="G19" s="4">
        <v>65</v>
      </c>
      <c r="H19" s="4">
        <v>60</v>
      </c>
      <c r="I19" s="4">
        <f t="shared" si="1"/>
        <v>60</v>
      </c>
      <c r="J19" s="4">
        <v>80</v>
      </c>
      <c r="K19" s="4">
        <v>85</v>
      </c>
      <c r="L19" s="4">
        <v>90</v>
      </c>
      <c r="M19" s="4">
        <f t="shared" si="2"/>
        <v>85</v>
      </c>
      <c r="N19" s="4">
        <v>100</v>
      </c>
      <c r="O19" s="4">
        <v>100</v>
      </c>
      <c r="P19" s="4">
        <v>100</v>
      </c>
      <c r="Q19" s="4">
        <f t="shared" si="3"/>
        <v>100</v>
      </c>
      <c r="R19" s="3">
        <f>I19</f>
        <v>60</v>
      </c>
    </row>
    <row r="20" spans="1:18" ht="45" x14ac:dyDescent="0.25">
      <c r="A20" s="1" t="s">
        <v>23</v>
      </c>
      <c r="B20" s="4">
        <v>18</v>
      </c>
      <c r="C20" s="4">
        <v>19</v>
      </c>
      <c r="D20" s="4">
        <v>5</v>
      </c>
      <c r="E20" s="4">
        <f t="shared" si="0"/>
        <v>14</v>
      </c>
      <c r="F20" s="4">
        <v>60</v>
      </c>
      <c r="G20" s="4">
        <v>42</v>
      </c>
      <c r="H20" s="4">
        <v>60</v>
      </c>
      <c r="I20" s="4">
        <f t="shared" si="1"/>
        <v>54</v>
      </c>
      <c r="J20" s="4">
        <v>80</v>
      </c>
      <c r="K20" s="4">
        <v>85</v>
      </c>
      <c r="L20" s="4">
        <v>90</v>
      </c>
      <c r="M20" s="4">
        <f t="shared" si="2"/>
        <v>85</v>
      </c>
      <c r="N20" s="4">
        <v>100</v>
      </c>
      <c r="O20" s="4">
        <v>100</v>
      </c>
      <c r="P20" s="4">
        <v>100</v>
      </c>
      <c r="Q20" s="4">
        <f t="shared" si="3"/>
        <v>100</v>
      </c>
      <c r="R20" s="3">
        <f>M21</f>
        <v>81.666666666666671</v>
      </c>
    </row>
    <row r="21" spans="1:18" ht="30" x14ac:dyDescent="0.25">
      <c r="A21" s="1" t="s">
        <v>15</v>
      </c>
      <c r="B21" s="4">
        <v>12</v>
      </c>
      <c r="C21" s="4">
        <v>18</v>
      </c>
      <c r="D21" s="4">
        <v>20</v>
      </c>
      <c r="E21" s="4">
        <f t="shared" si="0"/>
        <v>16.666666666666668</v>
      </c>
      <c r="F21" s="4">
        <v>60</v>
      </c>
      <c r="G21" s="4">
        <v>65</v>
      </c>
      <c r="H21" s="4">
        <v>60</v>
      </c>
      <c r="I21" s="4">
        <f t="shared" si="1"/>
        <v>61.666666666666664</v>
      </c>
      <c r="J21" s="4">
        <v>70</v>
      </c>
      <c r="K21" s="4">
        <v>85</v>
      </c>
      <c r="L21" s="4">
        <v>90</v>
      </c>
      <c r="M21" s="4">
        <f t="shared" si="2"/>
        <v>81.666666666666671</v>
      </c>
      <c r="N21" s="4">
        <v>100</v>
      </c>
      <c r="O21" s="4">
        <v>100</v>
      </c>
      <c r="P21" s="4">
        <v>100</v>
      </c>
      <c r="Q21" s="4">
        <f t="shared" si="3"/>
        <v>100</v>
      </c>
      <c r="R21" s="3">
        <f>Q21</f>
        <v>100</v>
      </c>
    </row>
    <row r="22" spans="1:18" x14ac:dyDescent="0.25">
      <c r="A22" s="1" t="s">
        <v>34</v>
      </c>
      <c r="B22" s="4">
        <v>19</v>
      </c>
      <c r="C22" s="4">
        <v>18</v>
      </c>
      <c r="D22" s="4">
        <v>20</v>
      </c>
      <c r="E22" s="4">
        <f t="shared" si="0"/>
        <v>19</v>
      </c>
      <c r="F22" s="4">
        <v>60</v>
      </c>
      <c r="G22" s="4">
        <v>55</v>
      </c>
      <c r="H22" s="4">
        <v>65</v>
      </c>
      <c r="I22" s="4">
        <f t="shared" si="1"/>
        <v>60</v>
      </c>
      <c r="J22" s="4">
        <v>80</v>
      </c>
      <c r="K22" s="4">
        <v>60</v>
      </c>
      <c r="L22" s="4">
        <v>90</v>
      </c>
      <c r="M22" s="4">
        <f t="shared" si="2"/>
        <v>76.666666666666671</v>
      </c>
      <c r="N22" s="4">
        <v>100</v>
      </c>
      <c r="O22" s="4">
        <v>100</v>
      </c>
      <c r="P22" s="4">
        <v>100</v>
      </c>
      <c r="Q22" s="4">
        <f t="shared" si="3"/>
        <v>100</v>
      </c>
      <c r="R22" s="3">
        <f>I22</f>
        <v>60</v>
      </c>
    </row>
    <row r="23" spans="1:18" ht="45" x14ac:dyDescent="0.25">
      <c r="A23" s="1" t="s">
        <v>7</v>
      </c>
      <c r="B23" s="4">
        <v>22</v>
      </c>
      <c r="C23" s="4">
        <v>18</v>
      </c>
      <c r="D23" s="4">
        <v>12</v>
      </c>
      <c r="E23" s="4">
        <f t="shared" si="0"/>
        <v>17.333333333333332</v>
      </c>
      <c r="F23" s="4">
        <v>55</v>
      </c>
      <c r="G23" s="4">
        <v>65</v>
      </c>
      <c r="H23" s="4">
        <v>60</v>
      </c>
      <c r="I23" s="4">
        <f t="shared" si="1"/>
        <v>60</v>
      </c>
      <c r="J23" s="4">
        <v>84</v>
      </c>
      <c r="K23" s="4">
        <v>85</v>
      </c>
      <c r="L23" s="4">
        <v>90</v>
      </c>
      <c r="M23" s="4">
        <f t="shared" si="2"/>
        <v>86.333333333333329</v>
      </c>
      <c r="N23" s="4">
        <v>100</v>
      </c>
      <c r="O23" s="4">
        <v>100</v>
      </c>
      <c r="P23" s="4">
        <v>100</v>
      </c>
      <c r="Q23" s="4">
        <f t="shared" si="3"/>
        <v>100</v>
      </c>
      <c r="R23" s="3">
        <f>M23</f>
        <v>86.333333333333329</v>
      </c>
    </row>
    <row r="24" spans="1:18" ht="30" x14ac:dyDescent="0.25">
      <c r="A24" s="1" t="s">
        <v>9</v>
      </c>
      <c r="B24" s="4">
        <v>20</v>
      </c>
      <c r="C24" s="4">
        <v>18</v>
      </c>
      <c r="D24" s="4">
        <v>19</v>
      </c>
      <c r="E24" s="4">
        <f t="shared" si="0"/>
        <v>19</v>
      </c>
      <c r="F24" s="4">
        <v>60</v>
      </c>
      <c r="G24" s="4">
        <v>42</v>
      </c>
      <c r="H24" s="4">
        <v>60</v>
      </c>
      <c r="I24" s="4">
        <f t="shared" si="1"/>
        <v>54</v>
      </c>
      <c r="J24" s="4">
        <v>80</v>
      </c>
      <c r="K24" s="4">
        <v>74</v>
      </c>
      <c r="L24" s="4">
        <v>90</v>
      </c>
      <c r="M24" s="4">
        <f t="shared" si="2"/>
        <v>81.333333333333329</v>
      </c>
      <c r="N24" s="4">
        <v>100</v>
      </c>
      <c r="O24" s="4">
        <v>100</v>
      </c>
      <c r="P24" s="4">
        <v>100</v>
      </c>
      <c r="Q24" s="4">
        <f t="shared" si="3"/>
        <v>100</v>
      </c>
      <c r="R24" s="3">
        <f>Q24</f>
        <v>100</v>
      </c>
    </row>
    <row r="25" spans="1:18" ht="45" x14ac:dyDescent="0.25">
      <c r="A25" s="1" t="s">
        <v>33</v>
      </c>
      <c r="B25" s="4">
        <v>20</v>
      </c>
      <c r="C25" s="4">
        <v>12</v>
      </c>
      <c r="D25" s="4">
        <v>5</v>
      </c>
      <c r="E25" s="4">
        <f t="shared" si="0"/>
        <v>12.333333333333334</v>
      </c>
      <c r="F25" s="4">
        <v>60</v>
      </c>
      <c r="G25" s="4">
        <v>65</v>
      </c>
      <c r="H25" s="4">
        <v>60</v>
      </c>
      <c r="I25" s="4">
        <f t="shared" si="1"/>
        <v>61.666666666666664</v>
      </c>
      <c r="J25" s="4">
        <v>80</v>
      </c>
      <c r="K25" s="4">
        <v>85</v>
      </c>
      <c r="L25" s="4">
        <v>90</v>
      </c>
      <c r="M25" s="4">
        <f t="shared" si="2"/>
        <v>85</v>
      </c>
      <c r="N25" s="4">
        <v>100</v>
      </c>
      <c r="O25" s="4">
        <v>100</v>
      </c>
      <c r="P25" s="4">
        <v>100</v>
      </c>
      <c r="Q25" s="4">
        <f t="shared" si="3"/>
        <v>100</v>
      </c>
      <c r="R25" s="3">
        <f>I25</f>
        <v>61.666666666666664</v>
      </c>
    </row>
    <row r="26" spans="1:18" ht="45" x14ac:dyDescent="0.25">
      <c r="A26" s="1" t="s">
        <v>16</v>
      </c>
      <c r="B26" s="4">
        <v>20</v>
      </c>
      <c r="C26" s="4">
        <v>19</v>
      </c>
      <c r="D26" s="4">
        <v>5</v>
      </c>
      <c r="E26" s="4">
        <f t="shared" si="0"/>
        <v>14.666666666666666</v>
      </c>
      <c r="F26" s="4">
        <v>60</v>
      </c>
      <c r="G26" s="4">
        <v>65</v>
      </c>
      <c r="H26" s="4">
        <v>55</v>
      </c>
      <c r="I26" s="4">
        <f t="shared" si="1"/>
        <v>60</v>
      </c>
      <c r="J26" s="4">
        <v>80</v>
      </c>
      <c r="K26" s="4">
        <v>85</v>
      </c>
      <c r="L26" s="4">
        <v>90</v>
      </c>
      <c r="M26" s="4">
        <f t="shared" si="2"/>
        <v>85</v>
      </c>
      <c r="N26" s="4">
        <v>100</v>
      </c>
      <c r="O26" s="4">
        <v>100</v>
      </c>
      <c r="P26" s="4">
        <v>100</v>
      </c>
      <c r="Q26" s="4">
        <f t="shared" si="3"/>
        <v>100</v>
      </c>
      <c r="R26" s="3">
        <f>M26</f>
        <v>85</v>
      </c>
    </row>
    <row r="27" spans="1:18" ht="45" x14ac:dyDescent="0.25">
      <c r="A27" s="1" t="s">
        <v>11</v>
      </c>
      <c r="B27" s="4">
        <v>20</v>
      </c>
      <c r="C27" s="4">
        <v>18</v>
      </c>
      <c r="D27" s="4">
        <v>18</v>
      </c>
      <c r="E27" s="4">
        <f t="shared" si="0"/>
        <v>18.666666666666668</v>
      </c>
      <c r="F27" s="4">
        <v>65</v>
      </c>
      <c r="G27" s="4">
        <v>55</v>
      </c>
      <c r="H27" s="4">
        <v>70</v>
      </c>
      <c r="I27" s="4">
        <f t="shared" si="1"/>
        <v>63.333333333333336</v>
      </c>
      <c r="J27" s="4">
        <v>70</v>
      </c>
      <c r="K27" s="4">
        <v>85</v>
      </c>
      <c r="L27" s="4">
        <v>90</v>
      </c>
      <c r="M27" s="4">
        <f t="shared" si="2"/>
        <v>81.666666666666671</v>
      </c>
      <c r="N27" s="4">
        <v>100</v>
      </c>
      <c r="O27" s="4">
        <v>100</v>
      </c>
      <c r="P27" s="4">
        <v>100</v>
      </c>
      <c r="Q27" s="4">
        <f t="shared" si="3"/>
        <v>100</v>
      </c>
      <c r="R27" s="3">
        <f>I27</f>
        <v>63.333333333333336</v>
      </c>
    </row>
    <row r="28" spans="1:18" ht="30" x14ac:dyDescent="0.25">
      <c r="A28" s="1" t="s">
        <v>18</v>
      </c>
      <c r="B28" s="4">
        <v>20</v>
      </c>
      <c r="C28" s="4">
        <v>18</v>
      </c>
      <c r="D28" s="4">
        <v>18</v>
      </c>
      <c r="E28" s="4">
        <f t="shared" si="0"/>
        <v>18.666666666666668</v>
      </c>
      <c r="F28" s="4">
        <v>65</v>
      </c>
      <c r="G28" s="4">
        <v>44</v>
      </c>
      <c r="H28" s="4">
        <v>70</v>
      </c>
      <c r="I28" s="4">
        <f t="shared" si="1"/>
        <v>59.666666666666664</v>
      </c>
      <c r="J28" s="4">
        <v>80</v>
      </c>
      <c r="K28" s="4">
        <v>85</v>
      </c>
      <c r="L28" s="4">
        <v>77</v>
      </c>
      <c r="M28" s="4">
        <f t="shared" si="2"/>
        <v>80.666666666666671</v>
      </c>
      <c r="N28" s="4">
        <v>100</v>
      </c>
      <c r="O28" s="4">
        <v>100</v>
      </c>
      <c r="P28" s="4">
        <v>100</v>
      </c>
      <c r="Q28" s="4">
        <f t="shared" si="3"/>
        <v>100</v>
      </c>
      <c r="R28" s="3">
        <f>Q28</f>
        <v>100</v>
      </c>
    </row>
    <row r="29" spans="1:18" ht="45" x14ac:dyDescent="0.25">
      <c r="A29" s="1" t="s">
        <v>35</v>
      </c>
      <c r="B29" s="4">
        <v>20</v>
      </c>
      <c r="C29" s="4">
        <v>18</v>
      </c>
      <c r="D29" s="4">
        <v>18</v>
      </c>
      <c r="E29" s="4">
        <f t="shared" si="0"/>
        <v>18.666666666666668</v>
      </c>
      <c r="F29" s="4">
        <v>65</v>
      </c>
      <c r="G29" s="4">
        <v>42</v>
      </c>
      <c r="H29" s="4">
        <v>70</v>
      </c>
      <c r="I29" s="4">
        <f t="shared" si="1"/>
        <v>59</v>
      </c>
      <c r="J29" s="4">
        <v>70</v>
      </c>
      <c r="K29" s="4">
        <v>85</v>
      </c>
      <c r="L29" s="4">
        <v>90</v>
      </c>
      <c r="M29" s="4">
        <f t="shared" si="2"/>
        <v>81.666666666666671</v>
      </c>
      <c r="N29" s="4">
        <v>100</v>
      </c>
      <c r="O29" s="4">
        <v>100</v>
      </c>
      <c r="P29" s="4">
        <v>100</v>
      </c>
      <c r="Q29" s="4">
        <f t="shared" si="3"/>
        <v>100</v>
      </c>
      <c r="R29" s="3">
        <f>Q29</f>
        <v>100</v>
      </c>
    </row>
    <row r="30" spans="1:18" ht="75" x14ac:dyDescent="0.25">
      <c r="A30" s="1" t="s">
        <v>25</v>
      </c>
      <c r="B30" s="4">
        <v>20</v>
      </c>
      <c r="C30" s="4">
        <v>18</v>
      </c>
      <c r="D30" s="4">
        <v>18</v>
      </c>
      <c r="E30" s="4">
        <f t="shared" si="0"/>
        <v>18.666666666666668</v>
      </c>
      <c r="F30" s="4">
        <v>65</v>
      </c>
      <c r="G30" s="4">
        <v>33</v>
      </c>
      <c r="H30" s="4">
        <v>70</v>
      </c>
      <c r="I30" s="4">
        <f t="shared" si="1"/>
        <v>56</v>
      </c>
      <c r="J30" s="4">
        <v>80</v>
      </c>
      <c r="K30" s="4">
        <v>60</v>
      </c>
      <c r="L30" s="4">
        <v>76</v>
      </c>
      <c r="M30" s="4">
        <f t="shared" si="2"/>
        <v>72</v>
      </c>
      <c r="N30" s="4">
        <v>100</v>
      </c>
      <c r="O30" s="4">
        <v>100</v>
      </c>
      <c r="P30" s="4">
        <v>100</v>
      </c>
      <c r="Q30" s="4">
        <f t="shared" si="3"/>
        <v>100</v>
      </c>
      <c r="R30" s="3">
        <f>I30</f>
        <v>56</v>
      </c>
    </row>
    <row r="31" spans="1:18" ht="30" x14ac:dyDescent="0.25">
      <c r="A31" s="1" t="s">
        <v>28</v>
      </c>
      <c r="B31">
        <v>20</v>
      </c>
      <c r="C31">
        <v>18</v>
      </c>
      <c r="D31">
        <v>12</v>
      </c>
      <c r="E31">
        <f t="shared" si="0"/>
        <v>16.666666666666668</v>
      </c>
      <c r="F31">
        <v>65</v>
      </c>
      <c r="G31">
        <v>65</v>
      </c>
      <c r="H31">
        <v>70</v>
      </c>
      <c r="I31">
        <f t="shared" si="1"/>
        <v>66.666666666666671</v>
      </c>
      <c r="J31">
        <v>84</v>
      </c>
      <c r="K31">
        <v>85</v>
      </c>
      <c r="L31">
        <v>90</v>
      </c>
      <c r="M31">
        <f t="shared" si="2"/>
        <v>86.333333333333329</v>
      </c>
      <c r="N31">
        <v>100</v>
      </c>
      <c r="O31">
        <v>100</v>
      </c>
      <c r="P31">
        <v>100</v>
      </c>
      <c r="Q31">
        <f t="shared" si="3"/>
        <v>100</v>
      </c>
      <c r="R31">
        <f>I31</f>
        <v>66.666666666666671</v>
      </c>
    </row>
    <row r="32" spans="1:18" x14ac:dyDescent="0.25">
      <c r="A32" s="2" t="s">
        <v>46</v>
      </c>
      <c r="B32" s="4">
        <f t="shared" ref="B32:L32" si="4">AVERAGE(B3:B31)</f>
        <v>19.310344827586206</v>
      </c>
      <c r="C32" s="4">
        <f t="shared" si="4"/>
        <v>18.482758620689655</v>
      </c>
      <c r="D32" s="4">
        <f t="shared" si="4"/>
        <v>13.137931034482758</v>
      </c>
      <c r="E32" s="4">
        <f t="shared" si="4"/>
        <v>16.977011494252878</v>
      </c>
      <c r="F32" s="4">
        <f t="shared" si="4"/>
        <v>60.344827586206897</v>
      </c>
      <c r="G32" s="4">
        <f t="shared" si="4"/>
        <v>58.689655172413794</v>
      </c>
      <c r="H32" s="4">
        <f t="shared" si="4"/>
        <v>58.793103448275865</v>
      </c>
      <c r="I32" s="4">
        <f t="shared" si="4"/>
        <v>59.275862068965523</v>
      </c>
      <c r="J32" s="4">
        <f t="shared" si="4"/>
        <v>79.862068965517238</v>
      </c>
      <c r="K32" s="4">
        <f t="shared" si="4"/>
        <v>80.931034482758619</v>
      </c>
      <c r="L32" s="4">
        <f t="shared" si="4"/>
        <v>88.931034482758619</v>
      </c>
      <c r="M32" s="4">
        <f>AVERAGE(M3:M31)</f>
        <v>83.241379310344811</v>
      </c>
      <c r="Q32" t="s">
        <v>46</v>
      </c>
      <c r="R32" s="3">
        <f>AVERAGE(R3:R31)</f>
        <v>76.666666666666657</v>
      </c>
    </row>
  </sheetData>
  <conditionalFormatting sqref="E3:E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2F61-0AFB-417E-9A0E-D431B4311DA1}">
  <dimension ref="A1:O30"/>
  <sheetViews>
    <sheetView zoomScale="70" zoomScaleNormal="70" workbookViewId="0"/>
  </sheetViews>
  <sheetFormatPr defaultRowHeight="15" x14ac:dyDescent="0.25"/>
  <cols>
    <col min="1" max="1" width="27.140625" bestFit="1" customWidth="1"/>
    <col min="2" max="2" width="68.28515625" customWidth="1"/>
  </cols>
  <sheetData>
    <row r="1" spans="1:15" x14ac:dyDescent="0.25">
      <c r="A1" t="s">
        <v>70</v>
      </c>
      <c r="C1" t="s">
        <v>6</v>
      </c>
      <c r="D1" t="s">
        <v>36</v>
      </c>
      <c r="E1" t="s">
        <v>37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71</v>
      </c>
    </row>
    <row r="2" spans="1:15" x14ac:dyDescent="0.25">
      <c r="A2" t="s">
        <v>2</v>
      </c>
      <c r="B2" t="s">
        <v>19</v>
      </c>
      <c r="C2">
        <v>8.9126035057726177E-2</v>
      </c>
      <c r="D2" s="6">
        <v>0.08</v>
      </c>
      <c r="E2" s="6">
        <v>0.1</v>
      </c>
      <c r="F2" s="6">
        <v>0.17</v>
      </c>
      <c r="O2">
        <f>AVERAGE(C2:N2)</f>
        <v>0.10978150876443155</v>
      </c>
    </row>
    <row r="3" spans="1:15" x14ac:dyDescent="0.25">
      <c r="A3" t="s">
        <v>1</v>
      </c>
      <c r="B3" t="s">
        <v>10</v>
      </c>
      <c r="C3">
        <v>0.10301405398072951</v>
      </c>
      <c r="D3" s="6">
        <v>0.1</v>
      </c>
      <c r="E3" s="6">
        <v>0.19</v>
      </c>
      <c r="F3" s="6">
        <v>0.08</v>
      </c>
      <c r="O3">
        <f t="shared" ref="O3:O30" si="0">AVERAGE(C3:N3)</f>
        <v>0.11825351349518239</v>
      </c>
    </row>
    <row r="4" spans="1:15" x14ac:dyDescent="0.25">
      <c r="A4" t="s">
        <v>2</v>
      </c>
      <c r="B4" t="s">
        <v>29</v>
      </c>
      <c r="C4">
        <v>0.35861950999635456</v>
      </c>
      <c r="D4" s="6">
        <v>0.34</v>
      </c>
      <c r="E4" s="6">
        <v>0.55000000000000004</v>
      </c>
      <c r="F4" s="6">
        <v>0.28999999999999998</v>
      </c>
      <c r="O4">
        <f t="shared" si="0"/>
        <v>0.38465487749908867</v>
      </c>
    </row>
    <row r="5" spans="1:15" x14ac:dyDescent="0.25">
      <c r="A5" t="s">
        <v>3</v>
      </c>
      <c r="B5" t="s">
        <v>31</v>
      </c>
      <c r="C5">
        <v>0.10789438069451013</v>
      </c>
      <c r="D5" s="6">
        <v>0.13</v>
      </c>
      <c r="E5" s="6">
        <v>0.14000000000000001</v>
      </c>
      <c r="F5" s="6">
        <v>0.25</v>
      </c>
      <c r="O5">
        <f t="shared" si="0"/>
        <v>0.15697359517362752</v>
      </c>
    </row>
    <row r="6" spans="1:15" x14ac:dyDescent="0.25">
      <c r="A6" t="s">
        <v>3</v>
      </c>
      <c r="B6" t="s">
        <v>30</v>
      </c>
      <c r="C6">
        <v>0.11104067964897434</v>
      </c>
      <c r="D6" s="6">
        <v>0.15</v>
      </c>
      <c r="E6" s="6">
        <v>0.11</v>
      </c>
      <c r="F6" s="6">
        <v>0.06</v>
      </c>
      <c r="O6">
        <f t="shared" si="0"/>
        <v>0.10776016991224358</v>
      </c>
    </row>
    <row r="7" spans="1:15" x14ac:dyDescent="0.25">
      <c r="A7" t="s">
        <v>1</v>
      </c>
      <c r="B7" t="s">
        <v>8</v>
      </c>
      <c r="C7">
        <v>0.26751014599383494</v>
      </c>
      <c r="D7" s="6">
        <v>0.28000000000000003</v>
      </c>
      <c r="E7" s="6">
        <v>0.13</v>
      </c>
      <c r="F7" s="6">
        <v>0.16</v>
      </c>
      <c r="O7">
        <f t="shared" si="0"/>
        <v>0.20937753649845875</v>
      </c>
    </row>
    <row r="8" spans="1:15" x14ac:dyDescent="0.25">
      <c r="A8" t="s">
        <v>3</v>
      </c>
      <c r="B8" t="s">
        <v>32</v>
      </c>
      <c r="C8">
        <v>0.19788033542698624</v>
      </c>
      <c r="D8" s="6">
        <v>0.2</v>
      </c>
      <c r="E8" s="6">
        <v>0.36</v>
      </c>
      <c r="F8" s="6">
        <v>0.15</v>
      </c>
      <c r="O8">
        <f t="shared" si="0"/>
        <v>0.22697008385674658</v>
      </c>
    </row>
    <row r="9" spans="1:15" x14ac:dyDescent="0.25">
      <c r="A9" t="s">
        <v>88</v>
      </c>
      <c r="B9" t="s">
        <v>14</v>
      </c>
      <c r="C9">
        <v>0.13428523924323846</v>
      </c>
      <c r="D9" s="6">
        <v>0.13</v>
      </c>
      <c r="E9" s="6">
        <v>0.21</v>
      </c>
      <c r="F9" s="6">
        <v>7.0000000000000007E-2</v>
      </c>
      <c r="O9">
        <f t="shared" si="0"/>
        <v>0.13607130981080962</v>
      </c>
    </row>
    <row r="10" spans="1:15" x14ac:dyDescent="0.25">
      <c r="A10" t="s">
        <v>1</v>
      </c>
      <c r="B10" t="s">
        <v>12</v>
      </c>
      <c r="C10">
        <v>0.23346126149558508</v>
      </c>
      <c r="D10" s="6">
        <v>0.22</v>
      </c>
      <c r="E10" s="6">
        <v>0.22</v>
      </c>
      <c r="F10" s="6">
        <v>0.24</v>
      </c>
      <c r="O10">
        <f t="shared" si="0"/>
        <v>0.22836531537389626</v>
      </c>
    </row>
    <row r="11" spans="1:15" x14ac:dyDescent="0.25">
      <c r="A11" t="s">
        <v>88</v>
      </c>
      <c r="B11" t="s">
        <v>20</v>
      </c>
      <c r="C11">
        <v>8.7976682931686909E-2</v>
      </c>
      <c r="D11" s="6">
        <v>0.06</v>
      </c>
      <c r="E11" s="6">
        <v>0.06</v>
      </c>
      <c r="F11" s="6">
        <v>0.17</v>
      </c>
      <c r="O11">
        <f t="shared" si="0"/>
        <v>9.449417073292174E-2</v>
      </c>
    </row>
    <row r="12" spans="1:15" x14ac:dyDescent="0.25">
      <c r="A12" t="s">
        <v>2</v>
      </c>
      <c r="B12" t="s">
        <v>26</v>
      </c>
      <c r="C12">
        <v>0.16243981804892854</v>
      </c>
      <c r="D12" s="6">
        <v>0.19</v>
      </c>
      <c r="E12" s="6">
        <v>7.0000000000000007E-2</v>
      </c>
      <c r="F12" s="6">
        <v>0.05</v>
      </c>
      <c r="O12">
        <f t="shared" si="0"/>
        <v>0.11810995451223213</v>
      </c>
    </row>
    <row r="13" spans="1:15" x14ac:dyDescent="0.25">
      <c r="A13" t="s">
        <v>2</v>
      </c>
      <c r="B13" t="s">
        <v>27</v>
      </c>
      <c r="C13">
        <v>9.4257999867110337E-2</v>
      </c>
      <c r="D13" s="6">
        <v>0.1</v>
      </c>
      <c r="E13" s="6">
        <v>0.09</v>
      </c>
      <c r="F13" s="6">
        <v>0.06</v>
      </c>
      <c r="O13">
        <f t="shared" si="0"/>
        <v>8.6064499966777577E-2</v>
      </c>
    </row>
    <row r="14" spans="1:15" x14ac:dyDescent="0.25">
      <c r="A14" t="s">
        <v>89</v>
      </c>
      <c r="B14" t="s">
        <v>24</v>
      </c>
      <c r="C14">
        <v>6.3402714818588224E-2</v>
      </c>
      <c r="D14" s="6">
        <v>0.06</v>
      </c>
      <c r="E14" s="6">
        <v>0.05</v>
      </c>
      <c r="F14" s="6">
        <v>0.02</v>
      </c>
      <c r="O14">
        <f t="shared" si="0"/>
        <v>4.835067870464705E-2</v>
      </c>
    </row>
    <row r="15" spans="1:15" x14ac:dyDescent="0.25">
      <c r="A15" t="s">
        <v>89</v>
      </c>
      <c r="B15" t="s">
        <v>13</v>
      </c>
      <c r="C15">
        <v>6.7694877343989504E-2</v>
      </c>
      <c r="D15" s="6">
        <v>7.0000000000000007E-2</v>
      </c>
      <c r="E15" s="6">
        <v>0.1</v>
      </c>
      <c r="F15" s="6">
        <v>0.05</v>
      </c>
      <c r="O15">
        <f t="shared" si="0"/>
        <v>7.192371933599738E-2</v>
      </c>
    </row>
    <row r="16" spans="1:15" x14ac:dyDescent="0.25">
      <c r="A16" t="s">
        <v>88</v>
      </c>
      <c r="B16" t="s">
        <v>21</v>
      </c>
      <c r="C16">
        <v>9.1682991794071189E-2</v>
      </c>
      <c r="D16" s="6">
        <v>0.11</v>
      </c>
      <c r="E16" s="6">
        <v>0.11</v>
      </c>
      <c r="F16" s="6">
        <v>0.05</v>
      </c>
      <c r="O16">
        <f t="shared" si="0"/>
        <v>9.0420747948517788E-2</v>
      </c>
    </row>
    <row r="17" spans="1:15" x14ac:dyDescent="0.25">
      <c r="A17" t="s">
        <v>89</v>
      </c>
      <c r="B17" t="s">
        <v>22</v>
      </c>
      <c r="C17">
        <v>7.2431542126730405E-2</v>
      </c>
      <c r="D17" s="6">
        <v>0.13</v>
      </c>
      <c r="E17" s="6">
        <v>0.1</v>
      </c>
      <c r="F17" s="6">
        <v>0.41</v>
      </c>
      <c r="O17">
        <f t="shared" si="0"/>
        <v>0.17810788553168261</v>
      </c>
    </row>
    <row r="18" spans="1:15" x14ac:dyDescent="0.25">
      <c r="A18" t="s">
        <v>88</v>
      </c>
      <c r="B18" t="s">
        <v>17</v>
      </c>
      <c r="C18">
        <v>0.18148461165807453</v>
      </c>
      <c r="D18" s="6">
        <v>0.27</v>
      </c>
      <c r="E18" s="6">
        <v>0.11</v>
      </c>
      <c r="F18" s="6">
        <v>0.06</v>
      </c>
      <c r="O18">
        <f t="shared" si="0"/>
        <v>0.15537115291451864</v>
      </c>
    </row>
    <row r="19" spans="1:15" x14ac:dyDescent="0.25">
      <c r="A19" t="s">
        <v>88</v>
      </c>
      <c r="B19" t="s">
        <v>23</v>
      </c>
      <c r="C19">
        <v>1.7786303261498444E-2</v>
      </c>
      <c r="D19" s="6">
        <v>0.02</v>
      </c>
      <c r="E19" s="6">
        <v>0.08</v>
      </c>
      <c r="F19" s="6">
        <v>0.13</v>
      </c>
      <c r="O19">
        <f t="shared" si="0"/>
        <v>6.1946575815374612E-2</v>
      </c>
    </row>
    <row r="20" spans="1:15" x14ac:dyDescent="0.25">
      <c r="A20" t="s">
        <v>88</v>
      </c>
      <c r="B20" t="s">
        <v>15</v>
      </c>
      <c r="C20">
        <v>4.4379573485530732E-2</v>
      </c>
      <c r="D20" s="6">
        <v>0.03</v>
      </c>
      <c r="E20" s="6">
        <v>7.0000000000000007E-2</v>
      </c>
      <c r="F20" s="6">
        <v>0.03</v>
      </c>
      <c r="O20">
        <f t="shared" si="0"/>
        <v>4.3594893371382684E-2</v>
      </c>
    </row>
    <row r="21" spans="1:15" x14ac:dyDescent="0.25">
      <c r="A21" t="s">
        <v>3</v>
      </c>
      <c r="B21" t="s">
        <v>34</v>
      </c>
      <c r="C21">
        <v>9.6844737795552152E-2</v>
      </c>
      <c r="D21" s="6">
        <v>0.09</v>
      </c>
      <c r="E21" s="6">
        <v>7.0000000000000007E-2</v>
      </c>
      <c r="F21" s="6">
        <v>0.08</v>
      </c>
      <c r="O21">
        <f t="shared" si="0"/>
        <v>8.4211184448888046E-2</v>
      </c>
    </row>
    <row r="22" spans="1:15" x14ac:dyDescent="0.25">
      <c r="A22" t="s">
        <v>1</v>
      </c>
      <c r="B22" t="s">
        <v>7</v>
      </c>
      <c r="C22">
        <v>0.17716614553314208</v>
      </c>
      <c r="D22" s="6">
        <v>0.2</v>
      </c>
      <c r="E22" s="6">
        <v>0.08</v>
      </c>
      <c r="F22" s="6">
        <v>7.0000000000000007E-2</v>
      </c>
      <c r="O22">
        <f t="shared" si="0"/>
        <v>0.13179153638328553</v>
      </c>
    </row>
    <row r="23" spans="1:15" x14ac:dyDescent="0.25">
      <c r="A23" t="s">
        <v>1</v>
      </c>
      <c r="B23" t="s">
        <v>9</v>
      </c>
      <c r="C23">
        <v>0.13455011131269359</v>
      </c>
      <c r="D23" s="6">
        <v>0.13</v>
      </c>
      <c r="E23" s="6">
        <v>0.05</v>
      </c>
      <c r="F23" s="6">
        <v>0.32</v>
      </c>
      <c r="O23">
        <f t="shared" si="0"/>
        <v>0.15863752782817339</v>
      </c>
    </row>
    <row r="24" spans="1:15" x14ac:dyDescent="0.25">
      <c r="A24" t="s">
        <v>3</v>
      </c>
      <c r="B24" t="s">
        <v>56</v>
      </c>
      <c r="C24">
        <v>0.33688458957119294</v>
      </c>
      <c r="D24" s="6">
        <v>0.31</v>
      </c>
      <c r="E24" s="6">
        <v>0.19</v>
      </c>
      <c r="F24" s="6">
        <v>0.25</v>
      </c>
      <c r="O24">
        <f t="shared" si="0"/>
        <v>0.27172114739279823</v>
      </c>
    </row>
    <row r="25" spans="1:15" x14ac:dyDescent="0.25">
      <c r="A25" t="s">
        <v>89</v>
      </c>
      <c r="B25" t="s">
        <v>16</v>
      </c>
      <c r="C25">
        <v>9.0870534376739434E-2</v>
      </c>
      <c r="D25" s="6">
        <v>0.05</v>
      </c>
      <c r="E25" s="6">
        <v>0.11</v>
      </c>
      <c r="F25" s="6">
        <v>0</v>
      </c>
      <c r="O25">
        <f t="shared" si="0"/>
        <v>6.2717633594184863E-2</v>
      </c>
    </row>
    <row r="26" spans="1:15" x14ac:dyDescent="0.25">
      <c r="A26" t="s">
        <v>1</v>
      </c>
      <c r="B26" t="s">
        <v>11</v>
      </c>
      <c r="C26">
        <v>6.2893421752718531E-2</v>
      </c>
      <c r="D26" s="6">
        <v>0.06</v>
      </c>
      <c r="E26" s="6">
        <v>0.18</v>
      </c>
      <c r="F26" s="6">
        <v>0.09</v>
      </c>
      <c r="O26">
        <f t="shared" si="0"/>
        <v>9.8223355438179616E-2</v>
      </c>
    </row>
    <row r="27" spans="1:15" x14ac:dyDescent="0.25">
      <c r="A27" t="s">
        <v>89</v>
      </c>
      <c r="B27" t="s">
        <v>18</v>
      </c>
      <c r="C27">
        <v>0.14800492895985221</v>
      </c>
      <c r="D27" s="6">
        <v>7.0000000000000007E-2</v>
      </c>
      <c r="E27" s="6">
        <v>0.02</v>
      </c>
      <c r="F27" s="6">
        <v>0.01</v>
      </c>
      <c r="O27">
        <f t="shared" si="0"/>
        <v>6.2001232239963053E-2</v>
      </c>
    </row>
    <row r="28" spans="1:15" x14ac:dyDescent="0.25">
      <c r="A28" t="s">
        <v>3</v>
      </c>
      <c r="B28" t="s">
        <v>35</v>
      </c>
      <c r="C28">
        <v>0.14945527686278412</v>
      </c>
      <c r="D28" s="6">
        <v>0.13</v>
      </c>
      <c r="E28" s="6">
        <v>0.13</v>
      </c>
      <c r="F28" s="6">
        <v>0.21</v>
      </c>
      <c r="O28">
        <f t="shared" si="0"/>
        <v>0.15486381921569603</v>
      </c>
    </row>
    <row r="29" spans="1:15" x14ac:dyDescent="0.25">
      <c r="A29" t="s">
        <v>1</v>
      </c>
      <c r="B29" t="s">
        <v>25</v>
      </c>
      <c r="C29">
        <v>2.1404859931296327E-2</v>
      </c>
      <c r="D29" s="6">
        <v>0.02</v>
      </c>
      <c r="E29" s="6">
        <v>0.16</v>
      </c>
      <c r="F29" s="6">
        <v>0.05</v>
      </c>
      <c r="O29">
        <f t="shared" si="0"/>
        <v>6.2851214982824088E-2</v>
      </c>
    </row>
    <row r="30" spans="1:15" x14ac:dyDescent="0.25">
      <c r="A30" t="s">
        <v>2</v>
      </c>
      <c r="B30" t="s">
        <v>28</v>
      </c>
      <c r="C30">
        <v>0.29555663702988044</v>
      </c>
      <c r="D30" s="6">
        <v>0.28999999999999998</v>
      </c>
      <c r="E30" s="6">
        <v>0.2</v>
      </c>
      <c r="F30" s="6">
        <v>0.44</v>
      </c>
      <c r="O30">
        <f t="shared" si="0"/>
        <v>0.30638915925747007</v>
      </c>
    </row>
  </sheetData>
  <phoneticPr fontId="2" type="noConversion"/>
  <conditionalFormatting sqref="A2:A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E0CE-323F-46DF-A65E-68F6DF6578B2}">
  <dimension ref="A1:I7"/>
  <sheetViews>
    <sheetView zoomScale="90" zoomScaleNormal="90" workbookViewId="0"/>
  </sheetViews>
  <sheetFormatPr defaultRowHeight="15" x14ac:dyDescent="0.25"/>
  <cols>
    <col min="1" max="1" width="27.5703125" customWidth="1"/>
    <col min="2" max="2" width="27.5703125" bestFit="1" customWidth="1"/>
    <col min="3" max="3" width="14" bestFit="1" customWidth="1"/>
  </cols>
  <sheetData>
    <row r="1" spans="1:9" x14ac:dyDescent="0.25">
      <c r="A1" t="s">
        <v>70</v>
      </c>
      <c r="B1" t="s">
        <v>65</v>
      </c>
      <c r="C1" t="s">
        <v>66</v>
      </c>
      <c r="D1" t="s">
        <v>67</v>
      </c>
      <c r="E1" t="s">
        <v>57</v>
      </c>
      <c r="F1" t="s">
        <v>59</v>
      </c>
      <c r="G1" t="s">
        <v>60</v>
      </c>
      <c r="H1" t="s">
        <v>62</v>
      </c>
      <c r="I1" t="s">
        <v>64</v>
      </c>
    </row>
    <row r="2" spans="1:9" x14ac:dyDescent="0.25">
      <c r="A2" s="5" t="s">
        <v>1</v>
      </c>
      <c r="B2" s="5" t="s">
        <v>57</v>
      </c>
      <c r="C2" s="5" t="s">
        <v>58</v>
      </c>
      <c r="D2">
        <v>0.28000000000000003</v>
      </c>
      <c r="E2">
        <v>1.5</v>
      </c>
      <c r="F2">
        <v>1</v>
      </c>
      <c r="G2">
        <v>1</v>
      </c>
      <c r="H2">
        <v>1</v>
      </c>
      <c r="I2">
        <v>1</v>
      </c>
    </row>
    <row r="3" spans="1:9" x14ac:dyDescent="0.25">
      <c r="A3" s="5" t="s">
        <v>88</v>
      </c>
      <c r="B3" s="5" t="s">
        <v>59</v>
      </c>
      <c r="C3" s="5" t="s">
        <v>90</v>
      </c>
      <c r="D3">
        <v>0.32</v>
      </c>
      <c r="E3">
        <v>1</v>
      </c>
      <c r="F3">
        <v>1.5</v>
      </c>
      <c r="G3">
        <v>1</v>
      </c>
      <c r="H3">
        <v>1</v>
      </c>
      <c r="I3">
        <v>1</v>
      </c>
    </row>
    <row r="4" spans="1:9" x14ac:dyDescent="0.25">
      <c r="A4" s="5" t="s">
        <v>2</v>
      </c>
      <c r="B4" s="5" t="s">
        <v>60</v>
      </c>
      <c r="C4" s="5" t="s">
        <v>61</v>
      </c>
      <c r="D4">
        <v>0.08</v>
      </c>
      <c r="E4">
        <v>1</v>
      </c>
      <c r="F4">
        <v>1</v>
      </c>
      <c r="G4">
        <v>1.5</v>
      </c>
      <c r="H4">
        <v>1</v>
      </c>
      <c r="I4">
        <v>1</v>
      </c>
    </row>
    <row r="5" spans="1:9" x14ac:dyDescent="0.25">
      <c r="A5" s="5" t="s">
        <v>3</v>
      </c>
      <c r="B5" s="5" t="s">
        <v>62</v>
      </c>
      <c r="C5" s="5" t="s">
        <v>63</v>
      </c>
      <c r="D5">
        <v>0.06</v>
      </c>
      <c r="E5">
        <v>1</v>
      </c>
      <c r="F5">
        <v>1</v>
      </c>
      <c r="G5">
        <v>1</v>
      </c>
      <c r="H5">
        <v>1.5</v>
      </c>
      <c r="I5">
        <v>1</v>
      </c>
    </row>
    <row r="6" spans="1:9" x14ac:dyDescent="0.25">
      <c r="A6" s="5" t="s">
        <v>89</v>
      </c>
      <c r="B6" s="5" t="s">
        <v>64</v>
      </c>
      <c r="C6" s="5" t="s">
        <v>91</v>
      </c>
      <c r="D6">
        <v>0.26</v>
      </c>
      <c r="E6">
        <v>1</v>
      </c>
      <c r="F6">
        <v>1</v>
      </c>
      <c r="G6">
        <v>1</v>
      </c>
      <c r="H6">
        <v>1</v>
      </c>
      <c r="I6">
        <v>1.5</v>
      </c>
    </row>
    <row r="7" spans="1:9" x14ac:dyDescent="0.25">
      <c r="A7" s="5"/>
      <c r="B7" s="5" t="s">
        <v>69</v>
      </c>
      <c r="C7">
        <v>5</v>
      </c>
      <c r="D7">
        <f>SUM(D2:D6)</f>
        <v>1</v>
      </c>
      <c r="E7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EBFA-8F99-4041-9AFF-268286516129}">
  <sheetPr>
    <tabColor rgb="FFFFFF00"/>
  </sheetPr>
  <dimension ref="A1:G32"/>
  <sheetViews>
    <sheetView zoomScale="70" zoomScaleNormal="70" workbookViewId="0">
      <pane ySplit="1" topLeftCell="A2" activePane="bottomLeft" state="frozen"/>
      <selection pane="bottomLeft"/>
    </sheetView>
  </sheetViews>
  <sheetFormatPr defaultColWidth="15.7109375" defaultRowHeight="15" x14ac:dyDescent="0.25"/>
  <cols>
    <col min="1" max="1" width="20.140625" style="2" bestFit="1" customWidth="1"/>
    <col min="2" max="2" width="25" style="2" bestFit="1" customWidth="1"/>
    <col min="3" max="3" width="20.140625" style="2" bestFit="1" customWidth="1"/>
    <col min="4" max="4" width="22.7109375" style="2" bestFit="1" customWidth="1"/>
    <col min="5" max="5" width="18.5703125" style="2" bestFit="1" customWidth="1"/>
    <col min="6" max="6" width="26.140625" style="2" bestFit="1" customWidth="1"/>
    <col min="7" max="7" width="35.42578125" style="2" customWidth="1"/>
    <col min="8" max="16384" width="15.7109375" style="2"/>
  </cols>
  <sheetData>
    <row r="1" spans="1:7" ht="30" x14ac:dyDescent="0.25">
      <c r="A1" s="2" t="s">
        <v>95</v>
      </c>
      <c r="B1" s="2" t="s">
        <v>0</v>
      </c>
      <c r="C1" s="2" t="s">
        <v>96</v>
      </c>
      <c r="D1" s="2" t="s">
        <v>97</v>
      </c>
      <c r="E1" s="2" t="s">
        <v>98</v>
      </c>
      <c r="F1" s="2" t="s">
        <v>99</v>
      </c>
      <c r="G1" s="2" t="s">
        <v>67</v>
      </c>
    </row>
    <row r="2" spans="1:7" ht="30" x14ac:dyDescent="0.25">
      <c r="A2" s="2" t="s">
        <v>2</v>
      </c>
      <c r="B2" s="1" t="s">
        <v>19</v>
      </c>
      <c r="C2" s="7">
        <f>Desirability!R3</f>
        <v>19.333333333333332</v>
      </c>
      <c r="D2" s="7">
        <f>Import!O2</f>
        <v>0.10978150876443155</v>
      </c>
      <c r="E2" s="7">
        <f>VLOOKUP(A2,PanelScore!$A$1:$D$6,4,0)</f>
        <v>0.08</v>
      </c>
      <c r="F2" s="7">
        <f>E2*Import!O2</f>
        <v>8.7825207011545236E-3</v>
      </c>
      <c r="G2" s="8">
        <f t="shared" ref="G2:G30" si="0">F2*C2</f>
        <v>0.16979540022232079</v>
      </c>
    </row>
    <row r="3" spans="1:7" ht="45" x14ac:dyDescent="0.25">
      <c r="A3" s="2" t="s">
        <v>1</v>
      </c>
      <c r="B3" s="1" t="s">
        <v>10</v>
      </c>
      <c r="C3" s="7">
        <f>Desirability!R4</f>
        <v>61.666666666666664</v>
      </c>
      <c r="D3" s="7">
        <f>Import!O3</f>
        <v>0.11825351349518239</v>
      </c>
      <c r="E3" s="7">
        <f>VLOOKUP(A3,PanelScore!$A$1:$D$6,4,0)</f>
        <v>0.28000000000000003</v>
      </c>
      <c r="F3" s="7">
        <f>E3*Import!O3</f>
        <v>3.3110983778651071E-2</v>
      </c>
      <c r="G3" s="8">
        <f t="shared" si="0"/>
        <v>2.0418439996834827</v>
      </c>
    </row>
    <row r="4" spans="1:7" ht="30" x14ac:dyDescent="0.25">
      <c r="A4" s="2" t="s">
        <v>2</v>
      </c>
      <c r="B4" s="1" t="s">
        <v>29</v>
      </c>
      <c r="C4" s="7">
        <f>Desirability!R5</f>
        <v>76.666666666666671</v>
      </c>
      <c r="D4" s="7">
        <f>Import!O4</f>
        <v>0.38465487749908867</v>
      </c>
      <c r="E4" s="7">
        <f>VLOOKUP(A4,PanelScore!$A$1:$D$6,4,0)</f>
        <v>0.08</v>
      </c>
      <c r="F4" s="7">
        <f>E4*Import!O4</f>
        <v>3.0772390199927092E-2</v>
      </c>
      <c r="G4" s="8">
        <f t="shared" si="0"/>
        <v>2.3592165819944104</v>
      </c>
    </row>
    <row r="5" spans="1:7" ht="45" x14ac:dyDescent="0.25">
      <c r="A5" s="2" t="s">
        <v>3</v>
      </c>
      <c r="B5" s="1" t="s">
        <v>31</v>
      </c>
      <c r="C5" s="7">
        <f>Desirability!R6</f>
        <v>100</v>
      </c>
      <c r="D5" s="7">
        <f>Import!O5</f>
        <v>0.15697359517362752</v>
      </c>
      <c r="E5" s="7">
        <f>VLOOKUP(A5,PanelScore!$A$1:$D$6,4,0)</f>
        <v>0.06</v>
      </c>
      <c r="F5" s="7">
        <f>E5*Import!O5</f>
        <v>9.4184157104176512E-3</v>
      </c>
      <c r="G5" s="8">
        <f t="shared" si="0"/>
        <v>0.94184157104176514</v>
      </c>
    </row>
    <row r="6" spans="1:7" ht="30" x14ac:dyDescent="0.25">
      <c r="A6" s="2" t="s">
        <v>3</v>
      </c>
      <c r="B6" s="1" t="s">
        <v>30</v>
      </c>
      <c r="C6" s="7">
        <f>Desirability!R7</f>
        <v>54</v>
      </c>
      <c r="D6" s="7">
        <f>Import!O6</f>
        <v>0.10776016991224358</v>
      </c>
      <c r="E6" s="7">
        <f>VLOOKUP(A6,PanelScore!$A$1:$D$6,4,0)</f>
        <v>0.06</v>
      </c>
      <c r="F6" s="7">
        <f>E6*Import!O6</f>
        <v>6.465610194734614E-3</v>
      </c>
      <c r="G6" s="8">
        <f t="shared" si="0"/>
        <v>0.34914295051566913</v>
      </c>
    </row>
    <row r="7" spans="1:7" ht="45" x14ac:dyDescent="0.25">
      <c r="A7" s="2" t="s">
        <v>1</v>
      </c>
      <c r="B7" s="1" t="s">
        <v>8</v>
      </c>
      <c r="C7" s="7">
        <f>Desirability!R8</f>
        <v>84.333333333333329</v>
      </c>
      <c r="D7" s="7">
        <f>Import!O7</f>
        <v>0.20937753649845875</v>
      </c>
      <c r="E7" s="7">
        <f>VLOOKUP(A7,PanelScore!$A$1:$D$6,4,0)</f>
        <v>0.28000000000000003</v>
      </c>
      <c r="F7" s="7">
        <f>E7*Import!O7</f>
        <v>5.8625710219568458E-2</v>
      </c>
      <c r="G7" s="8">
        <f t="shared" si="0"/>
        <v>4.9441015618502728</v>
      </c>
    </row>
    <row r="8" spans="1:7" ht="45" x14ac:dyDescent="0.25">
      <c r="A8" s="2" t="s">
        <v>3</v>
      </c>
      <c r="B8" s="1" t="s">
        <v>32</v>
      </c>
      <c r="C8" s="7">
        <f>Desirability!R9</f>
        <v>100</v>
      </c>
      <c r="D8" s="7">
        <f>Import!O8</f>
        <v>0.22697008385674658</v>
      </c>
      <c r="E8" s="7">
        <f>VLOOKUP(A8,PanelScore!$A$1:$D$6,4,0)</f>
        <v>0.06</v>
      </c>
      <c r="F8" s="7">
        <f>E8*Import!O8</f>
        <v>1.3618205031404795E-2</v>
      </c>
      <c r="G8" s="8">
        <f t="shared" si="0"/>
        <v>1.3618205031404795</v>
      </c>
    </row>
    <row r="9" spans="1:7" ht="30" x14ac:dyDescent="0.25">
      <c r="A9" s="2" t="s">
        <v>88</v>
      </c>
      <c r="B9" s="1" t="s">
        <v>14</v>
      </c>
      <c r="C9" s="7">
        <f>Desirability!R10</f>
        <v>61.666666666666664</v>
      </c>
      <c r="D9" s="7">
        <f>Import!O9</f>
        <v>0.13607130981080962</v>
      </c>
      <c r="E9" s="7">
        <f>VLOOKUP(A9,PanelScore!$A$1:$D$6,4,0)</f>
        <v>0.32</v>
      </c>
      <c r="F9" s="7">
        <f>E9*Import!O9</f>
        <v>4.354281913945908E-2</v>
      </c>
      <c r="G9" s="8">
        <f t="shared" si="0"/>
        <v>2.6851405135999764</v>
      </c>
    </row>
    <row r="10" spans="1:7" ht="30" x14ac:dyDescent="0.25">
      <c r="A10" s="2" t="s">
        <v>1</v>
      </c>
      <c r="B10" s="1" t="s">
        <v>12</v>
      </c>
      <c r="C10" s="7">
        <f>Desirability!R11</f>
        <v>100</v>
      </c>
      <c r="D10" s="7">
        <f>Import!O10</f>
        <v>0.22836531537389626</v>
      </c>
      <c r="E10" s="7">
        <f>VLOOKUP(A10,PanelScore!$A$1:$D$6,4,0)</f>
        <v>0.28000000000000003</v>
      </c>
      <c r="F10" s="7">
        <f>E10*Import!O10</f>
        <v>6.3942288304690953E-2</v>
      </c>
      <c r="G10" s="8">
        <f t="shared" si="0"/>
        <v>6.3942288304690953</v>
      </c>
    </row>
    <row r="11" spans="1:7" ht="30" x14ac:dyDescent="0.25">
      <c r="A11" s="2" t="s">
        <v>88</v>
      </c>
      <c r="B11" s="1" t="s">
        <v>20</v>
      </c>
      <c r="C11" s="7">
        <f>Desirability!R12</f>
        <v>56.333333333333336</v>
      </c>
      <c r="D11" s="7">
        <f>Import!O11</f>
        <v>9.449417073292174E-2</v>
      </c>
      <c r="E11" s="7">
        <f>VLOOKUP(A11,PanelScore!$A$1:$D$6,4,0)</f>
        <v>0.32</v>
      </c>
      <c r="F11" s="7">
        <f>E11*Import!O11</f>
        <v>3.0238134634534956E-2</v>
      </c>
      <c r="G11" s="8">
        <f t="shared" si="0"/>
        <v>1.7034149177454692</v>
      </c>
    </row>
    <row r="12" spans="1:7" ht="30" x14ac:dyDescent="0.25">
      <c r="A12" s="2" t="s">
        <v>2</v>
      </c>
      <c r="B12" s="1" t="s">
        <v>26</v>
      </c>
      <c r="C12" s="7">
        <f>Desirability!R13</f>
        <v>55.666666666666664</v>
      </c>
      <c r="D12" s="7">
        <f>Import!O12</f>
        <v>0.11810995451223213</v>
      </c>
      <c r="E12" s="7">
        <f>VLOOKUP(A12,PanelScore!$A$1:$D$6,4,0)</f>
        <v>0.08</v>
      </c>
      <c r="F12" s="7">
        <f>E12*Import!O12</f>
        <v>9.4487963609785706E-3</v>
      </c>
      <c r="G12" s="8">
        <f t="shared" si="0"/>
        <v>0.52598299742780708</v>
      </c>
    </row>
    <row r="13" spans="1:7" ht="30" x14ac:dyDescent="0.25">
      <c r="A13" s="2" t="s">
        <v>2</v>
      </c>
      <c r="B13" s="1" t="s">
        <v>27</v>
      </c>
      <c r="C13" s="7">
        <f>Desirability!R14</f>
        <v>90</v>
      </c>
      <c r="D13" s="7">
        <f>Import!O13</f>
        <v>8.6064499966777577E-2</v>
      </c>
      <c r="E13" s="7">
        <f>VLOOKUP(A13,PanelScore!$A$1:$D$6,4,0)</f>
        <v>0.08</v>
      </c>
      <c r="F13" s="7">
        <f>E13*Import!O13</f>
        <v>6.8851599973422063E-3</v>
      </c>
      <c r="G13" s="8">
        <f t="shared" si="0"/>
        <v>0.61966439976079857</v>
      </c>
    </row>
    <row r="14" spans="1:7" ht="45" x14ac:dyDescent="0.25">
      <c r="A14" s="2" t="s">
        <v>89</v>
      </c>
      <c r="B14" s="1" t="s">
        <v>24</v>
      </c>
      <c r="C14" s="7">
        <f>Desirability!R15</f>
        <v>100</v>
      </c>
      <c r="D14" s="7">
        <f>Import!O14</f>
        <v>4.835067870464705E-2</v>
      </c>
      <c r="E14" s="7">
        <f>VLOOKUP(A14,PanelScore!$A$1:$D$6,4,0)</f>
        <v>0.26</v>
      </c>
      <c r="F14" s="7">
        <f>E14*Import!O14</f>
        <v>1.2571176463208234E-2</v>
      </c>
      <c r="G14" s="8">
        <f t="shared" si="0"/>
        <v>1.2571176463208233</v>
      </c>
    </row>
    <row r="15" spans="1:7" ht="30" x14ac:dyDescent="0.25">
      <c r="A15" s="2" t="s">
        <v>89</v>
      </c>
      <c r="B15" s="1" t="s">
        <v>13</v>
      </c>
      <c r="C15" s="7">
        <f>Desirability!R16</f>
        <v>58</v>
      </c>
      <c r="D15" s="7">
        <f>Import!O15</f>
        <v>7.192371933599738E-2</v>
      </c>
      <c r="E15" s="7">
        <f>VLOOKUP(A15,PanelScore!$A$1:$D$6,4,0)</f>
        <v>0.26</v>
      </c>
      <c r="F15" s="7">
        <f>E15*Import!O15</f>
        <v>1.870016702735932E-2</v>
      </c>
      <c r="G15" s="8">
        <f t="shared" si="0"/>
        <v>1.0846096875868405</v>
      </c>
    </row>
    <row r="16" spans="1:7" ht="30" x14ac:dyDescent="0.25">
      <c r="A16" s="2" t="s">
        <v>88</v>
      </c>
      <c r="B16" s="1" t="s">
        <v>21</v>
      </c>
      <c r="C16" s="7">
        <f>Desirability!R17</f>
        <v>85</v>
      </c>
      <c r="D16" s="7">
        <f>Import!O16</f>
        <v>9.0420747948517788E-2</v>
      </c>
      <c r="E16" s="7">
        <f>VLOOKUP(A16,PanelScore!$A$1:$D$6,4,0)</f>
        <v>0.32</v>
      </c>
      <c r="F16" s="7">
        <f>E16*Import!O16</f>
        <v>2.8934639343525692E-2</v>
      </c>
      <c r="G16" s="8">
        <f t="shared" si="0"/>
        <v>2.4594443441996838</v>
      </c>
    </row>
    <row r="17" spans="1:7" ht="45" x14ac:dyDescent="0.25">
      <c r="A17" s="2" t="s">
        <v>89</v>
      </c>
      <c r="B17" s="1" t="s">
        <v>22</v>
      </c>
      <c r="C17" s="7">
        <f>Desirability!R18</f>
        <v>100</v>
      </c>
      <c r="D17" s="7">
        <f>Import!O17</f>
        <v>0.17810788553168261</v>
      </c>
      <c r="E17" s="7">
        <f>VLOOKUP(A17,PanelScore!$A$1:$D$6,4,0)</f>
        <v>0.26</v>
      </c>
      <c r="F17" s="7">
        <f>E17*Import!O17</f>
        <v>4.6308050238237482E-2</v>
      </c>
      <c r="G17" s="8">
        <f t="shared" si="0"/>
        <v>4.6308050238237479</v>
      </c>
    </row>
    <row r="18" spans="1:7" ht="30" x14ac:dyDescent="0.25">
      <c r="A18" s="2" t="s">
        <v>88</v>
      </c>
      <c r="B18" s="1" t="s">
        <v>17</v>
      </c>
      <c r="C18" s="7">
        <f>Desirability!R19</f>
        <v>60</v>
      </c>
      <c r="D18" s="7">
        <f>Import!O18</f>
        <v>0.15537115291451864</v>
      </c>
      <c r="E18" s="7">
        <f>VLOOKUP(A18,PanelScore!$A$1:$D$6,4,0)</f>
        <v>0.32</v>
      </c>
      <c r="F18" s="7">
        <f>E18*Import!O18</f>
        <v>4.9718768932645964E-2</v>
      </c>
      <c r="G18" s="8">
        <f t="shared" si="0"/>
        <v>2.983126135958758</v>
      </c>
    </row>
    <row r="19" spans="1:7" ht="45" x14ac:dyDescent="0.25">
      <c r="A19" s="2" t="s">
        <v>88</v>
      </c>
      <c r="B19" s="1" t="s">
        <v>23</v>
      </c>
      <c r="C19" s="7">
        <f>Desirability!R20</f>
        <v>81.666666666666671</v>
      </c>
      <c r="D19" s="7">
        <f>Import!O19</f>
        <v>6.1946575815374612E-2</v>
      </c>
      <c r="E19" s="7">
        <f>VLOOKUP(A19,PanelScore!$A$1:$D$6,4,0)</f>
        <v>0.32</v>
      </c>
      <c r="F19" s="7">
        <f>E19*Import!O19</f>
        <v>1.9822904260919875E-2</v>
      </c>
      <c r="G19" s="8">
        <f t="shared" si="0"/>
        <v>1.6188705146417899</v>
      </c>
    </row>
    <row r="20" spans="1:7" ht="30" x14ac:dyDescent="0.25">
      <c r="A20" s="2" t="s">
        <v>88</v>
      </c>
      <c r="B20" s="1" t="s">
        <v>15</v>
      </c>
      <c r="C20" s="7">
        <f>Desirability!R21</f>
        <v>100</v>
      </c>
      <c r="D20" s="7">
        <f>Import!O20</f>
        <v>4.3594893371382684E-2</v>
      </c>
      <c r="E20" s="7">
        <f>VLOOKUP(A20,PanelScore!$A$1:$D$6,4,0)</f>
        <v>0.32</v>
      </c>
      <c r="F20" s="7">
        <f>E20*Import!O20</f>
        <v>1.395036587884246E-2</v>
      </c>
      <c r="G20" s="8">
        <f t="shared" si="0"/>
        <v>1.3950365878842459</v>
      </c>
    </row>
    <row r="21" spans="1:7" x14ac:dyDescent="0.25">
      <c r="A21" s="2" t="s">
        <v>3</v>
      </c>
      <c r="B21" s="1" t="s">
        <v>34</v>
      </c>
      <c r="C21" s="7">
        <f>Desirability!R22</f>
        <v>60</v>
      </c>
      <c r="D21" s="7">
        <f>Import!O21</f>
        <v>8.4211184448888046E-2</v>
      </c>
      <c r="E21" s="7">
        <f>VLOOKUP(A21,PanelScore!$A$1:$D$6,4,0)</f>
        <v>0.06</v>
      </c>
      <c r="F21" s="7">
        <f>E21*Import!O21</f>
        <v>5.0526710669332826E-3</v>
      </c>
      <c r="G21" s="8">
        <f t="shared" si="0"/>
        <v>0.30316026401599694</v>
      </c>
    </row>
    <row r="22" spans="1:7" ht="45" x14ac:dyDescent="0.25">
      <c r="A22" s="2" t="s">
        <v>1</v>
      </c>
      <c r="B22" s="1" t="s">
        <v>7</v>
      </c>
      <c r="C22" s="7">
        <f>Desirability!R23</f>
        <v>86.333333333333329</v>
      </c>
      <c r="D22" s="7">
        <f>Import!O22</f>
        <v>0.13179153638328553</v>
      </c>
      <c r="E22" s="7">
        <f>VLOOKUP(A22,PanelScore!$A$1:$D$6,4,0)</f>
        <v>0.28000000000000003</v>
      </c>
      <c r="F22" s="7">
        <f>E22*Import!O22</f>
        <v>3.6901630187319949E-2</v>
      </c>
      <c r="G22" s="8">
        <f t="shared" si="0"/>
        <v>3.1858407395052888</v>
      </c>
    </row>
    <row r="23" spans="1:7" ht="30" x14ac:dyDescent="0.25">
      <c r="A23" s="2" t="s">
        <v>1</v>
      </c>
      <c r="B23" s="1" t="s">
        <v>9</v>
      </c>
      <c r="C23" s="7">
        <f>Desirability!R24</f>
        <v>100</v>
      </c>
      <c r="D23" s="7">
        <f>Import!O23</f>
        <v>0.15863752782817339</v>
      </c>
      <c r="E23" s="7">
        <f>VLOOKUP(A23,PanelScore!$A$1:$D$6,4,0)</f>
        <v>0.28000000000000003</v>
      </c>
      <c r="F23" s="7">
        <f>E23*Import!O23</f>
        <v>4.4418507791888551E-2</v>
      </c>
      <c r="G23" s="8">
        <f t="shared" si="0"/>
        <v>4.4418507791888553</v>
      </c>
    </row>
    <row r="24" spans="1:7" ht="45" x14ac:dyDescent="0.25">
      <c r="A24" s="2" t="s">
        <v>3</v>
      </c>
      <c r="B24" s="1" t="s">
        <v>33</v>
      </c>
      <c r="C24" s="7">
        <f>Desirability!R25</f>
        <v>61.666666666666664</v>
      </c>
      <c r="D24" s="7">
        <f>Import!O24</f>
        <v>0.27172114739279823</v>
      </c>
      <c r="E24" s="7">
        <f>VLOOKUP(A24,PanelScore!$A$1:$D$6,4,0)</f>
        <v>0.06</v>
      </c>
      <c r="F24" s="7">
        <f>E24*Import!O24</f>
        <v>1.6303268843567892E-2</v>
      </c>
      <c r="G24" s="8">
        <f t="shared" si="0"/>
        <v>1.0053682453533532</v>
      </c>
    </row>
    <row r="25" spans="1:7" ht="45" x14ac:dyDescent="0.25">
      <c r="A25" s="2" t="s">
        <v>89</v>
      </c>
      <c r="B25" s="1" t="s">
        <v>16</v>
      </c>
      <c r="C25" s="7">
        <f>Desirability!R26</f>
        <v>85</v>
      </c>
      <c r="D25" s="7">
        <f>Import!O25</f>
        <v>6.2717633594184863E-2</v>
      </c>
      <c r="E25" s="7">
        <f>VLOOKUP(A25,PanelScore!$A$1:$D$6,4,0)</f>
        <v>0.26</v>
      </c>
      <c r="F25" s="7">
        <f>E25*Import!O25</f>
        <v>1.6306584734488067E-2</v>
      </c>
      <c r="G25" s="8">
        <f t="shared" si="0"/>
        <v>1.3860597024314856</v>
      </c>
    </row>
    <row r="26" spans="1:7" ht="45" x14ac:dyDescent="0.25">
      <c r="A26" s="2" t="s">
        <v>1</v>
      </c>
      <c r="B26" s="1" t="s">
        <v>11</v>
      </c>
      <c r="C26" s="7">
        <f>Desirability!R27</f>
        <v>63.333333333333336</v>
      </c>
      <c r="D26" s="7">
        <f>Import!O26</f>
        <v>9.8223355438179616E-2</v>
      </c>
      <c r="E26" s="7">
        <f>VLOOKUP(A26,PanelScore!$A$1:$D$6,4,0)</f>
        <v>0.28000000000000003</v>
      </c>
      <c r="F26" s="7">
        <f>E26*Import!O26</f>
        <v>2.7502539522690297E-2</v>
      </c>
      <c r="G26" s="8">
        <f t="shared" si="0"/>
        <v>1.7418275031037189</v>
      </c>
    </row>
    <row r="27" spans="1:7" ht="30" x14ac:dyDescent="0.25">
      <c r="A27" s="2" t="s">
        <v>89</v>
      </c>
      <c r="B27" s="1" t="s">
        <v>18</v>
      </c>
      <c r="C27" s="7">
        <f>Desirability!R28</f>
        <v>100</v>
      </c>
      <c r="D27" s="7">
        <f>Import!O27</f>
        <v>6.2001232239963053E-2</v>
      </c>
      <c r="E27" s="7">
        <f>VLOOKUP(A27,PanelScore!$A$1:$D$6,4,0)</f>
        <v>0.26</v>
      </c>
      <c r="F27" s="7">
        <f>E27*Import!O27</f>
        <v>1.6120320382390394E-2</v>
      </c>
      <c r="G27" s="8">
        <f t="shared" si="0"/>
        <v>1.6120320382390394</v>
      </c>
    </row>
    <row r="28" spans="1:7" ht="45" x14ac:dyDescent="0.25">
      <c r="A28" s="2" t="s">
        <v>3</v>
      </c>
      <c r="B28" s="1" t="s">
        <v>35</v>
      </c>
      <c r="C28" s="7">
        <f>Desirability!R29</f>
        <v>100</v>
      </c>
      <c r="D28" s="7">
        <f>Import!O28</f>
        <v>0.15486381921569603</v>
      </c>
      <c r="E28" s="7">
        <f>VLOOKUP(A28,PanelScore!$A$1:$D$6,4,0)</f>
        <v>0.06</v>
      </c>
      <c r="F28" s="7">
        <f>E28*Import!O28</f>
        <v>9.2918291529417614E-3</v>
      </c>
      <c r="G28" s="8">
        <f t="shared" si="0"/>
        <v>0.92918291529417618</v>
      </c>
    </row>
    <row r="29" spans="1:7" ht="75" x14ac:dyDescent="0.25">
      <c r="A29" s="2" t="s">
        <v>1</v>
      </c>
      <c r="B29" s="1" t="s">
        <v>25</v>
      </c>
      <c r="C29" s="7">
        <f>Desirability!R30</f>
        <v>56</v>
      </c>
      <c r="D29" s="7">
        <f>Import!O29</f>
        <v>6.2851214982824088E-2</v>
      </c>
      <c r="E29" s="7">
        <f>VLOOKUP(A29,PanelScore!$A$1:$D$6,4,0)</f>
        <v>0.28000000000000003</v>
      </c>
      <c r="F29" s="7">
        <f>E29*Import!O29</f>
        <v>1.7598340195190746E-2</v>
      </c>
      <c r="G29" s="8">
        <f t="shared" si="0"/>
        <v>0.9855070509306818</v>
      </c>
    </row>
    <row r="30" spans="1:7" ht="30" x14ac:dyDescent="0.25">
      <c r="A30" s="2" t="s">
        <v>2</v>
      </c>
      <c r="B30" s="1" t="s">
        <v>28</v>
      </c>
      <c r="C30" s="7">
        <f>Desirability!R31</f>
        <v>66.666666666666671</v>
      </c>
      <c r="D30" s="7">
        <f>Import!O30</f>
        <v>0.30638915925747007</v>
      </c>
      <c r="E30" s="7">
        <f>VLOOKUP(A30,PanelScore!$A$1:$D$6,4,0)</f>
        <v>0.08</v>
      </c>
      <c r="F30" s="7">
        <f>E30*Import!O30</f>
        <v>2.4511132740597606E-2</v>
      </c>
      <c r="G30" s="8">
        <f t="shared" si="0"/>
        <v>1.6340755160398406</v>
      </c>
    </row>
    <row r="31" spans="1:7" x14ac:dyDescent="0.25">
      <c r="A31" s="2" t="s">
        <v>72</v>
      </c>
      <c r="B31" s="1"/>
      <c r="D31" s="7">
        <f>SUBTOTAL(109,Table1[LocalWeight])</f>
        <v>4.0200000000000005</v>
      </c>
      <c r="E31" s="7"/>
      <c r="F31" s="7">
        <f>SUBTOTAL(109,Table1[GlobalWeight])</f>
        <v>0.71886393103561175</v>
      </c>
      <c r="G31" s="8">
        <f>SUBTOTAL(109,Table1[Score])</f>
        <v>56.750108921969883</v>
      </c>
    </row>
    <row r="32" spans="1:7" x14ac:dyDescent="0.25">
      <c r="D32" s="7"/>
      <c r="E32" s="7"/>
      <c r="F32" s="7"/>
      <c r="G32" s="7"/>
    </row>
  </sheetData>
  <conditionalFormatting sqref="A2:A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C25C-486E-4C83-B922-2EA8B36C8C91}">
  <dimension ref="A1:AC32"/>
  <sheetViews>
    <sheetView zoomScale="80" zoomScaleNormal="80" workbookViewId="0"/>
  </sheetViews>
  <sheetFormatPr defaultRowHeight="15" x14ac:dyDescent="0.25"/>
  <cols>
    <col min="1" max="1" width="12.7109375" style="2" customWidth="1"/>
    <col min="2" max="2" width="56" style="2" customWidth="1"/>
    <col min="3" max="3" width="17" style="2" customWidth="1"/>
    <col min="4" max="13" width="9.140625" style="2"/>
    <col min="14" max="14" width="11.5703125" style="2" bestFit="1" customWidth="1"/>
    <col min="15" max="17" width="12.42578125" style="2" bestFit="1" customWidth="1"/>
    <col min="18" max="28" width="12.42578125" style="2" customWidth="1"/>
    <col min="29" max="29" width="23" style="2" customWidth="1"/>
    <col min="30" max="16384" width="9.140625" style="2"/>
  </cols>
  <sheetData>
    <row r="1" spans="1:28" ht="60.75" customHeight="1" x14ac:dyDescent="0.25">
      <c r="A1" s="2" t="str">
        <f>Table1[[#Headers],[Name]]</f>
        <v>Name</v>
      </c>
      <c r="B1" s="2" t="str">
        <f>Table1[[#Headers],[Criteria]]</f>
        <v>Criteria</v>
      </c>
      <c r="C1" s="2" t="s">
        <v>86</v>
      </c>
      <c r="D1" s="2" t="s">
        <v>57</v>
      </c>
      <c r="F1" s="2" t="s">
        <v>59</v>
      </c>
      <c r="H1" s="2" t="s">
        <v>60</v>
      </c>
      <c r="J1" s="2" t="s">
        <v>62</v>
      </c>
      <c r="L1" s="2" t="s">
        <v>64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92</v>
      </c>
      <c r="S1" s="2" t="s">
        <v>81</v>
      </c>
      <c r="T1" s="2" t="s">
        <v>82</v>
      </c>
      <c r="U1" s="2" t="s">
        <v>83</v>
      </c>
      <c r="V1" s="2" t="s">
        <v>84</v>
      </c>
      <c r="W1" s="2" t="s">
        <v>93</v>
      </c>
      <c r="X1" s="2" t="s">
        <v>77</v>
      </c>
      <c r="Y1" s="2" t="s">
        <v>78</v>
      </c>
      <c r="Z1" s="2" t="s">
        <v>79</v>
      </c>
      <c r="AA1" s="2" t="s">
        <v>80</v>
      </c>
      <c r="AB1" s="2" t="s">
        <v>94</v>
      </c>
    </row>
    <row r="2" spans="1:28" x14ac:dyDescent="0.25">
      <c r="A2" s="2" t="str">
        <f>Table1[[#This Row],[Name]]</f>
        <v>Prof</v>
      </c>
      <c r="B2" s="2" t="str">
        <f>Table1[[#This Row],[Criteria]]</f>
        <v>Change Management is considered</v>
      </c>
      <c r="C2" s="2">
        <f>VLOOKUP(A2,PanelScore!$A$2:$D$6,4,0)+1</f>
        <v>1.08</v>
      </c>
      <c r="D2" s="2">
        <f>VLOOKUP(A2,PanelScore!$A$2:$I$6,5,0)</f>
        <v>1</v>
      </c>
      <c r="E2" s="2">
        <f>C2*D2</f>
        <v>1.08</v>
      </c>
      <c r="F2" s="2">
        <f>VLOOKUP(A2,PanelScore!$A$2:$I$6,6,0)</f>
        <v>1</v>
      </c>
      <c r="G2" s="2">
        <f>C2*F2</f>
        <v>1.08</v>
      </c>
      <c r="H2" s="2">
        <f>VLOOKUP(A2,PanelScore!$A$2:$I$6,7,0)</f>
        <v>1.5</v>
      </c>
      <c r="I2" s="2">
        <f>C2*H2</f>
        <v>1.62</v>
      </c>
      <c r="J2" s="2">
        <f>VLOOKUP(A2,PanelScore!$A$2:$I$6,8,0)</f>
        <v>1</v>
      </c>
      <c r="K2" s="2">
        <f>C2*J2</f>
        <v>1.08</v>
      </c>
      <c r="L2" s="2">
        <f>VLOOKUP(A2,PanelScore!$A$2:$I$6,9,0)</f>
        <v>1</v>
      </c>
      <c r="M2" s="2">
        <f>C2*L2</f>
        <v>1.08</v>
      </c>
      <c r="N2" s="2">
        <f>E2*Table1[[#This Row],[GlobalWeight]]</f>
        <v>9.4851223572468869E-3</v>
      </c>
      <c r="O2" s="2">
        <f>G2*Table1[[#This Row],[GlobalWeight]]</f>
        <v>9.4851223572468869E-3</v>
      </c>
      <c r="P2" s="2">
        <f>I2*Table1[[#This Row],[GlobalWeight]]</f>
        <v>1.4227683535870329E-2</v>
      </c>
      <c r="Q2" s="2">
        <f>K2*Table1[[#This Row],[GlobalWeight]]</f>
        <v>9.4851223572468869E-3</v>
      </c>
      <c r="R2" s="2">
        <f>L2*Table1[[#This Row],[GlobalWeight]]</f>
        <v>8.7825207011545236E-3</v>
      </c>
      <c r="S2" s="2">
        <f>N2/$N$31</f>
        <v>8.8100520237007381E-3</v>
      </c>
      <c r="T2" s="2">
        <f>O2/$O$31</f>
        <v>9.3084658430496892E-3</v>
      </c>
      <c r="U2" s="2">
        <f>P2/$P$31</f>
        <v>1.5143936988343555E-2</v>
      </c>
      <c r="V2" s="2">
        <f>Q2/$Q$31</f>
        <v>1.0221471974766165E-2</v>
      </c>
      <c r="W2" s="2">
        <f>R2/$R$31</f>
        <v>1.4263264517431148E-4</v>
      </c>
      <c r="X2" s="2">
        <f>S2*Table1[[#This Row],[Dscore]]</f>
        <v>0.17032767245821426</v>
      </c>
      <c r="Y2" s="2">
        <f>T2*Table1[[#This Row],[Dscore]]</f>
        <v>0.17996367296562732</v>
      </c>
      <c r="Z2" s="2">
        <f>U2*Table1[[#This Row],[Dscore]]</f>
        <v>0.29278278177464206</v>
      </c>
      <c r="AA2" s="2">
        <f>V2*Table1[[#This Row],[Dscore]]</f>
        <v>0.19761512484547916</v>
      </c>
      <c r="AB2" s="2">
        <f>W2*Table1[[#This Row],[Dscore]]</f>
        <v>2.7575644733700217E-3</v>
      </c>
    </row>
    <row r="3" spans="1:28" x14ac:dyDescent="0.25">
      <c r="A3" s="2" t="str">
        <f>Table1[[#This Row],[Name]]</f>
        <v>Org</v>
      </c>
      <c r="B3" s="2" t="str">
        <f>Table1[[#This Row],[Criteria]]</f>
        <v>Computer users settings and permissions are known</v>
      </c>
      <c r="C3" s="2">
        <f>VLOOKUP(A3,PanelScore!$A$2:$D$6,4,0)+1</f>
        <v>1.28</v>
      </c>
      <c r="D3" s="2">
        <f>VLOOKUP(A3,PanelScore!$A$2:$I$6,5,0)</f>
        <v>1.5</v>
      </c>
      <c r="E3" s="2">
        <f t="shared" ref="E3:E30" si="0">C3*D3</f>
        <v>1.92</v>
      </c>
      <c r="F3" s="2">
        <f>VLOOKUP(A3,PanelScore!$A$2:$I$6,6,0)</f>
        <v>1</v>
      </c>
      <c r="G3" s="2">
        <f t="shared" ref="G3:G30" si="1">C3*F3</f>
        <v>1.28</v>
      </c>
      <c r="H3" s="2">
        <f>VLOOKUP(A3,PanelScore!$A$2:$I$6,7,0)</f>
        <v>1</v>
      </c>
      <c r="I3" s="2">
        <f t="shared" ref="I3:I30" si="2">C3*H3</f>
        <v>1.28</v>
      </c>
      <c r="J3" s="2">
        <f>VLOOKUP(A3,PanelScore!$A$2:$I$6,8,0)</f>
        <v>1</v>
      </c>
      <c r="K3" s="2">
        <f t="shared" ref="K3:K30" si="3">C3*J3</f>
        <v>1.28</v>
      </c>
      <c r="L3" s="2">
        <f>VLOOKUP(A3,PanelScore!$A$2:$I$6,9,0)</f>
        <v>1</v>
      </c>
      <c r="M3" s="2">
        <f t="shared" ref="M3:M30" si="4">C3*L3</f>
        <v>1.28</v>
      </c>
      <c r="N3" s="2">
        <f>E3*Table1[[#This Row],[GlobalWeight]]</f>
        <v>6.3573088855010049E-2</v>
      </c>
      <c r="O3" s="2">
        <f>G3*Table1[[#This Row],[GlobalWeight]]</f>
        <v>4.2382059236673368E-2</v>
      </c>
      <c r="P3" s="2">
        <f>I3*Table1[[#This Row],[GlobalWeight]]</f>
        <v>4.2382059236673368E-2</v>
      </c>
      <c r="Q3" s="2">
        <f>K3*Table1[[#This Row],[GlobalWeight]]</f>
        <v>4.2382059236673368E-2</v>
      </c>
      <c r="R3" s="2">
        <f>L3*Table1[[#This Row],[Score]]</f>
        <v>2.0418439996834827</v>
      </c>
      <c r="S3" s="2">
        <f t="shared" ref="S3:S30" si="5">N3/$N$31</f>
        <v>5.9048497112118993E-2</v>
      </c>
      <c r="T3" s="2">
        <f t="shared" ref="T3:T30" si="6">O3/$O$31</f>
        <v>4.1592710763637644E-2</v>
      </c>
      <c r="U3" s="2">
        <f t="shared" ref="U3:U30" si="7">P3/$P$31</f>
        <v>4.5111435947971672E-2</v>
      </c>
      <c r="V3" s="2">
        <f t="shared" ref="V3:V30" si="8">Q3/$Q$31</f>
        <v>4.567226593440353E-2</v>
      </c>
      <c r="W3" s="2">
        <f t="shared" ref="W3:W30" si="9">R3/$R$31</f>
        <v>3.3160594847202178E-2</v>
      </c>
      <c r="X3" s="2">
        <f>S3*Table1[[#This Row],[Dscore]]</f>
        <v>3.641323988580671</v>
      </c>
      <c r="Y3" s="2">
        <f>T3*Table1[[#This Row],[Dscore]]</f>
        <v>2.5648838304243213</v>
      </c>
      <c r="Z3" s="2">
        <f>U3*Table1[[#This Row],[Dscore]]</f>
        <v>2.781871883458253</v>
      </c>
      <c r="AA3" s="2">
        <f>V3*Table1[[#This Row],[Dscore]]</f>
        <v>2.8164563992882177</v>
      </c>
      <c r="AB3" s="2">
        <f>W3*Table1[[#This Row],[Dscore]]</f>
        <v>2.0449033489108008</v>
      </c>
    </row>
    <row r="4" spans="1:28" x14ac:dyDescent="0.25">
      <c r="A4" s="2" t="str">
        <f>Table1[[#This Row],[Name]]</f>
        <v>Prof</v>
      </c>
      <c r="B4" s="2" t="str">
        <f>Table1[[#This Row],[Criteria]]</f>
        <v>Cyber awareness of all staff is checked</v>
      </c>
      <c r="C4" s="2">
        <f>VLOOKUP(A4,PanelScore!$A$2:$D$6,4,0)+1</f>
        <v>1.08</v>
      </c>
      <c r="D4" s="2">
        <f>VLOOKUP(A4,PanelScore!$A$2:$I$6,5,0)</f>
        <v>1</v>
      </c>
      <c r="E4" s="2">
        <f t="shared" si="0"/>
        <v>1.08</v>
      </c>
      <c r="F4" s="2">
        <f>VLOOKUP(A4,PanelScore!$A$2:$I$6,6,0)</f>
        <v>1</v>
      </c>
      <c r="G4" s="2">
        <f t="shared" si="1"/>
        <v>1.08</v>
      </c>
      <c r="H4" s="2">
        <f>VLOOKUP(A4,PanelScore!$A$2:$I$6,7,0)</f>
        <v>1.5</v>
      </c>
      <c r="I4" s="2">
        <f t="shared" si="2"/>
        <v>1.62</v>
      </c>
      <c r="J4" s="2">
        <f>VLOOKUP(A4,PanelScore!$A$2:$I$6,8,0)</f>
        <v>1</v>
      </c>
      <c r="K4" s="2">
        <f t="shared" si="3"/>
        <v>1.08</v>
      </c>
      <c r="L4" s="2">
        <f>VLOOKUP(A4,PanelScore!$A$2:$I$6,9,0)</f>
        <v>1</v>
      </c>
      <c r="M4" s="2">
        <f t="shared" si="4"/>
        <v>1.08</v>
      </c>
      <c r="N4" s="2">
        <f>E4*Table1[[#This Row],[GlobalWeight]]</f>
        <v>3.3234181415921264E-2</v>
      </c>
      <c r="O4" s="2">
        <f>G4*Table1[[#This Row],[GlobalWeight]]</f>
        <v>3.3234181415921264E-2</v>
      </c>
      <c r="P4" s="2">
        <f>I4*Table1[[#This Row],[GlobalWeight]]</f>
        <v>4.9851272123881893E-2</v>
      </c>
      <c r="Q4" s="2">
        <f>K4*Table1[[#This Row],[GlobalWeight]]</f>
        <v>3.3234181415921264E-2</v>
      </c>
      <c r="R4" s="2">
        <f>L4*Table1[[#This Row],[Score]]</f>
        <v>2.3592165819944104</v>
      </c>
      <c r="S4" s="2">
        <f t="shared" si="5"/>
        <v>3.0868855056537196E-2</v>
      </c>
      <c r="T4" s="2">
        <f t="shared" si="6"/>
        <v>3.2615208415889455E-2</v>
      </c>
      <c r="U4" s="2">
        <f t="shared" si="7"/>
        <v>5.3061661227528409E-2</v>
      </c>
      <c r="V4" s="2">
        <f t="shared" si="8"/>
        <v>3.5814219485275495E-2</v>
      </c>
      <c r="W4" s="2">
        <f t="shared" si="9"/>
        <v>3.8314888524512696E-2</v>
      </c>
      <c r="X4" s="2">
        <f>S4*Table1[[#This Row],[Dscore]]</f>
        <v>2.3666122210011853</v>
      </c>
      <c r="Y4" s="2">
        <f>T4*Table1[[#This Row],[Dscore]]</f>
        <v>2.5004993118848584</v>
      </c>
      <c r="Z4" s="2">
        <f>U4*Table1[[#This Row],[Dscore]]</f>
        <v>4.0680606941105113</v>
      </c>
      <c r="AA4" s="2">
        <f>V4*Table1[[#This Row],[Dscore]]</f>
        <v>2.7457568272044548</v>
      </c>
      <c r="AB4" s="2">
        <f>W4*Table1[[#This Row],[Dscore]]</f>
        <v>2.937474786879307</v>
      </c>
    </row>
    <row r="5" spans="1:28" x14ac:dyDescent="0.25">
      <c r="A5" s="2" t="str">
        <f>Table1[[#This Row],[Name]]</f>
        <v>Lead</v>
      </c>
      <c r="B5" s="2" t="str">
        <f>Table1[[#This Row],[Criteria]]</f>
        <v>Cybersecurity goals of energy organization are identified</v>
      </c>
      <c r="C5" s="2">
        <f>VLOOKUP(A5,PanelScore!$A$2:$D$6,4,0)+1</f>
        <v>1.06</v>
      </c>
      <c r="D5" s="2">
        <f>VLOOKUP(A5,PanelScore!$A$2:$I$6,5,0)</f>
        <v>1</v>
      </c>
      <c r="E5" s="2">
        <f t="shared" si="0"/>
        <v>1.06</v>
      </c>
      <c r="F5" s="2">
        <f>VLOOKUP(A5,PanelScore!$A$2:$I$6,6,0)</f>
        <v>1</v>
      </c>
      <c r="G5" s="2">
        <f t="shared" si="1"/>
        <v>1.06</v>
      </c>
      <c r="H5" s="2">
        <f>VLOOKUP(A5,PanelScore!$A$2:$I$6,7,0)</f>
        <v>1</v>
      </c>
      <c r="I5" s="2">
        <f t="shared" si="2"/>
        <v>1.06</v>
      </c>
      <c r="J5" s="2">
        <f>VLOOKUP(A5,PanelScore!$A$2:$I$6,8,0)</f>
        <v>1.5</v>
      </c>
      <c r="K5" s="2">
        <f t="shared" si="3"/>
        <v>1.59</v>
      </c>
      <c r="L5" s="2">
        <f>VLOOKUP(A5,PanelScore!$A$2:$I$6,9,0)</f>
        <v>1</v>
      </c>
      <c r="M5" s="2">
        <f t="shared" si="4"/>
        <v>1.06</v>
      </c>
      <c r="N5" s="2">
        <f>E5*Table1[[#This Row],[GlobalWeight]]</f>
        <v>9.9835206530427111E-3</v>
      </c>
      <c r="O5" s="2">
        <f>G5*Table1[[#This Row],[GlobalWeight]]</f>
        <v>9.9835206530427111E-3</v>
      </c>
      <c r="P5" s="2">
        <f>I5*Table1[[#This Row],[GlobalWeight]]</f>
        <v>9.9835206530427111E-3</v>
      </c>
      <c r="Q5" s="2">
        <f>K5*Table1[[#This Row],[GlobalWeight]]</f>
        <v>1.4975280979564066E-2</v>
      </c>
      <c r="R5" s="2">
        <f>L5*Table1[[#This Row],[Score]]</f>
        <v>0.94184157104176514</v>
      </c>
      <c r="S5" s="2">
        <f t="shared" si="5"/>
        <v>9.2729785679355869E-3</v>
      </c>
      <c r="T5" s="2">
        <f t="shared" si="6"/>
        <v>9.7975816749719877E-3</v>
      </c>
      <c r="U5" s="2">
        <f t="shared" si="7"/>
        <v>1.0626452810138133E-2</v>
      </c>
      <c r="V5" s="2">
        <f t="shared" si="8"/>
        <v>1.6137842937778635E-2</v>
      </c>
      <c r="W5" s="2">
        <f t="shared" si="9"/>
        <v>1.5295990659624245E-2</v>
      </c>
      <c r="X5" s="2">
        <f>S5*Table1[[#This Row],[Dscore]]</f>
        <v>0.92729785679355869</v>
      </c>
      <c r="Y5" s="2">
        <f>T5*Table1[[#This Row],[Dscore]]</f>
        <v>0.9797581674971988</v>
      </c>
      <c r="Z5" s="2">
        <f>U5*Table1[[#This Row],[Dscore]]</f>
        <v>1.0626452810138134</v>
      </c>
      <c r="AA5" s="2">
        <f>V5*Table1[[#This Row],[Dscore]]</f>
        <v>1.6137842937778635</v>
      </c>
      <c r="AB5" s="2">
        <f>W5*Table1[[#This Row],[Dscore]]</f>
        <v>1.5295990659624246</v>
      </c>
    </row>
    <row r="6" spans="1:28" x14ac:dyDescent="0.25">
      <c r="A6" s="2" t="str">
        <f>Table1[[#This Row],[Name]]</f>
        <v>Lead</v>
      </c>
      <c r="B6" s="2" t="str">
        <f>Table1[[#This Row],[Criteria]]</f>
        <v>Cybersecurity learning sources are available</v>
      </c>
      <c r="C6" s="2">
        <f>VLOOKUP(A6,PanelScore!$A$2:$D$6,4,0)+1</f>
        <v>1.06</v>
      </c>
      <c r="D6" s="2">
        <f>VLOOKUP(A6,PanelScore!$A$2:$I$6,5,0)</f>
        <v>1</v>
      </c>
      <c r="E6" s="2">
        <f t="shared" si="0"/>
        <v>1.06</v>
      </c>
      <c r="F6" s="2">
        <f>VLOOKUP(A6,PanelScore!$A$2:$I$6,6,0)</f>
        <v>1</v>
      </c>
      <c r="G6" s="2">
        <f t="shared" si="1"/>
        <v>1.06</v>
      </c>
      <c r="H6" s="2">
        <f>VLOOKUP(A6,PanelScore!$A$2:$I$6,7,0)</f>
        <v>1</v>
      </c>
      <c r="I6" s="2">
        <f t="shared" si="2"/>
        <v>1.06</v>
      </c>
      <c r="J6" s="2">
        <f>VLOOKUP(A6,PanelScore!$A$2:$I$6,8,0)</f>
        <v>1.5</v>
      </c>
      <c r="K6" s="2">
        <f t="shared" si="3"/>
        <v>1.59</v>
      </c>
      <c r="L6" s="2">
        <f>VLOOKUP(A6,PanelScore!$A$2:$I$6,9,0)</f>
        <v>1</v>
      </c>
      <c r="M6" s="2">
        <f t="shared" si="4"/>
        <v>1.06</v>
      </c>
      <c r="N6" s="2">
        <f>E6*Table1[[#This Row],[GlobalWeight]]</f>
        <v>6.8535468064186908E-3</v>
      </c>
      <c r="O6" s="2">
        <f>G6*Table1[[#This Row],[GlobalWeight]]</f>
        <v>6.8535468064186908E-3</v>
      </c>
      <c r="P6" s="2">
        <f>I6*Table1[[#This Row],[GlobalWeight]]</f>
        <v>6.8535468064186908E-3</v>
      </c>
      <c r="Q6" s="2">
        <f>K6*Table1[[#This Row],[GlobalWeight]]</f>
        <v>1.0280320209628036E-2</v>
      </c>
      <c r="R6" s="2">
        <f>L6*Table1[[#This Row],[Score]]</f>
        <v>0.34914295051566913</v>
      </c>
      <c r="S6" s="2">
        <f t="shared" si="5"/>
        <v>6.3657696376773357E-3</v>
      </c>
      <c r="T6" s="2">
        <f t="shared" si="6"/>
        <v>6.7259023076859745E-3</v>
      </c>
      <c r="U6" s="2">
        <f t="shared" si="7"/>
        <v>7.2949107085069059E-3</v>
      </c>
      <c r="V6" s="2">
        <f t="shared" si="8"/>
        <v>1.1078402677014626E-2</v>
      </c>
      <c r="W6" s="2">
        <f t="shared" si="9"/>
        <v>5.6702607680124426E-3</v>
      </c>
      <c r="X6" s="2">
        <f>S6*Table1[[#This Row],[Dscore]]</f>
        <v>0.34375156043457611</v>
      </c>
      <c r="Y6" s="2">
        <f>T6*Table1[[#This Row],[Dscore]]</f>
        <v>0.3631987246150426</v>
      </c>
      <c r="Z6" s="2">
        <f>U6*Table1[[#This Row],[Dscore]]</f>
        <v>0.3939251782593729</v>
      </c>
      <c r="AA6" s="2">
        <f>V6*Table1[[#This Row],[Dscore]]</f>
        <v>0.59823374455878975</v>
      </c>
      <c r="AB6" s="2">
        <f>W6*Table1[[#This Row],[Dscore]]</f>
        <v>0.30619408147267191</v>
      </c>
    </row>
    <row r="7" spans="1:28" x14ac:dyDescent="0.25">
      <c r="A7" s="2" t="str">
        <f>Table1[[#This Row],[Name]]</f>
        <v>Org</v>
      </c>
      <c r="B7" s="2" t="str">
        <f>Table1[[#This Row],[Criteria]]</f>
        <v>Cybersecurity Readiness Assessments</v>
      </c>
      <c r="C7" s="2">
        <f>VLOOKUP(A7,PanelScore!$A$2:$D$6,4,0)+1</f>
        <v>1.28</v>
      </c>
      <c r="D7" s="2">
        <f>VLOOKUP(A7,PanelScore!$A$2:$I$6,5,0)</f>
        <v>1.5</v>
      </c>
      <c r="E7" s="2">
        <f t="shared" si="0"/>
        <v>1.92</v>
      </c>
      <c r="F7" s="2">
        <f>VLOOKUP(A7,PanelScore!$A$2:$I$6,6,0)</f>
        <v>1</v>
      </c>
      <c r="G7" s="2">
        <f t="shared" si="1"/>
        <v>1.28</v>
      </c>
      <c r="H7" s="2">
        <f>VLOOKUP(A7,PanelScore!$A$2:$I$6,7,0)</f>
        <v>1</v>
      </c>
      <c r="I7" s="2">
        <f t="shared" si="2"/>
        <v>1.28</v>
      </c>
      <c r="J7" s="2">
        <f>VLOOKUP(A7,PanelScore!$A$2:$I$6,8,0)</f>
        <v>1</v>
      </c>
      <c r="K7" s="2">
        <f t="shared" si="3"/>
        <v>1.28</v>
      </c>
      <c r="L7" s="2">
        <f>VLOOKUP(A7,PanelScore!$A$2:$I$6,9,0)</f>
        <v>1</v>
      </c>
      <c r="M7" s="2">
        <f t="shared" si="4"/>
        <v>1.28</v>
      </c>
      <c r="N7" s="2">
        <f>E7*Table1[[#This Row],[GlobalWeight]]</f>
        <v>0.11256136362157143</v>
      </c>
      <c r="O7" s="2">
        <f>G7*Table1[[#This Row],[GlobalWeight]]</f>
        <v>7.504090908104763E-2</v>
      </c>
      <c r="P7" s="2">
        <f>I7*Table1[[#This Row],[GlobalWeight]]</f>
        <v>7.504090908104763E-2</v>
      </c>
      <c r="Q7" s="2">
        <f>K7*Table1[[#This Row],[GlobalWeight]]</f>
        <v>7.504090908104763E-2</v>
      </c>
      <c r="R7" s="2">
        <f>L7*Table1[[#This Row],[Score]]</f>
        <v>4.9441015618502728</v>
      </c>
      <c r="S7" s="2">
        <f t="shared" si="5"/>
        <v>0.10455020315126209</v>
      </c>
      <c r="T7" s="2">
        <f t="shared" si="6"/>
        <v>7.3643302922565296E-2</v>
      </c>
      <c r="U7" s="2">
        <f t="shared" si="7"/>
        <v>7.9873494220356708E-2</v>
      </c>
      <c r="V7" s="2">
        <f t="shared" si="8"/>
        <v>8.0866489671255939E-2</v>
      </c>
      <c r="W7" s="2">
        <f t="shared" si="9"/>
        <v>8.02947476895155E-2</v>
      </c>
      <c r="X7" s="2">
        <f>S7*Table1[[#This Row],[Dscore]]</f>
        <v>8.8170671324231034</v>
      </c>
      <c r="Y7" s="2">
        <f>T7*Table1[[#This Row],[Dscore]]</f>
        <v>6.2105852131363397</v>
      </c>
      <c r="Z7" s="2">
        <f>U7*Table1[[#This Row],[Dscore]]</f>
        <v>6.7359980125834156</v>
      </c>
      <c r="AA7" s="2">
        <f>V7*Table1[[#This Row],[Dscore]]</f>
        <v>6.8197406289425837</v>
      </c>
      <c r="AB7" s="2">
        <f>W7*Table1[[#This Row],[Dscore]]</f>
        <v>6.7715237218158064</v>
      </c>
    </row>
    <row r="8" spans="1:28" x14ac:dyDescent="0.25">
      <c r="A8" s="2" t="str">
        <f>Table1[[#This Row],[Name]]</f>
        <v>Lead</v>
      </c>
      <c r="B8" s="2" t="str">
        <f>Table1[[#This Row],[Criteria]]</f>
        <v>Cybersecurity risk is considered priority by C-Suite</v>
      </c>
      <c r="C8" s="2">
        <f>VLOOKUP(A8,PanelScore!$A$2:$D$6,4,0)+1</f>
        <v>1.06</v>
      </c>
      <c r="D8" s="2">
        <f>VLOOKUP(A8,PanelScore!$A$2:$I$6,5,0)</f>
        <v>1</v>
      </c>
      <c r="E8" s="2">
        <f t="shared" si="0"/>
        <v>1.06</v>
      </c>
      <c r="F8" s="2">
        <f>VLOOKUP(A8,PanelScore!$A$2:$I$6,6,0)</f>
        <v>1</v>
      </c>
      <c r="G8" s="2">
        <f t="shared" si="1"/>
        <v>1.06</v>
      </c>
      <c r="H8" s="2">
        <f>VLOOKUP(A8,PanelScore!$A$2:$I$6,7,0)</f>
        <v>1</v>
      </c>
      <c r="I8" s="2">
        <f t="shared" si="2"/>
        <v>1.06</v>
      </c>
      <c r="J8" s="2">
        <f>VLOOKUP(A8,PanelScore!$A$2:$I$6,8,0)</f>
        <v>1.5</v>
      </c>
      <c r="K8" s="2">
        <f t="shared" si="3"/>
        <v>1.59</v>
      </c>
      <c r="L8" s="2">
        <f>VLOOKUP(A8,PanelScore!$A$2:$I$6,9,0)</f>
        <v>1</v>
      </c>
      <c r="M8" s="2">
        <f t="shared" si="4"/>
        <v>1.06</v>
      </c>
      <c r="N8" s="2">
        <f>E8*Table1[[#This Row],[GlobalWeight]]</f>
        <v>1.4435297333289084E-2</v>
      </c>
      <c r="O8" s="2">
        <f>G8*Table1[[#This Row],[GlobalWeight]]</f>
        <v>1.4435297333289084E-2</v>
      </c>
      <c r="P8" s="2">
        <f>I8*Table1[[#This Row],[GlobalWeight]]</f>
        <v>1.4435297333289084E-2</v>
      </c>
      <c r="Q8" s="2">
        <f>K8*Table1[[#This Row],[GlobalWeight]]</f>
        <v>2.1652945999933625E-2</v>
      </c>
      <c r="R8" s="2">
        <f>L8*Table1[[#This Row],[Score]]</f>
        <v>1.3618205031404795</v>
      </c>
      <c r="S8" s="2">
        <f t="shared" si="5"/>
        <v>1.3407915648731691E-2</v>
      </c>
      <c r="T8" s="2">
        <f t="shared" si="6"/>
        <v>1.416644584015567E-2</v>
      </c>
      <c r="U8" s="2">
        <f t="shared" si="7"/>
        <v>1.5364920977627093E-2</v>
      </c>
      <c r="V8" s="2">
        <f t="shared" si="8"/>
        <v>2.3333908870490055E-2</v>
      </c>
      <c r="W8" s="2">
        <f t="shared" si="9"/>
        <v>2.2116664136072477E-2</v>
      </c>
      <c r="X8" s="2">
        <f>S8*Table1[[#This Row],[Dscore]]</f>
        <v>1.3407915648731692</v>
      </c>
      <c r="Y8" s="2">
        <f>T8*Table1[[#This Row],[Dscore]]</f>
        <v>1.416644584015567</v>
      </c>
      <c r="Z8" s="2">
        <f>U8*Table1[[#This Row],[Dscore]]</f>
        <v>1.5364920977627092</v>
      </c>
      <c r="AA8" s="2">
        <f>V8*Table1[[#This Row],[Dscore]]</f>
        <v>2.3333908870490054</v>
      </c>
      <c r="AB8" s="2">
        <f>W8*Table1[[#This Row],[Dscore]]</f>
        <v>2.2116664136072477</v>
      </c>
    </row>
    <row r="9" spans="1:28" x14ac:dyDescent="0.25">
      <c r="A9" s="2" t="str">
        <f>Table1[[#This Row],[Name]]</f>
        <v>Sys</v>
      </c>
      <c r="B9" s="2" t="str">
        <f>Table1[[#This Row],[Criteria]]</f>
        <v>Data loss prevention system is in place</v>
      </c>
      <c r="C9" s="2">
        <f>VLOOKUP(A9,PanelScore!$A$2:$D$6,4,0)+1</f>
        <v>1.32</v>
      </c>
      <c r="D9" s="2">
        <f>VLOOKUP(A9,PanelScore!$A$2:$I$6,5,0)</f>
        <v>1</v>
      </c>
      <c r="E9" s="2">
        <f t="shared" si="0"/>
        <v>1.32</v>
      </c>
      <c r="F9" s="2">
        <f>VLOOKUP(A9,PanelScore!$A$2:$I$6,6,0)</f>
        <v>1.5</v>
      </c>
      <c r="G9" s="2">
        <f t="shared" si="1"/>
        <v>1.98</v>
      </c>
      <c r="H9" s="2">
        <f>VLOOKUP(A9,PanelScore!$A$2:$I$6,7,0)</f>
        <v>1</v>
      </c>
      <c r="I9" s="2">
        <f t="shared" si="2"/>
        <v>1.32</v>
      </c>
      <c r="J9" s="2">
        <f>VLOOKUP(A9,PanelScore!$A$2:$I$6,8,0)</f>
        <v>1</v>
      </c>
      <c r="K9" s="2">
        <f t="shared" si="3"/>
        <v>1.32</v>
      </c>
      <c r="L9" s="2">
        <f>VLOOKUP(A9,PanelScore!$A$2:$I$6,9,0)</f>
        <v>1</v>
      </c>
      <c r="M9" s="2">
        <f t="shared" si="4"/>
        <v>1.32</v>
      </c>
      <c r="N9" s="2">
        <f>E9*Table1[[#This Row],[GlobalWeight]]</f>
        <v>5.7476521264085985E-2</v>
      </c>
      <c r="O9" s="2">
        <f>G9*Table1[[#This Row],[GlobalWeight]]</f>
        <v>8.6214781896128981E-2</v>
      </c>
      <c r="P9" s="2">
        <f>I9*Table1[[#This Row],[GlobalWeight]]</f>
        <v>5.7476521264085985E-2</v>
      </c>
      <c r="Q9" s="2">
        <f>K9*Table1[[#This Row],[GlobalWeight]]</f>
        <v>5.7476521264085985E-2</v>
      </c>
      <c r="R9" s="2">
        <f>L9*Table1[[#This Row],[Score]]</f>
        <v>2.6851405135999764</v>
      </c>
      <c r="S9" s="2">
        <f t="shared" si="5"/>
        <v>5.3385831347874828E-2</v>
      </c>
      <c r="T9" s="2">
        <f t="shared" si="6"/>
        <v>8.4609066938703542E-2</v>
      </c>
      <c r="U9" s="2">
        <f t="shared" si="7"/>
        <v>6.1177971392042327E-2</v>
      </c>
      <c r="V9" s="2">
        <f t="shared" si="8"/>
        <v>6.1938542190659758E-2</v>
      </c>
      <c r="W9" s="2">
        <f t="shared" si="9"/>
        <v>4.3608060504671219E-2</v>
      </c>
      <c r="X9" s="2">
        <f>S9*Table1[[#This Row],[Dscore]]</f>
        <v>3.2921262664522808</v>
      </c>
      <c r="Y9" s="2">
        <f>T9*Table1[[#This Row],[Dscore]]</f>
        <v>5.2175591278867186</v>
      </c>
      <c r="Z9" s="2">
        <f>U9*Table1[[#This Row],[Dscore]]</f>
        <v>3.7726415691759434</v>
      </c>
      <c r="AA9" s="2">
        <f>V9*Table1[[#This Row],[Dscore]]</f>
        <v>3.8195434350906847</v>
      </c>
      <c r="AB9" s="2">
        <f>W9*Table1[[#This Row],[Dscore]]</f>
        <v>2.6891637311213916</v>
      </c>
    </row>
    <row r="10" spans="1:28" x14ac:dyDescent="0.25">
      <c r="A10" s="2" t="str">
        <f>Table1[[#This Row],[Name]]</f>
        <v>Org</v>
      </c>
      <c r="B10" s="2" t="str">
        <f>Table1[[#This Row],[Criteria]]</f>
        <v>Documents are marked and protected</v>
      </c>
      <c r="C10" s="2">
        <f>VLOOKUP(A10,PanelScore!$A$2:$D$6,4,0)+1</f>
        <v>1.28</v>
      </c>
      <c r="D10" s="2">
        <f>VLOOKUP(A10,PanelScore!$A$2:$I$6,5,0)</f>
        <v>1.5</v>
      </c>
      <c r="E10" s="2">
        <f t="shared" si="0"/>
        <v>1.92</v>
      </c>
      <c r="F10" s="2">
        <f>VLOOKUP(A10,PanelScore!$A$2:$I$6,6,0)</f>
        <v>1</v>
      </c>
      <c r="G10" s="2">
        <f t="shared" si="1"/>
        <v>1.28</v>
      </c>
      <c r="H10" s="2">
        <f>VLOOKUP(A10,PanelScore!$A$2:$I$6,7,0)</f>
        <v>1</v>
      </c>
      <c r="I10" s="2">
        <f t="shared" si="2"/>
        <v>1.28</v>
      </c>
      <c r="J10" s="2">
        <f>VLOOKUP(A10,PanelScore!$A$2:$I$6,8,0)</f>
        <v>1</v>
      </c>
      <c r="K10" s="2">
        <f t="shared" si="3"/>
        <v>1.28</v>
      </c>
      <c r="L10" s="2">
        <f>VLOOKUP(A10,PanelScore!$A$2:$I$6,9,0)</f>
        <v>1</v>
      </c>
      <c r="M10" s="2">
        <f t="shared" si="4"/>
        <v>1.28</v>
      </c>
      <c r="N10" s="2">
        <f>E10*Table1[[#This Row],[GlobalWeight]]</f>
        <v>0.12276919354500662</v>
      </c>
      <c r="O10" s="2">
        <f>G10*Table1[[#This Row],[GlobalWeight]]</f>
        <v>8.1846129030004419E-2</v>
      </c>
      <c r="P10" s="2">
        <f>I10*Table1[[#This Row],[GlobalWeight]]</f>
        <v>8.1846129030004419E-2</v>
      </c>
      <c r="Q10" s="2">
        <f>K10*Table1[[#This Row],[GlobalWeight]]</f>
        <v>8.1846129030004419E-2</v>
      </c>
      <c r="R10" s="2">
        <f>L10*Table1[[#This Row],[Score]]</f>
        <v>6.3942288304690953</v>
      </c>
      <c r="S10" s="2">
        <f t="shared" si="5"/>
        <v>0.11403152656358929</v>
      </c>
      <c r="T10" s="2">
        <f t="shared" si="6"/>
        <v>8.032177844069148E-2</v>
      </c>
      <c r="U10" s="2">
        <f t="shared" si="7"/>
        <v>8.7116965853598655E-2</v>
      </c>
      <c r="V10" s="2">
        <f t="shared" si="8"/>
        <v>8.8200012884821682E-2</v>
      </c>
      <c r="W10" s="2">
        <f t="shared" si="9"/>
        <v>0.10384555903406627</v>
      </c>
      <c r="X10" s="2">
        <f>S10*Table1[[#This Row],[Dscore]]</f>
        <v>11.40315265635893</v>
      </c>
      <c r="Y10" s="2">
        <f>T10*Table1[[#This Row],[Dscore]]</f>
        <v>8.0321778440691478</v>
      </c>
      <c r="Z10" s="2">
        <f>U10*Table1[[#This Row],[Dscore]]</f>
        <v>8.7116965853598654</v>
      </c>
      <c r="AA10" s="2">
        <f>V10*Table1[[#This Row],[Dscore]]</f>
        <v>8.8200012884821675</v>
      </c>
      <c r="AB10" s="2">
        <f>W10*Table1[[#This Row],[Dscore]]</f>
        <v>10.384555903406627</v>
      </c>
    </row>
    <row r="11" spans="1:28" x14ac:dyDescent="0.25">
      <c r="A11" s="2" t="str">
        <f>Table1[[#This Row],[Name]]</f>
        <v>Sys</v>
      </c>
      <c r="B11" s="2" t="str">
        <f>Table1[[#This Row],[Criteria]]</f>
        <v>Energy system outages are planned for</v>
      </c>
      <c r="C11" s="2">
        <f>VLOOKUP(A11,PanelScore!$A$2:$D$6,4,0)+1</f>
        <v>1.32</v>
      </c>
      <c r="D11" s="2">
        <f>VLOOKUP(A11,PanelScore!$A$2:$I$6,5,0)</f>
        <v>1</v>
      </c>
      <c r="E11" s="2">
        <f t="shared" si="0"/>
        <v>1.32</v>
      </c>
      <c r="F11" s="2">
        <f>VLOOKUP(A11,PanelScore!$A$2:$I$6,6,0)</f>
        <v>1.5</v>
      </c>
      <c r="G11" s="2">
        <f t="shared" si="1"/>
        <v>1.98</v>
      </c>
      <c r="H11" s="2">
        <f>VLOOKUP(A11,PanelScore!$A$2:$I$6,7,0)</f>
        <v>1</v>
      </c>
      <c r="I11" s="2">
        <f t="shared" si="2"/>
        <v>1.32</v>
      </c>
      <c r="J11" s="2">
        <f>VLOOKUP(A11,PanelScore!$A$2:$I$6,8,0)</f>
        <v>1</v>
      </c>
      <c r="K11" s="2">
        <f t="shared" si="3"/>
        <v>1.32</v>
      </c>
      <c r="L11" s="2">
        <f>VLOOKUP(A11,PanelScore!$A$2:$I$6,9,0)</f>
        <v>1</v>
      </c>
      <c r="M11" s="2">
        <f t="shared" si="4"/>
        <v>1.32</v>
      </c>
      <c r="N11" s="2">
        <f>E11*Table1[[#This Row],[GlobalWeight]]</f>
        <v>3.9914337717586144E-2</v>
      </c>
      <c r="O11" s="2">
        <f>G11*Table1[[#This Row],[GlobalWeight]]</f>
        <v>5.9871506576379213E-2</v>
      </c>
      <c r="P11" s="2">
        <f>I11*Table1[[#This Row],[GlobalWeight]]</f>
        <v>3.9914337717586144E-2</v>
      </c>
      <c r="Q11" s="2">
        <f>K11*Table1[[#This Row],[GlobalWeight]]</f>
        <v>3.9914337717586144E-2</v>
      </c>
      <c r="R11" s="2">
        <f>L11*Table1[[#This Row],[Score]]</f>
        <v>1.7034149177454692</v>
      </c>
      <c r="S11" s="2">
        <f t="shared" si="5"/>
        <v>3.70735746508137E-2</v>
      </c>
      <c r="T11" s="2">
        <f t="shared" si="6"/>
        <v>5.8756424318801709E-2</v>
      </c>
      <c r="U11" s="2">
        <f t="shared" si="7"/>
        <v>4.2484794787756242E-2</v>
      </c>
      <c r="V11" s="2">
        <f t="shared" si="8"/>
        <v>4.3012970102589004E-2</v>
      </c>
      <c r="W11" s="2">
        <f t="shared" si="9"/>
        <v>2.7664332805441536E-2</v>
      </c>
      <c r="X11" s="2">
        <f>S11*Table1[[#This Row],[Dscore]]</f>
        <v>2.088478038662505</v>
      </c>
      <c r="Y11" s="2">
        <f>T11*Table1[[#This Row],[Dscore]]</f>
        <v>3.30994523662583</v>
      </c>
      <c r="Z11" s="2">
        <f>U11*Table1[[#This Row],[Dscore]]</f>
        <v>2.3933101063769349</v>
      </c>
      <c r="AA11" s="2">
        <f>V11*Table1[[#This Row],[Dscore]]</f>
        <v>2.4230639824458473</v>
      </c>
      <c r="AB11" s="2">
        <f>W11*Table1[[#This Row],[Dscore]]</f>
        <v>1.5584240813732066</v>
      </c>
    </row>
    <row r="12" spans="1:28" x14ac:dyDescent="0.25">
      <c r="A12" s="2" t="str">
        <f>Table1[[#This Row],[Name]]</f>
        <v>Prof</v>
      </c>
      <c r="B12" s="2" t="str">
        <f>Table1[[#This Row],[Criteria]]</f>
        <v>External reporting is done</v>
      </c>
      <c r="C12" s="2">
        <f>VLOOKUP(A12,PanelScore!$A$2:$D$6,4,0)+1</f>
        <v>1.08</v>
      </c>
      <c r="D12" s="2">
        <f>VLOOKUP(A12,PanelScore!$A$2:$I$6,5,0)</f>
        <v>1</v>
      </c>
      <c r="E12" s="2">
        <f t="shared" si="0"/>
        <v>1.08</v>
      </c>
      <c r="F12" s="2">
        <f>VLOOKUP(A12,PanelScore!$A$2:$I$6,6,0)</f>
        <v>1</v>
      </c>
      <c r="G12" s="2">
        <f t="shared" si="1"/>
        <v>1.08</v>
      </c>
      <c r="H12" s="2">
        <f>VLOOKUP(A12,PanelScore!$A$2:$I$6,7,0)</f>
        <v>1.5</v>
      </c>
      <c r="I12" s="2">
        <f t="shared" si="2"/>
        <v>1.62</v>
      </c>
      <c r="J12" s="2">
        <f>VLOOKUP(A12,PanelScore!$A$2:$I$6,8,0)</f>
        <v>1</v>
      </c>
      <c r="K12" s="2">
        <f t="shared" si="3"/>
        <v>1.08</v>
      </c>
      <c r="L12" s="2">
        <f>VLOOKUP(A12,PanelScore!$A$2:$I$6,9,0)</f>
        <v>1</v>
      </c>
      <c r="M12" s="2">
        <f t="shared" si="4"/>
        <v>1.08</v>
      </c>
      <c r="N12" s="2">
        <f>E12*Table1[[#This Row],[GlobalWeight]]</f>
        <v>1.0204700069856857E-2</v>
      </c>
      <c r="O12" s="2">
        <f>G12*Table1[[#This Row],[GlobalWeight]]</f>
        <v>1.0204700069856857E-2</v>
      </c>
      <c r="P12" s="2">
        <f>I12*Table1[[#This Row],[GlobalWeight]]</f>
        <v>1.5307050104785285E-2</v>
      </c>
      <c r="Q12" s="2">
        <f>K12*Table1[[#This Row],[GlobalWeight]]</f>
        <v>1.0204700069856857E-2</v>
      </c>
      <c r="R12" s="2">
        <f>L12*Table1[[#This Row],[Score]]</f>
        <v>0.52598299742780708</v>
      </c>
      <c r="S12" s="2">
        <f t="shared" si="5"/>
        <v>9.4784163151055666E-3</v>
      </c>
      <c r="T12" s="2">
        <f t="shared" si="6"/>
        <v>1.0014641715850335E-2</v>
      </c>
      <c r="U12" s="2">
        <f t="shared" si="7"/>
        <v>1.6292814053662171E-2</v>
      </c>
      <c r="V12" s="2">
        <f t="shared" si="8"/>
        <v>1.0996911989779742E-2</v>
      </c>
      <c r="W12" s="2">
        <f t="shared" si="9"/>
        <v>8.5422339203799404E-3</v>
      </c>
      <c r="X12" s="2">
        <f>S12*Table1[[#This Row],[Dscore]]</f>
        <v>0.5276318415408765</v>
      </c>
      <c r="Y12" s="2">
        <f>T12*Table1[[#This Row],[Dscore]]</f>
        <v>0.55748172218233527</v>
      </c>
      <c r="Z12" s="2">
        <f>U12*Table1[[#This Row],[Dscore]]</f>
        <v>0.90696664898719415</v>
      </c>
      <c r="AA12" s="2">
        <f>V12*Table1[[#This Row],[Dscore]]</f>
        <v>0.61216143409773893</v>
      </c>
      <c r="AB12" s="2">
        <f>W12*Table1[[#This Row],[Dscore]]</f>
        <v>0.47551768823448332</v>
      </c>
    </row>
    <row r="13" spans="1:28" x14ac:dyDescent="0.25">
      <c r="A13" s="2" t="str">
        <f>Table1[[#This Row],[Name]]</f>
        <v>Prof</v>
      </c>
      <c r="B13" s="2" t="str">
        <f>Table1[[#This Row],[Criteria]]</f>
        <v>External vendor/supply coordination is done</v>
      </c>
      <c r="C13" s="2">
        <f>VLOOKUP(A13,PanelScore!$A$2:$D$6,4,0)+1</f>
        <v>1.08</v>
      </c>
      <c r="D13" s="2">
        <f>VLOOKUP(A13,PanelScore!$A$2:$I$6,5,0)</f>
        <v>1</v>
      </c>
      <c r="E13" s="2">
        <f t="shared" si="0"/>
        <v>1.08</v>
      </c>
      <c r="F13" s="2">
        <f>VLOOKUP(A13,PanelScore!$A$2:$I$6,6,0)</f>
        <v>1</v>
      </c>
      <c r="G13" s="2">
        <f t="shared" si="1"/>
        <v>1.08</v>
      </c>
      <c r="H13" s="2">
        <f>VLOOKUP(A13,PanelScore!$A$2:$I$6,7,0)</f>
        <v>1.5</v>
      </c>
      <c r="I13" s="2">
        <f t="shared" si="2"/>
        <v>1.62</v>
      </c>
      <c r="J13" s="2">
        <f>VLOOKUP(A13,PanelScore!$A$2:$I$6,8,0)</f>
        <v>1</v>
      </c>
      <c r="K13" s="2">
        <f t="shared" si="3"/>
        <v>1.08</v>
      </c>
      <c r="L13" s="2">
        <f>VLOOKUP(A13,PanelScore!$A$2:$I$6,9,0)</f>
        <v>1</v>
      </c>
      <c r="M13" s="2">
        <f t="shared" si="4"/>
        <v>1.08</v>
      </c>
      <c r="N13" s="2">
        <f>E13*Table1[[#This Row],[GlobalWeight]]</f>
        <v>7.4359727971295836E-3</v>
      </c>
      <c r="O13" s="2">
        <f>G13*Table1[[#This Row],[GlobalWeight]]</f>
        <v>7.4359727971295836E-3</v>
      </c>
      <c r="P13" s="2">
        <f>I13*Table1[[#This Row],[GlobalWeight]]</f>
        <v>1.1153959195694375E-2</v>
      </c>
      <c r="Q13" s="2">
        <f>K13*Table1[[#This Row],[GlobalWeight]]</f>
        <v>7.4359727971295836E-3</v>
      </c>
      <c r="R13" s="2">
        <f>L13*Table1[[#This Row],[Score]]</f>
        <v>0.61966439976079857</v>
      </c>
      <c r="S13" s="2">
        <f t="shared" si="5"/>
        <v>6.9067435002019492E-3</v>
      </c>
      <c r="T13" s="2">
        <f t="shared" si="6"/>
        <v>7.2974808531640475E-3</v>
      </c>
      <c r="U13" s="2">
        <f t="shared" si="7"/>
        <v>1.1872266824342042E-2</v>
      </c>
      <c r="V13" s="2">
        <f t="shared" si="8"/>
        <v>8.0132427066597137E-3</v>
      </c>
      <c r="W13" s="2">
        <f t="shared" si="9"/>
        <v>1.006366799074165E-2</v>
      </c>
      <c r="X13" s="2">
        <f>S13*Table1[[#This Row],[Dscore]]</f>
        <v>0.62160691501817544</v>
      </c>
      <c r="Y13" s="2">
        <f>T13*Table1[[#This Row],[Dscore]]</f>
        <v>0.65677327678476427</v>
      </c>
      <c r="Z13" s="2">
        <f>U13*Table1[[#This Row],[Dscore]]</f>
        <v>1.0685040141907838</v>
      </c>
      <c r="AA13" s="2">
        <f>V13*Table1[[#This Row],[Dscore]]</f>
        <v>0.72119184359937427</v>
      </c>
      <c r="AB13" s="2">
        <f>W13*Table1[[#This Row],[Dscore]]</f>
        <v>0.9057301191667485</v>
      </c>
    </row>
    <row r="14" spans="1:28" x14ac:dyDescent="0.25">
      <c r="A14" s="2" t="str">
        <f>Table1[[#This Row],[Name]]</f>
        <v>Info</v>
      </c>
      <c r="B14" s="2" t="str">
        <f>Table1[[#This Row],[Criteria]]</f>
        <v>Info Officer is in contact with Internet Service Provider</v>
      </c>
      <c r="C14" s="2">
        <f>VLOOKUP(A14,PanelScore!$A$2:$D$6,4,0)+1</f>
        <v>1.26</v>
      </c>
      <c r="D14" s="2">
        <f>VLOOKUP(A14,PanelScore!$A$2:$I$6,5,0)</f>
        <v>1</v>
      </c>
      <c r="E14" s="2">
        <f t="shared" si="0"/>
        <v>1.26</v>
      </c>
      <c r="F14" s="2">
        <f>VLOOKUP(A14,PanelScore!$A$2:$I$6,6,0)</f>
        <v>1</v>
      </c>
      <c r="G14" s="2">
        <f t="shared" si="1"/>
        <v>1.26</v>
      </c>
      <c r="H14" s="2">
        <f>VLOOKUP(A14,PanelScore!$A$2:$I$6,7,0)</f>
        <v>1</v>
      </c>
      <c r="I14" s="2">
        <f t="shared" si="2"/>
        <v>1.26</v>
      </c>
      <c r="J14" s="2">
        <f>VLOOKUP(A14,PanelScore!$A$2:$I$6,8,0)</f>
        <v>1</v>
      </c>
      <c r="K14" s="2">
        <f t="shared" si="3"/>
        <v>1.26</v>
      </c>
      <c r="L14" s="2">
        <f>VLOOKUP(A14,PanelScore!$A$2:$I$6,9,0)</f>
        <v>1.5</v>
      </c>
      <c r="M14" s="2">
        <f t="shared" si="4"/>
        <v>1.8900000000000001</v>
      </c>
      <c r="N14" s="2">
        <f>E14*Table1[[#This Row],[GlobalWeight]]</f>
        <v>1.5839682343642376E-2</v>
      </c>
      <c r="O14" s="2">
        <f>G14*Table1[[#This Row],[GlobalWeight]]</f>
        <v>1.5839682343642376E-2</v>
      </c>
      <c r="P14" s="2">
        <f>I14*Table1[[#This Row],[GlobalWeight]]</f>
        <v>1.5839682343642376E-2</v>
      </c>
      <c r="Q14" s="2">
        <f>K14*Table1[[#This Row],[GlobalWeight]]</f>
        <v>1.5839682343642376E-2</v>
      </c>
      <c r="R14" s="2">
        <f>L14*Table1[[#This Row],[Score]]</f>
        <v>1.8856764694812349</v>
      </c>
      <c r="S14" s="2">
        <f t="shared" si="5"/>
        <v>1.4712348479064651E-2</v>
      </c>
      <c r="T14" s="2">
        <f t="shared" si="6"/>
        <v>1.5544674755608378E-2</v>
      </c>
      <c r="U14" s="2">
        <f t="shared" si="7"/>
        <v>1.6859747458026698E-2</v>
      </c>
      <c r="V14" s="2">
        <f t="shared" si="8"/>
        <v>1.7069349563112315E-2</v>
      </c>
      <c r="W14" s="2">
        <f t="shared" si="9"/>
        <v>3.0624353979570904E-2</v>
      </c>
      <c r="X14" s="2">
        <f>S14*Table1[[#This Row],[Dscore]]</f>
        <v>1.4712348479064652</v>
      </c>
      <c r="Y14" s="2">
        <f>T14*Table1[[#This Row],[Dscore]]</f>
        <v>1.5544674755608379</v>
      </c>
      <c r="Z14" s="2">
        <f>U14*Table1[[#This Row],[Dscore]]</f>
        <v>1.6859747458026697</v>
      </c>
      <c r="AA14" s="2">
        <f>V14*Table1[[#This Row],[Dscore]]</f>
        <v>1.7069349563112315</v>
      </c>
      <c r="AB14" s="2">
        <f>W14*Table1[[#This Row],[Dscore]]</f>
        <v>3.0624353979570902</v>
      </c>
    </row>
    <row r="15" spans="1:28" x14ac:dyDescent="0.25">
      <c r="A15" s="2" t="str">
        <f>Table1[[#This Row],[Name]]</f>
        <v>Info</v>
      </c>
      <c r="B15" s="2" t="str">
        <f>Table1[[#This Row],[Criteria]]</f>
        <v>Logging is sufficient for security and forensics</v>
      </c>
      <c r="C15" s="2">
        <f>VLOOKUP(A15,PanelScore!$A$2:$D$6,4,0)+1</f>
        <v>1.26</v>
      </c>
      <c r="D15" s="2">
        <f>VLOOKUP(A15,PanelScore!$A$2:$I$6,5,0)</f>
        <v>1</v>
      </c>
      <c r="E15" s="2">
        <f t="shared" si="0"/>
        <v>1.26</v>
      </c>
      <c r="F15" s="2">
        <f>VLOOKUP(A15,PanelScore!$A$2:$I$6,6,0)</f>
        <v>1</v>
      </c>
      <c r="G15" s="2">
        <f t="shared" si="1"/>
        <v>1.26</v>
      </c>
      <c r="H15" s="2">
        <f>VLOOKUP(A15,PanelScore!$A$2:$I$6,7,0)</f>
        <v>1</v>
      </c>
      <c r="I15" s="2">
        <f t="shared" si="2"/>
        <v>1.26</v>
      </c>
      <c r="J15" s="2">
        <f>VLOOKUP(A15,PanelScore!$A$2:$I$6,8,0)</f>
        <v>1</v>
      </c>
      <c r="K15" s="2">
        <f t="shared" si="3"/>
        <v>1.26</v>
      </c>
      <c r="L15" s="2">
        <f>VLOOKUP(A15,PanelScore!$A$2:$I$6,9,0)</f>
        <v>1.5</v>
      </c>
      <c r="M15" s="2">
        <f t="shared" si="4"/>
        <v>1.8900000000000001</v>
      </c>
      <c r="N15" s="2">
        <f>E15*Table1[[#This Row],[GlobalWeight]]</f>
        <v>2.3562210454472744E-2</v>
      </c>
      <c r="O15" s="2">
        <f>G15*Table1[[#This Row],[GlobalWeight]]</f>
        <v>2.3562210454472744E-2</v>
      </c>
      <c r="P15" s="2">
        <f>I15*Table1[[#This Row],[GlobalWeight]]</f>
        <v>2.3562210454472744E-2</v>
      </c>
      <c r="Q15" s="2">
        <f>K15*Table1[[#This Row],[GlobalWeight]]</f>
        <v>2.3562210454472744E-2</v>
      </c>
      <c r="R15" s="2">
        <f>L15*Table1[[#This Row],[Score]]</f>
        <v>1.6269145313802609</v>
      </c>
      <c r="S15" s="2">
        <f t="shared" si="5"/>
        <v>2.1885252723038446E-2</v>
      </c>
      <c r="T15" s="2">
        <f t="shared" si="6"/>
        <v>2.3123373947267573E-2</v>
      </c>
      <c r="U15" s="2">
        <f t="shared" si="7"/>
        <v>2.5079601294828596E-2</v>
      </c>
      <c r="V15" s="2">
        <f t="shared" si="8"/>
        <v>2.5391393463672817E-2</v>
      </c>
      <c r="W15" s="2">
        <f t="shared" si="9"/>
        <v>2.642192725521128E-2</v>
      </c>
      <c r="X15" s="2">
        <f>S15*Table1[[#This Row],[Dscore]]</f>
        <v>1.26934465793623</v>
      </c>
      <c r="Y15" s="2">
        <f>T15*Table1[[#This Row],[Dscore]]</f>
        <v>1.3411556889415193</v>
      </c>
      <c r="Z15" s="2">
        <f>U15*Table1[[#This Row],[Dscore]]</f>
        <v>1.4546168751000585</v>
      </c>
      <c r="AA15" s="2">
        <f>V15*Table1[[#This Row],[Dscore]]</f>
        <v>1.4727008208930235</v>
      </c>
      <c r="AB15" s="2">
        <f>W15*Table1[[#This Row],[Dscore]]</f>
        <v>1.5324717808022543</v>
      </c>
    </row>
    <row r="16" spans="1:28" x14ac:dyDescent="0.25">
      <c r="A16" s="2" t="str">
        <f>Table1[[#This Row],[Name]]</f>
        <v>Sys</v>
      </c>
      <c r="B16" s="2" t="str">
        <f>Table1[[#This Row],[Criteria]]</f>
        <v>Machine limitations are recorded</v>
      </c>
      <c r="C16" s="2">
        <f>VLOOKUP(A16,PanelScore!$A$2:$D$6,4,0)+1</f>
        <v>1.32</v>
      </c>
      <c r="D16" s="2">
        <f>VLOOKUP(A16,PanelScore!$A$2:$I$6,5,0)</f>
        <v>1</v>
      </c>
      <c r="E16" s="2">
        <f t="shared" si="0"/>
        <v>1.32</v>
      </c>
      <c r="F16" s="2">
        <f>VLOOKUP(A16,PanelScore!$A$2:$I$6,6,0)</f>
        <v>1.5</v>
      </c>
      <c r="G16" s="2">
        <f t="shared" si="1"/>
        <v>1.98</v>
      </c>
      <c r="H16" s="2">
        <f>VLOOKUP(A16,PanelScore!$A$2:$I$6,7,0)</f>
        <v>1</v>
      </c>
      <c r="I16" s="2">
        <f t="shared" si="2"/>
        <v>1.32</v>
      </c>
      <c r="J16" s="2">
        <f>VLOOKUP(A16,PanelScore!$A$2:$I$6,8,0)</f>
        <v>1</v>
      </c>
      <c r="K16" s="2">
        <f t="shared" si="3"/>
        <v>1.32</v>
      </c>
      <c r="L16" s="2">
        <f>VLOOKUP(A16,PanelScore!$A$2:$I$6,9,0)</f>
        <v>1</v>
      </c>
      <c r="M16" s="2">
        <f t="shared" si="4"/>
        <v>1.32</v>
      </c>
      <c r="N16" s="2">
        <f>E16*Table1[[#This Row],[GlobalWeight]]</f>
        <v>3.8193723933453917E-2</v>
      </c>
      <c r="O16" s="2">
        <f>G16*Table1[[#This Row],[GlobalWeight]]</f>
        <v>5.7290585900180872E-2</v>
      </c>
      <c r="P16" s="2">
        <f>I16*Table1[[#This Row],[GlobalWeight]]</f>
        <v>3.8193723933453917E-2</v>
      </c>
      <c r="Q16" s="2">
        <f>K16*Table1[[#This Row],[GlobalWeight]]</f>
        <v>3.8193723933453917E-2</v>
      </c>
      <c r="R16" s="2">
        <f>L16*Table1[[#This Row],[Score]]</f>
        <v>2.4594443441996838</v>
      </c>
      <c r="S16" s="2">
        <f t="shared" si="5"/>
        <v>3.547541952113107E-2</v>
      </c>
      <c r="T16" s="2">
        <f t="shared" si="6"/>
        <v>5.6223572231800675E-2</v>
      </c>
      <c r="U16" s="2">
        <f t="shared" si="7"/>
        <v>4.0653374608745366E-2</v>
      </c>
      <c r="V16" s="2">
        <f t="shared" si="8"/>
        <v>4.1158781520565409E-2</v>
      </c>
      <c r="W16" s="2">
        <f t="shared" si="9"/>
        <v>3.9942638840132307E-2</v>
      </c>
      <c r="X16" s="2">
        <f>S16*Table1[[#This Row],[Dscore]]</f>
        <v>3.0154106592961409</v>
      </c>
      <c r="Y16" s="2">
        <f>T16*Table1[[#This Row],[Dscore]]</f>
        <v>4.7790036397030571</v>
      </c>
      <c r="Z16" s="2">
        <f>U16*Table1[[#This Row],[Dscore]]</f>
        <v>3.4555368417433563</v>
      </c>
      <c r="AA16" s="2">
        <f>V16*Table1[[#This Row],[Dscore]]</f>
        <v>3.4984964292480596</v>
      </c>
      <c r="AB16" s="2">
        <f>W16*Table1[[#This Row],[Dscore]]</f>
        <v>3.3951243014112462</v>
      </c>
    </row>
    <row r="17" spans="1:29" x14ac:dyDescent="0.25">
      <c r="A17" s="2" t="str">
        <f>Table1[[#This Row],[Name]]</f>
        <v>Info</v>
      </c>
      <c r="B17" s="2" t="str">
        <f>Table1[[#This Row],[Criteria]]</f>
        <v>Network and System admin procedures documented</v>
      </c>
      <c r="C17" s="2">
        <f>VLOOKUP(A17,PanelScore!$A$2:$D$6,4,0)+1</f>
        <v>1.26</v>
      </c>
      <c r="D17" s="2">
        <f>VLOOKUP(A17,PanelScore!$A$2:$I$6,5,0)</f>
        <v>1</v>
      </c>
      <c r="E17" s="2">
        <f t="shared" si="0"/>
        <v>1.26</v>
      </c>
      <c r="F17" s="2">
        <f>VLOOKUP(A17,PanelScore!$A$2:$I$6,6,0)</f>
        <v>1</v>
      </c>
      <c r="G17" s="2">
        <f t="shared" si="1"/>
        <v>1.26</v>
      </c>
      <c r="H17" s="2">
        <f>VLOOKUP(A17,PanelScore!$A$2:$I$6,7,0)</f>
        <v>1</v>
      </c>
      <c r="I17" s="2">
        <f t="shared" si="2"/>
        <v>1.26</v>
      </c>
      <c r="J17" s="2">
        <f>VLOOKUP(A17,PanelScore!$A$2:$I$6,8,0)</f>
        <v>1</v>
      </c>
      <c r="K17" s="2">
        <f t="shared" si="3"/>
        <v>1.26</v>
      </c>
      <c r="L17" s="2">
        <f>VLOOKUP(A17,PanelScore!$A$2:$I$6,9,0)</f>
        <v>1.5</v>
      </c>
      <c r="M17" s="2">
        <f t="shared" si="4"/>
        <v>1.8900000000000001</v>
      </c>
      <c r="N17" s="2">
        <f>E17*Table1[[#This Row],[GlobalWeight]]</f>
        <v>5.8348143300179227E-2</v>
      </c>
      <c r="O17" s="2">
        <f>G17*Table1[[#This Row],[GlobalWeight]]</f>
        <v>5.8348143300179227E-2</v>
      </c>
      <c r="P17" s="2">
        <f>I17*Table1[[#This Row],[GlobalWeight]]</f>
        <v>5.8348143300179227E-2</v>
      </c>
      <c r="Q17" s="2">
        <f>K17*Table1[[#This Row],[GlobalWeight]]</f>
        <v>5.8348143300179227E-2</v>
      </c>
      <c r="R17" s="2">
        <f>L17*Table1[[#This Row],[Score]]</f>
        <v>6.9462075357356223</v>
      </c>
      <c r="S17" s="2">
        <f t="shared" si="5"/>
        <v>5.4195418741032536E-2</v>
      </c>
      <c r="T17" s="2">
        <f t="shared" si="6"/>
        <v>5.72614330589125E-2</v>
      </c>
      <c r="U17" s="2">
        <f t="shared" si="7"/>
        <v>6.210572531340057E-2</v>
      </c>
      <c r="V17" s="2">
        <f t="shared" si="8"/>
        <v>6.2877830043673991E-2</v>
      </c>
      <c r="W17" s="2">
        <f t="shared" si="9"/>
        <v>0.11280997659606606</v>
      </c>
      <c r="X17" s="2">
        <f>S17*Table1[[#This Row],[Dscore]]</f>
        <v>5.4195418741032535</v>
      </c>
      <c r="Y17" s="2">
        <f>T17*Table1[[#This Row],[Dscore]]</f>
        <v>5.7261433058912496</v>
      </c>
      <c r="Z17" s="2">
        <f>U17*Table1[[#This Row],[Dscore]]</f>
        <v>6.2105725313400573</v>
      </c>
      <c r="AA17" s="2">
        <f>V17*Table1[[#This Row],[Dscore]]</f>
        <v>6.287783004367399</v>
      </c>
      <c r="AB17" s="2">
        <f>W17*Table1[[#This Row],[Dscore]]</f>
        <v>11.280997659606607</v>
      </c>
    </row>
    <row r="18" spans="1:29" x14ac:dyDescent="0.25">
      <c r="A18" s="2" t="str">
        <f>Table1[[#This Row],[Name]]</f>
        <v>Sys</v>
      </c>
      <c r="B18" s="2" t="str">
        <f>Table1[[#This Row],[Criteria]]</f>
        <v>Network modeling for IoT is done</v>
      </c>
      <c r="C18" s="2">
        <f>VLOOKUP(A18,PanelScore!$A$2:$D$6,4,0)+1</f>
        <v>1.32</v>
      </c>
      <c r="D18" s="2">
        <f>VLOOKUP(A18,PanelScore!$A$2:$I$6,5,0)</f>
        <v>1</v>
      </c>
      <c r="E18" s="2">
        <f t="shared" si="0"/>
        <v>1.32</v>
      </c>
      <c r="F18" s="2">
        <f>VLOOKUP(A18,PanelScore!$A$2:$I$6,6,0)</f>
        <v>1.5</v>
      </c>
      <c r="G18" s="2">
        <f t="shared" si="1"/>
        <v>1.98</v>
      </c>
      <c r="H18" s="2">
        <f>VLOOKUP(A18,PanelScore!$A$2:$I$6,7,0)</f>
        <v>1</v>
      </c>
      <c r="I18" s="2">
        <f t="shared" si="2"/>
        <v>1.32</v>
      </c>
      <c r="J18" s="2">
        <f>VLOOKUP(A18,PanelScore!$A$2:$I$6,8,0)</f>
        <v>1</v>
      </c>
      <c r="K18" s="2">
        <f t="shared" si="3"/>
        <v>1.32</v>
      </c>
      <c r="L18" s="2">
        <f>VLOOKUP(A18,PanelScore!$A$2:$I$6,9,0)</f>
        <v>1</v>
      </c>
      <c r="M18" s="2">
        <f t="shared" si="4"/>
        <v>1.32</v>
      </c>
      <c r="N18" s="2">
        <f>E18*Table1[[#This Row],[GlobalWeight]]</f>
        <v>6.5628774991092681E-2</v>
      </c>
      <c r="O18" s="2">
        <f>G18*Table1[[#This Row],[GlobalWeight]]</f>
        <v>9.8443162486639008E-2</v>
      </c>
      <c r="P18" s="2">
        <f>I18*Table1[[#This Row],[GlobalWeight]]</f>
        <v>6.5628774991092681E-2</v>
      </c>
      <c r="Q18" s="2">
        <f>K18*Table1[[#This Row],[GlobalWeight]]</f>
        <v>6.5628774991092681E-2</v>
      </c>
      <c r="R18" s="2">
        <f>L18*Table1[[#This Row],[Score]]</f>
        <v>2.983126135958758</v>
      </c>
      <c r="S18" s="2">
        <f t="shared" si="5"/>
        <v>6.0957876993702836E-2</v>
      </c>
      <c r="T18" s="2">
        <f t="shared" si="6"/>
        <v>9.6609698955390941E-2</v>
      </c>
      <c r="U18" s="2">
        <f t="shared" si="7"/>
        <v>6.9855224891779116E-2</v>
      </c>
      <c r="V18" s="2">
        <f t="shared" si="8"/>
        <v>7.0723672193554993E-2</v>
      </c>
      <c r="W18" s="2">
        <f t="shared" si="9"/>
        <v>4.8447499999002178E-2</v>
      </c>
      <c r="X18" s="2">
        <f>S18*Table1[[#This Row],[Dscore]]</f>
        <v>3.6574726196221703</v>
      </c>
      <c r="Y18" s="2">
        <f>T18*Table1[[#This Row],[Dscore]]</f>
        <v>5.7965819373234568</v>
      </c>
      <c r="Z18" s="2">
        <f>U18*Table1[[#This Row],[Dscore]]</f>
        <v>4.1913134935067466</v>
      </c>
      <c r="AA18" s="2">
        <f>V18*Table1[[#This Row],[Dscore]]</f>
        <v>4.2434203316132999</v>
      </c>
      <c r="AB18" s="2">
        <f>W18*Table1[[#This Row],[Dscore]]</f>
        <v>2.9068499999401305</v>
      </c>
    </row>
    <row r="19" spans="1:29" x14ac:dyDescent="0.25">
      <c r="A19" s="2" t="str">
        <f>Table1[[#This Row],[Name]]</f>
        <v>Sys</v>
      </c>
      <c r="B19" s="2" t="str">
        <f>Table1[[#This Row],[Criteria]]</f>
        <v>Outages are not required for security updates</v>
      </c>
      <c r="C19" s="2">
        <f>VLOOKUP(A19,PanelScore!$A$2:$D$6,4,0)+1</f>
        <v>1.32</v>
      </c>
      <c r="D19" s="2">
        <f>VLOOKUP(A19,PanelScore!$A$2:$I$6,5,0)</f>
        <v>1</v>
      </c>
      <c r="E19" s="2">
        <f t="shared" si="0"/>
        <v>1.32</v>
      </c>
      <c r="F19" s="2">
        <f>VLOOKUP(A19,PanelScore!$A$2:$I$6,6,0)</f>
        <v>1.5</v>
      </c>
      <c r="G19" s="2">
        <f t="shared" si="1"/>
        <v>1.98</v>
      </c>
      <c r="H19" s="2">
        <f>VLOOKUP(A19,PanelScore!$A$2:$I$6,7,0)</f>
        <v>1</v>
      </c>
      <c r="I19" s="2">
        <f t="shared" si="2"/>
        <v>1.32</v>
      </c>
      <c r="J19" s="2">
        <f>VLOOKUP(A19,PanelScore!$A$2:$I$6,8,0)</f>
        <v>1</v>
      </c>
      <c r="K19" s="2">
        <f t="shared" si="3"/>
        <v>1.32</v>
      </c>
      <c r="L19" s="2">
        <f>VLOOKUP(A19,PanelScore!$A$2:$I$6,9,0)</f>
        <v>1</v>
      </c>
      <c r="M19" s="2">
        <f t="shared" si="4"/>
        <v>1.32</v>
      </c>
      <c r="N19" s="2">
        <f>E19*Table1[[#This Row],[GlobalWeight]]</f>
        <v>2.6166233624414236E-2</v>
      </c>
      <c r="O19" s="2">
        <f>G19*Table1[[#This Row],[GlobalWeight]]</f>
        <v>3.9249350436621352E-2</v>
      </c>
      <c r="P19" s="2">
        <f>I19*Table1[[#This Row],[GlobalWeight]]</f>
        <v>2.6166233624414236E-2</v>
      </c>
      <c r="Q19" s="2">
        <f>K19*Table1[[#This Row],[GlobalWeight]]</f>
        <v>2.6166233624414236E-2</v>
      </c>
      <c r="R19" s="2">
        <f>L19*Table1[[#This Row],[Score]]</f>
        <v>1.6188705146417899</v>
      </c>
      <c r="S19" s="2">
        <f t="shared" si="5"/>
        <v>2.4303943672299492E-2</v>
      </c>
      <c r="T19" s="2">
        <f t="shared" si="6"/>
        <v>3.8518347380309667E-2</v>
      </c>
      <c r="U19" s="2">
        <f t="shared" si="7"/>
        <v>2.7851321842474883E-2</v>
      </c>
      <c r="V19" s="2">
        <f t="shared" si="8"/>
        <v>2.8197572324703813E-2</v>
      </c>
      <c r="W19" s="2">
        <f t="shared" si="9"/>
        <v>2.6291288293542367E-2</v>
      </c>
      <c r="X19" s="2">
        <f>S19*Table1[[#This Row],[Dscore]]</f>
        <v>1.9848220665711254</v>
      </c>
      <c r="Y19" s="2">
        <f>T19*Table1[[#This Row],[Dscore]]</f>
        <v>3.1456650360586229</v>
      </c>
      <c r="Z19" s="2">
        <f>U19*Table1[[#This Row],[Dscore]]</f>
        <v>2.274524617135449</v>
      </c>
      <c r="AA19" s="2">
        <f>V19*Table1[[#This Row],[Dscore]]</f>
        <v>2.3028017398508114</v>
      </c>
      <c r="AB19" s="2">
        <f>W19*Table1[[#This Row],[Dscore]]</f>
        <v>2.1471218773059602</v>
      </c>
    </row>
    <row r="20" spans="1:29" x14ac:dyDescent="0.25">
      <c r="A20" s="2" t="str">
        <f>Table1[[#This Row],[Name]]</f>
        <v>Sys</v>
      </c>
      <c r="B20" s="2" t="str">
        <f>Table1[[#This Row],[Criteria]]</f>
        <v>Planning for forensic evidence collection</v>
      </c>
      <c r="C20" s="2">
        <f>VLOOKUP(A20,PanelScore!$A$2:$D$6,4,0)+1</f>
        <v>1.32</v>
      </c>
      <c r="D20" s="2">
        <f>VLOOKUP(A20,PanelScore!$A$2:$I$6,5,0)</f>
        <v>1</v>
      </c>
      <c r="E20" s="2">
        <f t="shared" si="0"/>
        <v>1.32</v>
      </c>
      <c r="F20" s="2">
        <f>VLOOKUP(A20,PanelScore!$A$2:$I$6,6,0)</f>
        <v>1.5</v>
      </c>
      <c r="G20" s="2">
        <f t="shared" si="1"/>
        <v>1.98</v>
      </c>
      <c r="H20" s="2">
        <f>VLOOKUP(A20,PanelScore!$A$2:$I$6,7,0)</f>
        <v>1</v>
      </c>
      <c r="I20" s="2">
        <f t="shared" si="2"/>
        <v>1.32</v>
      </c>
      <c r="J20" s="2">
        <f>VLOOKUP(A20,PanelScore!$A$2:$I$6,8,0)</f>
        <v>1</v>
      </c>
      <c r="K20" s="2">
        <f t="shared" si="3"/>
        <v>1.32</v>
      </c>
      <c r="L20" s="2">
        <f>VLOOKUP(A20,PanelScore!$A$2:$I$6,9,0)</f>
        <v>1</v>
      </c>
      <c r="M20" s="2">
        <f t="shared" si="4"/>
        <v>1.32</v>
      </c>
      <c r="N20" s="2">
        <f>E20*Table1[[#This Row],[GlobalWeight]]</f>
        <v>1.8414482960072049E-2</v>
      </c>
      <c r="O20" s="2">
        <f>G20*Table1[[#This Row],[GlobalWeight]]</f>
        <v>2.7621724440108072E-2</v>
      </c>
      <c r="P20" s="2">
        <f>I20*Table1[[#This Row],[GlobalWeight]]</f>
        <v>1.8414482960072049E-2</v>
      </c>
      <c r="Q20" s="2">
        <f>K20*Table1[[#This Row],[GlobalWeight]]</f>
        <v>1.8414482960072049E-2</v>
      </c>
      <c r="R20" s="2">
        <f>L20*Table1[[#This Row],[Score]]</f>
        <v>1.3950365878842459</v>
      </c>
      <c r="S20" s="2">
        <f t="shared" si="5"/>
        <v>1.7103896687620006E-2</v>
      </c>
      <c r="T20" s="2">
        <f t="shared" si="6"/>
        <v>2.7107281149666287E-2</v>
      </c>
      <c r="U20" s="2">
        <f t="shared" si="7"/>
        <v>1.9600363538954581E-2</v>
      </c>
      <c r="V20" s="2">
        <f t="shared" si="8"/>
        <v>1.9844037263512793E-2</v>
      </c>
      <c r="W20" s="2">
        <f t="shared" si="9"/>
        <v>2.2656110405605855E-2</v>
      </c>
      <c r="X20" s="2">
        <f>S20*Table1[[#This Row],[Dscore]]</f>
        <v>1.7103896687620006</v>
      </c>
      <c r="Y20" s="2">
        <f>T20*Table1[[#This Row],[Dscore]]</f>
        <v>2.7107281149666287</v>
      </c>
      <c r="Z20" s="2">
        <f>U20*Table1[[#This Row],[Dscore]]</f>
        <v>1.9600363538954582</v>
      </c>
      <c r="AA20" s="2">
        <f>V20*Table1[[#This Row],[Dscore]]</f>
        <v>1.9844037263512793</v>
      </c>
      <c r="AB20" s="2">
        <f>W20*Table1[[#This Row],[Dscore]]</f>
        <v>2.2656110405605854</v>
      </c>
    </row>
    <row r="21" spans="1:29" x14ac:dyDescent="0.25">
      <c r="A21" s="2" t="str">
        <f>Table1[[#This Row],[Name]]</f>
        <v>Lead</v>
      </c>
      <c r="B21" s="2" t="str">
        <f>Table1[[#This Row],[Criteria]]</f>
        <v>Policies are updated</v>
      </c>
      <c r="C21" s="2">
        <f>VLOOKUP(A21,PanelScore!$A$2:$D$6,4,0)+1</f>
        <v>1.06</v>
      </c>
      <c r="D21" s="2">
        <f>VLOOKUP(A21,PanelScore!$A$2:$I$6,5,0)</f>
        <v>1</v>
      </c>
      <c r="E21" s="2">
        <f t="shared" si="0"/>
        <v>1.06</v>
      </c>
      <c r="F21" s="2">
        <f>VLOOKUP(A21,PanelScore!$A$2:$I$6,6,0)</f>
        <v>1</v>
      </c>
      <c r="G21" s="2">
        <f t="shared" si="1"/>
        <v>1.06</v>
      </c>
      <c r="H21" s="2">
        <f>VLOOKUP(A21,PanelScore!$A$2:$I$6,7,0)</f>
        <v>1</v>
      </c>
      <c r="I21" s="2">
        <f t="shared" si="2"/>
        <v>1.06</v>
      </c>
      <c r="J21" s="2">
        <f>VLOOKUP(A21,PanelScore!$A$2:$I$6,8,0)</f>
        <v>1.5</v>
      </c>
      <c r="K21" s="2">
        <f t="shared" si="3"/>
        <v>1.59</v>
      </c>
      <c r="L21" s="2">
        <f>VLOOKUP(A21,PanelScore!$A$2:$I$6,9,0)</f>
        <v>1</v>
      </c>
      <c r="M21" s="2">
        <f t="shared" si="4"/>
        <v>1.06</v>
      </c>
      <c r="N21" s="2">
        <f>E21*Table1[[#This Row],[GlobalWeight]]</f>
        <v>5.3558313309492794E-3</v>
      </c>
      <c r="O21" s="2">
        <f>G21*Table1[[#This Row],[GlobalWeight]]</f>
        <v>5.3558313309492794E-3</v>
      </c>
      <c r="P21" s="2">
        <f>I21*Table1[[#This Row],[GlobalWeight]]</f>
        <v>5.3558313309492794E-3</v>
      </c>
      <c r="Q21" s="2">
        <f>K21*Table1[[#This Row],[GlobalWeight]]</f>
        <v>8.0337469964239204E-3</v>
      </c>
      <c r="R21" s="2">
        <f>L21*Table1[[#This Row],[Score]]</f>
        <v>0.30316026401599694</v>
      </c>
      <c r="S21" s="2">
        <f t="shared" si="5"/>
        <v>4.9746488109116268E-3</v>
      </c>
      <c r="T21" s="2">
        <f t="shared" si="6"/>
        <v>5.2560811687565106E-3</v>
      </c>
      <c r="U21" s="2">
        <f t="shared" si="7"/>
        <v>5.7007433424847093E-3</v>
      </c>
      <c r="V21" s="2">
        <f t="shared" si="8"/>
        <v>8.6574233503239513E-3</v>
      </c>
      <c r="W21" s="2">
        <f t="shared" si="9"/>
        <v>4.9234783315295809E-3</v>
      </c>
      <c r="X21" s="2">
        <f>S21*Table1[[#This Row],[Dscore]]</f>
        <v>0.29847892865469761</v>
      </c>
      <c r="Y21" s="2">
        <f>T21*Table1[[#This Row],[Dscore]]</f>
        <v>0.31536487012539066</v>
      </c>
      <c r="Z21" s="2">
        <f>U21*Table1[[#This Row],[Dscore]]</f>
        <v>0.34204460054908253</v>
      </c>
      <c r="AA21" s="2">
        <f>V21*Table1[[#This Row],[Dscore]]</f>
        <v>0.51944540101943704</v>
      </c>
      <c r="AB21" s="2">
        <f>W21*Table1[[#This Row],[Dscore]]</f>
        <v>0.29540869989177487</v>
      </c>
    </row>
    <row r="22" spans="1:29" x14ac:dyDescent="0.25">
      <c r="A22" s="2" t="str">
        <f>Table1[[#This Row],[Name]]</f>
        <v>Org</v>
      </c>
      <c r="B22" s="2" t="str">
        <f>Table1[[#This Row],[Criteria]]</f>
        <v>Presence of Implementation Oversight</v>
      </c>
      <c r="C22" s="2">
        <f>VLOOKUP(A22,PanelScore!$A$2:$D$6,4,0)+1</f>
        <v>1.28</v>
      </c>
      <c r="D22" s="2">
        <f>VLOOKUP(A22,PanelScore!$A$2:$I$6,5,0)</f>
        <v>1.5</v>
      </c>
      <c r="E22" s="2">
        <f t="shared" si="0"/>
        <v>1.92</v>
      </c>
      <c r="F22" s="2">
        <f>VLOOKUP(A22,PanelScore!$A$2:$I$6,6,0)</f>
        <v>1</v>
      </c>
      <c r="G22" s="2">
        <f t="shared" si="1"/>
        <v>1.28</v>
      </c>
      <c r="H22" s="2">
        <f>VLOOKUP(A22,PanelScore!$A$2:$I$6,7,0)</f>
        <v>1</v>
      </c>
      <c r="I22" s="2">
        <f t="shared" si="2"/>
        <v>1.28</v>
      </c>
      <c r="J22" s="2">
        <f>VLOOKUP(A22,PanelScore!$A$2:$I$6,8,0)</f>
        <v>1</v>
      </c>
      <c r="K22" s="2">
        <f t="shared" si="3"/>
        <v>1.28</v>
      </c>
      <c r="L22" s="2">
        <f>VLOOKUP(A22,PanelScore!$A$2:$I$6,9,0)</f>
        <v>1</v>
      </c>
      <c r="M22" s="2">
        <f t="shared" si="4"/>
        <v>1.28</v>
      </c>
      <c r="N22" s="2">
        <f>E22*Table1[[#This Row],[GlobalWeight]]</f>
        <v>7.0851129959654299E-2</v>
      </c>
      <c r="O22" s="2">
        <f>G22*Table1[[#This Row],[GlobalWeight]]</f>
        <v>4.7234086639769537E-2</v>
      </c>
      <c r="P22" s="2">
        <f>I22*Table1[[#This Row],[GlobalWeight]]</f>
        <v>4.7234086639769537E-2</v>
      </c>
      <c r="Q22" s="2">
        <f>K22*Table1[[#This Row],[GlobalWeight]]</f>
        <v>4.7234086639769537E-2</v>
      </c>
      <c r="R22" s="2">
        <f>L22*Table1[[#This Row],[Score]]</f>
        <v>3.1858407395052888</v>
      </c>
      <c r="S22" s="2">
        <f t="shared" si="5"/>
        <v>6.580854915441646E-2</v>
      </c>
      <c r="T22" s="2">
        <f t="shared" si="6"/>
        <v>4.6354371146094871E-2</v>
      </c>
      <c r="U22" s="2">
        <f t="shared" si="7"/>
        <v>5.0275930721344474E-2</v>
      </c>
      <c r="V22" s="2">
        <f t="shared" si="8"/>
        <v>5.0900966235106891E-2</v>
      </c>
      <c r="W22" s="2">
        <f t="shared" si="9"/>
        <v>5.1739689235231666E-2</v>
      </c>
      <c r="X22" s="2">
        <f>S22*Table1[[#This Row],[Dscore]]</f>
        <v>5.6814714103312873</v>
      </c>
      <c r="Y22" s="2">
        <f>T22*Table1[[#This Row],[Dscore]]</f>
        <v>4.0019273756128566</v>
      </c>
      <c r="Z22" s="2">
        <f>U22*Table1[[#This Row],[Dscore]]</f>
        <v>4.3404886856094063</v>
      </c>
      <c r="AA22" s="2">
        <f>V22*Table1[[#This Row],[Dscore]]</f>
        <v>4.3944500849642276</v>
      </c>
      <c r="AB22" s="2">
        <f>W22*Table1[[#This Row],[Dscore]]</f>
        <v>4.4668598373083332</v>
      </c>
    </row>
    <row r="23" spans="1:29" x14ac:dyDescent="0.25">
      <c r="A23" s="2" t="str">
        <f>Table1[[#This Row],[Name]]</f>
        <v>Org</v>
      </c>
      <c r="B23" s="2" t="str">
        <f>Table1[[#This Row],[Criteria]]</f>
        <v>Presence of legislative understanding</v>
      </c>
      <c r="C23" s="2">
        <f>VLOOKUP(A23,PanelScore!$A$2:$D$6,4,0)+1</f>
        <v>1.28</v>
      </c>
      <c r="D23" s="2">
        <f>VLOOKUP(A23,PanelScore!$A$2:$I$6,5,0)</f>
        <v>1.5</v>
      </c>
      <c r="E23" s="2">
        <f t="shared" si="0"/>
        <v>1.92</v>
      </c>
      <c r="F23" s="2">
        <f>VLOOKUP(A23,PanelScore!$A$2:$I$6,6,0)</f>
        <v>1</v>
      </c>
      <c r="G23" s="2">
        <f t="shared" si="1"/>
        <v>1.28</v>
      </c>
      <c r="H23" s="2">
        <f>VLOOKUP(A23,PanelScore!$A$2:$I$6,7,0)</f>
        <v>1</v>
      </c>
      <c r="I23" s="2">
        <f t="shared" si="2"/>
        <v>1.28</v>
      </c>
      <c r="J23" s="2">
        <f>VLOOKUP(A23,PanelScore!$A$2:$I$6,8,0)</f>
        <v>1</v>
      </c>
      <c r="K23" s="2">
        <f t="shared" si="3"/>
        <v>1.28</v>
      </c>
      <c r="L23" s="2">
        <f>VLOOKUP(A23,PanelScore!$A$2:$I$6,9,0)</f>
        <v>1</v>
      </c>
      <c r="M23" s="2">
        <f t="shared" si="4"/>
        <v>1.28</v>
      </c>
      <c r="N23" s="2">
        <f>E23*Table1[[#This Row],[GlobalWeight]]</f>
        <v>8.5283534960426011E-2</v>
      </c>
      <c r="O23" s="2">
        <f>G23*Table1[[#This Row],[GlobalWeight]]</f>
        <v>5.6855689973617347E-2</v>
      </c>
      <c r="P23" s="2">
        <f>I23*Table1[[#This Row],[GlobalWeight]]</f>
        <v>5.6855689973617347E-2</v>
      </c>
      <c r="Q23" s="2">
        <f>K23*Table1[[#This Row],[GlobalWeight]]</f>
        <v>5.6855689973617347E-2</v>
      </c>
      <c r="R23" s="2">
        <f>L23*Table1[[#This Row],[Score]]</f>
        <v>4.4418507791888553</v>
      </c>
      <c r="S23" s="2">
        <f t="shared" si="5"/>
        <v>7.9213778322258593E-2</v>
      </c>
      <c r="T23" s="2">
        <f t="shared" si="6"/>
        <v>5.5796776063525094E-2</v>
      </c>
      <c r="U23" s="2">
        <f t="shared" si="7"/>
        <v>6.0517158975211045E-2</v>
      </c>
      <c r="V23" s="2">
        <f t="shared" si="8"/>
        <v>6.126951448626386E-2</v>
      </c>
      <c r="W23" s="2">
        <f t="shared" si="9"/>
        <v>7.2137937121172738E-2</v>
      </c>
      <c r="X23" s="2">
        <f>S23*Table1[[#This Row],[Dscore]]</f>
        <v>7.9213778322258594</v>
      </c>
      <c r="Y23" s="2">
        <f>T23*Table1[[#This Row],[Dscore]]</f>
        <v>5.5796776063525098</v>
      </c>
      <c r="Z23" s="2">
        <f>U23*Table1[[#This Row],[Dscore]]</f>
        <v>6.0517158975211043</v>
      </c>
      <c r="AA23" s="2">
        <f>V23*Table1[[#This Row],[Dscore]]</f>
        <v>6.1269514486263859</v>
      </c>
      <c r="AB23" s="2">
        <f>W23*Table1[[#This Row],[Dscore]]</f>
        <v>7.2137937121172735</v>
      </c>
    </row>
    <row r="24" spans="1:29" ht="30" x14ac:dyDescent="0.25">
      <c r="A24" s="2" t="str">
        <f>Table1[[#This Row],[Name]]</f>
        <v>Lead</v>
      </c>
      <c r="B24" s="2" t="str">
        <f>Table1[[#This Row],[Criteria]]</f>
        <v>Professionals with cyber certifications are in operations roles</v>
      </c>
      <c r="C24" s="2">
        <f>VLOOKUP(A24,PanelScore!$A$2:$D$6,4,0)+1</f>
        <v>1.06</v>
      </c>
      <c r="D24" s="2">
        <f>VLOOKUP(A24,PanelScore!$A$2:$I$6,5,0)</f>
        <v>1</v>
      </c>
      <c r="E24" s="2">
        <f t="shared" si="0"/>
        <v>1.06</v>
      </c>
      <c r="F24" s="2">
        <f>VLOOKUP(A24,PanelScore!$A$2:$I$6,6,0)</f>
        <v>1</v>
      </c>
      <c r="G24" s="2">
        <f t="shared" si="1"/>
        <v>1.06</v>
      </c>
      <c r="H24" s="2">
        <f>VLOOKUP(A24,PanelScore!$A$2:$I$6,7,0)</f>
        <v>1</v>
      </c>
      <c r="I24" s="2">
        <f t="shared" si="2"/>
        <v>1.06</v>
      </c>
      <c r="J24" s="2">
        <f>VLOOKUP(A24,PanelScore!$A$2:$I$6,8,0)</f>
        <v>1.5</v>
      </c>
      <c r="K24" s="2">
        <f t="shared" si="3"/>
        <v>1.59</v>
      </c>
      <c r="L24" s="2">
        <f>VLOOKUP(A24,PanelScore!$A$2:$I$6,9,0)</f>
        <v>1</v>
      </c>
      <c r="M24" s="2">
        <f t="shared" si="4"/>
        <v>1.06</v>
      </c>
      <c r="N24" s="2">
        <f>E24*Table1[[#This Row],[GlobalWeight]]</f>
        <v>1.7281464974181968E-2</v>
      </c>
      <c r="O24" s="2">
        <f>G24*Table1[[#This Row],[GlobalWeight]]</f>
        <v>1.7281464974181968E-2</v>
      </c>
      <c r="P24" s="2">
        <f>I24*Table1[[#This Row],[GlobalWeight]]</f>
        <v>1.7281464974181968E-2</v>
      </c>
      <c r="Q24" s="2">
        <f>K24*Table1[[#This Row],[GlobalWeight]]</f>
        <v>2.5922197461272948E-2</v>
      </c>
      <c r="R24" s="2">
        <f>L24*Table1[[#This Row],[Score]]</f>
        <v>1.0053682453533532</v>
      </c>
      <c r="S24" s="2">
        <f t="shared" si="5"/>
        <v>1.6051517285065039E-2</v>
      </c>
      <c r="T24" s="2">
        <f t="shared" si="6"/>
        <v>1.6959604775907619E-2</v>
      </c>
      <c r="U24" s="2">
        <f t="shared" si="7"/>
        <v>1.8394379940730718E-2</v>
      </c>
      <c r="V24" s="2">
        <f t="shared" si="8"/>
        <v>2.7934591130742478E-2</v>
      </c>
      <c r="W24" s="2">
        <f t="shared" si="9"/>
        <v>1.6327696465338732E-2</v>
      </c>
      <c r="X24" s="2">
        <f>S24*Table1[[#This Row],[Dscore]]</f>
        <v>0.98984356591234401</v>
      </c>
      <c r="Y24" s="2">
        <f>T24*Table1[[#This Row],[Dscore]]</f>
        <v>1.0458422945143031</v>
      </c>
      <c r="Z24" s="2">
        <f>U24*Table1[[#This Row],[Dscore]]</f>
        <v>1.1343200963450608</v>
      </c>
      <c r="AA24" s="2">
        <f>V24*Table1[[#This Row],[Dscore]]</f>
        <v>1.7226331197291194</v>
      </c>
      <c r="AB24" s="2">
        <f>W24*Table1[[#This Row],[Dscore]]</f>
        <v>1.0068746153625552</v>
      </c>
    </row>
    <row r="25" spans="1:29" ht="30" x14ac:dyDescent="0.25">
      <c r="A25" s="2" t="str">
        <f>Table1[[#This Row],[Name]]</f>
        <v>Info</v>
      </c>
      <c r="B25" s="2" t="str">
        <f>Table1[[#This Row],[Criteria]]</f>
        <v>Retention periods are in place and used for information and data</v>
      </c>
      <c r="C25" s="2">
        <f>VLOOKUP(A25,PanelScore!$A$2:$D$6,4,0)+1</f>
        <v>1.26</v>
      </c>
      <c r="D25" s="2">
        <f>VLOOKUP(A25,PanelScore!$A$2:$I$6,5,0)</f>
        <v>1</v>
      </c>
      <c r="E25" s="2">
        <f t="shared" si="0"/>
        <v>1.26</v>
      </c>
      <c r="F25" s="2">
        <f>VLOOKUP(A25,PanelScore!$A$2:$I$6,6,0)</f>
        <v>1</v>
      </c>
      <c r="G25" s="2">
        <f t="shared" si="1"/>
        <v>1.26</v>
      </c>
      <c r="H25" s="2">
        <f>VLOOKUP(A25,PanelScore!$A$2:$I$6,7,0)</f>
        <v>1</v>
      </c>
      <c r="I25" s="2">
        <f t="shared" si="2"/>
        <v>1.26</v>
      </c>
      <c r="J25" s="2">
        <f>VLOOKUP(A25,PanelScore!$A$2:$I$6,8,0)</f>
        <v>1</v>
      </c>
      <c r="K25" s="2">
        <f t="shared" si="3"/>
        <v>1.26</v>
      </c>
      <c r="L25" s="2">
        <f>VLOOKUP(A25,PanelScore!$A$2:$I$6,9,0)</f>
        <v>1.5</v>
      </c>
      <c r="M25" s="2">
        <f t="shared" si="4"/>
        <v>1.8900000000000001</v>
      </c>
      <c r="N25" s="2">
        <f>E25*Table1[[#This Row],[GlobalWeight]]</f>
        <v>2.0546296765454965E-2</v>
      </c>
      <c r="O25" s="2">
        <f>G25*Table1[[#This Row],[GlobalWeight]]</f>
        <v>2.0546296765454965E-2</v>
      </c>
      <c r="P25" s="2">
        <f>I25*Table1[[#This Row],[GlobalWeight]]</f>
        <v>2.0546296765454965E-2</v>
      </c>
      <c r="Q25" s="2">
        <f>K25*Table1[[#This Row],[GlobalWeight]]</f>
        <v>2.0546296765454965E-2</v>
      </c>
      <c r="R25" s="2">
        <f>L25*Table1[[#This Row],[Score]]</f>
        <v>2.0790895536472283</v>
      </c>
      <c r="S25" s="2">
        <f t="shared" si="5"/>
        <v>1.9083986118508315E-2</v>
      </c>
      <c r="T25" s="2">
        <f t="shared" si="6"/>
        <v>2.0163630413926745E-2</v>
      </c>
      <c r="U25" s="2">
        <f t="shared" si="7"/>
        <v>2.1869464749858406E-2</v>
      </c>
      <c r="V25" s="2">
        <f t="shared" si="8"/>
        <v>2.2141348172790915E-2</v>
      </c>
      <c r="W25" s="2">
        <f t="shared" si="9"/>
        <v>3.3765481765616528E-2</v>
      </c>
      <c r="X25" s="2">
        <f>S25*Table1[[#This Row],[Dscore]]</f>
        <v>1.6221388200732068</v>
      </c>
      <c r="Y25" s="2">
        <f>T25*Table1[[#This Row],[Dscore]]</f>
        <v>1.7139085851837734</v>
      </c>
      <c r="Z25" s="2">
        <f>U25*Table1[[#This Row],[Dscore]]</f>
        <v>1.8589045037379646</v>
      </c>
      <c r="AA25" s="2">
        <f>V25*Table1[[#This Row],[Dscore]]</f>
        <v>1.8820145946872278</v>
      </c>
      <c r="AB25" s="2">
        <f>W25*Table1[[#This Row],[Dscore]]</f>
        <v>2.8700659500774051</v>
      </c>
    </row>
    <row r="26" spans="1:29" x14ac:dyDescent="0.25">
      <c r="A26" s="2" t="str">
        <f>Table1[[#This Row],[Name]]</f>
        <v>Org</v>
      </c>
      <c r="B26" s="2" t="str">
        <f>Table1[[#This Row],[Criteria]]</f>
        <v>Social impact of breaches is talked about in the company</v>
      </c>
      <c r="C26" s="2">
        <f>VLOOKUP(A26,PanelScore!$A$2:$D$6,4,0)+1</f>
        <v>1.28</v>
      </c>
      <c r="D26" s="2">
        <f>VLOOKUP(A26,PanelScore!$A$2:$I$6,5,0)</f>
        <v>1.5</v>
      </c>
      <c r="E26" s="2">
        <f t="shared" si="0"/>
        <v>1.92</v>
      </c>
      <c r="F26" s="2">
        <f>VLOOKUP(A26,PanelScore!$A$2:$I$6,6,0)</f>
        <v>1</v>
      </c>
      <c r="G26" s="2">
        <f t="shared" si="1"/>
        <v>1.28</v>
      </c>
      <c r="H26" s="2">
        <f>VLOOKUP(A26,PanelScore!$A$2:$I$6,7,0)</f>
        <v>1</v>
      </c>
      <c r="I26" s="2">
        <f t="shared" si="2"/>
        <v>1.28</v>
      </c>
      <c r="J26" s="2">
        <f>VLOOKUP(A26,PanelScore!$A$2:$I$6,8,0)</f>
        <v>1</v>
      </c>
      <c r="K26" s="2">
        <f t="shared" si="3"/>
        <v>1.28</v>
      </c>
      <c r="L26" s="2">
        <f>VLOOKUP(A26,PanelScore!$A$2:$I$6,9,0)</f>
        <v>1</v>
      </c>
      <c r="M26" s="2">
        <f t="shared" si="4"/>
        <v>1.28</v>
      </c>
      <c r="N26" s="2">
        <f>E26*Table1[[#This Row],[GlobalWeight]]</f>
        <v>5.2804875883565368E-2</v>
      </c>
      <c r="O26" s="2">
        <f>G26*Table1[[#This Row],[GlobalWeight]]</f>
        <v>3.5203250589043583E-2</v>
      </c>
      <c r="P26" s="2">
        <f>I26*Table1[[#This Row],[GlobalWeight]]</f>
        <v>3.5203250589043583E-2</v>
      </c>
      <c r="Q26" s="2">
        <f>K26*Table1[[#This Row],[GlobalWeight]]</f>
        <v>3.5203250589043583E-2</v>
      </c>
      <c r="R26" s="2">
        <f>L26*Table1[[#This Row],[Score]]</f>
        <v>1.7418275031037189</v>
      </c>
      <c r="S26" s="2">
        <f t="shared" si="5"/>
        <v>4.9046673950793651E-2</v>
      </c>
      <c r="T26" s="2">
        <f t="shared" si="6"/>
        <v>3.4547604483148128E-2</v>
      </c>
      <c r="U26" s="2">
        <f t="shared" si="7"/>
        <v>3.7470316749825899E-2</v>
      </c>
      <c r="V26" s="2">
        <f t="shared" si="8"/>
        <v>3.7936151560729256E-2</v>
      </c>
      <c r="W26" s="2">
        <f t="shared" si="9"/>
        <v>2.8288172912862057E-2</v>
      </c>
      <c r="X26" s="2">
        <f>S26*Table1[[#This Row],[Dscore]]</f>
        <v>3.1062893502169313</v>
      </c>
      <c r="Y26" s="2">
        <f>T26*Table1[[#This Row],[Dscore]]</f>
        <v>2.1880149505993813</v>
      </c>
      <c r="Z26" s="2">
        <f>U26*Table1[[#This Row],[Dscore]]</f>
        <v>2.3731200608223069</v>
      </c>
      <c r="AA26" s="2">
        <f>V26*Table1[[#This Row],[Dscore]]</f>
        <v>2.4026229321795198</v>
      </c>
      <c r="AB26" s="2">
        <f>W26*Table1[[#This Row],[Dscore]]</f>
        <v>1.7915842844812637</v>
      </c>
    </row>
    <row r="27" spans="1:29" x14ac:dyDescent="0.25">
      <c r="A27" s="2" t="str">
        <f>Table1[[#This Row],[Name]]</f>
        <v>Info</v>
      </c>
      <c r="B27" s="2" t="str">
        <f>Table1[[#This Row],[Criteria]]</f>
        <v>Standards are understood</v>
      </c>
      <c r="C27" s="2">
        <f>VLOOKUP(A27,PanelScore!$A$2:$D$6,4,0)+1</f>
        <v>1.26</v>
      </c>
      <c r="D27" s="2">
        <f>VLOOKUP(A27,PanelScore!$A$2:$I$6,5,0)</f>
        <v>1</v>
      </c>
      <c r="E27" s="2">
        <f t="shared" si="0"/>
        <v>1.26</v>
      </c>
      <c r="F27" s="2">
        <f>VLOOKUP(A27,PanelScore!$A$2:$I$6,6,0)</f>
        <v>1</v>
      </c>
      <c r="G27" s="2">
        <f t="shared" si="1"/>
        <v>1.26</v>
      </c>
      <c r="H27" s="2">
        <f>VLOOKUP(A27,PanelScore!$A$2:$I$6,7,0)</f>
        <v>1</v>
      </c>
      <c r="I27" s="2">
        <f t="shared" si="2"/>
        <v>1.26</v>
      </c>
      <c r="J27" s="2">
        <f>VLOOKUP(A27,PanelScore!$A$2:$I$6,8,0)</f>
        <v>1</v>
      </c>
      <c r="K27" s="2">
        <f t="shared" si="3"/>
        <v>1.26</v>
      </c>
      <c r="L27" s="2">
        <f>VLOOKUP(A27,PanelScore!$A$2:$I$6,9,0)</f>
        <v>1.5</v>
      </c>
      <c r="M27" s="2">
        <f t="shared" si="4"/>
        <v>1.8900000000000001</v>
      </c>
      <c r="N27" s="2">
        <f>E27*Table1[[#This Row],[GlobalWeight]]</f>
        <v>2.0311603681811896E-2</v>
      </c>
      <c r="O27" s="2">
        <f>G27*Table1[[#This Row],[GlobalWeight]]</f>
        <v>2.0311603681811896E-2</v>
      </c>
      <c r="P27" s="2">
        <f>I27*Table1[[#This Row],[GlobalWeight]]</f>
        <v>2.0311603681811896E-2</v>
      </c>
      <c r="Q27" s="2">
        <f>K27*Table1[[#This Row],[GlobalWeight]]</f>
        <v>2.0311603681811896E-2</v>
      </c>
      <c r="R27" s="2">
        <f>L27*Table1[[#This Row],[Score]]</f>
        <v>2.418048057358559</v>
      </c>
      <c r="S27" s="2">
        <f t="shared" si="5"/>
        <v>1.8865996492373607E-2</v>
      </c>
      <c r="T27" s="2">
        <f t="shared" si="6"/>
        <v>1.993330839272241E-2</v>
      </c>
      <c r="U27" s="2">
        <f t="shared" si="7"/>
        <v>2.1619657586146198E-2</v>
      </c>
      <c r="V27" s="2">
        <f t="shared" si="8"/>
        <v>2.1888435380865122E-2</v>
      </c>
      <c r="W27" s="2">
        <f t="shared" si="9"/>
        <v>3.9270341888783478E-2</v>
      </c>
      <c r="X27" s="2">
        <f>S27*Table1[[#This Row],[Dscore]]</f>
        <v>1.8865996492373607</v>
      </c>
      <c r="Y27" s="2">
        <f>T27*Table1[[#This Row],[Dscore]]</f>
        <v>1.9933308392722411</v>
      </c>
      <c r="Z27" s="2">
        <f>U27*Table1[[#This Row],[Dscore]]</f>
        <v>2.1619657586146199</v>
      </c>
      <c r="AA27" s="2">
        <f>V27*Table1[[#This Row],[Dscore]]</f>
        <v>2.1888435380865121</v>
      </c>
      <c r="AB27" s="2">
        <f>W27*Table1[[#This Row],[Dscore]]</f>
        <v>3.9270341888783475</v>
      </c>
    </row>
    <row r="28" spans="1:29" x14ac:dyDescent="0.25">
      <c r="A28" s="2" t="str">
        <f>Table1[[#This Row],[Name]]</f>
        <v>Lead</v>
      </c>
      <c r="B28" s="2" t="str">
        <f>Table1[[#This Row],[Criteria]]</f>
        <v>Supply chain cyber risk is considered during procurement</v>
      </c>
      <c r="C28" s="2">
        <f>VLOOKUP(A28,PanelScore!$A$2:$D$6,4,0)+1</f>
        <v>1.06</v>
      </c>
      <c r="D28" s="2">
        <f>VLOOKUP(A28,PanelScore!$A$2:$I$6,5,0)</f>
        <v>1</v>
      </c>
      <c r="E28" s="2">
        <f t="shared" si="0"/>
        <v>1.06</v>
      </c>
      <c r="F28" s="2">
        <f>VLOOKUP(A28,PanelScore!$A$2:$I$6,6,0)</f>
        <v>1</v>
      </c>
      <c r="G28" s="2">
        <f t="shared" si="1"/>
        <v>1.06</v>
      </c>
      <c r="H28" s="2">
        <f>VLOOKUP(A28,PanelScore!$A$2:$I$6,7,0)</f>
        <v>1</v>
      </c>
      <c r="I28" s="2">
        <f t="shared" si="2"/>
        <v>1.06</v>
      </c>
      <c r="J28" s="2">
        <f>VLOOKUP(A28,PanelScore!$A$2:$I$6,8,0)</f>
        <v>1.5</v>
      </c>
      <c r="K28" s="2">
        <f t="shared" si="3"/>
        <v>1.59</v>
      </c>
      <c r="L28" s="2">
        <f>VLOOKUP(A28,PanelScore!$A$2:$I$6,9,0)</f>
        <v>1</v>
      </c>
      <c r="M28" s="2">
        <f t="shared" si="4"/>
        <v>1.06</v>
      </c>
      <c r="N28" s="2">
        <f>E28*Table1[[#This Row],[GlobalWeight]]</f>
        <v>9.8493389021182681E-3</v>
      </c>
      <c r="O28" s="2">
        <f>G28*Table1[[#This Row],[GlobalWeight]]</f>
        <v>9.8493389021182681E-3</v>
      </c>
      <c r="P28" s="2">
        <f>I28*Table1[[#This Row],[GlobalWeight]]</f>
        <v>9.8493389021182681E-3</v>
      </c>
      <c r="Q28" s="2">
        <f>K28*Table1[[#This Row],[GlobalWeight]]</f>
        <v>1.4774008353177402E-2</v>
      </c>
      <c r="R28" s="2">
        <f>L28*Table1[[#This Row],[Score]]</f>
        <v>0.92918291529417618</v>
      </c>
      <c r="S28" s="2">
        <f t="shared" si="5"/>
        <v>9.1483467327571604E-3</v>
      </c>
      <c r="T28" s="2">
        <f t="shared" si="6"/>
        <v>9.6658990041325887E-3</v>
      </c>
      <c r="U28" s="2">
        <f t="shared" si="7"/>
        <v>1.0483629842796875E-2</v>
      </c>
      <c r="V28" s="2">
        <f t="shared" si="8"/>
        <v>1.5920945102156404E-2</v>
      </c>
      <c r="W28" s="2">
        <f t="shared" si="9"/>
        <v>1.5090407591269818E-2</v>
      </c>
      <c r="X28" s="2">
        <f>S28*Table1[[#This Row],[Dscore]]</f>
        <v>0.91483467327571599</v>
      </c>
      <c r="Y28" s="2">
        <f>T28*Table1[[#This Row],[Dscore]]</f>
        <v>0.96658990041325887</v>
      </c>
      <c r="Z28" s="2">
        <f>U28*Table1[[#This Row],[Dscore]]</f>
        <v>1.0483629842796875</v>
      </c>
      <c r="AA28" s="2">
        <f>V28*Table1[[#This Row],[Dscore]]</f>
        <v>1.5920945102156403</v>
      </c>
      <c r="AB28" s="2">
        <f>W28*Table1[[#This Row],[Dscore]]</f>
        <v>1.5090407591269819</v>
      </c>
    </row>
    <row r="29" spans="1:29" ht="30" x14ac:dyDescent="0.25">
      <c r="A29" s="2" t="str">
        <f>Table1[[#This Row],[Name]]</f>
        <v>Org</v>
      </c>
      <c r="B29" s="2" t="str">
        <f>Table1[[#This Row],[Criteria]]</f>
        <v>There is an organizational common vocabulary for cybersecurity in the energy industry</v>
      </c>
      <c r="C29" s="2">
        <f>VLOOKUP(A29,PanelScore!$A$2:$D$6,4,0)+1</f>
        <v>1.28</v>
      </c>
      <c r="D29" s="2">
        <f>VLOOKUP(A29,PanelScore!$A$2:$I$6,5,0)</f>
        <v>1.5</v>
      </c>
      <c r="E29" s="2">
        <f t="shared" si="0"/>
        <v>1.92</v>
      </c>
      <c r="F29" s="2">
        <f>VLOOKUP(A29,PanelScore!$A$2:$I$6,6,0)</f>
        <v>1</v>
      </c>
      <c r="G29" s="2">
        <f t="shared" si="1"/>
        <v>1.28</v>
      </c>
      <c r="H29" s="2">
        <f>VLOOKUP(A29,PanelScore!$A$2:$I$6,7,0)</f>
        <v>1</v>
      </c>
      <c r="I29" s="2">
        <f t="shared" si="2"/>
        <v>1.28</v>
      </c>
      <c r="J29" s="2">
        <f>VLOOKUP(A29,PanelScore!$A$2:$I$6,8,0)</f>
        <v>1</v>
      </c>
      <c r="K29" s="2">
        <f t="shared" si="3"/>
        <v>1.28</v>
      </c>
      <c r="L29" s="2">
        <f>VLOOKUP(A29,PanelScore!$A$2:$I$6,9,0)</f>
        <v>1</v>
      </c>
      <c r="M29" s="2">
        <f t="shared" si="4"/>
        <v>1.28</v>
      </c>
      <c r="N29" s="2">
        <f>E29*Table1[[#This Row],[GlobalWeight]]</f>
        <v>3.378881317476623E-2</v>
      </c>
      <c r="O29" s="2">
        <f>G29*Table1[[#This Row],[GlobalWeight]]</f>
        <v>2.2525875449844156E-2</v>
      </c>
      <c r="P29" s="2">
        <f>I29*Table1[[#This Row],[GlobalWeight]]</f>
        <v>2.2525875449844156E-2</v>
      </c>
      <c r="Q29" s="2">
        <f>K29*Table1[[#This Row],[GlobalWeight]]</f>
        <v>2.2525875449844156E-2</v>
      </c>
      <c r="R29" s="2">
        <f>L29*Table1[[#This Row],[Score]]</f>
        <v>0.9855070509306818</v>
      </c>
      <c r="S29" s="2">
        <f t="shared" si="5"/>
        <v>3.1384012844215867E-2</v>
      </c>
      <c r="T29" s="2">
        <f t="shared" si="6"/>
        <v>2.2106340257114738E-2</v>
      </c>
      <c r="U29" s="2">
        <f t="shared" si="7"/>
        <v>2.3976526998205225E-2</v>
      </c>
      <c r="V29" s="2">
        <f t="shared" si="8"/>
        <v>2.427460563455356E-2</v>
      </c>
      <c r="W29" s="2">
        <f t="shared" si="9"/>
        <v>1.6005140471083631E-2</v>
      </c>
      <c r="X29" s="2">
        <f>S29*Table1[[#This Row],[Dscore]]</f>
        <v>1.7575047192760884</v>
      </c>
      <c r="Y29" s="2">
        <f>T29*Table1[[#This Row],[Dscore]]</f>
        <v>1.2379550543984252</v>
      </c>
      <c r="Z29" s="2">
        <f>U29*Table1[[#This Row],[Dscore]]</f>
        <v>1.3426855118994925</v>
      </c>
      <c r="AA29" s="2">
        <f>V29*Table1[[#This Row],[Dscore]]</f>
        <v>1.3593779155349994</v>
      </c>
      <c r="AB29" s="2">
        <f>W29*Table1[[#This Row],[Dscore]]</f>
        <v>0.89628786638068336</v>
      </c>
    </row>
    <row r="30" spans="1:29" x14ac:dyDescent="0.25">
      <c r="A30" s="2" t="str">
        <f>Table1[[#This Row],[Name]]</f>
        <v>Prof</v>
      </c>
      <c r="B30" s="2" t="str">
        <f>Table1[[#This Row],[Criteria]]</f>
        <v>Threats to organization are modeled</v>
      </c>
      <c r="C30" s="2">
        <f>VLOOKUP(A30,PanelScore!$A$2:$D$6,4,0)+1</f>
        <v>1.08</v>
      </c>
      <c r="D30" s="2">
        <f>VLOOKUP(A30,PanelScore!$A$2:$I$6,5,0)</f>
        <v>1</v>
      </c>
      <c r="E30" s="2">
        <f t="shared" si="0"/>
        <v>1.08</v>
      </c>
      <c r="F30" s="2">
        <f>VLOOKUP(A30,PanelScore!$A$2:$I$6,6,0)</f>
        <v>1</v>
      </c>
      <c r="G30" s="2">
        <f t="shared" si="1"/>
        <v>1.08</v>
      </c>
      <c r="H30" s="2">
        <f>VLOOKUP(A30,PanelScore!$A$2:$I$6,7,0)</f>
        <v>1.5</v>
      </c>
      <c r="I30" s="2">
        <f t="shared" si="2"/>
        <v>1.62</v>
      </c>
      <c r="J30" s="2">
        <f>VLOOKUP(A30,PanelScore!$A$2:$I$6,8,0)</f>
        <v>1</v>
      </c>
      <c r="K30" s="2">
        <f t="shared" si="3"/>
        <v>1.08</v>
      </c>
      <c r="L30" s="2">
        <f>VLOOKUP(A30,PanelScore!$A$2:$I$6,9,0)</f>
        <v>1</v>
      </c>
      <c r="M30" s="2">
        <f t="shared" si="4"/>
        <v>1.08</v>
      </c>
      <c r="N30" s="2">
        <f>E30*Table1[[#This Row],[GlobalWeight]]</f>
        <v>2.6472023359845415E-2</v>
      </c>
      <c r="O30" s="2">
        <f>G30*Table1[[#This Row],[GlobalWeight]]</f>
        <v>2.6472023359845415E-2</v>
      </c>
      <c r="P30" s="2">
        <f>I30*Table1[[#This Row],[GlobalWeight]]</f>
        <v>3.9708035039768122E-2</v>
      </c>
      <c r="Q30" s="2">
        <f>K30*Table1[[#This Row],[GlobalWeight]]</f>
        <v>2.6472023359845415E-2</v>
      </c>
      <c r="R30" s="2">
        <f>L30*Table1[[#This Row],[Score]]</f>
        <v>1.6340755160398406</v>
      </c>
      <c r="S30" s="2">
        <f t="shared" si="5"/>
        <v>2.4587969895261609E-2</v>
      </c>
      <c r="T30" s="2">
        <f t="shared" si="6"/>
        <v>2.5978992780548341E-2</v>
      </c>
      <c r="U30" s="2">
        <f t="shared" si="7"/>
        <v>4.2265206353312511E-2</v>
      </c>
      <c r="V30" s="2">
        <f t="shared" si="8"/>
        <v>2.8527101148176807E-2</v>
      </c>
      <c r="W30" s="2">
        <f t="shared" si="9"/>
        <v>2.6538225322566163E-2</v>
      </c>
      <c r="X30" s="2">
        <f>S30*Table1[[#This Row],[Dscore]]</f>
        <v>1.6391979930174407</v>
      </c>
      <c r="Y30" s="2">
        <f>T30*Table1[[#This Row],[Dscore]]</f>
        <v>1.7319328520365562</v>
      </c>
      <c r="Z30" s="2">
        <f>U30*Table1[[#This Row],[Dscore]]</f>
        <v>2.8176804235541675</v>
      </c>
      <c r="AA30" s="2">
        <f>V30*Table1[[#This Row],[Dscore]]</f>
        <v>1.9018067432117873</v>
      </c>
      <c r="AB30" s="2">
        <f>W30*Table1[[#This Row],[Dscore]]</f>
        <v>1.7692150215044111</v>
      </c>
    </row>
    <row r="31" spans="1:29" ht="30" x14ac:dyDescent="0.25">
      <c r="N31" s="2">
        <f>SUM(N2:N30)</f>
        <v>1.0766250110362663</v>
      </c>
      <c r="O31" s="2">
        <f t="shared" ref="O31:R31" si="10">SUM(O2:O30)</f>
        <v>1.0189780482816189</v>
      </c>
      <c r="P31" s="2">
        <f t="shared" si="10"/>
        <v>0.93949701103626648</v>
      </c>
      <c r="Q31" s="2">
        <f t="shared" si="10"/>
        <v>0.92796051103626653</v>
      </c>
      <c r="R31" s="2">
        <f t="shared" si="10"/>
        <v>61.574408091649687</v>
      </c>
      <c r="S31" s="2">
        <f t="shared" ref="S31" si="11">SUM(S2:S30)</f>
        <v>0.99999999999999978</v>
      </c>
      <c r="T31" s="2">
        <f t="shared" ref="T31" si="12">SUM(T2:T30)</f>
        <v>1</v>
      </c>
      <c r="U31" s="2">
        <f t="shared" ref="U31" si="13">SUM(U2:U30)</f>
        <v>0.99999999999999967</v>
      </c>
      <c r="V31" s="2">
        <f t="shared" ref="V31:W31" si="14">SUM(V2:V30)</f>
        <v>0.99999999999999956</v>
      </c>
      <c r="W31" s="2">
        <f t="shared" si="14"/>
        <v>0.99999999999999978</v>
      </c>
      <c r="X31" s="2">
        <f t="shared" ref="X31" si="15">SUM(X2:X30)</f>
        <v>79.88612105101555</v>
      </c>
      <c r="Y31" s="2">
        <f t="shared" ref="Y31" si="16">SUM(Y2:Y30)</f>
        <v>77.817760239041817</v>
      </c>
      <c r="Z31" s="2">
        <f t="shared" ref="Z31" si="17">SUM(Z2:Z30)</f>
        <v>78.428758834510106</v>
      </c>
      <c r="AA31" s="2">
        <f t="shared" ref="AA31:AB31" si="18">SUM(AA2:AA30)</f>
        <v>79.107721186272201</v>
      </c>
      <c r="AB31" s="2">
        <f t="shared" si="18"/>
        <v>84.154287499136984</v>
      </c>
      <c r="AC31" s="2" t="s">
        <v>87</v>
      </c>
    </row>
    <row r="32" spans="1:29" ht="30" x14ac:dyDescent="0.25">
      <c r="X32" s="8">
        <f>X31-Table1[[#Totals],[Score]]</f>
        <v>23.136012129045668</v>
      </c>
      <c r="Y32" s="8">
        <f>Y31-Table1[[#Totals],[Score]]</f>
        <v>21.067651317071935</v>
      </c>
      <c r="Z32" s="8">
        <f>Z31-Table1[[#Totals],[Score]]</f>
        <v>21.678649912540223</v>
      </c>
      <c r="AA32" s="8">
        <f>AA31-Table1[[#Totals],[Score]]</f>
        <v>22.357612264302318</v>
      </c>
      <c r="AB32" s="8">
        <f>AB31-Table1[[#Totals],[Score]]</f>
        <v>27.404178577167102</v>
      </c>
      <c r="AC32" s="2" t="s">
        <v>85</v>
      </c>
    </row>
  </sheetData>
  <conditionalFormatting sqref="N2:N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R30 V32 R32:S32 X2:AB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AB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D80A-D3F8-4FBA-A676-C926138D7EC7}">
  <dimension ref="A1:L30"/>
  <sheetViews>
    <sheetView zoomScale="60" zoomScaleNormal="60" workbookViewId="0"/>
  </sheetViews>
  <sheetFormatPr defaultColWidth="20.7109375" defaultRowHeight="15" x14ac:dyDescent="0.25"/>
  <cols>
    <col min="1" max="1" width="15.28515625" style="2" bestFit="1" customWidth="1"/>
    <col min="2" max="2" width="24.85546875" style="2" bestFit="1" customWidth="1"/>
    <col min="3" max="3" width="24.7109375" style="2" bestFit="1" customWidth="1"/>
    <col min="4" max="4" width="14" style="2" bestFit="1" customWidth="1"/>
    <col min="5" max="5" width="24.85546875" style="2" bestFit="1" customWidth="1"/>
    <col min="6" max="6" width="14" style="2" bestFit="1" customWidth="1"/>
    <col min="7" max="7" width="24.85546875" style="2" bestFit="1" customWidth="1"/>
    <col min="8" max="8" width="14" style="2" bestFit="1" customWidth="1"/>
    <col min="9" max="9" width="24" style="2" bestFit="1" customWidth="1"/>
    <col min="10" max="10" width="14" style="2" bestFit="1" customWidth="1"/>
    <col min="11" max="16384" width="20.7109375" style="2"/>
  </cols>
  <sheetData>
    <row r="1" spans="1:12" x14ac:dyDescent="0.25">
      <c r="A1" s="2" t="str">
        <f>Table1[[#Headers],[Name]]</f>
        <v>Name</v>
      </c>
      <c r="B1" s="2" t="str">
        <f>Table1[[#Headers],[Criteria]]</f>
        <v>Criteria</v>
      </c>
      <c r="C1" s="9" t="str">
        <f>PanelScore!C2</f>
        <v>Organizational</v>
      </c>
      <c r="D1" s="9"/>
      <c r="E1" s="9" t="str">
        <f>PanelScore!C3</f>
        <v>SystemsMgmt</v>
      </c>
      <c r="F1" s="9"/>
      <c r="G1" s="9" t="str">
        <f>PanelScore!C4</f>
        <v>Professional</v>
      </c>
      <c r="H1" s="9"/>
      <c r="I1" s="9" t="str">
        <f>PanelScore!C5</f>
        <v>Leadership</v>
      </c>
      <c r="K1" s="9" t="str">
        <f>PanelScore!C6</f>
        <v>InfoMgmt</v>
      </c>
    </row>
    <row r="2" spans="1:12" ht="30" x14ac:dyDescent="0.25">
      <c r="A2" s="2" t="str">
        <f>Table1[[#This Row],[Name]]</f>
        <v>Prof</v>
      </c>
      <c r="B2" s="2" t="str">
        <f>Table1[[#This Row],[Criteria]]</f>
        <v>Change Management is considered</v>
      </c>
      <c r="C2" s="2">
        <f>IF(A2="Org",B2,0)</f>
        <v>0</v>
      </c>
      <c r="D2" s="2" t="e">
        <f>VLOOKUP(C2,Table1[[Criteria]:[LocalWeight]],3,0)</f>
        <v>#N/A</v>
      </c>
      <c r="E2" s="2">
        <f>IF(A2="Sys",B2,0)</f>
        <v>0</v>
      </c>
      <c r="F2" s="2" t="e">
        <f>VLOOKUP(E2,Table1[[Criteria]:[LocalWeight]],3,0)</f>
        <v>#N/A</v>
      </c>
      <c r="G2" s="2" t="str">
        <f>IF(A2="Prof",B2,0)</f>
        <v>Change Management is considered</v>
      </c>
      <c r="H2" s="2">
        <f>VLOOKUP(G2,Table1[[Criteria]:[LocalWeight]],3,0)</f>
        <v>0.10978150876443155</v>
      </c>
      <c r="I2" s="2">
        <f>IF(A2="Lead",B2,0)</f>
        <v>0</v>
      </c>
      <c r="J2" s="2" t="e">
        <f>VLOOKUP(I2,Table1[[Criteria]:[LocalWeight]],3,0)</f>
        <v>#N/A</v>
      </c>
      <c r="K2" s="2">
        <f>IF(A2="Info",B2,0)</f>
        <v>0</v>
      </c>
      <c r="L2" s="2" t="e">
        <f>VLOOKUP(K2,Table1[[Criteria]:[LocalWeight]],3,0)</f>
        <v>#N/A</v>
      </c>
    </row>
    <row r="3" spans="1:12" ht="45" x14ac:dyDescent="0.25">
      <c r="A3" s="2" t="str">
        <f>Table1[[#This Row],[Name]]</f>
        <v>Org</v>
      </c>
      <c r="B3" s="2" t="str">
        <f>Table1[[#This Row],[Criteria]]</f>
        <v>Computer users settings and permissions are known</v>
      </c>
      <c r="C3" s="2" t="str">
        <f t="shared" ref="C3:C30" si="0">IF(A3="Org",B3,0)</f>
        <v>Computer users settings and permissions are known</v>
      </c>
      <c r="D3" s="2">
        <f>VLOOKUP(C3,Table1[[Criteria]:[LocalWeight]],3,0)</f>
        <v>0.11825351349518239</v>
      </c>
      <c r="E3" s="2">
        <f t="shared" ref="E3:E30" si="1">IF(A3="Sys",B3,0)</f>
        <v>0</v>
      </c>
      <c r="F3" s="2" t="e">
        <f>VLOOKUP(E3,Table1[[Criteria]:[LocalWeight]],3,0)</f>
        <v>#N/A</v>
      </c>
      <c r="G3" s="2">
        <f t="shared" ref="G3:G30" si="2">IF(A3="Prof",B3,0)</f>
        <v>0</v>
      </c>
      <c r="H3" s="2" t="e">
        <f>VLOOKUP(G3,Table1[[Criteria]:[LocalWeight]],3,0)</f>
        <v>#N/A</v>
      </c>
      <c r="I3" s="2">
        <f t="shared" ref="I3:I30" si="3">IF(A3="Lead",B3,0)</f>
        <v>0</v>
      </c>
      <c r="J3" s="2" t="e">
        <f>VLOOKUP(I3,Table1[[Criteria]:[LocalWeight]],3,0)</f>
        <v>#N/A</v>
      </c>
      <c r="K3" s="2">
        <f t="shared" ref="K3:K30" si="4">IF(A3="Info",B3,0)</f>
        <v>0</v>
      </c>
      <c r="L3" s="2" t="e">
        <f>VLOOKUP(K3,Table1[[Criteria]:[LocalWeight]],3,0)</f>
        <v>#N/A</v>
      </c>
    </row>
    <row r="4" spans="1:12" ht="30" x14ac:dyDescent="0.25">
      <c r="A4" s="2" t="str">
        <f>Table1[[#This Row],[Name]]</f>
        <v>Prof</v>
      </c>
      <c r="B4" s="2" t="str">
        <f>Table1[[#This Row],[Criteria]]</f>
        <v>Cyber awareness of all staff is checked</v>
      </c>
      <c r="C4" s="2">
        <f t="shared" si="0"/>
        <v>0</v>
      </c>
      <c r="D4" s="2" t="e">
        <f>VLOOKUP(C4,Table1[[Criteria]:[LocalWeight]],3,0)</f>
        <v>#N/A</v>
      </c>
      <c r="E4" s="2">
        <f t="shared" si="1"/>
        <v>0</v>
      </c>
      <c r="F4" s="2" t="e">
        <f>VLOOKUP(E4,Table1[[Criteria]:[LocalWeight]],3,0)</f>
        <v>#N/A</v>
      </c>
      <c r="G4" s="2" t="str">
        <f t="shared" si="2"/>
        <v>Cyber awareness of all staff is checked</v>
      </c>
      <c r="H4" s="2">
        <f>VLOOKUP(G4,Table1[[Criteria]:[LocalWeight]],3,0)</f>
        <v>0.38465487749908867</v>
      </c>
      <c r="I4" s="2">
        <f t="shared" si="3"/>
        <v>0</v>
      </c>
      <c r="J4" s="2" t="e">
        <f>VLOOKUP(I4,Table1[[Criteria]:[LocalWeight]],3,0)</f>
        <v>#N/A</v>
      </c>
      <c r="K4" s="2">
        <f t="shared" si="4"/>
        <v>0</v>
      </c>
      <c r="L4" s="2" t="e">
        <f>VLOOKUP(K4,Table1[[Criteria]:[LocalWeight]],3,0)</f>
        <v>#N/A</v>
      </c>
    </row>
    <row r="5" spans="1:12" ht="45" x14ac:dyDescent="0.25">
      <c r="A5" s="2" t="str">
        <f>Table1[[#This Row],[Name]]</f>
        <v>Lead</v>
      </c>
      <c r="B5" s="2" t="str">
        <f>Table1[[#This Row],[Criteria]]</f>
        <v>Cybersecurity goals of energy organization are identified</v>
      </c>
      <c r="C5" s="2">
        <f t="shared" si="0"/>
        <v>0</v>
      </c>
      <c r="D5" s="2" t="e">
        <f>VLOOKUP(C5,Table1[[Criteria]:[LocalWeight]],3,0)</f>
        <v>#N/A</v>
      </c>
      <c r="E5" s="2">
        <f t="shared" si="1"/>
        <v>0</v>
      </c>
      <c r="F5" s="2" t="e">
        <f>VLOOKUP(E5,Table1[[Criteria]:[LocalWeight]],3,0)</f>
        <v>#N/A</v>
      </c>
      <c r="G5" s="2">
        <f t="shared" si="2"/>
        <v>0</v>
      </c>
      <c r="H5" s="2" t="e">
        <f>VLOOKUP(G5,Table1[[Criteria]:[LocalWeight]],3,0)</f>
        <v>#N/A</v>
      </c>
      <c r="I5" s="2" t="str">
        <f t="shared" si="3"/>
        <v>Cybersecurity goals of energy organization are identified</v>
      </c>
      <c r="J5" s="2">
        <f>VLOOKUP(I5,Table1[[Criteria]:[LocalWeight]],3,0)</f>
        <v>0.15697359517362752</v>
      </c>
      <c r="K5" s="2">
        <f t="shared" si="4"/>
        <v>0</v>
      </c>
      <c r="L5" s="2" t="e">
        <f>VLOOKUP(K5,Table1[[Criteria]:[LocalWeight]],3,0)</f>
        <v>#N/A</v>
      </c>
    </row>
    <row r="6" spans="1:12" ht="30" x14ac:dyDescent="0.25">
      <c r="A6" s="2" t="str">
        <f>Table1[[#This Row],[Name]]</f>
        <v>Lead</v>
      </c>
      <c r="B6" s="2" t="str">
        <f>Table1[[#This Row],[Criteria]]</f>
        <v>Cybersecurity learning sources are available</v>
      </c>
      <c r="C6" s="2">
        <f t="shared" si="0"/>
        <v>0</v>
      </c>
      <c r="D6" s="2" t="e">
        <f>VLOOKUP(C6,Table1[[Criteria]:[LocalWeight]],3,0)</f>
        <v>#N/A</v>
      </c>
      <c r="E6" s="2">
        <f t="shared" si="1"/>
        <v>0</v>
      </c>
      <c r="F6" s="2" t="e">
        <f>VLOOKUP(E6,Table1[[Criteria]:[LocalWeight]],3,0)</f>
        <v>#N/A</v>
      </c>
      <c r="G6" s="2">
        <f t="shared" si="2"/>
        <v>0</v>
      </c>
      <c r="H6" s="2" t="e">
        <f>VLOOKUP(G6,Table1[[Criteria]:[LocalWeight]],3,0)</f>
        <v>#N/A</v>
      </c>
      <c r="I6" s="2" t="str">
        <f t="shared" si="3"/>
        <v>Cybersecurity learning sources are available</v>
      </c>
      <c r="J6" s="2">
        <f>VLOOKUP(I6,Table1[[Criteria]:[LocalWeight]],3,0)</f>
        <v>0.10776016991224358</v>
      </c>
      <c r="K6" s="2">
        <f t="shared" si="4"/>
        <v>0</v>
      </c>
      <c r="L6" s="2" t="e">
        <f>VLOOKUP(K6,Table1[[Criteria]:[LocalWeight]],3,0)</f>
        <v>#N/A</v>
      </c>
    </row>
    <row r="7" spans="1:12" ht="30" x14ac:dyDescent="0.25">
      <c r="A7" s="2" t="str">
        <f>Table1[[#This Row],[Name]]</f>
        <v>Org</v>
      </c>
      <c r="B7" s="2" t="str">
        <f>Table1[[#This Row],[Criteria]]</f>
        <v>Cybersecurity Readiness Assessments</v>
      </c>
      <c r="C7" s="2" t="str">
        <f t="shared" si="0"/>
        <v>Cybersecurity Readiness Assessments</v>
      </c>
      <c r="D7" s="2">
        <f>VLOOKUP(C7,Table1[[Criteria]:[LocalWeight]],3,0)</f>
        <v>0.20937753649845875</v>
      </c>
      <c r="E7" s="2">
        <f t="shared" si="1"/>
        <v>0</v>
      </c>
      <c r="F7" s="2" t="e">
        <f>VLOOKUP(E7,Table1[[Criteria]:[LocalWeight]],3,0)</f>
        <v>#N/A</v>
      </c>
      <c r="G7" s="2">
        <f t="shared" si="2"/>
        <v>0</v>
      </c>
      <c r="H7" s="2" t="e">
        <f>VLOOKUP(G7,Table1[[Criteria]:[LocalWeight]],3,0)</f>
        <v>#N/A</v>
      </c>
      <c r="I7" s="2">
        <f t="shared" si="3"/>
        <v>0</v>
      </c>
      <c r="J7" s="2" t="e">
        <f>VLOOKUP(I7,Table1[[Criteria]:[LocalWeight]],3,0)</f>
        <v>#N/A</v>
      </c>
      <c r="K7" s="2">
        <f t="shared" si="4"/>
        <v>0</v>
      </c>
      <c r="L7" s="2" t="e">
        <f>VLOOKUP(K7,Table1[[Criteria]:[LocalWeight]],3,0)</f>
        <v>#N/A</v>
      </c>
    </row>
    <row r="8" spans="1:12" ht="45" x14ac:dyDescent="0.25">
      <c r="A8" s="2" t="str">
        <f>Table1[[#This Row],[Name]]</f>
        <v>Lead</v>
      </c>
      <c r="B8" s="2" t="str">
        <f>Table1[[#This Row],[Criteria]]</f>
        <v>Cybersecurity risk is considered priority by C-Suite</v>
      </c>
      <c r="C8" s="2">
        <f t="shared" si="0"/>
        <v>0</v>
      </c>
      <c r="D8" s="2" t="e">
        <f>VLOOKUP(C8,Table1[[Criteria]:[LocalWeight]],3,0)</f>
        <v>#N/A</v>
      </c>
      <c r="E8" s="2">
        <f t="shared" si="1"/>
        <v>0</v>
      </c>
      <c r="F8" s="2" t="e">
        <f>VLOOKUP(E8,Table1[[Criteria]:[LocalWeight]],3,0)</f>
        <v>#N/A</v>
      </c>
      <c r="G8" s="2">
        <f t="shared" si="2"/>
        <v>0</v>
      </c>
      <c r="H8" s="2" t="e">
        <f>VLOOKUP(G8,Table1[[Criteria]:[LocalWeight]],3,0)</f>
        <v>#N/A</v>
      </c>
      <c r="I8" s="2" t="str">
        <f t="shared" si="3"/>
        <v>Cybersecurity risk is considered priority by C-Suite</v>
      </c>
      <c r="J8" s="2">
        <f>VLOOKUP(I8,Table1[[Criteria]:[LocalWeight]],3,0)</f>
        <v>0.22697008385674658</v>
      </c>
      <c r="K8" s="2">
        <f t="shared" si="4"/>
        <v>0</v>
      </c>
      <c r="L8" s="2" t="e">
        <f>VLOOKUP(K8,Table1[[Criteria]:[LocalWeight]],3,0)</f>
        <v>#N/A</v>
      </c>
    </row>
    <row r="9" spans="1:12" ht="30" x14ac:dyDescent="0.25">
      <c r="A9" s="2" t="str">
        <f>Table1[[#This Row],[Name]]</f>
        <v>Sys</v>
      </c>
      <c r="B9" s="2" t="str">
        <f>Table1[[#This Row],[Criteria]]</f>
        <v>Data loss prevention system is in place</v>
      </c>
      <c r="C9" s="2">
        <f t="shared" si="0"/>
        <v>0</v>
      </c>
      <c r="D9" s="2" t="e">
        <f>VLOOKUP(C9,Table1[[Criteria]:[LocalWeight]],3,0)</f>
        <v>#N/A</v>
      </c>
      <c r="E9" s="2" t="str">
        <f t="shared" si="1"/>
        <v>Data loss prevention system is in place</v>
      </c>
      <c r="F9" s="2">
        <f>VLOOKUP(E9,Table1[[Criteria]:[LocalWeight]],3,0)</f>
        <v>0.13607130981080962</v>
      </c>
      <c r="G9" s="2">
        <f t="shared" si="2"/>
        <v>0</v>
      </c>
      <c r="H9" s="2" t="e">
        <f>VLOOKUP(G9,Table1[[Criteria]:[LocalWeight]],3,0)</f>
        <v>#N/A</v>
      </c>
      <c r="I9" s="2">
        <f t="shared" si="3"/>
        <v>0</v>
      </c>
      <c r="J9" s="2" t="e">
        <f>VLOOKUP(I9,Table1[[Criteria]:[LocalWeight]],3,0)</f>
        <v>#N/A</v>
      </c>
      <c r="K9" s="2">
        <f t="shared" si="4"/>
        <v>0</v>
      </c>
      <c r="L9" s="2" t="e">
        <f>VLOOKUP(K9,Table1[[Criteria]:[LocalWeight]],3,0)</f>
        <v>#N/A</v>
      </c>
    </row>
    <row r="10" spans="1:12" ht="30" x14ac:dyDescent="0.25">
      <c r="A10" s="2" t="str">
        <f>Table1[[#This Row],[Name]]</f>
        <v>Org</v>
      </c>
      <c r="B10" s="2" t="str">
        <f>Table1[[#This Row],[Criteria]]</f>
        <v>Documents are marked and protected</v>
      </c>
      <c r="C10" s="2" t="str">
        <f t="shared" si="0"/>
        <v>Documents are marked and protected</v>
      </c>
      <c r="D10" s="2">
        <f>VLOOKUP(C10,Table1[[Criteria]:[LocalWeight]],3,0)</f>
        <v>0.22836531537389626</v>
      </c>
      <c r="E10" s="2">
        <f t="shared" si="1"/>
        <v>0</v>
      </c>
      <c r="F10" s="2" t="e">
        <f>VLOOKUP(E10,Table1[[Criteria]:[LocalWeight]],3,0)</f>
        <v>#N/A</v>
      </c>
      <c r="G10" s="2">
        <f t="shared" si="2"/>
        <v>0</v>
      </c>
      <c r="H10" s="2" t="e">
        <f>VLOOKUP(G10,Table1[[Criteria]:[LocalWeight]],3,0)</f>
        <v>#N/A</v>
      </c>
      <c r="I10" s="2">
        <f t="shared" si="3"/>
        <v>0</v>
      </c>
      <c r="J10" s="2" t="e">
        <f>VLOOKUP(I10,Table1[[Criteria]:[LocalWeight]],3,0)</f>
        <v>#N/A</v>
      </c>
      <c r="K10" s="2">
        <f t="shared" si="4"/>
        <v>0</v>
      </c>
      <c r="L10" s="2" t="e">
        <f>VLOOKUP(K10,Table1[[Criteria]:[LocalWeight]],3,0)</f>
        <v>#N/A</v>
      </c>
    </row>
    <row r="11" spans="1:12" ht="30" x14ac:dyDescent="0.25">
      <c r="A11" s="2" t="str">
        <f>Table1[[#This Row],[Name]]</f>
        <v>Sys</v>
      </c>
      <c r="B11" s="2" t="str">
        <f>Table1[[#This Row],[Criteria]]</f>
        <v>Energy system outages are planned for</v>
      </c>
      <c r="C11" s="2">
        <f t="shared" si="0"/>
        <v>0</v>
      </c>
      <c r="D11" s="2" t="e">
        <f>VLOOKUP(C11,Table1[[Criteria]:[LocalWeight]],3,0)</f>
        <v>#N/A</v>
      </c>
      <c r="E11" s="2" t="str">
        <f t="shared" si="1"/>
        <v>Energy system outages are planned for</v>
      </c>
      <c r="F11" s="2">
        <f>VLOOKUP(E11,Table1[[Criteria]:[LocalWeight]],3,0)</f>
        <v>9.449417073292174E-2</v>
      </c>
      <c r="G11" s="2">
        <f t="shared" si="2"/>
        <v>0</v>
      </c>
      <c r="H11" s="2" t="e">
        <f>VLOOKUP(G11,Table1[[Criteria]:[LocalWeight]],3,0)</f>
        <v>#N/A</v>
      </c>
      <c r="I11" s="2">
        <f t="shared" si="3"/>
        <v>0</v>
      </c>
      <c r="J11" s="2" t="e">
        <f>VLOOKUP(I11,Table1[[Criteria]:[LocalWeight]],3,0)</f>
        <v>#N/A</v>
      </c>
      <c r="K11" s="2">
        <f t="shared" si="4"/>
        <v>0</v>
      </c>
      <c r="L11" s="2" t="e">
        <f>VLOOKUP(K11,Table1[[Criteria]:[LocalWeight]],3,0)</f>
        <v>#N/A</v>
      </c>
    </row>
    <row r="12" spans="1:12" x14ac:dyDescent="0.25">
      <c r="A12" s="2" t="str">
        <f>Table1[[#This Row],[Name]]</f>
        <v>Prof</v>
      </c>
      <c r="B12" s="2" t="str">
        <f>Table1[[#This Row],[Criteria]]</f>
        <v>External reporting is done</v>
      </c>
      <c r="C12" s="2">
        <f t="shared" si="0"/>
        <v>0</v>
      </c>
      <c r="D12" s="2" t="e">
        <f>VLOOKUP(C12,Table1[[Criteria]:[LocalWeight]],3,0)</f>
        <v>#N/A</v>
      </c>
      <c r="E12" s="2">
        <f t="shared" si="1"/>
        <v>0</v>
      </c>
      <c r="F12" s="2" t="e">
        <f>VLOOKUP(E12,Table1[[Criteria]:[LocalWeight]],3,0)</f>
        <v>#N/A</v>
      </c>
      <c r="G12" s="2" t="str">
        <f t="shared" si="2"/>
        <v>External reporting is done</v>
      </c>
      <c r="H12" s="2">
        <f>VLOOKUP(G12,Table1[[Criteria]:[LocalWeight]],3,0)</f>
        <v>0.11810995451223213</v>
      </c>
      <c r="I12" s="2">
        <f t="shared" si="3"/>
        <v>0</v>
      </c>
      <c r="J12" s="2" t="e">
        <f>VLOOKUP(I12,Table1[[Criteria]:[LocalWeight]],3,0)</f>
        <v>#N/A</v>
      </c>
      <c r="K12" s="2">
        <f t="shared" si="4"/>
        <v>0</v>
      </c>
      <c r="L12" s="2" t="e">
        <f>VLOOKUP(K12,Table1[[Criteria]:[LocalWeight]],3,0)</f>
        <v>#N/A</v>
      </c>
    </row>
    <row r="13" spans="1:12" ht="30" x14ac:dyDescent="0.25">
      <c r="A13" s="2" t="str">
        <f>Table1[[#This Row],[Name]]</f>
        <v>Prof</v>
      </c>
      <c r="B13" s="2" t="str">
        <f>Table1[[#This Row],[Criteria]]</f>
        <v>External vendor/supply coordination is done</v>
      </c>
      <c r="C13" s="2">
        <f t="shared" si="0"/>
        <v>0</v>
      </c>
      <c r="D13" s="2" t="e">
        <f>VLOOKUP(C13,Table1[[Criteria]:[LocalWeight]],3,0)</f>
        <v>#N/A</v>
      </c>
      <c r="E13" s="2">
        <f t="shared" si="1"/>
        <v>0</v>
      </c>
      <c r="F13" s="2" t="e">
        <f>VLOOKUP(E13,Table1[[Criteria]:[LocalWeight]],3,0)</f>
        <v>#N/A</v>
      </c>
      <c r="G13" s="2" t="str">
        <f t="shared" si="2"/>
        <v>External vendor/supply coordination is done</v>
      </c>
      <c r="H13" s="2">
        <f>VLOOKUP(G13,Table1[[Criteria]:[LocalWeight]],3,0)</f>
        <v>8.6064499966777577E-2</v>
      </c>
      <c r="I13" s="2">
        <f t="shared" si="3"/>
        <v>0</v>
      </c>
      <c r="J13" s="2" t="e">
        <f>VLOOKUP(I13,Table1[[Criteria]:[LocalWeight]],3,0)</f>
        <v>#N/A</v>
      </c>
      <c r="K13" s="2">
        <f t="shared" si="4"/>
        <v>0</v>
      </c>
      <c r="L13" s="2" t="e">
        <f>VLOOKUP(K13,Table1[[Criteria]:[LocalWeight]],3,0)</f>
        <v>#N/A</v>
      </c>
    </row>
    <row r="14" spans="1:12" ht="45" x14ac:dyDescent="0.25">
      <c r="A14" s="2" t="str">
        <f>Table1[[#This Row],[Name]]</f>
        <v>Info</v>
      </c>
      <c r="B14" s="2" t="str">
        <f>Table1[[#This Row],[Criteria]]</f>
        <v>Info Officer is in contact with Internet Service Provider</v>
      </c>
      <c r="C14" s="2">
        <f t="shared" si="0"/>
        <v>0</v>
      </c>
      <c r="D14" s="2" t="e">
        <f>VLOOKUP(C14,Table1[[Criteria]:[LocalWeight]],3,0)</f>
        <v>#N/A</v>
      </c>
      <c r="E14" s="2">
        <f t="shared" si="1"/>
        <v>0</v>
      </c>
      <c r="F14" s="2" t="e">
        <f>VLOOKUP(E14,Table1[[Criteria]:[LocalWeight]],3,0)</f>
        <v>#N/A</v>
      </c>
      <c r="G14" s="2">
        <f t="shared" si="2"/>
        <v>0</v>
      </c>
      <c r="H14" s="2" t="e">
        <f>VLOOKUP(G14,Table1[[Criteria]:[LocalWeight]],3,0)</f>
        <v>#N/A</v>
      </c>
      <c r="I14" s="2">
        <f t="shared" si="3"/>
        <v>0</v>
      </c>
      <c r="J14" s="2" t="e">
        <f>VLOOKUP(I14,Table1[[Criteria]:[LocalWeight]],3,0)</f>
        <v>#N/A</v>
      </c>
      <c r="K14" s="2" t="str">
        <f t="shared" si="4"/>
        <v>Info Officer is in contact with Internet Service Provider</v>
      </c>
      <c r="L14" s="2">
        <f>VLOOKUP(K14,Table1[[Criteria]:[LocalWeight]],3,0)</f>
        <v>4.835067870464705E-2</v>
      </c>
    </row>
    <row r="15" spans="1:12" ht="45" x14ac:dyDescent="0.25">
      <c r="A15" s="2" t="str">
        <f>Table1[[#This Row],[Name]]</f>
        <v>Info</v>
      </c>
      <c r="B15" s="2" t="str">
        <f>Table1[[#This Row],[Criteria]]</f>
        <v>Logging is sufficient for security and forensics</v>
      </c>
      <c r="C15" s="2">
        <f t="shared" si="0"/>
        <v>0</v>
      </c>
      <c r="D15" s="2" t="e">
        <f>VLOOKUP(C15,Table1[[Criteria]:[LocalWeight]],3,0)</f>
        <v>#N/A</v>
      </c>
      <c r="E15" s="2">
        <f t="shared" si="1"/>
        <v>0</v>
      </c>
      <c r="F15" s="2" t="e">
        <f>VLOOKUP(E15,Table1[[Criteria]:[LocalWeight]],3,0)</f>
        <v>#N/A</v>
      </c>
      <c r="G15" s="2">
        <f t="shared" si="2"/>
        <v>0</v>
      </c>
      <c r="H15" s="2" t="e">
        <f>VLOOKUP(G15,Table1[[Criteria]:[LocalWeight]],3,0)</f>
        <v>#N/A</v>
      </c>
      <c r="I15" s="2">
        <f t="shared" si="3"/>
        <v>0</v>
      </c>
      <c r="J15" s="2" t="e">
        <f>VLOOKUP(I15,Table1[[Criteria]:[LocalWeight]],3,0)</f>
        <v>#N/A</v>
      </c>
      <c r="K15" s="2" t="str">
        <f t="shared" si="4"/>
        <v>Logging is sufficient for security and forensics</v>
      </c>
      <c r="L15" s="2">
        <f>VLOOKUP(K15,Table1[[Criteria]:[LocalWeight]],3,0)</f>
        <v>7.192371933599738E-2</v>
      </c>
    </row>
    <row r="16" spans="1:12" ht="30" x14ac:dyDescent="0.25">
      <c r="A16" s="2" t="str">
        <f>Table1[[#This Row],[Name]]</f>
        <v>Sys</v>
      </c>
      <c r="B16" s="2" t="str">
        <f>Table1[[#This Row],[Criteria]]</f>
        <v>Machine limitations are recorded</v>
      </c>
      <c r="C16" s="2">
        <f t="shared" si="0"/>
        <v>0</v>
      </c>
      <c r="D16" s="2" t="e">
        <f>VLOOKUP(C16,Table1[[Criteria]:[LocalWeight]],3,0)</f>
        <v>#N/A</v>
      </c>
      <c r="E16" s="2" t="str">
        <f t="shared" si="1"/>
        <v>Machine limitations are recorded</v>
      </c>
      <c r="F16" s="2">
        <f>VLOOKUP(E16,Table1[[Criteria]:[LocalWeight]],3,0)</f>
        <v>9.0420747948517788E-2</v>
      </c>
      <c r="G16" s="2">
        <f t="shared" si="2"/>
        <v>0</v>
      </c>
      <c r="H16" s="2" t="e">
        <f>VLOOKUP(G16,Table1[[Criteria]:[LocalWeight]],3,0)</f>
        <v>#N/A</v>
      </c>
      <c r="I16" s="2">
        <f t="shared" si="3"/>
        <v>0</v>
      </c>
      <c r="J16" s="2" t="e">
        <f>VLOOKUP(I16,Table1[[Criteria]:[LocalWeight]],3,0)</f>
        <v>#N/A</v>
      </c>
      <c r="K16" s="2">
        <f t="shared" si="4"/>
        <v>0</v>
      </c>
      <c r="L16" s="2" t="e">
        <f>VLOOKUP(K16,Table1[[Criteria]:[LocalWeight]],3,0)</f>
        <v>#N/A</v>
      </c>
    </row>
    <row r="17" spans="1:12" ht="45" x14ac:dyDescent="0.25">
      <c r="A17" s="2" t="str">
        <f>Table1[[#This Row],[Name]]</f>
        <v>Info</v>
      </c>
      <c r="B17" s="2" t="str">
        <f>Table1[[#This Row],[Criteria]]</f>
        <v>Network and System admin procedures documented</v>
      </c>
      <c r="C17" s="2">
        <f t="shared" si="0"/>
        <v>0</v>
      </c>
      <c r="D17" s="2" t="e">
        <f>VLOOKUP(C17,Table1[[Criteria]:[LocalWeight]],3,0)</f>
        <v>#N/A</v>
      </c>
      <c r="E17" s="2">
        <f t="shared" si="1"/>
        <v>0</v>
      </c>
      <c r="F17" s="2" t="e">
        <f>VLOOKUP(E17,Table1[[Criteria]:[LocalWeight]],3,0)</f>
        <v>#N/A</v>
      </c>
      <c r="G17" s="2">
        <f t="shared" si="2"/>
        <v>0</v>
      </c>
      <c r="H17" s="2" t="e">
        <f>VLOOKUP(G17,Table1[[Criteria]:[LocalWeight]],3,0)</f>
        <v>#N/A</v>
      </c>
      <c r="I17" s="2">
        <f t="shared" si="3"/>
        <v>0</v>
      </c>
      <c r="J17" s="2" t="e">
        <f>VLOOKUP(I17,Table1[[Criteria]:[LocalWeight]],3,0)</f>
        <v>#N/A</v>
      </c>
      <c r="K17" s="2" t="str">
        <f t="shared" si="4"/>
        <v>Network and System admin procedures documented</v>
      </c>
      <c r="L17" s="2">
        <f>VLOOKUP(K17,Table1[[Criteria]:[LocalWeight]],3,0)</f>
        <v>0.17810788553168261</v>
      </c>
    </row>
    <row r="18" spans="1:12" ht="30" x14ac:dyDescent="0.25">
      <c r="A18" s="2" t="str">
        <f>Table1[[#This Row],[Name]]</f>
        <v>Sys</v>
      </c>
      <c r="B18" s="2" t="str">
        <f>Table1[[#This Row],[Criteria]]</f>
        <v>Network modeling for IoT is done</v>
      </c>
      <c r="C18" s="2">
        <f t="shared" si="0"/>
        <v>0</v>
      </c>
      <c r="D18" s="2" t="e">
        <f>VLOOKUP(C18,Table1[[Criteria]:[LocalWeight]],3,0)</f>
        <v>#N/A</v>
      </c>
      <c r="E18" s="2" t="str">
        <f t="shared" si="1"/>
        <v>Network modeling for IoT is done</v>
      </c>
      <c r="F18" s="2">
        <f>VLOOKUP(E18,Table1[[Criteria]:[LocalWeight]],3,0)</f>
        <v>0.15537115291451864</v>
      </c>
      <c r="G18" s="2">
        <f t="shared" si="2"/>
        <v>0</v>
      </c>
      <c r="H18" s="2" t="e">
        <f>VLOOKUP(G18,Table1[[Criteria]:[LocalWeight]],3,0)</f>
        <v>#N/A</v>
      </c>
      <c r="I18" s="2">
        <f t="shared" si="3"/>
        <v>0</v>
      </c>
      <c r="J18" s="2" t="e">
        <f>VLOOKUP(I18,Table1[[Criteria]:[LocalWeight]],3,0)</f>
        <v>#N/A</v>
      </c>
      <c r="K18" s="2">
        <f t="shared" si="4"/>
        <v>0</v>
      </c>
      <c r="L18" s="2" t="e">
        <f>VLOOKUP(K18,Table1[[Criteria]:[LocalWeight]],3,0)</f>
        <v>#N/A</v>
      </c>
    </row>
    <row r="19" spans="1:12" ht="30" x14ac:dyDescent="0.25">
      <c r="A19" s="2" t="str">
        <f>Table1[[#This Row],[Name]]</f>
        <v>Sys</v>
      </c>
      <c r="B19" s="2" t="str">
        <f>Table1[[#This Row],[Criteria]]</f>
        <v>Outages are not required for security updates</v>
      </c>
      <c r="C19" s="2">
        <f t="shared" si="0"/>
        <v>0</v>
      </c>
      <c r="D19" s="2" t="e">
        <f>VLOOKUP(C19,Table1[[Criteria]:[LocalWeight]],3,0)</f>
        <v>#N/A</v>
      </c>
      <c r="E19" s="2" t="str">
        <f t="shared" si="1"/>
        <v>Outages are not required for security updates</v>
      </c>
      <c r="F19" s="2">
        <f>VLOOKUP(E19,Table1[[Criteria]:[LocalWeight]],3,0)</f>
        <v>6.1946575815374612E-2</v>
      </c>
      <c r="G19" s="2">
        <f t="shared" si="2"/>
        <v>0</v>
      </c>
      <c r="H19" s="2" t="e">
        <f>VLOOKUP(G19,Table1[[Criteria]:[LocalWeight]],3,0)</f>
        <v>#N/A</v>
      </c>
      <c r="I19" s="2">
        <f t="shared" si="3"/>
        <v>0</v>
      </c>
      <c r="J19" s="2" t="e">
        <f>VLOOKUP(I19,Table1[[Criteria]:[LocalWeight]],3,0)</f>
        <v>#N/A</v>
      </c>
      <c r="K19" s="2">
        <f t="shared" si="4"/>
        <v>0</v>
      </c>
      <c r="L19" s="2" t="e">
        <f>VLOOKUP(K19,Table1[[Criteria]:[LocalWeight]],3,0)</f>
        <v>#N/A</v>
      </c>
    </row>
    <row r="20" spans="1:12" ht="30" x14ac:dyDescent="0.25">
      <c r="A20" s="2" t="str">
        <f>Table1[[#This Row],[Name]]</f>
        <v>Sys</v>
      </c>
      <c r="B20" s="2" t="str">
        <f>Table1[[#This Row],[Criteria]]</f>
        <v>Planning for forensic evidence collection</v>
      </c>
      <c r="C20" s="2">
        <f t="shared" si="0"/>
        <v>0</v>
      </c>
      <c r="D20" s="2" t="e">
        <f>VLOOKUP(C20,Table1[[Criteria]:[LocalWeight]],3,0)</f>
        <v>#N/A</v>
      </c>
      <c r="E20" s="2" t="str">
        <f t="shared" si="1"/>
        <v>Planning for forensic evidence collection</v>
      </c>
      <c r="F20" s="2">
        <f>VLOOKUP(E20,Table1[[Criteria]:[LocalWeight]],3,0)</f>
        <v>4.3594893371382684E-2</v>
      </c>
      <c r="G20" s="2">
        <f t="shared" si="2"/>
        <v>0</v>
      </c>
      <c r="H20" s="2" t="e">
        <f>VLOOKUP(G20,Table1[[Criteria]:[LocalWeight]],3,0)</f>
        <v>#N/A</v>
      </c>
      <c r="I20" s="2">
        <f t="shared" si="3"/>
        <v>0</v>
      </c>
      <c r="J20" s="2" t="e">
        <f>VLOOKUP(I20,Table1[[Criteria]:[LocalWeight]],3,0)</f>
        <v>#N/A</v>
      </c>
      <c r="K20" s="2">
        <f t="shared" si="4"/>
        <v>0</v>
      </c>
      <c r="L20" s="2" t="e">
        <f>VLOOKUP(K20,Table1[[Criteria]:[LocalWeight]],3,0)</f>
        <v>#N/A</v>
      </c>
    </row>
    <row r="21" spans="1:12" x14ac:dyDescent="0.25">
      <c r="A21" s="2" t="str">
        <f>Table1[[#This Row],[Name]]</f>
        <v>Lead</v>
      </c>
      <c r="B21" s="2" t="str">
        <f>Table1[[#This Row],[Criteria]]</f>
        <v>Policies are updated</v>
      </c>
      <c r="C21" s="2">
        <f t="shared" si="0"/>
        <v>0</v>
      </c>
      <c r="D21" s="2" t="e">
        <f>VLOOKUP(C21,Table1[[Criteria]:[LocalWeight]],3,0)</f>
        <v>#N/A</v>
      </c>
      <c r="E21" s="2">
        <f t="shared" si="1"/>
        <v>0</v>
      </c>
      <c r="F21" s="2" t="e">
        <f>VLOOKUP(E21,Table1[[Criteria]:[LocalWeight]],3,0)</f>
        <v>#N/A</v>
      </c>
      <c r="G21" s="2">
        <f t="shared" si="2"/>
        <v>0</v>
      </c>
      <c r="H21" s="2" t="e">
        <f>VLOOKUP(G21,Table1[[Criteria]:[LocalWeight]],3,0)</f>
        <v>#N/A</v>
      </c>
      <c r="I21" s="2" t="str">
        <f t="shared" si="3"/>
        <v>Policies are updated</v>
      </c>
      <c r="J21" s="2">
        <f>VLOOKUP(I21,Table1[[Criteria]:[LocalWeight]],3,0)</f>
        <v>8.4211184448888046E-2</v>
      </c>
      <c r="K21" s="2">
        <f t="shared" si="4"/>
        <v>0</v>
      </c>
      <c r="L21" s="2" t="e">
        <f>VLOOKUP(K21,Table1[[Criteria]:[LocalWeight]],3,0)</f>
        <v>#N/A</v>
      </c>
    </row>
    <row r="22" spans="1:12" ht="45" x14ac:dyDescent="0.25">
      <c r="A22" s="2" t="str">
        <f>Table1[[#This Row],[Name]]</f>
        <v>Org</v>
      </c>
      <c r="B22" s="2" t="str">
        <f>Table1[[#This Row],[Criteria]]</f>
        <v>Presence of Implementation Oversight</v>
      </c>
      <c r="C22" s="2" t="str">
        <f t="shared" si="0"/>
        <v>Presence of Implementation Oversight</v>
      </c>
      <c r="D22" s="2">
        <f>VLOOKUP(C22,Table1[[Criteria]:[LocalWeight]],3,0)</f>
        <v>0.13179153638328553</v>
      </c>
      <c r="E22" s="2">
        <f t="shared" si="1"/>
        <v>0</v>
      </c>
      <c r="F22" s="2" t="e">
        <f>VLOOKUP(E22,Table1[[Criteria]:[LocalWeight]],3,0)</f>
        <v>#N/A</v>
      </c>
      <c r="G22" s="2">
        <f t="shared" si="2"/>
        <v>0</v>
      </c>
      <c r="H22" s="2" t="e">
        <f>VLOOKUP(G22,Table1[[Criteria]:[LocalWeight]],3,0)</f>
        <v>#N/A</v>
      </c>
      <c r="I22" s="2">
        <f t="shared" si="3"/>
        <v>0</v>
      </c>
      <c r="J22" s="2" t="e">
        <f>VLOOKUP(I22,Table1[[Criteria]:[LocalWeight]],3,0)</f>
        <v>#N/A</v>
      </c>
      <c r="K22" s="2">
        <f t="shared" si="4"/>
        <v>0</v>
      </c>
      <c r="L22" s="2" t="e">
        <f>VLOOKUP(K22,Table1[[Criteria]:[LocalWeight]],3,0)</f>
        <v>#N/A</v>
      </c>
    </row>
    <row r="23" spans="1:12" ht="30" x14ac:dyDescent="0.25">
      <c r="A23" s="2" t="str">
        <f>Table1[[#This Row],[Name]]</f>
        <v>Org</v>
      </c>
      <c r="B23" s="2" t="str">
        <f>Table1[[#This Row],[Criteria]]</f>
        <v>Presence of legislative understanding</v>
      </c>
      <c r="C23" s="2" t="str">
        <f t="shared" si="0"/>
        <v>Presence of legislative understanding</v>
      </c>
      <c r="D23" s="2">
        <f>VLOOKUP(C23,Table1[[Criteria]:[LocalWeight]],3,0)</f>
        <v>0.15863752782817339</v>
      </c>
      <c r="E23" s="2">
        <f t="shared" si="1"/>
        <v>0</v>
      </c>
      <c r="F23" s="2" t="e">
        <f>VLOOKUP(E23,Table1[[Criteria]:[LocalWeight]],3,0)</f>
        <v>#N/A</v>
      </c>
      <c r="G23" s="2">
        <f t="shared" si="2"/>
        <v>0</v>
      </c>
      <c r="H23" s="2" t="e">
        <f>VLOOKUP(G23,Table1[[Criteria]:[LocalWeight]],3,0)</f>
        <v>#N/A</v>
      </c>
      <c r="I23" s="2">
        <f t="shared" si="3"/>
        <v>0</v>
      </c>
      <c r="J23" s="2" t="e">
        <f>VLOOKUP(I23,Table1[[Criteria]:[LocalWeight]],3,0)</f>
        <v>#N/A</v>
      </c>
      <c r="K23" s="2">
        <f t="shared" si="4"/>
        <v>0</v>
      </c>
      <c r="L23" s="2" t="e">
        <f>VLOOKUP(K23,Table1[[Criteria]:[LocalWeight]],3,0)</f>
        <v>#N/A</v>
      </c>
    </row>
    <row r="24" spans="1:12" ht="45" x14ac:dyDescent="0.25">
      <c r="A24" s="2" t="str">
        <f>Table1[[#This Row],[Name]]</f>
        <v>Lead</v>
      </c>
      <c r="B24" s="2" t="str">
        <f>Table1[[#This Row],[Criteria]]</f>
        <v>Professionals with cyber certifications are in operations roles</v>
      </c>
      <c r="C24" s="2">
        <f t="shared" si="0"/>
        <v>0</v>
      </c>
      <c r="D24" s="2" t="e">
        <f>VLOOKUP(C24,Table1[[Criteria]:[LocalWeight]],3,0)</f>
        <v>#N/A</v>
      </c>
      <c r="E24" s="2">
        <f t="shared" si="1"/>
        <v>0</v>
      </c>
      <c r="F24" s="2" t="e">
        <f>VLOOKUP(E24,Table1[[Criteria]:[LocalWeight]],3,0)</f>
        <v>#N/A</v>
      </c>
      <c r="G24" s="2">
        <f t="shared" si="2"/>
        <v>0</v>
      </c>
      <c r="H24" s="2" t="e">
        <f>VLOOKUP(G24,Table1[[Criteria]:[LocalWeight]],3,0)</f>
        <v>#N/A</v>
      </c>
      <c r="I24" s="2" t="str">
        <f t="shared" si="3"/>
        <v>Professionals with cyber certifications are in operations roles</v>
      </c>
      <c r="J24" s="2">
        <f>VLOOKUP(I24,Table1[[Criteria]:[LocalWeight]],3,0)</f>
        <v>0.27172114739279823</v>
      </c>
      <c r="K24" s="2">
        <f t="shared" si="4"/>
        <v>0</v>
      </c>
      <c r="L24" s="2" t="e">
        <f>VLOOKUP(K24,Table1[[Criteria]:[LocalWeight]],3,0)</f>
        <v>#N/A</v>
      </c>
    </row>
    <row r="25" spans="1:12" ht="45" x14ac:dyDescent="0.25">
      <c r="A25" s="2" t="str">
        <f>Table1[[#This Row],[Name]]</f>
        <v>Info</v>
      </c>
      <c r="B25" s="2" t="str">
        <f>Table1[[#This Row],[Criteria]]</f>
        <v>Retention periods are in place and used for information and data</v>
      </c>
      <c r="C25" s="2">
        <f t="shared" si="0"/>
        <v>0</v>
      </c>
      <c r="D25" s="2" t="e">
        <f>VLOOKUP(C25,Table1[[Criteria]:[LocalWeight]],3,0)</f>
        <v>#N/A</v>
      </c>
      <c r="E25" s="2">
        <f t="shared" si="1"/>
        <v>0</v>
      </c>
      <c r="F25" s="2" t="e">
        <f>VLOOKUP(E25,Table1[[Criteria]:[LocalWeight]],3,0)</f>
        <v>#N/A</v>
      </c>
      <c r="G25" s="2">
        <f t="shared" si="2"/>
        <v>0</v>
      </c>
      <c r="H25" s="2" t="e">
        <f>VLOOKUP(G25,Table1[[Criteria]:[LocalWeight]],3,0)</f>
        <v>#N/A</v>
      </c>
      <c r="I25" s="2">
        <f t="shared" si="3"/>
        <v>0</v>
      </c>
      <c r="J25" s="2" t="e">
        <f>VLOOKUP(I25,Table1[[Criteria]:[LocalWeight]],3,0)</f>
        <v>#N/A</v>
      </c>
      <c r="K25" s="2" t="str">
        <f t="shared" si="4"/>
        <v>Retention periods are in place and used for information and data</v>
      </c>
      <c r="L25" s="2">
        <f>VLOOKUP(K25,Table1[[Criteria]:[LocalWeight]],3,0)</f>
        <v>6.2717633594184863E-2</v>
      </c>
    </row>
    <row r="26" spans="1:12" ht="45" x14ac:dyDescent="0.25">
      <c r="A26" s="2" t="str">
        <f>Table1[[#This Row],[Name]]</f>
        <v>Org</v>
      </c>
      <c r="B26" s="2" t="str">
        <f>Table1[[#This Row],[Criteria]]</f>
        <v>Social impact of breaches is talked about in the company</v>
      </c>
      <c r="C26" s="2" t="str">
        <f t="shared" si="0"/>
        <v>Social impact of breaches is talked about in the company</v>
      </c>
      <c r="D26" s="2">
        <f>VLOOKUP(C26,Table1[[Criteria]:[LocalWeight]],3,0)</f>
        <v>9.8223355438179616E-2</v>
      </c>
      <c r="E26" s="2">
        <f t="shared" si="1"/>
        <v>0</v>
      </c>
      <c r="F26" s="2" t="e">
        <f>VLOOKUP(E26,Table1[[Criteria]:[LocalWeight]],3,0)</f>
        <v>#N/A</v>
      </c>
      <c r="G26" s="2">
        <f t="shared" si="2"/>
        <v>0</v>
      </c>
      <c r="H26" s="2" t="e">
        <f>VLOOKUP(G26,Table1[[Criteria]:[LocalWeight]],3,0)</f>
        <v>#N/A</v>
      </c>
      <c r="I26" s="2">
        <f t="shared" si="3"/>
        <v>0</v>
      </c>
      <c r="J26" s="2" t="e">
        <f>VLOOKUP(I26,Table1[[Criteria]:[LocalWeight]],3,0)</f>
        <v>#N/A</v>
      </c>
      <c r="K26" s="2">
        <f t="shared" si="4"/>
        <v>0</v>
      </c>
      <c r="L26" s="2" t="e">
        <f>VLOOKUP(K26,Table1[[Criteria]:[LocalWeight]],3,0)</f>
        <v>#N/A</v>
      </c>
    </row>
    <row r="27" spans="1:12" ht="30" x14ac:dyDescent="0.25">
      <c r="A27" s="2" t="str">
        <f>Table1[[#This Row],[Name]]</f>
        <v>Info</v>
      </c>
      <c r="B27" s="2" t="str">
        <f>Table1[[#This Row],[Criteria]]</f>
        <v>Standards are understood</v>
      </c>
      <c r="C27" s="2">
        <f t="shared" si="0"/>
        <v>0</v>
      </c>
      <c r="D27" s="2" t="e">
        <f>VLOOKUP(C27,Table1[[Criteria]:[LocalWeight]],3,0)</f>
        <v>#N/A</v>
      </c>
      <c r="E27" s="2">
        <f t="shared" si="1"/>
        <v>0</v>
      </c>
      <c r="F27" s="2" t="e">
        <f>VLOOKUP(E27,Table1[[Criteria]:[LocalWeight]],3,0)</f>
        <v>#N/A</v>
      </c>
      <c r="G27" s="2">
        <f t="shared" si="2"/>
        <v>0</v>
      </c>
      <c r="H27" s="2" t="e">
        <f>VLOOKUP(G27,Table1[[Criteria]:[LocalWeight]],3,0)</f>
        <v>#N/A</v>
      </c>
      <c r="I27" s="2">
        <f t="shared" si="3"/>
        <v>0</v>
      </c>
      <c r="J27" s="2" t="e">
        <f>VLOOKUP(I27,Table1[[Criteria]:[LocalWeight]],3,0)</f>
        <v>#N/A</v>
      </c>
      <c r="K27" s="2" t="str">
        <f t="shared" si="4"/>
        <v>Standards are understood</v>
      </c>
      <c r="L27" s="2">
        <f>VLOOKUP(K27,Table1[[Criteria]:[LocalWeight]],3,0)</f>
        <v>6.2001232239963053E-2</v>
      </c>
    </row>
    <row r="28" spans="1:12" ht="45" x14ac:dyDescent="0.25">
      <c r="A28" s="2" t="str">
        <f>Table1[[#This Row],[Name]]</f>
        <v>Lead</v>
      </c>
      <c r="B28" s="2" t="str">
        <f>Table1[[#This Row],[Criteria]]</f>
        <v>Supply chain cyber risk is considered during procurement</v>
      </c>
      <c r="C28" s="2">
        <f t="shared" si="0"/>
        <v>0</v>
      </c>
      <c r="D28" s="2" t="e">
        <f>VLOOKUP(C28,Table1[[Criteria]:[LocalWeight]],3,0)</f>
        <v>#N/A</v>
      </c>
      <c r="E28" s="2">
        <f t="shared" si="1"/>
        <v>0</v>
      </c>
      <c r="F28" s="2" t="e">
        <f>VLOOKUP(E28,Table1[[Criteria]:[LocalWeight]],3,0)</f>
        <v>#N/A</v>
      </c>
      <c r="G28" s="2">
        <f t="shared" si="2"/>
        <v>0</v>
      </c>
      <c r="H28" s="2" t="e">
        <f>VLOOKUP(G28,Table1[[Criteria]:[LocalWeight]],3,0)</f>
        <v>#N/A</v>
      </c>
      <c r="I28" s="2" t="str">
        <f t="shared" si="3"/>
        <v>Supply chain cyber risk is considered during procurement</v>
      </c>
      <c r="J28" s="2">
        <f>VLOOKUP(I28,Table1[[Criteria]:[LocalWeight]],3,0)</f>
        <v>0.15486381921569603</v>
      </c>
      <c r="K28" s="2">
        <f t="shared" si="4"/>
        <v>0</v>
      </c>
      <c r="L28" s="2" t="e">
        <f>VLOOKUP(K28,Table1[[Criteria]:[LocalWeight]],3,0)</f>
        <v>#N/A</v>
      </c>
    </row>
    <row r="29" spans="1:12" ht="60" x14ac:dyDescent="0.25">
      <c r="A29" s="2" t="str">
        <f>Table1[[#This Row],[Name]]</f>
        <v>Org</v>
      </c>
      <c r="B29" s="2" t="str">
        <f>Table1[[#This Row],[Criteria]]</f>
        <v>There is an organizational common vocabulary for cybersecurity in the energy industry</v>
      </c>
      <c r="C29" s="2" t="str">
        <f t="shared" si="0"/>
        <v>There is an organizational common vocabulary for cybersecurity in the energy industry</v>
      </c>
      <c r="D29" s="2">
        <f>VLOOKUP(C29,Table1[[Criteria]:[LocalWeight]],3,0)</f>
        <v>6.2851214982824088E-2</v>
      </c>
      <c r="E29" s="2">
        <f t="shared" si="1"/>
        <v>0</v>
      </c>
      <c r="F29" s="2" t="e">
        <f>VLOOKUP(E29,Table1[[Criteria]:[LocalWeight]],3,0)</f>
        <v>#N/A</v>
      </c>
      <c r="G29" s="2">
        <f t="shared" si="2"/>
        <v>0</v>
      </c>
      <c r="H29" s="2" t="e">
        <f>VLOOKUP(G29,Table1[[Criteria]:[LocalWeight]],3,0)</f>
        <v>#N/A</v>
      </c>
      <c r="I29" s="2">
        <f t="shared" si="3"/>
        <v>0</v>
      </c>
      <c r="J29" s="2" t="e">
        <f>VLOOKUP(I29,Table1[[Criteria]:[LocalWeight]],3,0)</f>
        <v>#N/A</v>
      </c>
      <c r="K29" s="2">
        <f t="shared" si="4"/>
        <v>0</v>
      </c>
      <c r="L29" s="2" t="e">
        <f>VLOOKUP(K29,Table1[[Criteria]:[LocalWeight]],3,0)</f>
        <v>#N/A</v>
      </c>
    </row>
    <row r="30" spans="1:12" ht="30" x14ac:dyDescent="0.25">
      <c r="A30" s="2" t="str">
        <f>Table1[[#This Row],[Name]]</f>
        <v>Prof</v>
      </c>
      <c r="B30" s="2" t="str">
        <f>Table1[[#This Row],[Criteria]]</f>
        <v>Threats to organization are modeled</v>
      </c>
      <c r="C30" s="2">
        <f t="shared" si="0"/>
        <v>0</v>
      </c>
      <c r="D30" s="2" t="e">
        <f>VLOOKUP(C30,Table1[[Criteria]:[LocalWeight]],3,0)</f>
        <v>#N/A</v>
      </c>
      <c r="E30" s="2">
        <f t="shared" si="1"/>
        <v>0</v>
      </c>
      <c r="F30" s="2" t="e">
        <f>VLOOKUP(E30,Table1[[Criteria]:[LocalWeight]],3,0)</f>
        <v>#N/A</v>
      </c>
      <c r="G30" s="2" t="str">
        <f t="shared" si="2"/>
        <v>Threats to organization are modeled</v>
      </c>
      <c r="H30" s="2">
        <f>VLOOKUP(G30,Table1[[Criteria]:[LocalWeight]],3,0)</f>
        <v>0.30638915925747007</v>
      </c>
      <c r="I30" s="2">
        <f t="shared" si="3"/>
        <v>0</v>
      </c>
      <c r="J30" s="2" t="e">
        <f>VLOOKUP(I30,Table1[[Criteria]:[LocalWeight]],3,0)</f>
        <v>#N/A</v>
      </c>
      <c r="K30" s="2">
        <f t="shared" si="4"/>
        <v>0</v>
      </c>
      <c r="L30" s="2" t="e">
        <f>VLOOKUP(K30,Table1[[Criteria]:[LocalWeight]],3,0)</f>
        <v>#N/A</v>
      </c>
    </row>
  </sheetData>
  <autoFilter ref="A1:L1" xr:uid="{83D9D80A-D3F8-4FBA-A676-C926138D7EC7}"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B1E0-A325-482E-AE7E-50A7BC077F2A}">
  <dimension ref="A1:H8"/>
  <sheetViews>
    <sheetView zoomScale="90" zoomScaleNormal="90" workbookViewId="0"/>
  </sheetViews>
  <sheetFormatPr defaultRowHeight="15" x14ac:dyDescent="0.25"/>
  <cols>
    <col min="1" max="1" width="27.5703125" customWidth="1"/>
    <col min="2" max="2" width="27.5703125" bestFit="1" customWidth="1"/>
    <col min="3" max="3" width="14" bestFit="1" customWidth="1"/>
  </cols>
  <sheetData>
    <row r="1" spans="1:8" x14ac:dyDescent="0.25">
      <c r="A1" t="s">
        <v>70</v>
      </c>
      <c r="B1" t="s">
        <v>65</v>
      </c>
      <c r="C1" t="s">
        <v>66</v>
      </c>
      <c r="D1" t="s">
        <v>57</v>
      </c>
      <c r="E1" t="s">
        <v>59</v>
      </c>
      <c r="F1" t="s">
        <v>60</v>
      </c>
      <c r="G1" t="s">
        <v>62</v>
      </c>
      <c r="H1" t="s">
        <v>64</v>
      </c>
    </row>
    <row r="2" spans="1:8" x14ac:dyDescent="0.25">
      <c r="A2" s="5" t="s">
        <v>1</v>
      </c>
      <c r="B2" s="5" t="s">
        <v>57</v>
      </c>
      <c r="C2" s="5" t="s">
        <v>58</v>
      </c>
      <c r="D2">
        <f>1-(D3+D4+D5+D6)</f>
        <v>0.96</v>
      </c>
      <c r="E2">
        <v>0.01</v>
      </c>
      <c r="F2">
        <v>0.01</v>
      </c>
      <c r="G2">
        <v>0.01</v>
      </c>
      <c r="H2">
        <v>0.01</v>
      </c>
    </row>
    <row r="3" spans="1:8" x14ac:dyDescent="0.25">
      <c r="A3" s="5" t="s">
        <v>88</v>
      </c>
      <c r="B3" s="5" t="s">
        <v>59</v>
      </c>
      <c r="C3" s="5" t="s">
        <v>90</v>
      </c>
      <c r="D3">
        <v>0.01</v>
      </c>
      <c r="E3">
        <f>D2</f>
        <v>0.96</v>
      </c>
      <c r="F3">
        <v>0.01</v>
      </c>
      <c r="G3">
        <v>0.01</v>
      </c>
      <c r="H3">
        <v>0.01</v>
      </c>
    </row>
    <row r="4" spans="1:8" x14ac:dyDescent="0.25">
      <c r="A4" s="5" t="s">
        <v>2</v>
      </c>
      <c r="B4" s="5" t="s">
        <v>60</v>
      </c>
      <c r="C4" s="5" t="s">
        <v>61</v>
      </c>
      <c r="D4">
        <v>0.01</v>
      </c>
      <c r="E4">
        <v>0.01</v>
      </c>
      <c r="F4">
        <f>D2</f>
        <v>0.96</v>
      </c>
      <c r="G4">
        <v>0.01</v>
      </c>
      <c r="H4">
        <v>0.01</v>
      </c>
    </row>
    <row r="5" spans="1:8" x14ac:dyDescent="0.25">
      <c r="A5" s="5" t="s">
        <v>3</v>
      </c>
      <c r="B5" s="5" t="s">
        <v>62</v>
      </c>
      <c r="C5" s="5" t="s">
        <v>63</v>
      </c>
      <c r="D5">
        <v>0.01</v>
      </c>
      <c r="E5">
        <v>0.01</v>
      </c>
      <c r="F5">
        <v>0.01</v>
      </c>
      <c r="G5">
        <f>D2</f>
        <v>0.96</v>
      </c>
      <c r="H5">
        <v>0.01</v>
      </c>
    </row>
    <row r="6" spans="1:8" x14ac:dyDescent="0.25">
      <c r="A6" s="5" t="s">
        <v>89</v>
      </c>
      <c r="B6" s="5" t="s">
        <v>64</v>
      </c>
      <c r="C6" s="5" t="s">
        <v>91</v>
      </c>
      <c r="D6">
        <v>0.01</v>
      </c>
      <c r="E6">
        <v>0.01</v>
      </c>
      <c r="F6">
        <v>0.01</v>
      </c>
      <c r="G6">
        <v>0.01</v>
      </c>
      <c r="H6">
        <f>D2</f>
        <v>0.96</v>
      </c>
    </row>
    <row r="7" spans="1:8" x14ac:dyDescent="0.25">
      <c r="A7" s="5"/>
      <c r="B7" s="5" t="s">
        <v>69</v>
      </c>
      <c r="C7">
        <v>5</v>
      </c>
    </row>
    <row r="8" spans="1:8" x14ac:dyDescent="0.25">
      <c r="D8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Perspective Summary</vt:lpstr>
      <vt:lpstr>Notes</vt:lpstr>
      <vt:lpstr>Desirability</vt:lpstr>
      <vt:lpstr>Import</vt:lpstr>
      <vt:lpstr>PanelScore</vt:lpstr>
      <vt:lpstr>Composite</vt:lpstr>
      <vt:lpstr>Sensitivity</vt:lpstr>
      <vt:lpstr>FinalModel</vt:lpstr>
      <vt:lpstr>TraditionalPanelScore</vt:lpstr>
      <vt:lpstr>Traditional Sensitivity</vt:lpstr>
      <vt:lpstr>Report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2021-12-08T18:41:13Z</dcterms:created>
  <dcterms:modified xsi:type="dcterms:W3CDTF">2023-08-17T01:07:27Z</dcterms:modified>
</cp:coreProperties>
</file>