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7B27499E-53DA-4BC4-B593-B94DF05273A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ote" sheetId="13" r:id="rId1"/>
    <sheet name="Permutations" sheetId="5" r:id="rId2"/>
    <sheet name="Input and Orientations" sheetId="1" r:id="rId3"/>
    <sheet name="Vlookup" sheetId="9" r:id="rId4"/>
    <sheet name="Rankings" sheetId="7" r:id="rId5"/>
    <sheet name="Rotations" sheetId="11" r:id="rId6"/>
    <sheet name="RSV lookup table by #Variables" sheetId="1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1" l="1"/>
  <c r="I37" i="11"/>
  <c r="J29" i="11"/>
  <c r="I21" i="11"/>
  <c r="F5" i="11"/>
  <c r="K5" i="11" s="1"/>
  <c r="F7" i="11"/>
  <c r="L7" i="11" s="1"/>
  <c r="F9" i="11"/>
  <c r="J9" i="11" s="1"/>
  <c r="F11" i="11"/>
  <c r="K11" i="11" s="1"/>
  <c r="F13" i="11"/>
  <c r="J13" i="11" s="1"/>
  <c r="F15" i="11"/>
  <c r="L15" i="11" s="1"/>
  <c r="F17" i="11"/>
  <c r="K17" i="11" s="1"/>
  <c r="F19" i="11"/>
  <c r="L19" i="11" s="1"/>
  <c r="F21" i="11"/>
  <c r="F23" i="11"/>
  <c r="K23" i="11" s="1"/>
  <c r="F25" i="11"/>
  <c r="I25" i="11" s="1"/>
  <c r="F27" i="11"/>
  <c r="L27" i="11" s="1"/>
  <c r="F29" i="11"/>
  <c r="F31" i="11"/>
  <c r="L31" i="11" s="1"/>
  <c r="F33" i="11"/>
  <c r="I33" i="11" s="1"/>
  <c r="F35" i="11"/>
  <c r="J35" i="11" s="1"/>
  <c r="F37" i="11"/>
  <c r="F39" i="11"/>
  <c r="K39" i="11" s="1"/>
  <c r="F41" i="11"/>
  <c r="J41" i="11" s="1"/>
  <c r="F43" i="11"/>
  <c r="K43" i="11" s="1"/>
  <c r="F45" i="11"/>
  <c r="F47" i="11"/>
  <c r="J47" i="11" s="1"/>
  <c r="F49" i="11"/>
  <c r="I49" i="11" s="1"/>
  <c r="F3" i="11"/>
  <c r="L3" i="11" s="1"/>
  <c r="H6" i="1"/>
  <c r="G6" i="1"/>
  <c r="G5" i="1"/>
  <c r="F6" i="1"/>
  <c r="F5" i="1"/>
  <c r="F4" i="1"/>
  <c r="B18" i="7" l="1"/>
  <c r="C18" i="7"/>
  <c r="D18" i="7"/>
  <c r="B19" i="7"/>
  <c r="C19" i="7"/>
  <c r="D19" i="7"/>
  <c r="B20" i="7"/>
  <c r="C20" i="7"/>
  <c r="D20" i="7"/>
  <c r="B21" i="7"/>
  <c r="C21" i="7"/>
  <c r="D21" i="7"/>
  <c r="B22" i="7"/>
  <c r="C22" i="7"/>
  <c r="D22" i="7"/>
  <c r="B23" i="7"/>
  <c r="C23" i="7"/>
  <c r="D23" i="7"/>
  <c r="B24" i="7"/>
  <c r="C24" i="7"/>
  <c r="D24" i="7"/>
  <c r="B25" i="7"/>
  <c r="C25" i="7"/>
  <c r="D25" i="7"/>
  <c r="B26" i="7"/>
  <c r="C26" i="7"/>
  <c r="D26" i="7"/>
  <c r="B27" i="7"/>
  <c r="C27" i="7"/>
  <c r="D27" i="7"/>
  <c r="B28" i="7"/>
  <c r="C28" i="7"/>
  <c r="D28" i="7"/>
  <c r="B29" i="7"/>
  <c r="C29" i="7"/>
  <c r="D29" i="7"/>
  <c r="B30" i="7"/>
  <c r="C30" i="7"/>
  <c r="D30" i="7"/>
  <c r="B31" i="7"/>
  <c r="C31" i="7"/>
  <c r="D31" i="7"/>
  <c r="B17" i="7"/>
  <c r="C17" i="7"/>
  <c r="D17" i="7"/>
  <c r="B16" i="7"/>
  <c r="C16" i="7"/>
  <c r="D16" i="7"/>
  <c r="B15" i="7"/>
  <c r="C15" i="7"/>
  <c r="D15" i="7"/>
  <c r="B14" i="7"/>
  <c r="C14" i="7"/>
  <c r="D14" i="7"/>
  <c r="B12" i="7" l="1"/>
  <c r="C12" i="7"/>
  <c r="D12" i="7"/>
  <c r="B13" i="7"/>
  <c r="C13" i="7"/>
  <c r="D13" i="7"/>
  <c r="D3" i="7"/>
  <c r="E4" i="7"/>
  <c r="F5" i="7"/>
  <c r="C2" i="7"/>
  <c r="C11" i="7"/>
  <c r="D11" i="7"/>
  <c r="B11" i="7"/>
  <c r="C10" i="7"/>
  <c r="D10" i="7"/>
  <c r="B10" i="7"/>
  <c r="C8" i="7" l="1"/>
  <c r="D8" i="7"/>
  <c r="B8" i="7"/>
  <c r="C9" i="7"/>
  <c r="D9" i="7"/>
  <c r="B9" i="7"/>
  <c r="A12" i="9"/>
  <c r="A11" i="9"/>
  <c r="A10" i="9"/>
  <c r="A9" i="9"/>
  <c r="A8" i="9"/>
  <c r="A7" i="9"/>
  <c r="A6" i="9"/>
  <c r="A5" i="9"/>
  <c r="A4" i="9"/>
  <c r="A3" i="9"/>
  <c r="A2" i="9"/>
  <c r="A1" i="9"/>
  <c r="I5" i="1" l="1"/>
  <c r="H4" i="1"/>
  <c r="I4" i="1"/>
  <c r="I3" i="1"/>
  <c r="H3" i="1"/>
  <c r="G3" i="1"/>
  <c r="U24" i="1" l="1"/>
  <c r="V25" i="1"/>
  <c r="W26" i="1"/>
  <c r="T27" i="1"/>
  <c r="W20" i="1"/>
  <c r="U17" i="1"/>
  <c r="V18" i="1"/>
  <c r="T19" i="1"/>
  <c r="W13" i="1"/>
  <c r="V12" i="1"/>
  <c r="U10" i="1"/>
  <c r="T11" i="1"/>
  <c r="U2" i="1"/>
  <c r="V2" i="1"/>
  <c r="W2" i="1"/>
  <c r="T2" i="1"/>
  <c r="V6" i="1"/>
  <c r="E5" i="7" s="1"/>
  <c r="U6" i="1"/>
  <c r="D5" i="7" s="1"/>
  <c r="U5" i="1"/>
  <c r="D4" i="7" s="1"/>
  <c r="T6" i="1"/>
  <c r="C5" i="7" s="1"/>
  <c r="T5" i="1"/>
  <c r="C4" i="7" s="1"/>
  <c r="T4" i="1"/>
  <c r="C3" i="7" s="1"/>
  <c r="W5" i="1"/>
  <c r="F4" i="7" s="1"/>
  <c r="W4" i="1"/>
  <c r="F3" i="7" s="1"/>
  <c r="V4" i="1"/>
  <c r="E3" i="7" s="1"/>
  <c r="W3" i="1"/>
  <c r="F2" i="7" s="1"/>
  <c r="V3" i="1"/>
  <c r="E2" i="7" s="1"/>
  <c r="U3" i="1"/>
  <c r="D2" i="7" s="1"/>
  <c r="V23" i="1" l="1"/>
  <c r="D1" i="7"/>
  <c r="W23" i="1"/>
  <c r="E1" i="7"/>
  <c r="U23" i="1"/>
  <c r="C1" i="7"/>
  <c r="W16" i="1"/>
  <c r="F1" i="7"/>
  <c r="T18" i="1"/>
  <c r="Z18" i="1" s="1"/>
  <c r="U12" i="1"/>
  <c r="V13" i="1"/>
  <c r="T10" i="1"/>
  <c r="Y10" i="1" s="1"/>
  <c r="T25" i="1"/>
  <c r="Z25" i="1" s="1"/>
  <c r="Z3" i="1"/>
  <c r="W19" i="1"/>
  <c r="AA19" i="1" s="1"/>
  <c r="V19" i="1"/>
  <c r="Z19" i="1" s="1"/>
  <c r="W17" i="1"/>
  <c r="Y4" i="1"/>
  <c r="V20" i="1"/>
  <c r="Y6" i="1"/>
  <c r="T13" i="1"/>
  <c r="T16" i="1"/>
  <c r="T23" i="1"/>
  <c r="V27" i="1"/>
  <c r="Z27" i="1" s="1"/>
  <c r="V11" i="1"/>
  <c r="Z11" i="1" s="1"/>
  <c r="T20" i="1"/>
  <c r="U18" i="1"/>
  <c r="U25" i="1"/>
  <c r="Z4" i="1"/>
  <c r="U11" i="1"/>
  <c r="Y11" i="1" s="1"/>
  <c r="T24" i="1"/>
  <c r="Y24" i="1" s="1"/>
  <c r="V26" i="1"/>
  <c r="T9" i="1"/>
  <c r="W12" i="1"/>
  <c r="T17" i="1"/>
  <c r="W27" i="1"/>
  <c r="AA27" i="1" s="1"/>
  <c r="U26" i="1"/>
  <c r="Y3" i="1"/>
  <c r="U20" i="1"/>
  <c r="Z6" i="1"/>
  <c r="U9" i="1"/>
  <c r="U16" i="1"/>
  <c r="V17" i="1"/>
  <c r="W24" i="1"/>
  <c r="Y5" i="1"/>
  <c r="AA5" i="1"/>
  <c r="AA3" i="1"/>
  <c r="T12" i="1"/>
  <c r="U13" i="1"/>
  <c r="V9" i="1"/>
  <c r="V10" i="1"/>
  <c r="W10" i="1"/>
  <c r="V16" i="1"/>
  <c r="U19" i="1"/>
  <c r="Y19" i="1" s="1"/>
  <c r="W18" i="1"/>
  <c r="T26" i="1"/>
  <c r="U27" i="1"/>
  <c r="Y27" i="1" s="1"/>
  <c r="W25" i="1"/>
  <c r="V24" i="1"/>
  <c r="AA6" i="1"/>
  <c r="AA4" i="1"/>
  <c r="W11" i="1"/>
  <c r="AA11" i="1" s="1"/>
  <c r="Z5" i="1"/>
  <c r="W9" i="1"/>
  <c r="AA18" i="1" l="1"/>
  <c r="AA25" i="1"/>
  <c r="Y25" i="1"/>
  <c r="Y13" i="1"/>
  <c r="Y18" i="1"/>
  <c r="Z20" i="1"/>
  <c r="AA17" i="1"/>
  <c r="G3" i="7"/>
  <c r="G2" i="7"/>
  <c r="G4" i="7"/>
  <c r="AA10" i="1"/>
  <c r="G5" i="7"/>
  <c r="Z10" i="1"/>
  <c r="Y7" i="1"/>
  <c r="B1" i="9" s="1"/>
  <c r="Y17" i="1"/>
  <c r="Z17" i="1"/>
  <c r="Z21" i="1" s="1"/>
  <c r="B8" i="9" s="1"/>
  <c r="AA24" i="1"/>
  <c r="Z7" i="1"/>
  <c r="B2" i="9" s="1"/>
  <c r="AA7" i="1"/>
  <c r="B3" i="9" s="1"/>
  <c r="Y20" i="1"/>
  <c r="Z24" i="1"/>
  <c r="AA20" i="1"/>
  <c r="Z13" i="1"/>
  <c r="AA13" i="1"/>
  <c r="Z26" i="1"/>
  <c r="AA26" i="1"/>
  <c r="Y26" i="1"/>
  <c r="Z12" i="1"/>
  <c r="AA12" i="1"/>
  <c r="Y12" i="1"/>
  <c r="AA21" i="1" l="1"/>
  <c r="B9" i="9" s="1"/>
  <c r="G14" i="7" s="1"/>
  <c r="J14" i="7" s="1"/>
  <c r="E15" i="11" s="1"/>
  <c r="K15" i="11" s="1"/>
  <c r="F31" i="7"/>
  <c r="F10" i="7"/>
  <c r="G27" i="7"/>
  <c r="J27" i="7" s="1"/>
  <c r="E41" i="11" s="1"/>
  <c r="K41" i="11" s="1"/>
  <c r="E23" i="7"/>
  <c r="E22" i="7"/>
  <c r="G13" i="7"/>
  <c r="J13" i="7" s="1"/>
  <c r="E13" i="11" s="1"/>
  <c r="K13" i="11" s="1"/>
  <c r="G16" i="7"/>
  <c r="J16" i="7" s="1"/>
  <c r="E19" i="11" s="1"/>
  <c r="I19" i="11" s="1"/>
  <c r="F21" i="7"/>
  <c r="G22" i="7"/>
  <c r="J22" i="7" s="1"/>
  <c r="E31" i="11" s="1"/>
  <c r="I31" i="11" s="1"/>
  <c r="F15" i="7"/>
  <c r="E13" i="7"/>
  <c r="E12" i="7"/>
  <c r="G18" i="7"/>
  <c r="J18" i="7" s="1"/>
  <c r="E23" i="11" s="1"/>
  <c r="I23" i="11" s="1"/>
  <c r="G28" i="7"/>
  <c r="J28" i="7" s="1"/>
  <c r="E43" i="11" s="1"/>
  <c r="I43" i="11" s="1"/>
  <c r="E11" i="7"/>
  <c r="F27" i="7"/>
  <c r="F14" i="7"/>
  <c r="E10" i="7"/>
  <c r="G30" i="7"/>
  <c r="J30" i="7" s="1"/>
  <c r="E47" i="11" s="1"/>
  <c r="I47" i="11" s="1"/>
  <c r="F20" i="7"/>
  <c r="G24" i="7"/>
  <c r="J24" i="7" s="1"/>
  <c r="E35" i="11" s="1"/>
  <c r="I35" i="11" s="1"/>
  <c r="F26" i="7"/>
  <c r="E9" i="7"/>
  <c r="E8" i="7"/>
  <c r="Y28" i="1"/>
  <c r="B10" i="9" s="1"/>
  <c r="Y14" i="1"/>
  <c r="B4" i="9" s="1"/>
  <c r="AA14" i="1"/>
  <c r="B6" i="9" s="1"/>
  <c r="Z14" i="1"/>
  <c r="B5" i="9" s="1"/>
  <c r="AA28" i="1"/>
  <c r="B12" i="9" s="1"/>
  <c r="Y21" i="1"/>
  <c r="B7" i="9" s="1"/>
  <c r="Z28" i="1"/>
  <c r="B11" i="9" s="1"/>
  <c r="F17" i="7" l="1"/>
  <c r="G8" i="7"/>
  <c r="J8" i="7" s="1"/>
  <c r="E3" i="11" s="1"/>
  <c r="K3" i="11" s="1"/>
  <c r="E25" i="7"/>
  <c r="E24" i="7"/>
  <c r="I14" i="7"/>
  <c r="D15" i="11" s="1"/>
  <c r="I15" i="11" s="1"/>
  <c r="F11" i="7"/>
  <c r="I27" i="7"/>
  <c r="D41" i="11" s="1"/>
  <c r="I41" i="11" s="1"/>
  <c r="G12" i="7"/>
  <c r="J12" i="7" s="1"/>
  <c r="E11" i="11" s="1"/>
  <c r="J11" i="11" s="1"/>
  <c r="F29" i="7"/>
  <c r="G26" i="7"/>
  <c r="J26" i="7" s="1"/>
  <c r="E39" i="11" s="1"/>
  <c r="J39" i="11" s="1"/>
  <c r="E17" i="7"/>
  <c r="F8" i="7"/>
  <c r="E16" i="7"/>
  <c r="F22" i="7"/>
  <c r="I22" i="7" s="1"/>
  <c r="D31" i="11" s="1"/>
  <c r="J31" i="11" s="1"/>
  <c r="E14" i="7"/>
  <c r="H14" i="7" s="1"/>
  <c r="C15" i="11" s="1"/>
  <c r="J15" i="11" s="1"/>
  <c r="G31" i="7"/>
  <c r="J31" i="7" s="1"/>
  <c r="E49" i="11" s="1"/>
  <c r="J49" i="11" s="1"/>
  <c r="E15" i="7"/>
  <c r="F28" i="7"/>
  <c r="I28" i="7" s="1"/>
  <c r="D43" i="11" s="1"/>
  <c r="J43" i="11" s="1"/>
  <c r="G25" i="7"/>
  <c r="J25" i="7" s="1"/>
  <c r="E37" i="11" s="1"/>
  <c r="J37" i="11" s="1"/>
  <c r="E31" i="7"/>
  <c r="H31" i="7" s="1"/>
  <c r="C49" i="11" s="1"/>
  <c r="L49" i="11" s="1"/>
  <c r="E30" i="7"/>
  <c r="G9" i="7"/>
  <c r="J9" i="7" s="1"/>
  <c r="E5" i="11" s="1"/>
  <c r="L5" i="11" s="1"/>
  <c r="F19" i="7"/>
  <c r="F13" i="7"/>
  <c r="I13" i="7" s="1"/>
  <c r="D13" i="11" s="1"/>
  <c r="L13" i="11" s="1"/>
  <c r="G15" i="7"/>
  <c r="J15" i="7" s="1"/>
  <c r="E17" i="11" s="1"/>
  <c r="L17" i="11" s="1"/>
  <c r="E26" i="7"/>
  <c r="G17" i="7"/>
  <c r="J17" i="7" s="1"/>
  <c r="E21" i="11" s="1"/>
  <c r="L21" i="11" s="1"/>
  <c r="G23" i="7"/>
  <c r="J23" i="7" s="1"/>
  <c r="E33" i="11" s="1"/>
  <c r="L33" i="11" s="1"/>
  <c r="F24" i="7"/>
  <c r="I24" i="7" s="1"/>
  <c r="D35" i="11" s="1"/>
  <c r="L35" i="11" s="1"/>
  <c r="E27" i="7"/>
  <c r="H27" i="7" s="1"/>
  <c r="F18" i="7"/>
  <c r="I18" i="7" s="1"/>
  <c r="D23" i="11" s="1"/>
  <c r="L23" i="11" s="1"/>
  <c r="F12" i="7"/>
  <c r="I12" i="7" s="1"/>
  <c r="D11" i="11" s="1"/>
  <c r="L11" i="11" s="1"/>
  <c r="E28" i="7"/>
  <c r="G21" i="7"/>
  <c r="J21" i="7" s="1"/>
  <c r="E29" i="11" s="1"/>
  <c r="L29" i="11" s="1"/>
  <c r="E29" i="7"/>
  <c r="G11" i="7"/>
  <c r="J11" i="7" s="1"/>
  <c r="E9" i="11" s="1"/>
  <c r="L9" i="11" s="1"/>
  <c r="F25" i="7"/>
  <c r="G20" i="7"/>
  <c r="J20" i="7" s="1"/>
  <c r="E27" i="11" s="1"/>
  <c r="J27" i="11" s="1"/>
  <c r="E19" i="7"/>
  <c r="G10" i="7"/>
  <c r="J10" i="7" s="1"/>
  <c r="E7" i="11" s="1"/>
  <c r="J7" i="11" s="1"/>
  <c r="F23" i="7"/>
  <c r="F9" i="7"/>
  <c r="E18" i="7"/>
  <c r="H18" i="7" s="1"/>
  <c r="F30" i="7"/>
  <c r="I30" i="7" s="1"/>
  <c r="D47" i="11" s="1"/>
  <c r="K47" i="11" s="1"/>
  <c r="E21" i="7"/>
  <c r="G19" i="7"/>
  <c r="J19" i="7" s="1"/>
  <c r="E25" i="11" s="1"/>
  <c r="K25" i="11" s="1"/>
  <c r="E20" i="7"/>
  <c r="G29" i="7"/>
  <c r="J29" i="7" s="1"/>
  <c r="E45" i="11" s="1"/>
  <c r="K45" i="11" s="1"/>
  <c r="F16" i="7"/>
  <c r="I16" i="7" s="1"/>
  <c r="D19" i="11" s="1"/>
  <c r="K19" i="11" s="1"/>
  <c r="I8" i="7" l="1"/>
  <c r="D3" i="11" s="1"/>
  <c r="J3" i="11" s="1"/>
  <c r="L27" i="7"/>
  <c r="G41" i="11" s="1"/>
  <c r="N41" i="11" s="1"/>
  <c r="M27" i="7" s="1"/>
  <c r="C41" i="11"/>
  <c r="L41" i="11" s="1"/>
  <c r="L18" i="7"/>
  <c r="G23" i="11" s="1"/>
  <c r="Q23" i="11" s="1"/>
  <c r="P18" i="7" s="1"/>
  <c r="C23" i="11"/>
  <c r="J23" i="11" s="1"/>
  <c r="H8" i="7"/>
  <c r="C3" i="11" s="1"/>
  <c r="I3" i="11" s="1"/>
  <c r="I31" i="7"/>
  <c r="I23" i="7"/>
  <c r="D33" i="11" s="1"/>
  <c r="J33" i="11" s="1"/>
  <c r="H21" i="7"/>
  <c r="C29" i="11" s="1"/>
  <c r="K29" i="11" s="1"/>
  <c r="H24" i="7"/>
  <c r="H28" i="7"/>
  <c r="H22" i="7"/>
  <c r="H20" i="7"/>
  <c r="C27" i="11" s="1"/>
  <c r="K27" i="11" s="1"/>
  <c r="H19" i="7"/>
  <c r="C25" i="11" s="1"/>
  <c r="J25" i="11" s="1"/>
  <c r="H29" i="7"/>
  <c r="C45" i="11" s="1"/>
  <c r="L45" i="11" s="1"/>
  <c r="I26" i="7"/>
  <c r="D39" i="11" s="1"/>
  <c r="I39" i="11" s="1"/>
  <c r="I11" i="7"/>
  <c r="D9" i="11" s="1"/>
  <c r="K9" i="11" s="1"/>
  <c r="H11" i="7"/>
  <c r="C9" i="11" s="1"/>
  <c r="I9" i="11" s="1"/>
  <c r="I15" i="7"/>
  <c r="D17" i="11" s="1"/>
  <c r="I17" i="11" s="1"/>
  <c r="H26" i="7"/>
  <c r="C39" i="11" s="1"/>
  <c r="L39" i="11" s="1"/>
  <c r="H23" i="7"/>
  <c r="C33" i="11" s="1"/>
  <c r="K33" i="11" s="1"/>
  <c r="L14" i="7"/>
  <c r="H17" i="7"/>
  <c r="C21" i="11" s="1"/>
  <c r="J21" i="11" s="1"/>
  <c r="I9" i="7"/>
  <c r="D5" i="11" s="1"/>
  <c r="J5" i="11" s="1"/>
  <c r="H9" i="7"/>
  <c r="C5" i="11" s="1"/>
  <c r="I5" i="11" s="1"/>
  <c r="I10" i="7"/>
  <c r="D7" i="11" s="1"/>
  <c r="K7" i="11" s="1"/>
  <c r="I17" i="7"/>
  <c r="D21" i="11" s="1"/>
  <c r="K21" i="11" s="1"/>
  <c r="I19" i="7"/>
  <c r="D25" i="11" s="1"/>
  <c r="L25" i="11" s="1"/>
  <c r="I21" i="7"/>
  <c r="D29" i="11" s="1"/>
  <c r="I29" i="11" s="1"/>
  <c r="I25" i="7"/>
  <c r="D37" i="11" s="1"/>
  <c r="L37" i="11" s="1"/>
  <c r="H15" i="7"/>
  <c r="C17" i="11" s="1"/>
  <c r="J17" i="11" s="1"/>
  <c r="H16" i="7"/>
  <c r="I29" i="7"/>
  <c r="D45" i="11" s="1"/>
  <c r="J45" i="11" s="1"/>
  <c r="H12" i="7"/>
  <c r="H25" i="7"/>
  <c r="C37" i="11" s="1"/>
  <c r="K37" i="11" s="1"/>
  <c r="I20" i="7"/>
  <c r="D27" i="11" s="1"/>
  <c r="I27" i="11" s="1"/>
  <c r="H30" i="7"/>
  <c r="H13" i="7"/>
  <c r="C13" i="11" s="1"/>
  <c r="I13" i="11" s="1"/>
  <c r="H10" i="7"/>
  <c r="C7" i="11" s="1"/>
  <c r="I7" i="11" s="1"/>
  <c r="O23" i="11" l="1"/>
  <c r="N18" i="7" s="1"/>
  <c r="O41" i="11"/>
  <c r="N27" i="7" s="1"/>
  <c r="P41" i="11"/>
  <c r="O27" i="7" s="1"/>
  <c r="P23" i="11"/>
  <c r="O18" i="7" s="1"/>
  <c r="N23" i="11"/>
  <c r="M18" i="7" s="1"/>
  <c r="L8" i="7"/>
  <c r="G3" i="11" s="1"/>
  <c r="Q3" i="11" s="1"/>
  <c r="P8" i="7" s="1"/>
  <c r="Q41" i="11"/>
  <c r="P27" i="7" s="1"/>
  <c r="O3" i="11"/>
  <c r="N8" i="7" s="1"/>
  <c r="L24" i="7"/>
  <c r="C35" i="11"/>
  <c r="K35" i="11" s="1"/>
  <c r="L16" i="7"/>
  <c r="G19" i="11" s="1"/>
  <c r="C19" i="11"/>
  <c r="J19" i="11" s="1"/>
  <c r="L12" i="7"/>
  <c r="C11" i="11"/>
  <c r="I11" i="11" s="1"/>
  <c r="G15" i="11"/>
  <c r="L28" i="7"/>
  <c r="C43" i="11"/>
  <c r="L43" i="11" s="1"/>
  <c r="L31" i="7"/>
  <c r="G49" i="11" s="1"/>
  <c r="D49" i="11"/>
  <c r="K49" i="11" s="1"/>
  <c r="L30" i="7"/>
  <c r="G47" i="11" s="1"/>
  <c r="C47" i="11"/>
  <c r="L47" i="11" s="1"/>
  <c r="L22" i="7"/>
  <c r="C31" i="11"/>
  <c r="K31" i="11" s="1"/>
  <c r="P3" i="11"/>
  <c r="O8" i="7" s="1"/>
  <c r="L21" i="7"/>
  <c r="L23" i="7"/>
  <c r="L26" i="7"/>
  <c r="L15" i="7"/>
  <c r="L20" i="7"/>
  <c r="L11" i="7"/>
  <c r="L19" i="7"/>
  <c r="L17" i="7"/>
  <c r="L25" i="7"/>
  <c r="L13" i="7"/>
  <c r="G13" i="11" s="1"/>
  <c r="L10" i="7"/>
  <c r="G7" i="11" s="1"/>
  <c r="N7" i="11" s="1"/>
  <c r="M10" i="7" s="1"/>
  <c r="L29" i="7"/>
  <c r="G45" i="11" s="1"/>
  <c r="Q45" i="11" s="1"/>
  <c r="P29" i="7" s="1"/>
  <c r="L9" i="7"/>
  <c r="G5" i="11" s="1"/>
  <c r="N5" i="11" s="1"/>
  <c r="M9" i="7" s="1"/>
  <c r="N3" i="11" l="1"/>
  <c r="M8" i="7" s="1"/>
  <c r="Q47" i="11"/>
  <c r="P30" i="7" s="1"/>
  <c r="O19" i="11"/>
  <c r="N16" i="7" s="1"/>
  <c r="N45" i="11"/>
  <c r="M29" i="7" s="1"/>
  <c r="P45" i="11"/>
  <c r="O29" i="7" s="1"/>
  <c r="O47" i="11"/>
  <c r="N30" i="7" s="1"/>
  <c r="N47" i="11"/>
  <c r="M30" i="7" s="1"/>
  <c r="P47" i="11"/>
  <c r="O30" i="7" s="1"/>
  <c r="P49" i="11"/>
  <c r="O31" i="7" s="1"/>
  <c r="Q19" i="11"/>
  <c r="P16" i="7" s="1"/>
  <c r="N19" i="11"/>
  <c r="M16" i="7" s="1"/>
  <c r="P19" i="11"/>
  <c r="O16" i="7" s="1"/>
  <c r="O45" i="11"/>
  <c r="N29" i="7" s="1"/>
  <c r="N49" i="11"/>
  <c r="M31" i="7" s="1"/>
  <c r="Q49" i="11"/>
  <c r="P31" i="7" s="1"/>
  <c r="O49" i="11"/>
  <c r="N31" i="7" s="1"/>
  <c r="G9" i="11"/>
  <c r="G33" i="11"/>
  <c r="P7" i="11"/>
  <c r="O10" i="7" s="1"/>
  <c r="G37" i="11"/>
  <c r="G17" i="11"/>
  <c r="G29" i="11"/>
  <c r="P5" i="11"/>
  <c r="O9" i="7" s="1"/>
  <c r="Q5" i="11"/>
  <c r="P9" i="7" s="1"/>
  <c r="O13" i="11"/>
  <c r="N13" i="7" s="1"/>
  <c r="P13" i="11"/>
  <c r="O13" i="7" s="1"/>
  <c r="Q13" i="11"/>
  <c r="P13" i="7" s="1"/>
  <c r="G31" i="11"/>
  <c r="P31" i="11" s="1"/>
  <c r="O22" i="7" s="1"/>
  <c r="O5" i="11"/>
  <c r="N9" i="7" s="1"/>
  <c r="G35" i="11"/>
  <c r="G21" i="11"/>
  <c r="G27" i="11"/>
  <c r="Q15" i="11"/>
  <c r="P14" i="7" s="1"/>
  <c r="P15" i="11"/>
  <c r="O14" i="7" s="1"/>
  <c r="N15" i="11"/>
  <c r="M14" i="7" s="1"/>
  <c r="O15" i="11"/>
  <c r="N14" i="7" s="1"/>
  <c r="G11" i="11"/>
  <c r="Q7" i="11"/>
  <c r="P10" i="7" s="1"/>
  <c r="O7" i="11"/>
  <c r="N10" i="7" s="1"/>
  <c r="G25" i="11"/>
  <c r="G39" i="11"/>
  <c r="G43" i="11"/>
  <c r="Q43" i="11" s="1"/>
  <c r="P28" i="7" s="1"/>
  <c r="N13" i="11"/>
  <c r="M13" i="7" s="1"/>
  <c r="N25" i="11" l="1"/>
  <c r="M19" i="7" s="1"/>
  <c r="P25" i="11"/>
  <c r="O19" i="7" s="1"/>
  <c r="O25" i="11"/>
  <c r="N19" i="7" s="1"/>
  <c r="Q25" i="11"/>
  <c r="P19" i="7" s="1"/>
  <c r="Q27" i="11"/>
  <c r="P20" i="7" s="1"/>
  <c r="O27" i="11"/>
  <c r="N20" i="7" s="1"/>
  <c r="P27" i="11"/>
  <c r="O20" i="7" s="1"/>
  <c r="N27" i="11"/>
  <c r="M20" i="7" s="1"/>
  <c r="N21" i="11"/>
  <c r="M17" i="7" s="1"/>
  <c r="Q21" i="11"/>
  <c r="P17" i="7" s="1"/>
  <c r="P21" i="11"/>
  <c r="O17" i="7" s="1"/>
  <c r="O21" i="11"/>
  <c r="N17" i="7" s="1"/>
  <c r="N37" i="11"/>
  <c r="M25" i="7" s="1"/>
  <c r="O37" i="11"/>
  <c r="N25" i="7" s="1"/>
  <c r="P37" i="11"/>
  <c r="O25" i="7" s="1"/>
  <c r="Q37" i="11"/>
  <c r="P25" i="7" s="1"/>
  <c r="P43" i="11"/>
  <c r="O28" i="7" s="1"/>
  <c r="N43" i="11"/>
  <c r="M28" i="7" s="1"/>
  <c r="O43" i="11"/>
  <c r="N28" i="7" s="1"/>
  <c r="O35" i="11"/>
  <c r="N24" i="7" s="1"/>
  <c r="N35" i="11"/>
  <c r="M24" i="7" s="1"/>
  <c r="Q35" i="11"/>
  <c r="P24" i="7" s="1"/>
  <c r="O29" i="11"/>
  <c r="N21" i="7" s="1"/>
  <c r="Q29" i="11"/>
  <c r="P21" i="7" s="1"/>
  <c r="P29" i="11"/>
  <c r="O21" i="7" s="1"/>
  <c r="N29" i="11"/>
  <c r="M21" i="7" s="1"/>
  <c r="N33" i="11"/>
  <c r="M23" i="7" s="1"/>
  <c r="Q33" i="11"/>
  <c r="P23" i="7" s="1"/>
  <c r="P33" i="11"/>
  <c r="O23" i="7" s="1"/>
  <c r="O33" i="11"/>
  <c r="N23" i="7" s="1"/>
  <c r="Q31" i="11"/>
  <c r="P22" i="7" s="1"/>
  <c r="N31" i="11"/>
  <c r="M22" i="7" s="1"/>
  <c r="O31" i="11"/>
  <c r="N22" i="7" s="1"/>
  <c r="P39" i="11"/>
  <c r="O26" i="7" s="1"/>
  <c r="O39" i="11"/>
  <c r="N26" i="7" s="1"/>
  <c r="Q39" i="11"/>
  <c r="P26" i="7" s="1"/>
  <c r="N39" i="11"/>
  <c r="M26" i="7" s="1"/>
  <c r="P17" i="11"/>
  <c r="O15" i="7" s="1"/>
  <c r="Q17" i="11"/>
  <c r="P15" i="7" s="1"/>
  <c r="O17" i="11"/>
  <c r="N15" i="7" s="1"/>
  <c r="N17" i="11"/>
  <c r="M15" i="7" s="1"/>
  <c r="P35" i="11"/>
  <c r="O24" i="7" s="1"/>
  <c r="P11" i="11"/>
  <c r="O12" i="7" s="1"/>
  <c r="O11" i="11"/>
  <c r="N12" i="7" s="1"/>
  <c r="Q11" i="11"/>
  <c r="P12" i="7" s="1"/>
  <c r="N11" i="11"/>
  <c r="M12" i="7" s="1"/>
  <c r="O9" i="11"/>
  <c r="N11" i="7" s="1"/>
  <c r="Q9" i="11"/>
  <c r="P11" i="7" s="1"/>
  <c r="N9" i="11"/>
  <c r="M11" i="7" s="1"/>
  <c r="P9" i="11"/>
  <c r="O11" i="7" s="1"/>
  <c r="N33" i="7" l="1"/>
  <c r="N35" i="7" s="1"/>
  <c r="N32" i="7"/>
  <c r="O32" i="7" l="1"/>
  <c r="O33" i="7"/>
  <c r="O35" i="7" s="1"/>
  <c r="P33" i="7"/>
  <c r="P35" i="7" s="1"/>
  <c r="P32" i="7"/>
  <c r="M32" i="7" l="1"/>
  <c r="M33" i="7"/>
  <c r="M35" i="7" l="1"/>
  <c r="P36" i="7" s="1"/>
  <c r="P37" i="7" s="1"/>
  <c r="P34" i="7"/>
</calcChain>
</file>

<file path=xl/sharedStrings.xml><?xml version="1.0" encoding="utf-8"?>
<sst xmlns="http://schemas.openxmlformats.org/spreadsheetml/2006/main" count="371" uniqueCount="91">
  <si>
    <t>Column1</t>
  </si>
  <si>
    <t>i1</t>
  </si>
  <si>
    <t>i2</t>
  </si>
  <si>
    <t>i3</t>
  </si>
  <si>
    <t>i4</t>
  </si>
  <si>
    <t>Average</t>
  </si>
  <si>
    <t>p1 - i1:i2</t>
  </si>
  <si>
    <t>p2 - i2:i3</t>
  </si>
  <si>
    <t>p3 - i3:i4</t>
  </si>
  <si>
    <t>p4 - i1:i3</t>
  </si>
  <si>
    <t>p5 - i2:i4</t>
  </si>
  <si>
    <t>p6 - i1:i4</t>
  </si>
  <si>
    <t>sum</t>
  </si>
  <si>
    <t>Raw</t>
  </si>
  <si>
    <t>Reference</t>
  </si>
  <si>
    <t>Ratios</t>
  </si>
  <si>
    <t>r1</t>
  </si>
  <si>
    <t>r2</t>
  </si>
  <si>
    <t>r3</t>
  </si>
  <si>
    <t>r4</t>
  </si>
  <si>
    <t>p31 - i4:i3</t>
  </si>
  <si>
    <t>p21 - i3:i2</t>
  </si>
  <si>
    <t>p51 - i4:i2</t>
  </si>
  <si>
    <t>p11 - i2:i1</t>
  </si>
  <si>
    <t>p41 - i3:i1</t>
  </si>
  <si>
    <t>p61 - i4:i1</t>
  </si>
  <si>
    <t>Column2</t>
  </si>
  <si>
    <t>Column3</t>
  </si>
  <si>
    <t>Column4</t>
  </si>
  <si>
    <t>Orientations</t>
  </si>
  <si>
    <t>Perm #</t>
  </si>
  <si>
    <t>Vlookup #</t>
  </si>
  <si>
    <t>Perm Copy (just for easing manual copy and paste)</t>
  </si>
  <si>
    <t xml:space="preserve"> </t>
  </si>
  <si>
    <t>std dev</t>
  </si>
  <si>
    <t>Percentile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</si>
  <si>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</si>
  <si>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</si>
  <si>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</si>
  <si>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</si>
  <si>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</si>
  <si>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</si>
  <si>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</si>
  <si>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</si>
  <si>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</si>
  <si>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</si>
  <si>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Reference: M. S. Abbas, "Consistency Analysis for Judgement Quantification in Hierarchical Decision Model," PDXScholar, Portland State University, 2016.</t>
  </si>
  <si>
    <t>std dev squared</t>
  </si>
  <si>
    <t>std dev squared summed</t>
  </si>
  <si>
    <t>HDM Inconsistency</t>
  </si>
  <si>
    <t>Raw Weights</t>
  </si>
  <si>
    <t>average score</t>
  </si>
  <si>
    <t>User Input</t>
  </si>
  <si>
    <t>Sum Raw Weights</t>
  </si>
  <si>
    <t>Make sure this row is all 1's (this is needed to get the Sum Raw Weights to equal the Abbas example)</t>
  </si>
  <si>
    <t>abcd</t>
  </si>
  <si>
    <t>abdc</t>
  </si>
  <si>
    <t>acbd</t>
  </si>
  <si>
    <t>acdb</t>
  </si>
  <si>
    <t>adbc</t>
  </si>
  <si>
    <t>adcb</t>
  </si>
  <si>
    <t>bacd</t>
  </si>
  <si>
    <t>badc</t>
  </si>
  <si>
    <t>bcad</t>
  </si>
  <si>
    <t>bcda</t>
  </si>
  <si>
    <t>bdac</t>
  </si>
  <si>
    <t>bdca</t>
  </si>
  <si>
    <t>cabd</t>
  </si>
  <si>
    <t>cadb</t>
  </si>
  <si>
    <t>cbad</t>
  </si>
  <si>
    <t>cbda</t>
  </si>
  <si>
    <t>cdab</t>
  </si>
  <si>
    <t>cdba</t>
  </si>
  <si>
    <t>dabc</t>
  </si>
  <si>
    <t>dacb</t>
  </si>
  <si>
    <t>dbac</t>
  </si>
  <si>
    <t>dbca</t>
  </si>
  <si>
    <t>dcab</t>
  </si>
  <si>
    <t>dcba</t>
  </si>
  <si>
    <t>A</t>
  </si>
  <si>
    <t>B</t>
  </si>
  <si>
    <t>C</t>
  </si>
  <si>
    <t>D</t>
  </si>
  <si>
    <t>Sum</t>
  </si>
  <si>
    <t>Normalized</t>
  </si>
  <si>
    <t>Before Normalization</t>
  </si>
  <si>
    <t>Yellow highlight means Abbas interpolated the results in his chart</t>
  </si>
  <si>
    <t>The only data that needs to be filled in is on Input and Orientations tab.</t>
  </si>
  <si>
    <t>Just enter data in the user input boxes (6 boxes total, just one side of the pairwise comparion), all other tabs will be auto calculated</t>
  </si>
  <si>
    <t>The Rankings tab shows the scores. Scroll down.</t>
  </si>
  <si>
    <t>square root (of std dev squared summed) to lookup in Root Square Variance (RSV)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</si>
</sst>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30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2" fontId="0" fillId="2" borderId="0" xfId="0" applyNumberFormat="1" applyFill="1"/>
    <xf numFmtId="0" fontId="2" fillId="10" borderId="1" xfId="0" applyFont="1" applyFill="1" applyBorder="1"/>
    <xf numFmtId="0" fontId="2" fillId="0" borderId="1" xfId="0" applyFont="1" applyBorder="1"/>
    <xf numFmtId="0" fontId="0" fillId="10" borderId="2" xfId="0" applyFill="1" applyBorder="1"/>
    <xf numFmtId="0" fontId="0" fillId="10" borderId="3" xfId="0" applyFill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2" fillId="10" borderId="3" xfId="0" applyFont="1" applyFill="1" applyBorder="1"/>
    <xf numFmtId="0" fontId="2" fillId="0" borderId="3" xfId="0" applyFont="1" applyBorder="1"/>
    <xf numFmtId="0" fontId="3" fillId="9" borderId="5" xfId="0" applyFont="1" applyFill="1" applyBorder="1"/>
    <xf numFmtId="0" fontId="3" fillId="9" borderId="6" xfId="0" applyFont="1" applyFill="1" applyBorder="1"/>
    <xf numFmtId="0" fontId="3" fillId="9" borderId="0" xfId="0" applyFont="1" applyFill="1"/>
    <xf numFmtId="0" fontId="5" fillId="0" borderId="0" xfId="1" applyFont="1" applyAlignment="1">
      <alignment vertical="top"/>
    </xf>
    <xf numFmtId="0" fontId="4" fillId="0" borderId="0" xfId="1" applyAlignment="1">
      <alignment vertical="top"/>
    </xf>
    <xf numFmtId="0" fontId="6" fillId="0" borderId="0" xfId="1" applyFont="1" applyAlignment="1">
      <alignment vertical="top"/>
    </xf>
    <xf numFmtId="0" fontId="0" fillId="11" borderId="0" xfId="0" applyFill="1"/>
    <xf numFmtId="164" fontId="0" fillId="11" borderId="0" xfId="0" applyNumberFormat="1" applyFill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</cellXfs>
  <cellStyles count="2">
    <cellStyle name="Normal" xfId="0" builtinId="0"/>
    <cellStyle name="Normal 2" xfId="1" xr:uid="{A6133D7F-F48C-414A-AA4C-3B53020FBEEC}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 tint="0.39997558519241921"/>
        </left>
        <right/>
        <top style="thin">
          <color theme="9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68035</xdr:colOff>
      <xdr:row>7</xdr:row>
      <xdr:rowOff>54429</xdr:rowOff>
    </xdr:from>
    <xdr:to>
      <xdr:col>15</xdr:col>
      <xdr:colOff>196528</xdr:colOff>
      <xdr:row>18</xdr:row>
      <xdr:rowOff>27215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09DD2B-8D22-4B89-8465-40DD2059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35" y="1387929"/>
          <a:ext cx="4197029" cy="2068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148165</xdr:colOff>
      <xdr:row>1</xdr:row>
      <xdr:rowOff>42334</xdr:rowOff>
    </xdr:from>
    <xdr:to>
      <xdr:col>30</xdr:col>
      <xdr:colOff>19131</xdr:colOff>
      <xdr:row>43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05C989C-5ED0-B558-7071-A3E46EDE2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4332" y="232834"/>
          <a:ext cx="7850799" cy="802216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1C931D-BF97-4178-A2C3-DFB06D7C8661}" name="Table1" displayName="Table1" ref="A1:F25" totalsRowShown="0" headerRowDxfId="21" dataDxfId="20" tableBorderDxfId="19">
  <autoFilter ref="A1:F25" xr:uid="{BE1C931D-BF97-4178-A2C3-DFB06D7C8661}"/>
  <tableColumns count="6">
    <tableColumn id="1" xr3:uid="{F8063D19-A36C-4536-87B7-2B889F76E911}" name="Perm #" dataDxfId="18"/>
    <tableColumn id="2" xr3:uid="{CB07798F-F47C-4CBC-B5B0-7C1562F14605}" name="Column1" dataDxfId="17"/>
    <tableColumn id="3" xr3:uid="{827FE7F1-BED7-46EB-9BAA-F719EA52B3B6}" name="Column2" dataDxfId="16"/>
    <tableColumn id="4" xr3:uid="{56AE0F6B-59B6-44EC-92EF-DF2212C0E7BB}" name="Column3" dataDxfId="15"/>
    <tableColumn id="5" xr3:uid="{6A1EC24B-92EC-452F-A01B-C15B11197631}" name="Column4" dataDxfId="14"/>
    <tableColumn id="6" xr3:uid="{0887377C-015B-416B-BCBD-7C868EB40231}" name="Perm Copy (just for easing manual copy and paste)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FA6A11-2985-4061-9112-3553D4359EAE}" name="Table13" displayName="Table13" ref="A1:K51" totalsRowShown="0" headerRowDxfId="12" dataDxfId="11">
  <autoFilter ref="A1:K51" xr:uid="{9E76C904-1EB8-4DEB-B934-167A24D697D2}"/>
  <tableColumns count="11">
    <tableColumn id="1" xr3:uid="{84743274-42AC-4BD9-B829-4B000BC44871}" name="Percentile" dataDxfId="10"/>
    <tableColumn id="2" xr3:uid="{AE686C64-C58C-4A94-91AC-F4F18F0B984C}" name="3" dataDxfId="9"/>
    <tableColumn id="3" xr3:uid="{AF479D8E-8A17-42E9-9854-03BCF76C7B6E}" name="4" dataDxfId="8"/>
    <tableColumn id="4" xr3:uid="{C3ACC441-9B5B-40EE-B695-D9295BEFE653}" name="5" dataDxfId="7"/>
    <tableColumn id="5" xr3:uid="{28D063FD-08B4-47D0-80ED-DBFAA55AEB8D}" name="6" dataDxfId="6"/>
    <tableColumn id="6" xr3:uid="{10723E85-5CDE-4BDB-8124-9204D859E33D}" name="7" dataDxfId="5"/>
    <tableColumn id="7" xr3:uid="{0DD3F1A9-7507-4D1E-A771-CFF6CD008B28}" name="8" dataDxfId="4"/>
    <tableColumn id="8" xr3:uid="{78428801-EB29-4E14-8AF4-FCBD26A41E58}" name="9" dataDxfId="3"/>
    <tableColumn id="9" xr3:uid="{BDFFDFDC-BA98-4F1D-BDB3-242C6F58CDA9}" name="10" dataDxfId="2"/>
    <tableColumn id="10" xr3:uid="{2DAE19CC-82CB-4CFB-89AD-5B684F8909B3}" name="11" dataDxfId="1"/>
    <tableColumn id="11" xr3:uid="{C036EA4F-C824-4197-9948-34C02BAA57F7}" name="12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FA80E-B143-482B-89BD-F9E748271A1E}">
  <dimension ref="A1:A3"/>
  <sheetViews>
    <sheetView tabSelected="1" workbookViewId="0"/>
  </sheetViews>
  <sheetFormatPr defaultRowHeight="15" x14ac:dyDescent="0.25"/>
  <sheetData>
    <row r="1" spans="1:1" x14ac:dyDescent="0.25">
      <c r="A1" t="s">
        <v>87</v>
      </c>
    </row>
    <row r="2" spans="1:1" x14ac:dyDescent="0.25">
      <c r="A2" t="s">
        <v>88</v>
      </c>
    </row>
    <row r="3" spans="1:1" x14ac:dyDescent="0.25">
      <c r="A3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D547-426F-4EA0-BD96-9505D05554F3}">
  <dimension ref="A1:I25"/>
  <sheetViews>
    <sheetView zoomScale="80" zoomScaleNormal="80" workbookViewId="0"/>
  </sheetViews>
  <sheetFormatPr defaultRowHeight="15" x14ac:dyDescent="0.25"/>
  <cols>
    <col min="1" max="1" width="10.28515625" bestFit="1" customWidth="1"/>
    <col min="2" max="5" width="11" customWidth="1"/>
    <col min="6" max="6" width="50.28515625" bestFit="1" customWidth="1"/>
    <col min="7" max="7" width="14.5703125" customWidth="1"/>
    <col min="8" max="9" width="10.5703125" bestFit="1" customWidth="1"/>
    <col min="10" max="12" width="9.42578125" bestFit="1" customWidth="1"/>
    <col min="13" max="13" width="8.5703125" customWidth="1"/>
  </cols>
  <sheetData>
    <row r="1" spans="1:9" x14ac:dyDescent="0.25">
      <c r="A1" s="19" t="s">
        <v>30</v>
      </c>
      <c r="B1" s="20" t="s">
        <v>0</v>
      </c>
      <c r="C1" s="21" t="s">
        <v>26</v>
      </c>
      <c r="D1" s="21" t="s">
        <v>27</v>
      </c>
      <c r="E1" s="21" t="s">
        <v>28</v>
      </c>
      <c r="F1" s="21" t="s">
        <v>32</v>
      </c>
    </row>
    <row r="2" spans="1:9" x14ac:dyDescent="0.25">
      <c r="A2" s="10">
        <v>1</v>
      </c>
      <c r="B2" s="12">
        <v>1</v>
      </c>
      <c r="C2" s="13">
        <v>2</v>
      </c>
      <c r="D2" s="13">
        <v>3</v>
      </c>
      <c r="E2" s="13">
        <v>4</v>
      </c>
      <c r="F2" s="17" t="s">
        <v>33</v>
      </c>
      <c r="G2" s="3" t="s">
        <v>6</v>
      </c>
      <c r="H2" s="3" t="s">
        <v>7</v>
      </c>
      <c r="I2" s="3" t="s">
        <v>8</v>
      </c>
    </row>
    <row r="3" spans="1:9" x14ac:dyDescent="0.25">
      <c r="A3" s="11">
        <v>2</v>
      </c>
      <c r="B3" s="14">
        <v>1</v>
      </c>
      <c r="C3" s="15">
        <v>2</v>
      </c>
      <c r="D3" s="15">
        <v>4</v>
      </c>
      <c r="E3" s="15">
        <v>3</v>
      </c>
      <c r="F3" s="18">
        <v>2</v>
      </c>
      <c r="G3" s="3" t="s">
        <v>6</v>
      </c>
      <c r="H3" s="3" t="s">
        <v>10</v>
      </c>
      <c r="I3" s="2" t="s">
        <v>20</v>
      </c>
    </row>
    <row r="4" spans="1:9" x14ac:dyDescent="0.25">
      <c r="A4" s="10">
        <v>3</v>
      </c>
      <c r="B4" s="12">
        <v>1</v>
      </c>
      <c r="C4" s="13">
        <v>3</v>
      </c>
      <c r="D4" s="13">
        <v>2</v>
      </c>
      <c r="E4" s="13">
        <v>4</v>
      </c>
      <c r="F4" s="17">
        <v>3</v>
      </c>
      <c r="G4" s="3" t="s">
        <v>9</v>
      </c>
      <c r="H4" s="2" t="s">
        <v>21</v>
      </c>
      <c r="I4" s="3" t="s">
        <v>10</v>
      </c>
    </row>
    <row r="5" spans="1:9" x14ac:dyDescent="0.25">
      <c r="A5" s="11">
        <v>4</v>
      </c>
      <c r="B5" s="14">
        <v>1</v>
      </c>
      <c r="C5" s="15">
        <v>3</v>
      </c>
      <c r="D5" s="15">
        <v>4</v>
      </c>
      <c r="E5" s="15">
        <v>2</v>
      </c>
      <c r="F5" s="18">
        <v>4</v>
      </c>
      <c r="G5" s="3" t="s">
        <v>9</v>
      </c>
      <c r="H5" s="3" t="s">
        <v>8</v>
      </c>
      <c r="I5" s="2" t="s">
        <v>22</v>
      </c>
    </row>
    <row r="6" spans="1:9" x14ac:dyDescent="0.25">
      <c r="A6" s="10">
        <v>5</v>
      </c>
      <c r="B6" s="12">
        <v>1</v>
      </c>
      <c r="C6" s="13">
        <v>4</v>
      </c>
      <c r="D6" s="13">
        <v>2</v>
      </c>
      <c r="E6" s="13">
        <v>3</v>
      </c>
      <c r="F6" s="17">
        <v>5</v>
      </c>
      <c r="G6" s="3" t="s">
        <v>11</v>
      </c>
      <c r="H6" s="2" t="s">
        <v>22</v>
      </c>
      <c r="I6" s="3" t="s">
        <v>7</v>
      </c>
    </row>
    <row r="7" spans="1:9" x14ac:dyDescent="0.25">
      <c r="A7" s="11">
        <v>6</v>
      </c>
      <c r="B7" s="14">
        <v>1</v>
      </c>
      <c r="C7" s="15">
        <v>4</v>
      </c>
      <c r="D7" s="15">
        <v>3</v>
      </c>
      <c r="E7" s="15">
        <v>2</v>
      </c>
      <c r="F7" s="18">
        <v>6</v>
      </c>
      <c r="G7" s="3" t="s">
        <v>11</v>
      </c>
      <c r="H7" s="2" t="s">
        <v>20</v>
      </c>
      <c r="I7" s="2" t="s">
        <v>21</v>
      </c>
    </row>
    <row r="8" spans="1:9" x14ac:dyDescent="0.25">
      <c r="A8" s="10">
        <v>7</v>
      </c>
      <c r="B8" s="12">
        <v>2</v>
      </c>
      <c r="C8" s="13">
        <v>1</v>
      </c>
      <c r="D8" s="13">
        <v>3</v>
      </c>
      <c r="E8" s="13">
        <v>4</v>
      </c>
      <c r="F8" s="17">
        <v>7</v>
      </c>
      <c r="G8" s="9" t="s">
        <v>23</v>
      </c>
      <c r="H8" s="3" t="s">
        <v>9</v>
      </c>
      <c r="I8" s="3" t="s">
        <v>8</v>
      </c>
    </row>
    <row r="9" spans="1:9" x14ac:dyDescent="0.25">
      <c r="A9" s="11">
        <v>8</v>
      </c>
      <c r="B9" s="14">
        <v>2</v>
      </c>
      <c r="C9" s="15">
        <v>1</v>
      </c>
      <c r="D9" s="15">
        <v>4</v>
      </c>
      <c r="E9" s="15">
        <v>3</v>
      </c>
      <c r="F9" s="18">
        <v>8</v>
      </c>
      <c r="G9" s="9" t="s">
        <v>23</v>
      </c>
      <c r="H9" s="3" t="s">
        <v>11</v>
      </c>
      <c r="I9" s="2" t="s">
        <v>20</v>
      </c>
    </row>
    <row r="10" spans="1:9" x14ac:dyDescent="0.25">
      <c r="A10" s="10">
        <v>9</v>
      </c>
      <c r="B10" s="12">
        <v>2</v>
      </c>
      <c r="C10" s="13">
        <v>3</v>
      </c>
      <c r="D10" s="13">
        <v>1</v>
      </c>
      <c r="E10" s="13">
        <v>4</v>
      </c>
      <c r="F10" s="17">
        <v>9</v>
      </c>
      <c r="G10" s="3" t="s">
        <v>7</v>
      </c>
      <c r="H10" s="9" t="s">
        <v>24</v>
      </c>
      <c r="I10" s="3" t="s">
        <v>11</v>
      </c>
    </row>
    <row r="11" spans="1:9" x14ac:dyDescent="0.25">
      <c r="A11" s="11">
        <v>10</v>
      </c>
      <c r="B11" s="14">
        <v>2</v>
      </c>
      <c r="C11" s="15">
        <v>3</v>
      </c>
      <c r="D11" s="15">
        <v>4</v>
      </c>
      <c r="E11" s="15">
        <v>1</v>
      </c>
      <c r="F11" s="18">
        <v>10</v>
      </c>
      <c r="G11" s="3" t="s">
        <v>7</v>
      </c>
      <c r="H11" s="3" t="s">
        <v>8</v>
      </c>
      <c r="I11" s="9" t="s">
        <v>25</v>
      </c>
    </row>
    <row r="12" spans="1:9" x14ac:dyDescent="0.25">
      <c r="A12" s="10">
        <v>11</v>
      </c>
      <c r="B12" s="12">
        <v>2</v>
      </c>
      <c r="C12" s="13">
        <v>4</v>
      </c>
      <c r="D12" s="13">
        <v>1</v>
      </c>
      <c r="E12" s="13">
        <v>3</v>
      </c>
      <c r="F12" s="17">
        <v>11</v>
      </c>
      <c r="G12" s="3" t="s">
        <v>10</v>
      </c>
      <c r="H12" s="9" t="s">
        <v>25</v>
      </c>
      <c r="I12" s="3" t="s">
        <v>9</v>
      </c>
    </row>
    <row r="13" spans="1:9" x14ac:dyDescent="0.25">
      <c r="A13" s="11">
        <v>12</v>
      </c>
      <c r="B13" s="14">
        <v>2</v>
      </c>
      <c r="C13" s="15">
        <v>4</v>
      </c>
      <c r="D13" s="15">
        <v>3</v>
      </c>
      <c r="E13" s="15">
        <v>1</v>
      </c>
      <c r="F13" s="18">
        <v>12</v>
      </c>
      <c r="G13" s="3" t="s">
        <v>10</v>
      </c>
      <c r="H13" s="2" t="s">
        <v>20</v>
      </c>
      <c r="I13" s="9" t="s">
        <v>24</v>
      </c>
    </row>
    <row r="14" spans="1:9" x14ac:dyDescent="0.25">
      <c r="A14" s="10">
        <v>13</v>
      </c>
      <c r="B14" s="12">
        <v>3</v>
      </c>
      <c r="C14" s="13">
        <v>1</v>
      </c>
      <c r="D14" s="13">
        <v>2</v>
      </c>
      <c r="E14" s="13">
        <v>4</v>
      </c>
      <c r="F14" s="17">
        <v>13</v>
      </c>
      <c r="G14" s="9" t="s">
        <v>24</v>
      </c>
      <c r="H14" s="3" t="s">
        <v>6</v>
      </c>
      <c r="I14" s="3" t="s">
        <v>10</v>
      </c>
    </row>
    <row r="15" spans="1:9" x14ac:dyDescent="0.25">
      <c r="A15" s="11">
        <v>14</v>
      </c>
      <c r="B15" s="14">
        <v>3</v>
      </c>
      <c r="C15" s="15">
        <v>1</v>
      </c>
      <c r="D15" s="15">
        <v>4</v>
      </c>
      <c r="E15" s="15">
        <v>2</v>
      </c>
      <c r="F15" s="18">
        <v>14</v>
      </c>
      <c r="G15" s="9" t="s">
        <v>24</v>
      </c>
      <c r="H15" s="3" t="s">
        <v>11</v>
      </c>
      <c r="I15" s="2" t="s">
        <v>22</v>
      </c>
    </row>
    <row r="16" spans="1:9" x14ac:dyDescent="0.25">
      <c r="A16" s="10">
        <v>15</v>
      </c>
      <c r="B16" s="12">
        <v>3</v>
      </c>
      <c r="C16" s="13">
        <v>2</v>
      </c>
      <c r="D16" s="13">
        <v>1</v>
      </c>
      <c r="E16" s="13">
        <v>4</v>
      </c>
      <c r="F16" s="17">
        <v>15</v>
      </c>
      <c r="G16" s="2" t="s">
        <v>21</v>
      </c>
      <c r="H16" s="9" t="s">
        <v>23</v>
      </c>
      <c r="I16" s="3" t="s">
        <v>11</v>
      </c>
    </row>
    <row r="17" spans="1:9" x14ac:dyDescent="0.25">
      <c r="A17" s="11">
        <v>16</v>
      </c>
      <c r="B17" s="14">
        <v>3</v>
      </c>
      <c r="C17" s="15">
        <v>2</v>
      </c>
      <c r="D17" s="15">
        <v>4</v>
      </c>
      <c r="E17" s="15">
        <v>1</v>
      </c>
      <c r="F17" s="18">
        <v>16</v>
      </c>
      <c r="G17" s="2" t="s">
        <v>21</v>
      </c>
      <c r="H17" s="3" t="s">
        <v>10</v>
      </c>
      <c r="I17" s="9" t="s">
        <v>25</v>
      </c>
    </row>
    <row r="18" spans="1:9" x14ac:dyDescent="0.25">
      <c r="A18" s="10">
        <v>17</v>
      </c>
      <c r="B18" s="12">
        <v>3</v>
      </c>
      <c r="C18" s="13">
        <v>4</v>
      </c>
      <c r="D18" s="13">
        <v>1</v>
      </c>
      <c r="E18" s="13">
        <v>2</v>
      </c>
      <c r="F18" s="17">
        <v>17</v>
      </c>
      <c r="G18" s="3" t="s">
        <v>8</v>
      </c>
      <c r="H18" s="9" t="s">
        <v>25</v>
      </c>
      <c r="I18" s="3" t="s">
        <v>6</v>
      </c>
    </row>
    <row r="19" spans="1:9" x14ac:dyDescent="0.25">
      <c r="A19" s="11">
        <v>18</v>
      </c>
      <c r="B19" s="14">
        <v>3</v>
      </c>
      <c r="C19" s="15">
        <v>4</v>
      </c>
      <c r="D19" s="15">
        <v>2</v>
      </c>
      <c r="E19" s="15">
        <v>1</v>
      </c>
      <c r="F19" s="18">
        <v>18</v>
      </c>
      <c r="G19" s="3" t="s">
        <v>8</v>
      </c>
      <c r="H19" s="2" t="s">
        <v>22</v>
      </c>
      <c r="I19" s="9" t="s">
        <v>23</v>
      </c>
    </row>
    <row r="20" spans="1:9" x14ac:dyDescent="0.25">
      <c r="A20" s="10">
        <v>19</v>
      </c>
      <c r="B20" s="12">
        <v>4</v>
      </c>
      <c r="C20" s="13">
        <v>1</v>
      </c>
      <c r="D20" s="13">
        <v>2</v>
      </c>
      <c r="E20" s="13">
        <v>3</v>
      </c>
      <c r="F20" s="17">
        <v>19</v>
      </c>
      <c r="G20" s="9" t="s">
        <v>25</v>
      </c>
      <c r="H20" s="3" t="s">
        <v>6</v>
      </c>
      <c r="I20" s="3" t="s">
        <v>7</v>
      </c>
    </row>
    <row r="21" spans="1:9" x14ac:dyDescent="0.25">
      <c r="A21" s="11">
        <v>20</v>
      </c>
      <c r="B21" s="14">
        <v>4</v>
      </c>
      <c r="C21" s="15">
        <v>1</v>
      </c>
      <c r="D21" s="15">
        <v>3</v>
      </c>
      <c r="E21" s="15">
        <v>2</v>
      </c>
      <c r="F21" s="18">
        <v>20</v>
      </c>
      <c r="G21" s="9" t="s">
        <v>25</v>
      </c>
      <c r="H21" s="3" t="s">
        <v>9</v>
      </c>
      <c r="I21" s="2" t="s">
        <v>21</v>
      </c>
    </row>
    <row r="22" spans="1:9" x14ac:dyDescent="0.25">
      <c r="A22" s="10">
        <v>21</v>
      </c>
      <c r="B22" s="12">
        <v>4</v>
      </c>
      <c r="C22" s="13">
        <v>2</v>
      </c>
      <c r="D22" s="13">
        <v>1</v>
      </c>
      <c r="E22" s="13">
        <v>3</v>
      </c>
      <c r="F22" s="17">
        <v>21</v>
      </c>
      <c r="G22" s="2" t="s">
        <v>22</v>
      </c>
      <c r="H22" s="9" t="s">
        <v>23</v>
      </c>
      <c r="I22" s="3" t="s">
        <v>9</v>
      </c>
    </row>
    <row r="23" spans="1:9" x14ac:dyDescent="0.25">
      <c r="A23" s="11">
        <v>22</v>
      </c>
      <c r="B23" s="14">
        <v>4</v>
      </c>
      <c r="C23" s="15">
        <v>2</v>
      </c>
      <c r="D23" s="15">
        <v>3</v>
      </c>
      <c r="E23" s="15">
        <v>1</v>
      </c>
      <c r="F23" s="18">
        <v>22</v>
      </c>
      <c r="G23" s="2" t="s">
        <v>22</v>
      </c>
      <c r="H23" s="3" t="s">
        <v>7</v>
      </c>
      <c r="I23" s="9" t="s">
        <v>24</v>
      </c>
    </row>
    <row r="24" spans="1:9" x14ac:dyDescent="0.25">
      <c r="A24" s="10">
        <v>23</v>
      </c>
      <c r="B24" s="12">
        <v>4</v>
      </c>
      <c r="C24" s="13">
        <v>3</v>
      </c>
      <c r="D24" s="13">
        <v>1</v>
      </c>
      <c r="E24" s="13">
        <v>2</v>
      </c>
      <c r="F24" s="17">
        <v>23</v>
      </c>
      <c r="G24" s="2" t="s">
        <v>20</v>
      </c>
      <c r="H24" s="9" t="s">
        <v>24</v>
      </c>
      <c r="I24" s="3" t="s">
        <v>6</v>
      </c>
    </row>
    <row r="25" spans="1:9" x14ac:dyDescent="0.25">
      <c r="A25" s="16">
        <v>24</v>
      </c>
      <c r="B25" s="14">
        <v>4</v>
      </c>
      <c r="C25" s="15">
        <v>3</v>
      </c>
      <c r="D25" s="15">
        <v>2</v>
      </c>
      <c r="E25" s="15">
        <v>1</v>
      </c>
      <c r="F25" s="18">
        <v>24</v>
      </c>
      <c r="G25" s="2" t="s">
        <v>20</v>
      </c>
      <c r="H25" s="2" t="s">
        <v>21</v>
      </c>
      <c r="I25" s="9" t="s">
        <v>23</v>
      </c>
    </row>
  </sheetData>
  <phoneticPr fontId="1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8"/>
  <sheetViews>
    <sheetView zoomScale="70" zoomScaleNormal="70" workbookViewId="0">
      <selection activeCell="A4" sqref="A4"/>
    </sheetView>
  </sheetViews>
  <sheetFormatPr defaultRowHeight="15" x14ac:dyDescent="0.25"/>
  <cols>
    <col min="1" max="1" width="6" bestFit="1" customWidth="1"/>
    <col min="2" max="3" width="3.85546875" bestFit="1" customWidth="1"/>
    <col min="4" max="4" width="3" bestFit="1" customWidth="1"/>
    <col min="5" max="5" width="3.85546875" customWidth="1"/>
    <col min="6" max="6" width="5.42578125" bestFit="1" customWidth="1"/>
    <col min="7" max="9" width="3.85546875" bestFit="1" customWidth="1"/>
    <col min="10" max="17" width="3.85546875" customWidth="1"/>
    <col min="18" max="18" width="3.42578125" customWidth="1"/>
    <col min="19" max="19" width="3.140625" bestFit="1" customWidth="1"/>
    <col min="20" max="20" width="7.28515625" bestFit="1" customWidth="1"/>
    <col min="21" max="23" width="5.7109375" bestFit="1" customWidth="1"/>
    <col min="24" max="24" width="4.42578125" customWidth="1"/>
    <col min="25" max="25" width="11.42578125" bestFit="1" customWidth="1"/>
    <col min="26" max="27" width="10.28515625" bestFit="1" customWidth="1"/>
    <col min="28" max="28" width="9.28515625" bestFit="1" customWidth="1"/>
    <col min="29" max="29" width="5.7109375" customWidth="1"/>
    <col min="30" max="30" width="5" customWidth="1"/>
    <col min="31" max="35" width="5.7109375" bestFit="1" customWidth="1"/>
  </cols>
  <sheetData>
    <row r="1" spans="1:28" x14ac:dyDescent="0.25">
      <c r="A1" t="s">
        <v>52</v>
      </c>
      <c r="F1" t="s">
        <v>13</v>
      </c>
      <c r="T1" t="s">
        <v>15</v>
      </c>
      <c r="Y1" t="s">
        <v>14</v>
      </c>
    </row>
    <row r="2" spans="1:28" x14ac:dyDescent="0.25">
      <c r="A2" t="s">
        <v>1</v>
      </c>
      <c r="B2" t="s">
        <v>2</v>
      </c>
      <c r="C2" t="s">
        <v>3</v>
      </c>
      <c r="D2" t="s">
        <v>4</v>
      </c>
      <c r="F2" t="s">
        <v>1</v>
      </c>
      <c r="G2" t="s">
        <v>2</v>
      </c>
      <c r="H2" t="s">
        <v>3</v>
      </c>
      <c r="I2" t="s">
        <v>4</v>
      </c>
      <c r="J2" s="29"/>
      <c r="K2" s="29"/>
      <c r="L2" s="29"/>
      <c r="M2" s="29"/>
      <c r="N2" s="29"/>
      <c r="O2" s="29"/>
      <c r="P2" s="29"/>
      <c r="Q2" s="29"/>
      <c r="S2" t="s">
        <v>16</v>
      </c>
      <c r="T2" t="str">
        <f>F2</f>
        <v>i1</v>
      </c>
      <c r="U2" t="str">
        <f>G2</f>
        <v>i2</v>
      </c>
      <c r="V2" t="str">
        <f>H2</f>
        <v>i3</v>
      </c>
      <c r="W2" t="str">
        <f>I2</f>
        <v>i4</v>
      </c>
      <c r="Y2" s="3" t="s">
        <v>6</v>
      </c>
      <c r="Z2" s="3" t="s">
        <v>9</v>
      </c>
      <c r="AA2" s="3" t="s">
        <v>11</v>
      </c>
    </row>
    <row r="3" spans="1:28" x14ac:dyDescent="0.25">
      <c r="A3">
        <v>0</v>
      </c>
      <c r="B3" s="3"/>
      <c r="C3" s="4"/>
      <c r="D3" s="5"/>
      <c r="F3">
        <v>0</v>
      </c>
      <c r="G3" s="3">
        <f>100-F4</f>
        <v>70</v>
      </c>
      <c r="H3" s="4">
        <f>100-F5</f>
        <v>53</v>
      </c>
      <c r="I3" s="5">
        <f>100-F6</f>
        <v>35</v>
      </c>
      <c r="J3" s="29"/>
      <c r="K3" s="29"/>
      <c r="L3" s="29"/>
      <c r="M3" s="29"/>
      <c r="N3" s="29"/>
      <c r="O3" s="29"/>
      <c r="P3" s="29"/>
      <c r="Q3" s="29"/>
      <c r="T3" s="1">
        <v>1</v>
      </c>
      <c r="U3" s="1">
        <f>G3/F4</f>
        <v>2.3333333333333335</v>
      </c>
      <c r="V3" s="1">
        <f>H3/F5</f>
        <v>1.1276595744680851</v>
      </c>
      <c r="W3" s="1">
        <f>I3/F6</f>
        <v>0.53846153846153844</v>
      </c>
      <c r="Y3" s="1">
        <f>$T3/U3</f>
        <v>0.42857142857142855</v>
      </c>
      <c r="Z3" s="1">
        <f t="shared" ref="Z3:AA6" si="0">$T3/V3</f>
        <v>0.8867924528301887</v>
      </c>
      <c r="AA3" s="1">
        <f t="shared" si="0"/>
        <v>1.8571428571428572</v>
      </c>
    </row>
    <row r="4" spans="1:28" x14ac:dyDescent="0.25">
      <c r="A4" s="3">
        <v>30</v>
      </c>
      <c r="B4">
        <v>0</v>
      </c>
      <c r="C4" s="6"/>
      <c r="D4" s="7"/>
      <c r="F4" s="3">
        <f>A4</f>
        <v>30</v>
      </c>
      <c r="G4">
        <v>0</v>
      </c>
      <c r="H4" s="6">
        <f>100-G5</f>
        <v>21</v>
      </c>
      <c r="I4" s="7">
        <f>100-G6</f>
        <v>37</v>
      </c>
      <c r="J4" s="29"/>
      <c r="K4" s="29"/>
      <c r="L4" s="29"/>
      <c r="M4" s="29"/>
      <c r="N4" s="29"/>
      <c r="O4" s="29"/>
      <c r="P4" s="29"/>
      <c r="Q4" s="29"/>
      <c r="T4" s="1">
        <f>F4/G3</f>
        <v>0.42857142857142855</v>
      </c>
      <c r="U4" s="1">
        <v>1</v>
      </c>
      <c r="V4" s="1">
        <f>H4/G5</f>
        <v>0.26582278481012656</v>
      </c>
      <c r="W4" s="1">
        <f>I4/G6</f>
        <v>0.58730158730158732</v>
      </c>
      <c r="Y4" s="1">
        <f t="shared" ref="Y4:Y6" si="1">$T4/U4</f>
        <v>0.42857142857142855</v>
      </c>
      <c r="Z4" s="1">
        <f t="shared" si="0"/>
        <v>1.6122448979591837</v>
      </c>
      <c r="AA4" s="1">
        <f t="shared" si="0"/>
        <v>0.72972972972972971</v>
      </c>
    </row>
    <row r="5" spans="1:28" x14ac:dyDescent="0.25">
      <c r="A5" s="4">
        <v>47</v>
      </c>
      <c r="B5" s="6">
        <v>79</v>
      </c>
      <c r="C5">
        <v>0</v>
      </c>
      <c r="D5" s="8"/>
      <c r="F5" s="4">
        <f>A5</f>
        <v>47</v>
      </c>
      <c r="G5" s="6">
        <f>B5</f>
        <v>79</v>
      </c>
      <c r="H5">
        <v>0</v>
      </c>
      <c r="I5" s="8">
        <f>100-H6</f>
        <v>83</v>
      </c>
      <c r="J5" s="29"/>
      <c r="K5" s="29"/>
      <c r="L5" s="29"/>
      <c r="M5" s="29"/>
      <c r="N5" s="29"/>
      <c r="O5" s="29"/>
      <c r="P5" s="29"/>
      <c r="Q5" s="29"/>
      <c r="T5" s="1">
        <f>F5/H3</f>
        <v>0.8867924528301887</v>
      </c>
      <c r="U5" s="1">
        <f>G5/H4</f>
        <v>3.7619047619047619</v>
      </c>
      <c r="V5" s="1">
        <v>1</v>
      </c>
      <c r="W5" s="1">
        <f>I5/H6</f>
        <v>4.882352941176471</v>
      </c>
      <c r="Y5" s="1">
        <f t="shared" si="1"/>
        <v>0.23572963935992358</v>
      </c>
      <c r="Z5" s="1">
        <f t="shared" si="0"/>
        <v>0.8867924528301887</v>
      </c>
      <c r="AA5" s="1">
        <f t="shared" si="0"/>
        <v>0.18163218913389406</v>
      </c>
    </row>
    <row r="6" spans="1:28" x14ac:dyDescent="0.25">
      <c r="A6" s="5">
        <v>65</v>
      </c>
      <c r="B6" s="7">
        <v>63</v>
      </c>
      <c r="C6" s="8">
        <v>17</v>
      </c>
      <c r="D6">
        <v>0</v>
      </c>
      <c r="F6" s="5">
        <f>A6</f>
        <v>65</v>
      </c>
      <c r="G6" s="7">
        <f>B6</f>
        <v>63</v>
      </c>
      <c r="H6" s="8">
        <f>C6</f>
        <v>17</v>
      </c>
      <c r="I6">
        <v>0</v>
      </c>
      <c r="J6" s="29"/>
      <c r="K6" s="29"/>
      <c r="L6" s="29"/>
      <c r="M6" s="29"/>
      <c r="N6" s="29"/>
      <c r="O6" s="29"/>
      <c r="P6" s="29"/>
      <c r="Q6" s="29"/>
      <c r="T6" s="1">
        <f>F6/I3</f>
        <v>1.8571428571428572</v>
      </c>
      <c r="U6" s="1">
        <f>G6/I4</f>
        <v>1.7027027027027026</v>
      </c>
      <c r="V6" s="1">
        <f>H6/I5</f>
        <v>0.20481927710843373</v>
      </c>
      <c r="W6" s="1">
        <v>1</v>
      </c>
      <c r="Y6" s="1">
        <f t="shared" si="1"/>
        <v>1.090702947845805</v>
      </c>
      <c r="Z6" s="1">
        <f t="shared" si="0"/>
        <v>9.0672268907563023</v>
      </c>
      <c r="AA6" s="1">
        <f t="shared" si="0"/>
        <v>1.8571428571428572</v>
      </c>
    </row>
    <row r="7" spans="1:28" x14ac:dyDescent="0.25">
      <c r="T7" s="1"/>
      <c r="U7" s="1"/>
      <c r="V7" s="1"/>
      <c r="W7" s="1"/>
      <c r="Y7" s="1">
        <f>AVERAGE(Y3:Y6)</f>
        <v>0.54589386108714644</v>
      </c>
      <c r="Z7" s="1">
        <f t="shared" ref="Z7:AA7" si="2">AVERAGE(Z3:Z6)</f>
        <v>3.1132641735939659</v>
      </c>
      <c r="AA7" s="1">
        <f t="shared" si="2"/>
        <v>1.1564119082873345</v>
      </c>
      <c r="AB7" t="s">
        <v>5</v>
      </c>
    </row>
    <row r="8" spans="1:28" x14ac:dyDescent="0.25">
      <c r="T8" s="1"/>
      <c r="U8" s="1"/>
      <c r="V8" s="1"/>
      <c r="W8" s="1"/>
      <c r="Y8" s="1"/>
      <c r="Z8" s="1"/>
      <c r="AA8" s="1"/>
    </row>
    <row r="9" spans="1:28" x14ac:dyDescent="0.25">
      <c r="S9" t="s">
        <v>17</v>
      </c>
      <c r="T9" s="1" t="str">
        <f>U2</f>
        <v>i2</v>
      </c>
      <c r="U9" s="1" t="str">
        <f>T2</f>
        <v>i1</v>
      </c>
      <c r="V9" s="1" t="str">
        <f>V2</f>
        <v>i3</v>
      </c>
      <c r="W9" s="1" t="str">
        <f>W2</f>
        <v>i4</v>
      </c>
      <c r="Y9" s="9" t="s">
        <v>23</v>
      </c>
      <c r="Z9" s="3" t="s">
        <v>7</v>
      </c>
      <c r="AA9" s="3" t="s">
        <v>10</v>
      </c>
    </row>
    <row r="10" spans="1:28" x14ac:dyDescent="0.25">
      <c r="T10" s="1">
        <f t="shared" ref="T10:T13" si="3">U3</f>
        <v>2.3333333333333335</v>
      </c>
      <c r="U10" s="1">
        <f t="shared" ref="U10:U13" si="4">T3</f>
        <v>1</v>
      </c>
      <c r="V10" s="1">
        <f t="shared" ref="V10:W13" si="5">V3</f>
        <v>1.1276595744680851</v>
      </c>
      <c r="W10" s="1">
        <f t="shared" si="5"/>
        <v>0.53846153846153844</v>
      </c>
      <c r="Y10" s="1">
        <f>$T10/U10</f>
        <v>2.3333333333333335</v>
      </c>
      <c r="Z10" s="1">
        <f t="shared" ref="Z10:AA13" si="6">$T10/V10</f>
        <v>2.0691823899371071</v>
      </c>
      <c r="AA10" s="1">
        <f t="shared" si="6"/>
        <v>4.3333333333333339</v>
      </c>
    </row>
    <row r="11" spans="1:28" x14ac:dyDescent="0.25">
      <c r="T11" s="1">
        <f t="shared" si="3"/>
        <v>1</v>
      </c>
      <c r="U11" s="1">
        <f t="shared" si="4"/>
        <v>0.42857142857142855</v>
      </c>
      <c r="V11" s="1">
        <f t="shared" si="5"/>
        <v>0.26582278481012656</v>
      </c>
      <c r="W11" s="1">
        <f t="shared" si="5"/>
        <v>0.58730158730158732</v>
      </c>
      <c r="Y11" s="1">
        <f t="shared" ref="Y11:Y13" si="7">$T11/U11</f>
        <v>2.3333333333333335</v>
      </c>
      <c r="Z11" s="1">
        <f t="shared" si="6"/>
        <v>3.7619047619047623</v>
      </c>
      <c r="AA11" s="1">
        <f t="shared" si="6"/>
        <v>1.7027027027027026</v>
      </c>
    </row>
    <row r="12" spans="1:28" x14ac:dyDescent="0.25">
      <c r="T12" s="1">
        <f t="shared" si="3"/>
        <v>3.7619047619047619</v>
      </c>
      <c r="U12" s="1">
        <f t="shared" si="4"/>
        <v>0.8867924528301887</v>
      </c>
      <c r="V12" s="1">
        <f t="shared" si="5"/>
        <v>1</v>
      </c>
      <c r="W12" s="1">
        <f t="shared" si="5"/>
        <v>4.882352941176471</v>
      </c>
      <c r="Y12" s="1">
        <f t="shared" si="7"/>
        <v>4.2421479229989867</v>
      </c>
      <c r="Z12" s="1">
        <f t="shared" si="6"/>
        <v>3.7619047619047619</v>
      </c>
      <c r="AA12" s="1">
        <f t="shared" si="6"/>
        <v>0.7705106138841078</v>
      </c>
    </row>
    <row r="13" spans="1:28" x14ac:dyDescent="0.25">
      <c r="T13" s="1">
        <f t="shared" si="3"/>
        <v>1.7027027027027026</v>
      </c>
      <c r="U13" s="1">
        <f t="shared" si="4"/>
        <v>1.8571428571428572</v>
      </c>
      <c r="V13" s="1">
        <f t="shared" si="5"/>
        <v>0.20481927710843373</v>
      </c>
      <c r="W13" s="1">
        <f t="shared" si="5"/>
        <v>1</v>
      </c>
      <c r="Y13" s="1">
        <f t="shared" si="7"/>
        <v>0.91683991683991672</v>
      </c>
      <c r="Z13" s="1">
        <f t="shared" si="6"/>
        <v>8.3131955484896665</v>
      </c>
      <c r="AA13" s="1">
        <f t="shared" si="6"/>
        <v>1.7027027027027026</v>
      </c>
    </row>
    <row r="14" spans="1:28" x14ac:dyDescent="0.25">
      <c r="T14" s="1"/>
      <c r="U14" s="1"/>
      <c r="V14" s="1"/>
      <c r="W14" s="1"/>
      <c r="Y14" s="1">
        <f>AVERAGE(Y10:Y13)</f>
        <v>2.4564136266263925</v>
      </c>
      <c r="Z14" s="1">
        <f t="shared" ref="Z14:AA14" si="8">AVERAGE(Z10:Z13)</f>
        <v>4.4765468655590741</v>
      </c>
      <c r="AA14" s="1">
        <f t="shared" si="8"/>
        <v>2.1273123381557117</v>
      </c>
      <c r="AB14" t="s">
        <v>5</v>
      </c>
    </row>
    <row r="15" spans="1:28" x14ac:dyDescent="0.25">
      <c r="T15" s="1"/>
      <c r="U15" s="1"/>
      <c r="V15" s="1"/>
      <c r="W15" s="1"/>
      <c r="Y15" s="1"/>
      <c r="Z15" s="1"/>
      <c r="AA15" s="1"/>
    </row>
    <row r="16" spans="1:28" x14ac:dyDescent="0.25">
      <c r="S16" t="s">
        <v>18</v>
      </c>
      <c r="T16" s="1" t="str">
        <f>V2</f>
        <v>i3</v>
      </c>
      <c r="U16" s="1" t="str">
        <f>T2</f>
        <v>i1</v>
      </c>
      <c r="V16" s="1" t="str">
        <f>U2</f>
        <v>i2</v>
      </c>
      <c r="W16" s="1" t="str">
        <f>W2</f>
        <v>i4</v>
      </c>
      <c r="Y16" s="9" t="s">
        <v>24</v>
      </c>
      <c r="Z16" s="2" t="s">
        <v>21</v>
      </c>
      <c r="AA16" s="3" t="s">
        <v>8</v>
      </c>
    </row>
    <row r="17" spans="1:28" x14ac:dyDescent="0.25">
      <c r="T17" s="1">
        <f t="shared" ref="T17:T20" si="9">V3</f>
        <v>1.1276595744680851</v>
      </c>
      <c r="U17" s="1">
        <f t="shared" ref="U17:V17" si="10">T3</f>
        <v>1</v>
      </c>
      <c r="V17" s="1">
        <f t="shared" si="10"/>
        <v>2.3333333333333335</v>
      </c>
      <c r="W17" s="1">
        <f t="shared" ref="W17:W20" si="11">W3</f>
        <v>0.53846153846153844</v>
      </c>
      <c r="Y17" s="1">
        <f>$T17/U17</f>
        <v>1.1276595744680851</v>
      </c>
      <c r="Z17" s="1">
        <f t="shared" ref="Z17:AA20" si="12">$T17/V17</f>
        <v>0.4832826747720364</v>
      </c>
      <c r="AA17" s="1">
        <f t="shared" si="12"/>
        <v>2.094224924012158</v>
      </c>
    </row>
    <row r="18" spans="1:28" x14ac:dyDescent="0.25">
      <c r="T18" s="1">
        <f t="shared" si="9"/>
        <v>0.26582278481012656</v>
      </c>
      <c r="U18" s="1">
        <f t="shared" ref="U18:V18" si="13">T4</f>
        <v>0.42857142857142855</v>
      </c>
      <c r="V18" s="1">
        <f t="shared" si="13"/>
        <v>1</v>
      </c>
      <c r="W18" s="1">
        <f t="shared" si="11"/>
        <v>0.58730158730158732</v>
      </c>
      <c r="Y18" s="1">
        <f t="shared" ref="Y18:Y20" si="14">$T18/U18</f>
        <v>0.620253164556962</v>
      </c>
      <c r="Z18" s="1">
        <f t="shared" si="12"/>
        <v>0.26582278481012656</v>
      </c>
      <c r="AA18" s="1">
        <f t="shared" si="12"/>
        <v>0.45261717413616143</v>
      </c>
    </row>
    <row r="19" spans="1:28" x14ac:dyDescent="0.25">
      <c r="T19" s="1">
        <f t="shared" si="9"/>
        <v>1</v>
      </c>
      <c r="U19" s="1">
        <f t="shared" ref="U19:V19" si="15">T5</f>
        <v>0.8867924528301887</v>
      </c>
      <c r="V19" s="1">
        <f t="shared" si="15"/>
        <v>3.7619047619047619</v>
      </c>
      <c r="W19" s="1">
        <f t="shared" si="11"/>
        <v>4.882352941176471</v>
      </c>
      <c r="Y19" s="1">
        <f t="shared" si="14"/>
        <v>1.1276595744680851</v>
      </c>
      <c r="Z19" s="1">
        <f t="shared" si="12"/>
        <v>0.26582278481012661</v>
      </c>
      <c r="AA19" s="1">
        <f t="shared" si="12"/>
        <v>0.20481927710843373</v>
      </c>
    </row>
    <row r="20" spans="1:28" x14ac:dyDescent="0.25">
      <c r="T20" s="1">
        <f t="shared" si="9"/>
        <v>0.20481927710843373</v>
      </c>
      <c r="U20" s="1">
        <f t="shared" ref="U20:V20" si="16">T6</f>
        <v>1.8571428571428572</v>
      </c>
      <c r="V20" s="1">
        <f t="shared" si="16"/>
        <v>1.7027027027027026</v>
      </c>
      <c r="W20" s="1">
        <f t="shared" si="11"/>
        <v>1</v>
      </c>
      <c r="Y20" s="1">
        <f t="shared" si="14"/>
        <v>0.11028730305838738</v>
      </c>
      <c r="Z20" s="1">
        <f t="shared" si="12"/>
        <v>0.1202906865557468</v>
      </c>
      <c r="AA20" s="1">
        <f t="shared" si="12"/>
        <v>0.20481927710843373</v>
      </c>
    </row>
    <row r="21" spans="1:28" x14ac:dyDescent="0.25">
      <c r="T21" s="1"/>
      <c r="U21" s="1"/>
      <c r="V21" s="1"/>
      <c r="W21" s="1"/>
      <c r="Y21" s="1">
        <f>AVERAGE(Y17:Y20)</f>
        <v>0.7464649041378798</v>
      </c>
      <c r="Z21" s="1">
        <f t="shared" ref="Z21:AA21" si="17">AVERAGE(Z17:Z20)</f>
        <v>0.28380473273700907</v>
      </c>
      <c r="AA21" s="1">
        <f t="shared" si="17"/>
        <v>0.73912016309129669</v>
      </c>
      <c r="AB21" t="s">
        <v>5</v>
      </c>
    </row>
    <row r="22" spans="1:28" x14ac:dyDescent="0.25">
      <c r="A22" s="23" t="s">
        <v>46</v>
      </c>
      <c r="T22" s="1"/>
      <c r="U22" s="1"/>
      <c r="V22" s="1"/>
      <c r="W22" s="1"/>
      <c r="Y22" s="1"/>
      <c r="Z22" s="1"/>
      <c r="AA22" s="1"/>
    </row>
    <row r="23" spans="1:28" x14ac:dyDescent="0.25">
      <c r="S23" t="s">
        <v>19</v>
      </c>
      <c r="T23" s="1" t="str">
        <f>W2</f>
        <v>i4</v>
      </c>
      <c r="U23" s="1" t="str">
        <f>T2</f>
        <v>i1</v>
      </c>
      <c r="V23" s="1" t="str">
        <f t="shared" ref="V23:W23" si="18">U2</f>
        <v>i2</v>
      </c>
      <c r="W23" s="1" t="str">
        <f t="shared" si="18"/>
        <v>i3</v>
      </c>
      <c r="Y23" s="9" t="s">
        <v>25</v>
      </c>
      <c r="Z23" s="2" t="s">
        <v>22</v>
      </c>
      <c r="AA23" s="2" t="s">
        <v>20</v>
      </c>
    </row>
    <row r="24" spans="1:28" x14ac:dyDescent="0.25">
      <c r="T24" s="1">
        <f t="shared" ref="T24:T27" si="19">W3</f>
        <v>0.53846153846153844</v>
      </c>
      <c r="U24" s="1">
        <f t="shared" ref="U24:W24" si="20">T3</f>
        <v>1</v>
      </c>
      <c r="V24" s="1">
        <f t="shared" si="20"/>
        <v>2.3333333333333335</v>
      </c>
      <c r="W24" s="1">
        <f t="shared" si="20"/>
        <v>1.1276595744680851</v>
      </c>
      <c r="Y24" s="1">
        <f>$T24/U24</f>
        <v>0.53846153846153844</v>
      </c>
      <c r="Z24" s="1">
        <f t="shared" ref="Z24:AA27" si="21">$T24/V24</f>
        <v>0.23076923076923075</v>
      </c>
      <c r="AA24" s="1">
        <f t="shared" si="21"/>
        <v>0.47750362844702465</v>
      </c>
    </row>
    <row r="25" spans="1:28" x14ac:dyDescent="0.25">
      <c r="T25" s="1">
        <f t="shared" si="19"/>
        <v>0.58730158730158732</v>
      </c>
      <c r="U25" s="1">
        <f t="shared" ref="U25:W25" si="22">T4</f>
        <v>0.42857142857142855</v>
      </c>
      <c r="V25" s="1">
        <f t="shared" si="22"/>
        <v>1</v>
      </c>
      <c r="W25" s="1">
        <f t="shared" si="22"/>
        <v>0.26582278481012656</v>
      </c>
      <c r="Y25" s="1">
        <f t="shared" ref="Y25:Y27" si="23">$T25/U25</f>
        <v>1.3703703703703705</v>
      </c>
      <c r="Z25" s="1">
        <f t="shared" si="21"/>
        <v>0.58730158730158732</v>
      </c>
      <c r="AA25" s="1">
        <f t="shared" si="21"/>
        <v>2.209372637944067</v>
      </c>
    </row>
    <row r="26" spans="1:28" x14ac:dyDescent="0.25">
      <c r="T26" s="1">
        <f t="shared" si="19"/>
        <v>4.882352941176471</v>
      </c>
      <c r="U26" s="1">
        <f t="shared" ref="U26:W26" si="24">T5</f>
        <v>0.8867924528301887</v>
      </c>
      <c r="V26" s="1">
        <f t="shared" si="24"/>
        <v>3.7619047619047619</v>
      </c>
      <c r="W26" s="1">
        <f t="shared" si="24"/>
        <v>1</v>
      </c>
      <c r="Y26" s="1">
        <f t="shared" si="23"/>
        <v>5.5056320400500631</v>
      </c>
      <c r="Z26" s="1">
        <f t="shared" si="21"/>
        <v>1.2978406552494417</v>
      </c>
      <c r="AA26" s="1">
        <f t="shared" si="21"/>
        <v>4.882352941176471</v>
      </c>
    </row>
    <row r="27" spans="1:28" x14ac:dyDescent="0.25">
      <c r="T27" s="1">
        <f t="shared" si="19"/>
        <v>1</v>
      </c>
      <c r="U27" s="1">
        <f t="shared" ref="U27:W27" si="25">T6</f>
        <v>1.8571428571428572</v>
      </c>
      <c r="V27" s="1">
        <f t="shared" si="25"/>
        <v>1.7027027027027026</v>
      </c>
      <c r="W27" s="1">
        <f t="shared" si="25"/>
        <v>0.20481927710843373</v>
      </c>
      <c r="Y27" s="1">
        <f t="shared" si="23"/>
        <v>0.53846153846153844</v>
      </c>
      <c r="Z27" s="1">
        <f t="shared" si="21"/>
        <v>0.58730158730158732</v>
      </c>
      <c r="AA27" s="1">
        <f t="shared" si="21"/>
        <v>4.882352941176471</v>
      </c>
    </row>
    <row r="28" spans="1:28" x14ac:dyDescent="0.25">
      <c r="Y28" s="1">
        <f>AVERAGE(Y24:Y27)</f>
        <v>1.9882313718358775</v>
      </c>
      <c r="Z28" s="1">
        <f t="shared" ref="Z28:AA28" si="26">AVERAGE(Z24:Z27)</f>
        <v>0.67580326515546185</v>
      </c>
      <c r="AA28" s="1">
        <f t="shared" si="26"/>
        <v>3.1128955371860085</v>
      </c>
      <c r="AB28" t="s">
        <v>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CAC6D-4D9D-4978-9517-C02DED623A0B}">
  <dimension ref="A1:B12"/>
  <sheetViews>
    <sheetView zoomScale="80" zoomScaleNormal="80" workbookViewId="0"/>
  </sheetViews>
  <sheetFormatPr defaultRowHeight="15" x14ac:dyDescent="0.25"/>
  <cols>
    <col min="1" max="1" width="11.5703125" bestFit="1" customWidth="1"/>
    <col min="2" max="2" width="8.28515625" bestFit="1" customWidth="1"/>
  </cols>
  <sheetData>
    <row r="1" spans="1:2" x14ac:dyDescent="0.25">
      <c r="A1" t="str">
        <f>'Input and Orientations'!Y2</f>
        <v>p1 - i1:i2</v>
      </c>
      <c r="B1" s="1">
        <f>'Input and Orientations'!Y7</f>
        <v>0.54589386108714644</v>
      </c>
    </row>
    <row r="2" spans="1:2" x14ac:dyDescent="0.25">
      <c r="A2" t="str">
        <f>'Input and Orientations'!Z2</f>
        <v>p4 - i1:i3</v>
      </c>
      <c r="B2" s="1">
        <f>'Input and Orientations'!Z7</f>
        <v>3.1132641735939659</v>
      </c>
    </row>
    <row r="3" spans="1:2" x14ac:dyDescent="0.25">
      <c r="A3" t="str">
        <f>'Input and Orientations'!AA2</f>
        <v>p6 - i1:i4</v>
      </c>
      <c r="B3" s="1">
        <f>'Input and Orientations'!AA7</f>
        <v>1.1564119082873345</v>
      </c>
    </row>
    <row r="4" spans="1:2" x14ac:dyDescent="0.25">
      <c r="A4" s="1" t="str">
        <f>'Input and Orientations'!Y9</f>
        <v>p11 - i2:i1</v>
      </c>
      <c r="B4" s="1">
        <f>'Input and Orientations'!Y14</f>
        <v>2.4564136266263925</v>
      </c>
    </row>
    <row r="5" spans="1:2" x14ac:dyDescent="0.25">
      <c r="A5" t="str">
        <f>'Input and Orientations'!Z9</f>
        <v>p2 - i2:i3</v>
      </c>
      <c r="B5" s="1">
        <f>'Input and Orientations'!Z14</f>
        <v>4.4765468655590741</v>
      </c>
    </row>
    <row r="6" spans="1:2" x14ac:dyDescent="0.25">
      <c r="A6" t="str">
        <f>'Input and Orientations'!AA9</f>
        <v>p5 - i2:i4</v>
      </c>
      <c r="B6" s="1">
        <f>'Input and Orientations'!AA14</f>
        <v>2.1273123381557117</v>
      </c>
    </row>
    <row r="7" spans="1:2" x14ac:dyDescent="0.25">
      <c r="A7" s="1" t="str">
        <f>'Input and Orientations'!Y16</f>
        <v>p41 - i3:i1</v>
      </c>
      <c r="B7" s="1">
        <f>'Input and Orientations'!Y21</f>
        <v>0.7464649041378798</v>
      </c>
    </row>
    <row r="8" spans="1:2" x14ac:dyDescent="0.25">
      <c r="A8" t="str">
        <f>'Input and Orientations'!Z16</f>
        <v>p21 - i3:i2</v>
      </c>
      <c r="B8" s="1">
        <f>'Input and Orientations'!Z21</f>
        <v>0.28380473273700907</v>
      </c>
    </row>
    <row r="9" spans="1:2" x14ac:dyDescent="0.25">
      <c r="A9" t="str">
        <f>'Input and Orientations'!AA16</f>
        <v>p3 - i3:i4</v>
      </c>
      <c r="B9" s="1">
        <f>'Input and Orientations'!AA21</f>
        <v>0.73912016309129669</v>
      </c>
    </row>
    <row r="10" spans="1:2" x14ac:dyDescent="0.25">
      <c r="A10" s="1" t="str">
        <f>'Input and Orientations'!Y23</f>
        <v>p61 - i4:i1</v>
      </c>
      <c r="B10" s="1">
        <f>'Input and Orientations'!Y28</f>
        <v>1.9882313718358775</v>
      </c>
    </row>
    <row r="11" spans="1:2" x14ac:dyDescent="0.25">
      <c r="A11" t="str">
        <f>'Input and Orientations'!Z23</f>
        <v>p51 - i4:i2</v>
      </c>
      <c r="B11" s="1">
        <f>'Input and Orientations'!Z28</f>
        <v>0.67580326515546185</v>
      </c>
    </row>
    <row r="12" spans="1:2" x14ac:dyDescent="0.25">
      <c r="A12" t="str">
        <f>'Input and Orientations'!AA23</f>
        <v>p31 - i4:i3</v>
      </c>
      <c r="B12" s="1">
        <f>'Input and Orientations'!AA28</f>
        <v>3.1128955371860085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3C4B4-EB33-4196-99A7-8CF9D6FA4B8B}">
  <sheetPr>
    <tabColor rgb="FFFFC000"/>
    <pageSetUpPr fitToPage="1"/>
  </sheetPr>
  <dimension ref="A1:R37"/>
  <sheetViews>
    <sheetView zoomScale="70" zoomScaleNormal="70" workbookViewId="0">
      <pane xSplit="1" topLeftCell="B1" activePane="topRight" state="frozen"/>
      <selection activeCell="A4" sqref="A4"/>
      <selection pane="topRight"/>
    </sheetView>
  </sheetViews>
  <sheetFormatPr defaultColWidth="14.7109375" defaultRowHeight="15" x14ac:dyDescent="0.25"/>
  <cols>
    <col min="1" max="1" width="3.85546875" bestFit="1" customWidth="1"/>
    <col min="2" max="2" width="10.7109375" bestFit="1" customWidth="1"/>
    <col min="3" max="4" width="10.28515625" bestFit="1" customWidth="1"/>
    <col min="5" max="5" width="12.85546875" bestFit="1" customWidth="1"/>
    <col min="6" max="6" width="5.7109375" bestFit="1" customWidth="1"/>
    <col min="7" max="7" width="6.42578125" bestFit="1" customWidth="1"/>
    <col min="8" max="8" width="12.140625" bestFit="1" customWidth="1"/>
    <col min="9" max="10" width="5.7109375" bestFit="1" customWidth="1"/>
    <col min="11" max="11" width="25.7109375" bestFit="1" customWidth="1"/>
    <col min="12" max="12" width="18.28515625" bestFit="1" customWidth="1"/>
    <col min="13" max="13" width="14.28515625" bestFit="1" customWidth="1"/>
    <col min="14" max="16" width="6.85546875" bestFit="1" customWidth="1"/>
    <col min="17" max="17" width="37.28515625" bestFit="1" customWidth="1"/>
    <col min="18" max="18" width="10.140625" bestFit="1" customWidth="1"/>
  </cols>
  <sheetData>
    <row r="1" spans="1:16" x14ac:dyDescent="0.25">
      <c r="B1" t="s">
        <v>15</v>
      </c>
      <c r="C1" s="1" t="str">
        <f>'Input and Orientations'!T2</f>
        <v>i1</v>
      </c>
      <c r="D1" s="1" t="str">
        <f>'Input and Orientations'!U2</f>
        <v>i2</v>
      </c>
      <c r="E1" s="1" t="str">
        <f>'Input and Orientations'!V2</f>
        <v>i3</v>
      </c>
      <c r="F1" s="1" t="str">
        <f>'Input and Orientations'!W2</f>
        <v>i4</v>
      </c>
      <c r="G1" t="s">
        <v>12</v>
      </c>
    </row>
    <row r="2" spans="1:16" x14ac:dyDescent="0.25">
      <c r="B2" t="s">
        <v>1</v>
      </c>
      <c r="C2" s="1">
        <f>'Input and Orientations'!T3</f>
        <v>1</v>
      </c>
      <c r="D2" s="1">
        <f>'Input and Orientations'!U3</f>
        <v>2.3333333333333335</v>
      </c>
      <c r="E2" s="1">
        <f>'Input and Orientations'!V3</f>
        <v>1.1276595744680851</v>
      </c>
      <c r="F2" s="1">
        <f>'Input and Orientations'!W3</f>
        <v>0.53846153846153844</v>
      </c>
      <c r="G2" s="1">
        <f>SUM(C2:F2)</f>
        <v>4.9994544462629573</v>
      </c>
      <c r="I2" s="1"/>
      <c r="J2" s="1"/>
      <c r="K2" s="1"/>
      <c r="L2" s="1"/>
    </row>
    <row r="3" spans="1:16" x14ac:dyDescent="0.25">
      <c r="B3" t="s">
        <v>2</v>
      </c>
      <c r="C3" s="1">
        <f>'Input and Orientations'!T4</f>
        <v>0.42857142857142855</v>
      </c>
      <c r="D3" s="1">
        <f>'Input and Orientations'!U4</f>
        <v>1</v>
      </c>
      <c r="E3" s="1">
        <f>'Input and Orientations'!V4</f>
        <v>0.26582278481012656</v>
      </c>
      <c r="F3" s="1">
        <f>'Input and Orientations'!W4</f>
        <v>0.58730158730158732</v>
      </c>
      <c r="G3" s="1">
        <f t="shared" ref="G3:G5" si="0">SUM(C3:F3)</f>
        <v>2.2816958006831425</v>
      </c>
      <c r="I3" s="1"/>
      <c r="J3" s="1"/>
      <c r="K3" s="1"/>
      <c r="L3" s="1"/>
    </row>
    <row r="4" spans="1:16" x14ac:dyDescent="0.25">
      <c r="B4" t="s">
        <v>3</v>
      </c>
      <c r="C4" s="1">
        <f>'Input and Orientations'!T5</f>
        <v>0.8867924528301887</v>
      </c>
      <c r="D4" s="1">
        <f>'Input and Orientations'!U5</f>
        <v>3.7619047619047619</v>
      </c>
      <c r="E4" s="1">
        <f>'Input and Orientations'!V5</f>
        <v>1</v>
      </c>
      <c r="F4" s="1">
        <f>'Input and Orientations'!W5</f>
        <v>4.882352941176471</v>
      </c>
      <c r="G4" s="1">
        <f t="shared" si="0"/>
        <v>10.531050155911421</v>
      </c>
      <c r="I4" s="1"/>
      <c r="J4" s="1"/>
      <c r="K4" s="1"/>
      <c r="L4" s="1"/>
    </row>
    <row r="5" spans="1:16" x14ac:dyDescent="0.25">
      <c r="B5" t="s">
        <v>4</v>
      </c>
      <c r="C5" s="1">
        <f>'Input and Orientations'!T6</f>
        <v>1.8571428571428572</v>
      </c>
      <c r="D5" s="1">
        <f>'Input and Orientations'!U6</f>
        <v>1.7027027027027026</v>
      </c>
      <c r="E5" s="1">
        <f>'Input and Orientations'!V6</f>
        <v>0.20481927710843373</v>
      </c>
      <c r="F5" s="1">
        <f>'Input and Orientations'!W6</f>
        <v>1</v>
      </c>
      <c r="G5" s="1">
        <f t="shared" si="0"/>
        <v>4.7646648369539939</v>
      </c>
      <c r="I5" s="1"/>
      <c r="J5" s="1"/>
      <c r="K5" s="1"/>
      <c r="L5" s="1"/>
    </row>
    <row r="6" spans="1:16" x14ac:dyDescent="0.25">
      <c r="B6" s="1"/>
      <c r="C6" s="1"/>
      <c r="D6" s="1"/>
      <c r="E6" s="1"/>
      <c r="F6" s="1"/>
      <c r="I6" s="1"/>
      <c r="J6" s="1"/>
      <c r="L6" s="1"/>
    </row>
    <row r="7" spans="1:16" x14ac:dyDescent="0.25">
      <c r="B7" t="s">
        <v>31</v>
      </c>
      <c r="C7" s="1"/>
      <c r="D7" s="1"/>
      <c r="E7" s="1" t="s">
        <v>29</v>
      </c>
      <c r="F7" s="1"/>
      <c r="H7" t="s">
        <v>50</v>
      </c>
      <c r="J7" s="1"/>
      <c r="K7" s="1" t="s">
        <v>54</v>
      </c>
      <c r="L7" s="1" t="s">
        <v>53</v>
      </c>
      <c r="M7" s="1" t="s">
        <v>84</v>
      </c>
    </row>
    <row r="8" spans="1:16" x14ac:dyDescent="0.25">
      <c r="A8">
        <v>1</v>
      </c>
      <c r="B8" t="str">
        <f>Permutations!G2</f>
        <v>p1 - i1:i2</v>
      </c>
      <c r="C8" t="str">
        <f>Permutations!H2</f>
        <v>p2 - i2:i3</v>
      </c>
      <c r="D8" t="str">
        <f>Permutations!I2</f>
        <v>p3 - i3:i4</v>
      </c>
      <c r="E8" s="1">
        <f>VLOOKUP(B8,Vlookup!$A$1:$B$12,2,0)</f>
        <v>0.54589386108714644</v>
      </c>
      <c r="F8" s="1">
        <f>VLOOKUP(C8,Vlookup!$A$1:$B$12,2,0)</f>
        <v>4.4765468655590741</v>
      </c>
      <c r="G8" s="1">
        <f>VLOOKUP(D8,Vlookup!$A$1:$B$12,2,0)</f>
        <v>0.73912016309129669</v>
      </c>
      <c r="H8" s="1">
        <f>E8*F8*G8</f>
        <v>1.8062023204863584</v>
      </c>
      <c r="I8" s="1">
        <f>F8*G8</f>
        <v>3.3087060493578559</v>
      </c>
      <c r="J8" s="1">
        <f>G8</f>
        <v>0.73912016309129669</v>
      </c>
      <c r="K8">
        <v>1</v>
      </c>
      <c r="L8" s="1">
        <f>SUM(H8:K8)</f>
        <v>6.8540285329355113</v>
      </c>
      <c r="M8" s="1">
        <f>VLOOKUP(1,Rotations!$A$1:$Q$49,14,0)</f>
        <v>0.26352419045340336</v>
      </c>
      <c r="N8" s="1">
        <f>VLOOKUP(1,Rotations!$A$1:$Q$49,15,0)</f>
        <v>0.48273887881537175</v>
      </c>
      <c r="O8" s="1">
        <f>VLOOKUP(1,Rotations!$A$1:$Q$49,16,0)</f>
        <v>0.10783733384528806</v>
      </c>
      <c r="P8" s="1">
        <f>VLOOKUP(1,Rotations!$A$1:$Q$49,17,0)</f>
        <v>0.14589959688593682</v>
      </c>
    </row>
    <row r="9" spans="1:16" x14ac:dyDescent="0.25">
      <c r="A9">
        <v>2</v>
      </c>
      <c r="B9" s="1" t="str">
        <f>Permutations!G3</f>
        <v>p1 - i1:i2</v>
      </c>
      <c r="C9" s="1" t="str">
        <f>Permutations!H3</f>
        <v>p5 - i2:i4</v>
      </c>
      <c r="D9" s="1" t="str">
        <f>Permutations!I3</f>
        <v>p31 - i4:i3</v>
      </c>
      <c r="E9" s="1">
        <f>VLOOKUP(B9,Vlookup!$A$1:$B$12,2,0)</f>
        <v>0.54589386108714644</v>
      </c>
      <c r="F9" s="1">
        <f>VLOOKUP(C9,Vlookup!$A$1:$B$12,2,0)</f>
        <v>2.1273123381557117</v>
      </c>
      <c r="G9" s="1">
        <f>VLOOKUP(D9,Vlookup!$A$1:$B$12,2,0)</f>
        <v>3.1128955371860085</v>
      </c>
      <c r="H9" s="1">
        <f>E9*F9*G9</f>
        <v>3.6149643290606992</v>
      </c>
      <c r="I9" s="1">
        <f>F9*G9</f>
        <v>6.6221010836456484</v>
      </c>
      <c r="J9" s="1">
        <f>G9</f>
        <v>3.1128955371860085</v>
      </c>
      <c r="K9">
        <v>1</v>
      </c>
      <c r="L9" s="1">
        <f>SUM(H9:K9)</f>
        <v>14.349960949892356</v>
      </c>
      <c r="M9" s="1">
        <f>VLOOKUP(2,Rotations!$A$1:$Q$49,14,0)</f>
        <v>0.25191457605240497</v>
      </c>
      <c r="N9" s="1">
        <f>VLOOKUP(2,Rotations!$A$1:$Q$49,15,0)</f>
        <v>0.46147171457601233</v>
      </c>
      <c r="O9" s="1">
        <f>VLOOKUP(2,Rotations!$A$1:$Q$49,16,0)</f>
        <v>6.9686600785314426E-2</v>
      </c>
      <c r="P9" s="1">
        <f>VLOOKUP(2,Rotations!$A$1:$Q$49,17,0)</f>
        <v>0.21692710858626826</v>
      </c>
    </row>
    <row r="10" spans="1:16" x14ac:dyDescent="0.25">
      <c r="A10">
        <v>3</v>
      </c>
      <c r="B10" s="1" t="str">
        <f>Permutations!G4</f>
        <v>p4 - i1:i3</v>
      </c>
      <c r="C10" s="1" t="str">
        <f>Permutations!H4</f>
        <v>p21 - i3:i2</v>
      </c>
      <c r="D10" s="1" t="str">
        <f>Permutations!I4</f>
        <v>p5 - i2:i4</v>
      </c>
      <c r="E10" s="1">
        <f>VLOOKUP(B10,Vlookup!$A$1:$B$12,2,0)</f>
        <v>3.1132641735939659</v>
      </c>
      <c r="F10" s="1">
        <f>VLOOKUP(C10,Vlookup!$A$1:$B$12,2,0)</f>
        <v>0.28380473273700907</v>
      </c>
      <c r="G10" s="1">
        <f>VLOOKUP(D10,Vlookup!$A$1:$B$12,2,0)</f>
        <v>2.1273123381557117</v>
      </c>
      <c r="H10" s="1">
        <f>E10*F10*G10</f>
        <v>1.8796061892292097</v>
      </c>
      <c r="I10" s="1">
        <f>F10*G10</f>
        <v>0.60374130957842365</v>
      </c>
      <c r="J10" s="1">
        <f>G10</f>
        <v>2.1273123381557117</v>
      </c>
      <c r="K10">
        <v>1</v>
      </c>
      <c r="L10" s="1">
        <f>SUM(H10:K10)</f>
        <v>5.6106598369633449</v>
      </c>
      <c r="M10" s="1">
        <f>VLOOKUP(3,Rotations!$A$1:$Q$49,14,0)</f>
        <v>0.33500626376353415</v>
      </c>
      <c r="N10" s="1">
        <f>VLOOKUP(3,Rotations!$A$1:$Q$49,15,0)</f>
        <v>0.37915546477098067</v>
      </c>
      <c r="O10" s="1">
        <f>VLOOKUP(3,Rotations!$A$1:$Q$49,16,0)</f>
        <v>0.10760611534510463</v>
      </c>
      <c r="P10" s="1">
        <f>VLOOKUP(3,Rotations!$A$1:$Q$49,17,0)</f>
        <v>0.1782321561203806</v>
      </c>
    </row>
    <row r="11" spans="1:16" x14ac:dyDescent="0.25">
      <c r="A11">
        <v>4</v>
      </c>
      <c r="B11" s="1" t="str">
        <f>Permutations!G5</f>
        <v>p4 - i1:i3</v>
      </c>
      <c r="C11" s="1" t="str">
        <f>Permutations!H5</f>
        <v>p3 - i3:i4</v>
      </c>
      <c r="D11" s="1" t="str">
        <f>Permutations!I5</f>
        <v>p51 - i4:i2</v>
      </c>
      <c r="E11" s="1">
        <f>VLOOKUP(B11,Vlookup!$A$1:$B$12,2,0)</f>
        <v>3.1132641735939659</v>
      </c>
      <c r="F11" s="1">
        <f>VLOOKUP(C11,Vlookup!$A$1:$B$12,2,0)</f>
        <v>0.73912016309129669</v>
      </c>
      <c r="G11" s="1">
        <f>VLOOKUP(D11,Vlookup!$A$1:$B$12,2,0)</f>
        <v>0.67580326515546185</v>
      </c>
      <c r="H11" s="1">
        <f t="shared" ref="H11:H13" si="1">E11*F11*G11</f>
        <v>1.5550748929507308</v>
      </c>
      <c r="I11" s="1">
        <f t="shared" ref="I11:I13" si="2">F11*G11</f>
        <v>0.49949981955933581</v>
      </c>
      <c r="J11" s="1">
        <f t="shared" ref="J11:J13" si="3">G11</f>
        <v>0.67580326515546185</v>
      </c>
      <c r="K11">
        <v>1</v>
      </c>
      <c r="L11" s="1">
        <f t="shared" ref="L11:L13" si="4">SUM(H11:K11)</f>
        <v>3.7303779776655284</v>
      </c>
      <c r="M11" s="1">
        <f>VLOOKUP(4,Rotations!$A$1:$Q$49,14,0)</f>
        <v>0.41686791586837996</v>
      </c>
      <c r="N11" s="1">
        <f>VLOOKUP(4,Rotations!$A$1:$Q$49,15,0)</f>
        <v>0.26806935007315275</v>
      </c>
      <c r="O11" s="1">
        <f>VLOOKUP(4,Rotations!$A$1:$Q$49,16,0)</f>
        <v>0.13390059199092821</v>
      </c>
      <c r="P11" s="1">
        <f>VLOOKUP(4,Rotations!$A$1:$Q$49,17,0)</f>
        <v>0.18116214206753917</v>
      </c>
    </row>
    <row r="12" spans="1:16" x14ac:dyDescent="0.25">
      <c r="A12">
        <v>5</v>
      </c>
      <c r="B12" s="1" t="str">
        <f>Permutations!G6</f>
        <v>p6 - i1:i4</v>
      </c>
      <c r="C12" s="1" t="str">
        <f>Permutations!H6</f>
        <v>p51 - i4:i2</v>
      </c>
      <c r="D12" s="1" t="str">
        <f>Permutations!I6</f>
        <v>p2 - i2:i3</v>
      </c>
      <c r="E12" s="1">
        <f>VLOOKUP(B12,Vlookup!$A$1:$B$12,2,0)</f>
        <v>1.1564119082873345</v>
      </c>
      <c r="F12" s="1">
        <f>VLOOKUP(C12,Vlookup!$A$1:$B$12,2,0)</f>
        <v>0.67580326515546185</v>
      </c>
      <c r="G12" s="1">
        <f>VLOOKUP(D12,Vlookup!$A$1:$B$12,2,0)</f>
        <v>4.4765468655590741</v>
      </c>
      <c r="H12" s="1">
        <f t="shared" si="1"/>
        <v>3.4984524582714998</v>
      </c>
      <c r="I12" s="1">
        <f t="shared" si="2"/>
        <v>3.0252649883662706</v>
      </c>
      <c r="J12" s="1">
        <f t="shared" si="3"/>
        <v>4.4765468655590741</v>
      </c>
      <c r="K12">
        <v>1</v>
      </c>
      <c r="L12" s="1">
        <f t="shared" si="4"/>
        <v>12.000264312196844</v>
      </c>
      <c r="M12" s="1">
        <f>VLOOKUP(5,Rotations!$A$1:$Q$49,14,0)</f>
        <v>0.29153128358312391</v>
      </c>
      <c r="N12" s="1">
        <f>VLOOKUP(5,Rotations!$A$1:$Q$49,15,0)</f>
        <v>0.37303735560300916</v>
      </c>
      <c r="O12" s="1">
        <f>VLOOKUP(5,Rotations!$A$1:$Q$49,16,0)</f>
        <v>8.3331497872394258E-2</v>
      </c>
      <c r="P12" s="1">
        <f>VLOOKUP(5,Rotations!$A$1:$Q$49,17,0)</f>
        <v>0.25209986294147269</v>
      </c>
    </row>
    <row r="13" spans="1:16" x14ac:dyDescent="0.25">
      <c r="A13">
        <v>6</v>
      </c>
      <c r="B13" s="1" t="str">
        <f>Permutations!G7</f>
        <v>p6 - i1:i4</v>
      </c>
      <c r="C13" s="1" t="str">
        <f>Permutations!H7</f>
        <v>p31 - i4:i3</v>
      </c>
      <c r="D13" s="1" t="str">
        <f>Permutations!I7</f>
        <v>p21 - i3:i2</v>
      </c>
      <c r="E13" s="1">
        <f>VLOOKUP(B13,Vlookup!$A$1:$B$12,2,0)</f>
        <v>1.1564119082873345</v>
      </c>
      <c r="F13" s="1">
        <f>VLOOKUP(C13,Vlookup!$A$1:$B$12,2,0)</f>
        <v>3.1128955371860085</v>
      </c>
      <c r="G13" s="1">
        <f>VLOOKUP(D13,Vlookup!$A$1:$B$12,2,0)</f>
        <v>0.28380473273700907</v>
      </c>
      <c r="H13" s="1">
        <f t="shared" si="1"/>
        <v>1.0216372880047684</v>
      </c>
      <c r="I13" s="1">
        <f t="shared" si="2"/>
        <v>0.88345448596930343</v>
      </c>
      <c r="J13" s="1">
        <f t="shared" si="3"/>
        <v>0.28380473273700907</v>
      </c>
      <c r="K13">
        <v>1</v>
      </c>
      <c r="L13" s="1">
        <f t="shared" si="4"/>
        <v>3.1888965067110808</v>
      </c>
      <c r="M13" s="1">
        <f>VLOOKUP(6,Rotations!$A$1:$Q$49,14,0)</f>
        <v>0.32037329711225099</v>
      </c>
      <c r="N13" s="1">
        <f>VLOOKUP(6,Rotations!$A$1:$Q$49,15,0)</f>
        <v>0.31358810105485863</v>
      </c>
      <c r="O13" s="1">
        <f>VLOOKUP(6,Rotations!$A$1:$Q$49,16,0)</f>
        <v>8.8997787209380341E-2</v>
      </c>
      <c r="P13" s="1">
        <f>VLOOKUP(6,Rotations!$A$1:$Q$49,17,0)</f>
        <v>0.2770408146235101</v>
      </c>
    </row>
    <row r="14" spans="1:16" x14ac:dyDescent="0.25">
      <c r="A14">
        <v>7</v>
      </c>
      <c r="B14" s="1" t="str">
        <f>Permutations!G8</f>
        <v>p11 - i2:i1</v>
      </c>
      <c r="C14" s="1" t="str">
        <f>Permutations!H8</f>
        <v>p4 - i1:i3</v>
      </c>
      <c r="D14" s="1" t="str">
        <f>Permutations!I8</f>
        <v>p3 - i3:i4</v>
      </c>
      <c r="E14" s="1">
        <f>VLOOKUP(B14,Vlookup!$A$1:$B$12,2,0)</f>
        <v>2.4564136266263925</v>
      </c>
      <c r="F14" s="1">
        <f>VLOOKUP(C14,Vlookup!$A$1:$B$12,2,0)</f>
        <v>3.1132641735939659</v>
      </c>
      <c r="G14" s="1">
        <f>VLOOKUP(D14,Vlookup!$A$1:$B$12,2,0)</f>
        <v>0.73912016309129669</v>
      </c>
      <c r="H14" s="1">
        <f t="shared" ref="H14" si="5">E14*F14*G14</f>
        <v>5.6523952375252602</v>
      </c>
      <c r="I14" s="1">
        <f t="shared" ref="I14" si="6">F14*G14</f>
        <v>2.3010763237330631</v>
      </c>
      <c r="J14" s="1">
        <f t="shared" ref="J14" si="7">G14</f>
        <v>0.73912016309129669</v>
      </c>
      <c r="K14">
        <v>1</v>
      </c>
      <c r="L14" s="1">
        <f t="shared" ref="L14" si="8">SUM(H14:K14)</f>
        <v>9.6925917243496205</v>
      </c>
      <c r="M14" s="1">
        <f>VLOOKUP(7,Rotations!$A$1:$Q$49,14,0)</f>
        <v>0.23740567942754928</v>
      </c>
      <c r="N14" s="1">
        <f>VLOOKUP(7,Rotations!$A$1:$Q$49,15,0)</f>
        <v>0.58316654598432904</v>
      </c>
      <c r="O14" s="1">
        <f>VLOOKUP(7,Rotations!$A$1:$Q$49,16,0)</f>
        <v>7.6256194845645595E-2</v>
      </c>
      <c r="P14" s="1">
        <f>VLOOKUP(7,Rotations!$A$1:$Q$49,17,0)</f>
        <v>0.10317157974247602</v>
      </c>
    </row>
    <row r="15" spans="1:16" x14ac:dyDescent="0.25">
      <c r="A15">
        <v>8</v>
      </c>
      <c r="B15" s="1" t="str">
        <f>Permutations!G9</f>
        <v>p11 - i2:i1</v>
      </c>
      <c r="C15" s="1" t="str">
        <f>Permutations!H9</f>
        <v>p6 - i1:i4</v>
      </c>
      <c r="D15" s="1" t="str">
        <f>Permutations!I9</f>
        <v>p31 - i4:i3</v>
      </c>
      <c r="E15" s="1">
        <f>VLOOKUP(B15,Vlookup!$A$1:$B$12,2,0)</f>
        <v>2.4564136266263925</v>
      </c>
      <c r="F15" s="1">
        <f>VLOOKUP(C15,Vlookup!$A$1:$B$12,2,0)</f>
        <v>1.1564119082873345</v>
      </c>
      <c r="G15" s="1">
        <f>VLOOKUP(D15,Vlookup!$A$1:$B$12,2,0)</f>
        <v>3.1128955371860085</v>
      </c>
      <c r="H15" s="1">
        <f t="shared" ref="H15" si="9">E15*F15*G15</f>
        <v>8.8425719033024777</v>
      </c>
      <c r="I15" s="1">
        <f t="shared" ref="I15" si="10">F15*G15</f>
        <v>3.5997894684563994</v>
      </c>
      <c r="J15" s="1">
        <f t="shared" ref="J15" si="11">G15</f>
        <v>3.1128955371860085</v>
      </c>
      <c r="K15">
        <v>1</v>
      </c>
      <c r="L15" s="1">
        <f t="shared" ref="L15" si="12">SUM(H15:K15)</f>
        <v>16.555256908944887</v>
      </c>
      <c r="M15" s="1">
        <f>VLOOKUP(8,Rotations!$A$1:$Q$49,14,0)</f>
        <v>0.21744087018736721</v>
      </c>
      <c r="N15" s="1">
        <f>VLOOKUP(8,Rotations!$A$1:$Q$49,15,0)</f>
        <v>0.53412471651374926</v>
      </c>
      <c r="O15" s="1">
        <f>VLOOKUP(8,Rotations!$A$1:$Q$49,16,0)</f>
        <v>6.0403774190885252E-2</v>
      </c>
      <c r="P15" s="1">
        <f>VLOOKUP(8,Rotations!$A$1:$Q$49,17,0)</f>
        <v>0.18803063910799811</v>
      </c>
    </row>
    <row r="16" spans="1:16" x14ac:dyDescent="0.25">
      <c r="A16">
        <v>9</v>
      </c>
      <c r="B16" s="1" t="str">
        <f>Permutations!G10</f>
        <v>p2 - i2:i3</v>
      </c>
      <c r="C16" s="1" t="str">
        <f>Permutations!H10</f>
        <v>p41 - i3:i1</v>
      </c>
      <c r="D16" s="1" t="str">
        <f>Permutations!I10</f>
        <v>p6 - i1:i4</v>
      </c>
      <c r="E16" s="1">
        <f>VLOOKUP(B16,Vlookup!$A$1:$B$12,2,0)</f>
        <v>4.4765468655590741</v>
      </c>
      <c r="F16" s="1">
        <f>VLOOKUP(C16,Vlookup!$A$1:$B$12,2,0)</f>
        <v>0.7464649041378798</v>
      </c>
      <c r="G16" s="1">
        <f>VLOOKUP(D16,Vlookup!$A$1:$B$12,2,0)</f>
        <v>1.1564119082873345</v>
      </c>
      <c r="H16" s="1">
        <f t="shared" ref="H16" si="13">E16*F16*G16</f>
        <v>3.8642488332663234</v>
      </c>
      <c r="I16" s="1">
        <f t="shared" ref="I16" si="14">F16*G16</f>
        <v>0.86322090426360787</v>
      </c>
      <c r="J16" s="1">
        <f t="shared" ref="J16" si="15">G16</f>
        <v>1.1564119082873345</v>
      </c>
      <c r="K16">
        <v>1</v>
      </c>
      <c r="L16" s="1">
        <f t="shared" ref="L16" si="16">SUM(H16:K16)</f>
        <v>6.883881645817266</v>
      </c>
      <c r="M16" s="1">
        <f>VLOOKUP(9,Rotations!$A$1:$Q$49,14,0)</f>
        <v>0.16798834840369242</v>
      </c>
      <c r="N16" s="1">
        <f>VLOOKUP(9,Rotations!$A$1:$Q$49,15,0)</f>
        <v>0.56134736651294548</v>
      </c>
      <c r="O16" s="1">
        <f>VLOOKUP(9,Rotations!$A$1:$Q$49,16,0)</f>
        <v>0.12539740638744304</v>
      </c>
      <c r="P16" s="1">
        <f>VLOOKUP(9,Rotations!$A$1:$Q$49,17,0)</f>
        <v>0.14526687869591901</v>
      </c>
    </row>
    <row r="17" spans="1:18" x14ac:dyDescent="0.25">
      <c r="A17">
        <v>10</v>
      </c>
      <c r="B17" s="1" t="str">
        <f>Permutations!G11</f>
        <v>p2 - i2:i3</v>
      </c>
      <c r="C17" s="1" t="str">
        <f>Permutations!H11</f>
        <v>p3 - i3:i4</v>
      </c>
      <c r="D17" s="1" t="str">
        <f>Permutations!I11</f>
        <v>p61 - i4:i1</v>
      </c>
      <c r="E17" s="1">
        <f>VLOOKUP(B17,Vlookup!$A$1:$B$12,2,0)</f>
        <v>4.4765468655590741</v>
      </c>
      <c r="F17" s="1">
        <f>VLOOKUP(C17,Vlookup!$A$1:$B$12,2,0)</f>
        <v>0.73912016309129669</v>
      </c>
      <c r="G17" s="1">
        <f>VLOOKUP(D17,Vlookup!$A$1:$B$12,2,0)</f>
        <v>1.9882313718358775</v>
      </c>
      <c r="H17" s="1">
        <f t="shared" ref="H17" si="17">E17*F17*G17</f>
        <v>6.578473167516437</v>
      </c>
      <c r="I17" s="1">
        <f t="shared" ref="I17" si="18">F17*G17</f>
        <v>1.4695418958145663</v>
      </c>
      <c r="J17" s="1">
        <f t="shared" ref="J17" si="19">G17</f>
        <v>1.9882313718358775</v>
      </c>
      <c r="K17">
        <v>1</v>
      </c>
      <c r="L17" s="1">
        <f t="shared" ref="L17" si="20">SUM(H17:K17)</f>
        <v>11.036246435166881</v>
      </c>
      <c r="M17" s="1">
        <f>VLOOKUP(10,Rotations!$A$1:$Q$49,14,0)</f>
        <v>9.0610517432223217E-2</v>
      </c>
      <c r="N17" s="1">
        <f>VLOOKUP(10,Rotations!$A$1:$Q$49,15,0)</f>
        <v>0.59607885762266077</v>
      </c>
      <c r="O17" s="1">
        <f>VLOOKUP(10,Rotations!$A$1:$Q$49,16,0)</f>
        <v>0.13315595156808813</v>
      </c>
      <c r="P17" s="1">
        <f>VLOOKUP(10,Rotations!$A$1:$Q$49,17,0)</f>
        <v>0.18015467337702787</v>
      </c>
      <c r="Q17" s="1"/>
    </row>
    <row r="18" spans="1:18" x14ac:dyDescent="0.25">
      <c r="A18">
        <v>11</v>
      </c>
      <c r="B18" s="1" t="str">
        <f>Permutations!G12</f>
        <v>p5 - i2:i4</v>
      </c>
      <c r="C18" s="1" t="str">
        <f>Permutations!H12</f>
        <v>p61 - i4:i1</v>
      </c>
      <c r="D18" s="1" t="str">
        <f>Permutations!I12</f>
        <v>p4 - i1:i3</v>
      </c>
      <c r="E18" s="1">
        <f>VLOOKUP(B18,Vlookup!$A$1:$B$12,2,0)</f>
        <v>2.1273123381557117</v>
      </c>
      <c r="F18" s="1">
        <f>VLOOKUP(C18,Vlookup!$A$1:$B$12,2,0)</f>
        <v>1.9882313718358775</v>
      </c>
      <c r="G18" s="1">
        <f>VLOOKUP(D18,Vlookup!$A$1:$B$12,2,0)</f>
        <v>3.1132641735939659</v>
      </c>
      <c r="H18" s="1">
        <f t="shared" ref="H18:H31" si="21">E18*F18*G18</f>
        <v>13.167828302516071</v>
      </c>
      <c r="I18" s="1">
        <f t="shared" ref="I18:I31" si="22">F18*G18</f>
        <v>6.1898894987522199</v>
      </c>
      <c r="J18" s="1">
        <f t="shared" ref="J18:J31" si="23">G18</f>
        <v>3.1132641735939659</v>
      </c>
      <c r="K18">
        <v>1</v>
      </c>
      <c r="L18" s="1">
        <f t="shared" ref="L18:L31" si="24">SUM(H18:K18)</f>
        <v>23.470981974862255</v>
      </c>
      <c r="M18" s="1">
        <f>VLOOKUP(11,Rotations!$A$1:$Q$49,14,0)</f>
        <v>0.13264311552572938</v>
      </c>
      <c r="N18" s="1">
        <f>VLOOKUP(11,Rotations!$A$1:$Q$49,15,0)</f>
        <v>0.56102587938668247</v>
      </c>
      <c r="O18" s="1">
        <f>VLOOKUP(11,Rotations!$A$1:$Q$49,16,0)</f>
        <v>4.2605801541282497E-2</v>
      </c>
      <c r="P18" s="1">
        <f>VLOOKUP(11,Rotations!$A$1:$Q$49,17,0)</f>
        <v>0.26372520354630569</v>
      </c>
      <c r="Q18" s="1"/>
    </row>
    <row r="19" spans="1:18" x14ac:dyDescent="0.25">
      <c r="A19">
        <v>12</v>
      </c>
      <c r="B19" s="1" t="str">
        <f>Permutations!G13</f>
        <v>p5 - i2:i4</v>
      </c>
      <c r="C19" s="1" t="str">
        <f>Permutations!H13</f>
        <v>p31 - i4:i3</v>
      </c>
      <c r="D19" s="1" t="str">
        <f>Permutations!I13</f>
        <v>p41 - i3:i1</v>
      </c>
      <c r="E19" s="1">
        <f>VLOOKUP(B19,Vlookup!$A$1:$B$12,2,0)</f>
        <v>2.1273123381557117</v>
      </c>
      <c r="F19" s="1">
        <f>VLOOKUP(C19,Vlookup!$A$1:$B$12,2,0)</f>
        <v>3.1128955371860085</v>
      </c>
      <c r="G19" s="1">
        <f>VLOOKUP(D19,Vlookup!$A$1:$B$12,2,0)</f>
        <v>0.7464649041378798</v>
      </c>
      <c r="H19" s="1">
        <f t="shared" si="21"/>
        <v>4.9431660505948987</v>
      </c>
      <c r="I19" s="1">
        <f t="shared" si="22"/>
        <v>2.3236672687567879</v>
      </c>
      <c r="J19" s="1">
        <f t="shared" si="23"/>
        <v>0.7464649041378798</v>
      </c>
      <c r="K19">
        <v>1</v>
      </c>
      <c r="L19" s="1">
        <f t="shared" si="24"/>
        <v>9.0132982234895671</v>
      </c>
      <c r="M19" s="1">
        <f>VLOOKUP(12,Rotations!$A$1:$Q$49,14,0)</f>
        <v>0.11094717773721265</v>
      </c>
      <c r="N19" s="1">
        <f>VLOOKUP(12,Rotations!$A$1:$Q$49,15,0)</f>
        <v>0.54843032239990774</v>
      </c>
      <c r="O19" s="1">
        <f>VLOOKUP(12,Rotations!$A$1:$Q$49,16,0)</f>
        <v>8.2818174393976748E-2</v>
      </c>
      <c r="P19" s="1">
        <f>VLOOKUP(12,Rotations!$A$1:$Q$49,17,0)</f>
        <v>0.25780432546890281</v>
      </c>
      <c r="Q19" s="1"/>
    </row>
    <row r="20" spans="1:18" x14ac:dyDescent="0.25">
      <c r="A20">
        <v>13</v>
      </c>
      <c r="B20" s="1" t="str">
        <f>Permutations!G14</f>
        <v>p41 - i3:i1</v>
      </c>
      <c r="C20" s="1" t="str">
        <f>Permutations!H14</f>
        <v>p1 - i1:i2</v>
      </c>
      <c r="D20" s="1" t="str">
        <f>Permutations!I14</f>
        <v>p5 - i2:i4</v>
      </c>
      <c r="E20" s="1">
        <f>VLOOKUP(B20,Vlookup!$A$1:$B$12,2,0)</f>
        <v>0.7464649041378798</v>
      </c>
      <c r="F20" s="1">
        <f>VLOOKUP(C20,Vlookup!$A$1:$B$12,2,0)</f>
        <v>0.54589386108714644</v>
      </c>
      <c r="G20" s="1">
        <f>VLOOKUP(D20,Vlookup!$A$1:$B$12,2,0)</f>
        <v>2.1273123381557117</v>
      </c>
      <c r="H20" s="1">
        <f t="shared" si="21"/>
        <v>0.86685979954004044</v>
      </c>
      <c r="I20" s="1">
        <f t="shared" si="22"/>
        <v>1.1612867460141467</v>
      </c>
      <c r="J20" s="1">
        <f t="shared" si="23"/>
        <v>2.1273123381557117</v>
      </c>
      <c r="K20">
        <v>1</v>
      </c>
      <c r="L20" s="1">
        <f t="shared" si="24"/>
        <v>5.1554588837098994</v>
      </c>
      <c r="M20" s="1">
        <f>VLOOKUP(13,Rotations!$A$1:$Q$49,14,0)</f>
        <v>0.22525380809137163</v>
      </c>
      <c r="N20" s="1">
        <f>VLOOKUP(13,Rotations!$A$1:$Q$49,15,0)</f>
        <v>0.41263297528713583</v>
      </c>
      <c r="O20" s="1">
        <f>VLOOKUP(13,Rotations!$A$1:$Q$49,16,0)</f>
        <v>0.16814406226361811</v>
      </c>
      <c r="P20" s="1">
        <f>VLOOKUP(13,Rotations!$A$1:$Q$49,17,0)</f>
        <v>0.19396915435787435</v>
      </c>
      <c r="Q20" s="1"/>
    </row>
    <row r="21" spans="1:18" x14ac:dyDescent="0.25">
      <c r="A21">
        <v>14</v>
      </c>
      <c r="B21" s="1" t="str">
        <f>Permutations!G15</f>
        <v>p41 - i3:i1</v>
      </c>
      <c r="C21" s="1" t="str">
        <f>Permutations!H15</f>
        <v>p6 - i1:i4</v>
      </c>
      <c r="D21" s="1" t="str">
        <f>Permutations!I15</f>
        <v>p51 - i4:i2</v>
      </c>
      <c r="E21" s="1">
        <f>VLOOKUP(B21,Vlookup!$A$1:$B$12,2,0)</f>
        <v>0.7464649041378798</v>
      </c>
      <c r="F21" s="1">
        <f>VLOOKUP(C21,Vlookup!$A$1:$B$12,2,0)</f>
        <v>1.1564119082873345</v>
      </c>
      <c r="G21" s="1">
        <f>VLOOKUP(D21,Vlookup!$A$1:$B$12,2,0)</f>
        <v>0.67580326515546185</v>
      </c>
      <c r="H21" s="1">
        <f t="shared" si="21"/>
        <v>0.58336750565179651</v>
      </c>
      <c r="I21" s="1">
        <f t="shared" si="22"/>
        <v>0.78150694348523919</v>
      </c>
      <c r="J21" s="1">
        <f t="shared" si="23"/>
        <v>0.67580326515546185</v>
      </c>
      <c r="K21">
        <v>1</v>
      </c>
      <c r="L21" s="1">
        <f t="shared" si="24"/>
        <v>3.0406777142924977</v>
      </c>
      <c r="M21" s="1">
        <f>VLOOKUP(14,Rotations!$A$1:$Q$49,14,0)</f>
        <v>0.25701735498366673</v>
      </c>
      <c r="N21" s="1">
        <f>VLOOKUP(14,Rotations!$A$1:$Q$49,15,0)</f>
        <v>0.3288740517614111</v>
      </c>
      <c r="O21" s="1">
        <f>VLOOKUP(14,Rotations!$A$1:$Q$49,16,0)</f>
        <v>0.1918544352496542</v>
      </c>
      <c r="P21" s="1">
        <f>VLOOKUP(14,Rotations!$A$1:$Q$49,17,0)</f>
        <v>0.22225415800526799</v>
      </c>
      <c r="Q21" s="1"/>
    </row>
    <row r="22" spans="1:18" x14ac:dyDescent="0.25">
      <c r="A22">
        <v>15</v>
      </c>
      <c r="B22" s="1" t="str">
        <f>Permutations!G16</f>
        <v>p21 - i3:i2</v>
      </c>
      <c r="C22" s="1" t="str">
        <f>Permutations!H16</f>
        <v>p11 - i2:i1</v>
      </c>
      <c r="D22" s="1" t="str">
        <f>Permutations!I16</f>
        <v>p6 - i1:i4</v>
      </c>
      <c r="E22" s="1">
        <f>VLOOKUP(B22,Vlookup!$A$1:$B$12,2,0)</f>
        <v>0.28380473273700907</v>
      </c>
      <c r="F22" s="1">
        <f>VLOOKUP(C22,Vlookup!$A$1:$B$12,2,0)</f>
        <v>2.4564136266263925</v>
      </c>
      <c r="G22" s="1">
        <f>VLOOKUP(D22,Vlookup!$A$1:$B$12,2,0)</f>
        <v>1.1564119082873345</v>
      </c>
      <c r="H22" s="1">
        <f t="shared" si="21"/>
        <v>0.8061830940826038</v>
      </c>
      <c r="I22" s="1">
        <f t="shared" si="22"/>
        <v>2.8406259695100387</v>
      </c>
      <c r="J22" s="1">
        <f t="shared" si="23"/>
        <v>1.1564119082873345</v>
      </c>
      <c r="K22">
        <v>1</v>
      </c>
      <c r="L22" s="1">
        <f t="shared" si="24"/>
        <v>5.803220971879977</v>
      </c>
      <c r="M22" s="1">
        <f>VLOOKUP(15,Rotations!$A$1:$Q$49,14,0)</f>
        <v>0.19927070051111809</v>
      </c>
      <c r="N22" s="1">
        <f>VLOOKUP(15,Rotations!$A$1:$Q$49,15,0)</f>
        <v>0.48949126412289728</v>
      </c>
      <c r="O22" s="1">
        <f>VLOOKUP(15,Rotations!$A$1:$Q$49,16,0)</f>
        <v>0.13891993739149958</v>
      </c>
      <c r="P22" s="1">
        <f>VLOOKUP(15,Rotations!$A$1:$Q$49,17,0)</f>
        <v>0.17231809797448502</v>
      </c>
      <c r="Q22" s="1"/>
    </row>
    <row r="23" spans="1:18" x14ac:dyDescent="0.25">
      <c r="A23">
        <v>16</v>
      </c>
      <c r="B23" s="1" t="str">
        <f>Permutations!G17</f>
        <v>p21 - i3:i2</v>
      </c>
      <c r="C23" s="1" t="str">
        <f>Permutations!H17</f>
        <v>p5 - i2:i4</v>
      </c>
      <c r="D23" s="1" t="str">
        <f>Permutations!I17</f>
        <v>p61 - i4:i1</v>
      </c>
      <c r="E23" s="1">
        <f>VLOOKUP(B23,Vlookup!$A$1:$B$12,2,0)</f>
        <v>0.28380473273700907</v>
      </c>
      <c r="F23" s="1">
        <f>VLOOKUP(C23,Vlookup!$A$1:$B$12,2,0)</f>
        <v>2.1273123381557117</v>
      </c>
      <c r="G23" s="1">
        <f>VLOOKUP(D23,Vlookup!$A$1:$B$12,2,0)</f>
        <v>1.9882313718358775</v>
      </c>
      <c r="H23" s="1">
        <f t="shared" si="21"/>
        <v>1.2003774121770985</v>
      </c>
      <c r="I23" s="1">
        <f t="shared" si="22"/>
        <v>4.2295891284147187</v>
      </c>
      <c r="J23" s="1">
        <f t="shared" si="23"/>
        <v>1.9882313718358775</v>
      </c>
      <c r="K23">
        <v>1</v>
      </c>
      <c r="L23" s="1">
        <f t="shared" si="24"/>
        <v>8.4181979124276936</v>
      </c>
      <c r="M23" s="1">
        <f>VLOOKUP(16,Rotations!$A$1:$Q$49,14,0)</f>
        <v>0.11879026965185874</v>
      </c>
      <c r="N23" s="1">
        <f>VLOOKUP(16,Rotations!$A$1:$Q$49,15,0)</f>
        <v>0.50243403308095458</v>
      </c>
      <c r="O23" s="1">
        <f>VLOOKUP(16,Rotations!$A$1:$Q$49,16,0)</f>
        <v>0.14259315647651791</v>
      </c>
      <c r="P23" s="1">
        <f>VLOOKUP(16,Rotations!$A$1:$Q$49,17,0)</f>
        <v>0.23618254079066889</v>
      </c>
      <c r="Q23" s="1"/>
      <c r="R23" s="1"/>
    </row>
    <row r="24" spans="1:18" x14ac:dyDescent="0.25">
      <c r="A24">
        <v>17</v>
      </c>
      <c r="B24" s="1" t="str">
        <f>Permutations!G18</f>
        <v>p3 - i3:i4</v>
      </c>
      <c r="C24" s="1" t="str">
        <f>Permutations!H18</f>
        <v>p61 - i4:i1</v>
      </c>
      <c r="D24" s="1" t="str">
        <f>Permutations!I18</f>
        <v>p1 - i1:i2</v>
      </c>
      <c r="E24" s="1">
        <f>VLOOKUP(B24,Vlookup!$A$1:$B$12,2,0)</f>
        <v>0.73912016309129669</v>
      </c>
      <c r="F24" s="1">
        <f>VLOOKUP(C24,Vlookup!$A$1:$B$12,2,0)</f>
        <v>1.9882313718358775</v>
      </c>
      <c r="G24" s="1">
        <f>VLOOKUP(D24,Vlookup!$A$1:$B$12,2,0)</f>
        <v>0.54589386108714644</v>
      </c>
      <c r="H24" s="1">
        <f t="shared" si="21"/>
        <v>0.80221389953553868</v>
      </c>
      <c r="I24" s="1">
        <f t="shared" si="22"/>
        <v>1.0853633003060812</v>
      </c>
      <c r="J24" s="1">
        <f t="shared" si="23"/>
        <v>0.54589386108714644</v>
      </c>
      <c r="K24">
        <v>1</v>
      </c>
      <c r="L24" s="1">
        <f t="shared" si="24"/>
        <v>3.4334710609287664</v>
      </c>
      <c r="M24" s="1">
        <f>VLOOKUP(17,Rotations!$A$1:$Q$49,14,0)</f>
        <v>0.15899183403616052</v>
      </c>
      <c r="N24" s="1">
        <f>VLOOKUP(17,Rotations!$A$1:$Q$49,15,0)</f>
        <v>0.29125045245888759</v>
      </c>
      <c r="O24" s="1">
        <f>VLOOKUP(17,Rotations!$A$1:$Q$49,16,0)</f>
        <v>0.23364516120853424</v>
      </c>
      <c r="P24" s="1">
        <f>VLOOKUP(17,Rotations!$A$1:$Q$49,17,0)</f>
        <v>0.3161125522964176</v>
      </c>
    </row>
    <row r="25" spans="1:18" x14ac:dyDescent="0.25">
      <c r="A25">
        <v>18</v>
      </c>
      <c r="B25" s="1" t="str">
        <f>Permutations!G19</f>
        <v>p3 - i3:i4</v>
      </c>
      <c r="C25" s="1" t="str">
        <f>Permutations!H19</f>
        <v>p51 - i4:i2</v>
      </c>
      <c r="D25" s="1" t="str">
        <f>Permutations!I19</f>
        <v>p11 - i2:i1</v>
      </c>
      <c r="E25" s="1">
        <f>VLOOKUP(B25,Vlookup!$A$1:$B$12,2,0)</f>
        <v>0.73912016309129669</v>
      </c>
      <c r="F25" s="1">
        <f>VLOOKUP(C25,Vlookup!$A$1:$B$12,2,0)</f>
        <v>0.67580326515546185</v>
      </c>
      <c r="G25" s="1">
        <f>VLOOKUP(D25,Vlookup!$A$1:$B$12,2,0)</f>
        <v>2.4564136266263925</v>
      </c>
      <c r="H25" s="1">
        <f t="shared" si="21"/>
        <v>1.2269781632629768</v>
      </c>
      <c r="I25" s="1">
        <f t="shared" si="22"/>
        <v>1.6600523494464856</v>
      </c>
      <c r="J25" s="1">
        <f t="shared" si="23"/>
        <v>2.4564136266263925</v>
      </c>
      <c r="K25">
        <v>1</v>
      </c>
      <c r="L25" s="1">
        <f t="shared" si="24"/>
        <v>6.3434441393358547</v>
      </c>
      <c r="M25" s="1">
        <f>VLOOKUP(18,Rotations!$A$1:$Q$49,14,0)</f>
        <v>0.15764306866028427</v>
      </c>
      <c r="N25" s="1">
        <f>VLOOKUP(18,Rotations!$A$1:$Q$49,15,0)</f>
        <v>0.38723658200032229</v>
      </c>
      <c r="O25" s="1">
        <f>VLOOKUP(18,Rotations!$A$1:$Q$49,16,0)</f>
        <v>0.19342460283593493</v>
      </c>
      <c r="P25" s="1">
        <f>VLOOKUP(18,Rotations!$A$1:$Q$49,17,0)</f>
        <v>0.26169574650345856</v>
      </c>
      <c r="Q25" s="1"/>
    </row>
    <row r="26" spans="1:18" x14ac:dyDescent="0.25">
      <c r="A26">
        <v>19</v>
      </c>
      <c r="B26" s="1" t="str">
        <f>Permutations!G20</f>
        <v>p61 - i4:i1</v>
      </c>
      <c r="C26" s="1" t="str">
        <f>Permutations!H20</f>
        <v>p1 - i1:i2</v>
      </c>
      <c r="D26" s="1" t="str">
        <f>Permutations!I20</f>
        <v>p2 - i2:i3</v>
      </c>
      <c r="E26" s="1">
        <f>VLOOKUP(B26,Vlookup!$A$1:$B$12,2,0)</f>
        <v>1.9882313718358775</v>
      </c>
      <c r="F26" s="1">
        <f>VLOOKUP(C26,Vlookup!$A$1:$B$12,2,0)</f>
        <v>0.54589386108714644</v>
      </c>
      <c r="G26" s="1">
        <f>VLOOKUP(D26,Vlookup!$A$1:$B$12,2,0)</f>
        <v>4.4765468655590741</v>
      </c>
      <c r="H26" s="1">
        <f t="shared" si="21"/>
        <v>4.8586796799780396</v>
      </c>
      <c r="I26" s="1">
        <f t="shared" si="22"/>
        <v>2.4437194527776058</v>
      </c>
      <c r="J26" s="1">
        <f t="shared" si="23"/>
        <v>4.4765468655590741</v>
      </c>
      <c r="K26">
        <v>1</v>
      </c>
      <c r="L26" s="1">
        <f t="shared" si="24"/>
        <v>12.77894599831472</v>
      </c>
      <c r="M26" s="1">
        <f>VLOOKUP(19,Rotations!$A$1:$Q$49,14,0)</f>
        <v>0.19123012595091035</v>
      </c>
      <c r="N26" s="1">
        <f>VLOOKUP(19,Rotations!$A$1:$Q$49,15,0)</f>
        <v>0.35030642324879052</v>
      </c>
      <c r="O26" s="1">
        <f>VLOOKUP(19,Rotations!$A$1:$Q$49,16,0)</f>
        <v>7.8253715144572911E-2</v>
      </c>
      <c r="P26" s="1">
        <f>VLOOKUP(19,Rotations!$A$1:$Q$49,17,0)</f>
        <v>0.38020973565572619</v>
      </c>
      <c r="Q26" s="1"/>
    </row>
    <row r="27" spans="1:18" x14ac:dyDescent="0.25">
      <c r="A27">
        <v>20</v>
      </c>
      <c r="B27" s="1" t="str">
        <f>Permutations!G21</f>
        <v>p61 - i4:i1</v>
      </c>
      <c r="C27" s="1" t="str">
        <f>Permutations!H21</f>
        <v>p4 - i1:i3</v>
      </c>
      <c r="D27" s="1" t="str">
        <f>Permutations!I21</f>
        <v>p21 - i3:i2</v>
      </c>
      <c r="E27" s="1">
        <f>VLOOKUP(B27,Vlookup!$A$1:$B$12,2,0)</f>
        <v>1.9882313718358775</v>
      </c>
      <c r="F27" s="1">
        <f>VLOOKUP(C27,Vlookup!$A$1:$B$12,2,0)</f>
        <v>3.1132641735939659</v>
      </c>
      <c r="G27" s="1">
        <f>VLOOKUP(D27,Vlookup!$A$1:$B$12,2,0)</f>
        <v>0.28380473273700907</v>
      </c>
      <c r="H27" s="1">
        <f t="shared" si="21"/>
        <v>1.7567199348649929</v>
      </c>
      <c r="I27" s="1">
        <f t="shared" si="22"/>
        <v>0.88355910672654092</v>
      </c>
      <c r="J27" s="1">
        <f t="shared" si="23"/>
        <v>0.28380473273700907</v>
      </c>
      <c r="K27">
        <v>1</v>
      </c>
      <c r="L27" s="1">
        <f t="shared" si="24"/>
        <v>3.9240837743285431</v>
      </c>
      <c r="M27" s="1">
        <f>VLOOKUP(20,Rotations!$A$1:$Q$49,14,0)</f>
        <v>0.22516316101781703</v>
      </c>
      <c r="N27" s="1">
        <f>VLOOKUP(20,Rotations!$A$1:$Q$49,15,0)</f>
        <v>0.25483655740023331</v>
      </c>
      <c r="O27" s="1">
        <f>VLOOKUP(20,Rotations!$A$1:$Q$49,16,0)</f>
        <v>7.2323821064592689E-2</v>
      </c>
      <c r="P27" s="1">
        <f>VLOOKUP(20,Rotations!$A$1:$Q$49,17,0)</f>
        <v>0.44767646051735693</v>
      </c>
      <c r="Q27" s="1"/>
    </row>
    <row r="28" spans="1:18" x14ac:dyDescent="0.25">
      <c r="A28">
        <v>21</v>
      </c>
      <c r="B28" s="1" t="str">
        <f>Permutations!G22</f>
        <v>p51 - i4:i2</v>
      </c>
      <c r="C28" s="1" t="str">
        <f>Permutations!H22</f>
        <v>p11 - i2:i1</v>
      </c>
      <c r="D28" s="1" t="str">
        <f>Permutations!I22</f>
        <v>p4 - i1:i3</v>
      </c>
      <c r="E28" s="1">
        <f>VLOOKUP(B28,Vlookup!$A$1:$B$12,2,0)</f>
        <v>0.67580326515546185</v>
      </c>
      <c r="F28" s="1">
        <f>VLOOKUP(C28,Vlookup!$A$1:$B$12,2,0)</f>
        <v>2.4564136266263925</v>
      </c>
      <c r="G28" s="1">
        <f>VLOOKUP(D28,Vlookup!$A$1:$B$12,2,0)</f>
        <v>3.1132641735939659</v>
      </c>
      <c r="H28" s="1">
        <f t="shared" si="21"/>
        <v>5.1681815058222345</v>
      </c>
      <c r="I28" s="1">
        <f t="shared" si="22"/>
        <v>7.6474645393039724</v>
      </c>
      <c r="J28" s="1">
        <f t="shared" si="23"/>
        <v>3.1132641735939659</v>
      </c>
      <c r="K28">
        <v>1</v>
      </c>
      <c r="L28" s="1">
        <f t="shared" si="24"/>
        <v>16.928910218720173</v>
      </c>
      <c r="M28" s="1">
        <f>VLOOKUP(21,Rotations!$A$1:$Q$49,14,0)</f>
        <v>0.18390222012940233</v>
      </c>
      <c r="N28" s="1">
        <f>VLOOKUP(21,Rotations!$A$1:$Q$49,15,0)</f>
        <v>0.45173991949271036</v>
      </c>
      <c r="O28" s="1">
        <f>VLOOKUP(21,Rotations!$A$1:$Q$49,16,0)</f>
        <v>5.9070547783648182E-2</v>
      </c>
      <c r="P28" s="1">
        <f>VLOOKUP(21,Rotations!$A$1:$Q$49,17,0)</f>
        <v>0.30528731259423914</v>
      </c>
      <c r="Q28" s="1"/>
    </row>
    <row r="29" spans="1:18" x14ac:dyDescent="0.25">
      <c r="A29">
        <v>22</v>
      </c>
      <c r="B29" s="1" t="str">
        <f>Permutations!G23</f>
        <v>p51 - i4:i2</v>
      </c>
      <c r="C29" s="1" t="str">
        <f>Permutations!H23</f>
        <v>p2 - i2:i3</v>
      </c>
      <c r="D29" s="1" t="str">
        <f>Permutations!I23</f>
        <v>p41 - i3:i1</v>
      </c>
      <c r="E29" s="1">
        <f>VLOOKUP(B29,Vlookup!$A$1:$B$12,2,0)</f>
        <v>0.67580326515546185</v>
      </c>
      <c r="F29" s="1">
        <f>VLOOKUP(C29,Vlookup!$A$1:$B$12,2,0)</f>
        <v>4.4765468655590741</v>
      </c>
      <c r="G29" s="1">
        <f>VLOOKUP(D29,Vlookup!$A$1:$B$12,2,0)</f>
        <v>0.7464649041378798</v>
      </c>
      <c r="H29" s="1">
        <f t="shared" si="21"/>
        <v>2.2582541395325122</v>
      </c>
      <c r="I29" s="1">
        <f t="shared" si="22"/>
        <v>3.3415851268682806</v>
      </c>
      <c r="J29" s="1">
        <f t="shared" si="23"/>
        <v>0.7464649041378798</v>
      </c>
      <c r="K29">
        <v>1</v>
      </c>
      <c r="L29" s="1">
        <f t="shared" si="24"/>
        <v>7.346304170538672</v>
      </c>
      <c r="M29" s="1">
        <f>VLOOKUP(22,Rotations!$A$1:$Q$49,14,0)</f>
        <v>0.13612286896727752</v>
      </c>
      <c r="N29" s="1">
        <f>VLOOKUP(22,Rotations!$A$1:$Q$49,15,0)</f>
        <v>0.4548661543676944</v>
      </c>
      <c r="O29" s="1">
        <f>VLOOKUP(22,Rotations!$A$1:$Q$49,16,0)</f>
        <v>0.10161094433463198</v>
      </c>
      <c r="P29" s="1">
        <f>VLOOKUP(22,Rotations!$A$1:$Q$49,17,0)</f>
        <v>0.3074000323303962</v>
      </c>
      <c r="Q29" s="1"/>
    </row>
    <row r="30" spans="1:18" x14ac:dyDescent="0.25">
      <c r="A30">
        <v>23</v>
      </c>
      <c r="B30" s="1" t="str">
        <f>Permutations!G24</f>
        <v>p31 - i4:i3</v>
      </c>
      <c r="C30" s="1" t="str">
        <f>Permutations!H24</f>
        <v>p41 - i3:i1</v>
      </c>
      <c r="D30" s="1" t="str">
        <f>Permutations!I24</f>
        <v>p1 - i1:i2</v>
      </c>
      <c r="E30" s="1">
        <f>VLOOKUP(B30,Vlookup!$A$1:$B$12,2,0)</f>
        <v>3.1128955371860085</v>
      </c>
      <c r="F30" s="1">
        <f>VLOOKUP(C30,Vlookup!$A$1:$B$12,2,0)</f>
        <v>0.7464649041378798</v>
      </c>
      <c r="G30" s="1">
        <f>VLOOKUP(D30,Vlookup!$A$1:$B$12,2,0)</f>
        <v>0.54589386108714644</v>
      </c>
      <c r="H30" s="1">
        <f t="shared" si="21"/>
        <v>1.268475697223467</v>
      </c>
      <c r="I30" s="1">
        <f t="shared" si="22"/>
        <v>0.40749060868587383</v>
      </c>
      <c r="J30" s="1">
        <f t="shared" si="23"/>
        <v>0.54589386108714644</v>
      </c>
      <c r="K30">
        <v>1</v>
      </c>
      <c r="L30" s="1">
        <f t="shared" si="24"/>
        <v>3.2218601669964873</v>
      </c>
      <c r="M30" s="1">
        <f>VLOOKUP(23,Rotations!$A$1:$Q$49,14,0)</f>
        <v>0.16943437417895288</v>
      </c>
      <c r="N30" s="1">
        <f>VLOOKUP(23,Rotations!$A$1:$Q$49,15,0)</f>
        <v>0.31037970245997032</v>
      </c>
      <c r="O30" s="1">
        <f>VLOOKUP(23,Rotations!$A$1:$Q$49,16,0)</f>
        <v>0.12647681387915372</v>
      </c>
      <c r="P30" s="1">
        <f>VLOOKUP(23,Rotations!$A$1:$Q$49,17,0)</f>
        <v>0.39370910948192306</v>
      </c>
      <c r="Q30" s="1"/>
    </row>
    <row r="31" spans="1:18" x14ac:dyDescent="0.25">
      <c r="A31">
        <v>24</v>
      </c>
      <c r="B31" s="1" t="str">
        <f>Permutations!G25</f>
        <v>p31 - i4:i3</v>
      </c>
      <c r="C31" s="1" t="str">
        <f>Permutations!H25</f>
        <v>p21 - i3:i2</v>
      </c>
      <c r="D31" s="1" t="str">
        <f>Permutations!I25</f>
        <v>p11 - i2:i1</v>
      </c>
      <c r="E31" s="1">
        <f>VLOOKUP(B31,Vlookup!$A$1:$B$12,2,0)</f>
        <v>3.1128955371860085</v>
      </c>
      <c r="F31" s="1">
        <f>VLOOKUP(C31,Vlookup!$A$1:$B$12,2,0)</f>
        <v>0.28380473273700907</v>
      </c>
      <c r="G31" s="1">
        <f>VLOOKUP(D31,Vlookup!$A$1:$B$12,2,0)</f>
        <v>2.4564136266263925</v>
      </c>
      <c r="H31" s="1">
        <f t="shared" si="21"/>
        <v>2.1701296378392119</v>
      </c>
      <c r="I31" s="1">
        <f t="shared" si="22"/>
        <v>0.69714181279625054</v>
      </c>
      <c r="J31" s="1">
        <f t="shared" si="23"/>
        <v>2.4564136266263925</v>
      </c>
      <c r="K31">
        <v>1</v>
      </c>
      <c r="L31" s="1">
        <f t="shared" si="24"/>
        <v>6.3236850772618549</v>
      </c>
      <c r="M31" s="1">
        <f>VLOOKUP(24,Rotations!$A$1:$Q$49,14,0)</f>
        <v>0.15813564207928557</v>
      </c>
      <c r="N31" s="1">
        <f>VLOOKUP(24,Rotations!$A$1:$Q$49,15,0)</f>
        <v>0.38844654605887102</v>
      </c>
      <c r="O31" s="1">
        <f>VLOOKUP(24,Rotations!$A$1:$Q$49,16,0)</f>
        <v>0.11024296818685218</v>
      </c>
      <c r="P31" s="1">
        <f>VLOOKUP(24,Rotations!$A$1:$Q$49,17,0)</f>
        <v>0.34317484367499124</v>
      </c>
      <c r="Q31" s="1"/>
    </row>
    <row r="32" spans="1:18" x14ac:dyDescent="0.25">
      <c r="M32" s="1">
        <f>AVERAGE(M8:M31)</f>
        <v>0.20905036099187402</v>
      </c>
      <c r="N32" s="1">
        <f t="shared" ref="N32:P32" si="25">AVERAGE(N8:N31)</f>
        <v>0.42853038396056414</v>
      </c>
      <c r="O32" s="1">
        <f t="shared" si="25"/>
        <v>0.11368989149145591</v>
      </c>
      <c r="P32" s="1">
        <f t="shared" si="25"/>
        <v>0.24872936355610598</v>
      </c>
      <c r="Q32" t="s">
        <v>51</v>
      </c>
    </row>
    <row r="33" spans="13:17" x14ac:dyDescent="0.25">
      <c r="M33" s="27">
        <f>STDEV(M8:M31)</f>
        <v>7.850469862380012E-2</v>
      </c>
      <c r="N33" s="27">
        <f t="shared" ref="N33:P33" si="26">STDEV(N8:N31)</f>
        <v>0.10513077908589345</v>
      </c>
      <c r="O33" s="27">
        <f t="shared" si="26"/>
        <v>4.7674296760458749E-2</v>
      </c>
      <c r="P33" s="27">
        <f t="shared" si="26"/>
        <v>8.6066339107461906E-2</v>
      </c>
      <c r="Q33" t="s">
        <v>34</v>
      </c>
    </row>
    <row r="34" spans="13:17" x14ac:dyDescent="0.25">
      <c r="M34" s="27"/>
      <c r="N34" s="27"/>
      <c r="O34" s="27"/>
      <c r="P34" s="26">
        <f>AVERAGE(M33:P33)</f>
        <v>7.9344028394403562E-2</v>
      </c>
      <c r="Q34" t="s">
        <v>49</v>
      </c>
    </row>
    <row r="35" spans="13:17" x14ac:dyDescent="0.25">
      <c r="M35" s="27">
        <f>M33*M33</f>
        <v>6.1629877060136841E-3</v>
      </c>
      <c r="N35" s="27">
        <f>N33*N33</f>
        <v>1.1052480711206932E-2</v>
      </c>
      <c r="O35" s="27">
        <f>O33*O33</f>
        <v>2.2728385716042875E-3</v>
      </c>
      <c r="P35" s="27">
        <f>P33*P33</f>
        <v>7.4074147273606268E-3</v>
      </c>
      <c r="Q35" t="s">
        <v>47</v>
      </c>
    </row>
    <row r="36" spans="13:17" x14ac:dyDescent="0.25">
      <c r="M36" s="27"/>
      <c r="N36" s="27"/>
      <c r="O36" s="27"/>
      <c r="P36" s="27">
        <f>M35+N35+O35+P35</f>
        <v>2.6895721716185532E-2</v>
      </c>
      <c r="Q36" t="s">
        <v>48</v>
      </c>
    </row>
    <row r="37" spans="13:17" x14ac:dyDescent="0.25">
      <c r="M37" s="27"/>
      <c r="N37" s="27"/>
      <c r="O37" s="27"/>
      <c r="P37" s="27">
        <f>SQRT(P36)</f>
        <v>0.16399915157154177</v>
      </c>
      <c r="Q37" t="s">
        <v>90</v>
      </c>
    </row>
  </sheetData>
  <conditionalFormatting sqref="M32:P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scale="53" fitToHeight="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E54FD-0DD9-44D4-A0E3-9184BA3961ED}">
  <dimension ref="A1:AK49"/>
  <sheetViews>
    <sheetView zoomScale="90" zoomScaleNormal="90" workbookViewId="0"/>
  </sheetViews>
  <sheetFormatPr defaultRowHeight="15" x14ac:dyDescent="0.25"/>
  <cols>
    <col min="1" max="1" width="3.28515625" bestFit="1" customWidth="1"/>
    <col min="2" max="2" width="5.42578125" bestFit="1" customWidth="1"/>
    <col min="3" max="3" width="6" bestFit="1" customWidth="1"/>
    <col min="4" max="6" width="4.85546875" bestFit="1" customWidth="1"/>
    <col min="7" max="7" width="6" bestFit="1" customWidth="1"/>
    <col min="8" max="8" width="3.7109375" customWidth="1"/>
    <col min="9" max="9" width="4.85546875" bestFit="1" customWidth="1"/>
    <col min="10" max="10" width="6" bestFit="1" customWidth="1"/>
    <col min="11" max="12" width="4.85546875" bestFit="1" customWidth="1"/>
    <col min="13" max="13" width="4" customWidth="1"/>
    <col min="14" max="14" width="8.42578125" bestFit="1" customWidth="1"/>
    <col min="15" max="17" width="4.85546875" bestFit="1" customWidth="1"/>
  </cols>
  <sheetData>
    <row r="1" spans="1:17" x14ac:dyDescent="0.25">
      <c r="C1" t="s">
        <v>50</v>
      </c>
      <c r="I1" t="s">
        <v>85</v>
      </c>
      <c r="N1" t="s">
        <v>84</v>
      </c>
    </row>
    <row r="2" spans="1:17" x14ac:dyDescent="0.25">
      <c r="C2" t="s">
        <v>79</v>
      </c>
      <c r="D2" t="s">
        <v>80</v>
      </c>
      <c r="E2" t="s">
        <v>81</v>
      </c>
      <c r="F2" t="s">
        <v>82</v>
      </c>
      <c r="G2" t="s">
        <v>83</v>
      </c>
      <c r="I2" t="s">
        <v>79</v>
      </c>
      <c r="J2" t="s">
        <v>80</v>
      </c>
      <c r="K2" t="s">
        <v>81</v>
      </c>
      <c r="L2" t="s">
        <v>82</v>
      </c>
      <c r="N2" t="s">
        <v>79</v>
      </c>
      <c r="O2" t="s">
        <v>80</v>
      </c>
      <c r="P2" t="s">
        <v>81</v>
      </c>
      <c r="Q2" t="s">
        <v>82</v>
      </c>
    </row>
    <row r="3" spans="1:17" x14ac:dyDescent="0.25">
      <c r="A3">
        <v>1</v>
      </c>
      <c r="B3" t="s">
        <v>55</v>
      </c>
      <c r="C3" s="1">
        <f>Rankings!H8</f>
        <v>1.8062023204863584</v>
      </c>
      <c r="D3" s="1">
        <f>Rankings!I8</f>
        <v>3.3087060493578559</v>
      </c>
      <c r="E3" s="1">
        <f>Rankings!J8</f>
        <v>0.73912016309129669</v>
      </c>
      <c r="F3" s="1">
        <f>Rankings!K8</f>
        <v>1</v>
      </c>
      <c r="G3" s="1">
        <f>Rankings!L8</f>
        <v>6.8540285329355113</v>
      </c>
      <c r="H3" s="1"/>
      <c r="I3" s="1">
        <f>C3</f>
        <v>1.8062023204863584</v>
      </c>
      <c r="J3" s="1">
        <f>D3</f>
        <v>3.3087060493578559</v>
      </c>
      <c r="K3" s="1">
        <f>E3</f>
        <v>0.73912016309129669</v>
      </c>
      <c r="L3" s="1">
        <f>F3</f>
        <v>1</v>
      </c>
      <c r="N3" s="1">
        <f>I3/$G3</f>
        <v>0.26352419045340336</v>
      </c>
      <c r="O3" s="1">
        <f>J3/$G3</f>
        <v>0.48273887881537175</v>
      </c>
      <c r="P3" s="1">
        <f>K3/$G3</f>
        <v>0.10783733384528806</v>
      </c>
      <c r="Q3" s="1">
        <f>L3/$G3</f>
        <v>0.14589959688593682</v>
      </c>
    </row>
    <row r="4" spans="1:17" x14ac:dyDescent="0.25">
      <c r="C4" s="1" t="s">
        <v>79</v>
      </c>
      <c r="D4" s="1" t="s">
        <v>80</v>
      </c>
      <c r="E4" s="1" t="s">
        <v>82</v>
      </c>
      <c r="F4" s="1" t="s">
        <v>81</v>
      </c>
      <c r="G4" s="1"/>
      <c r="H4" s="1"/>
      <c r="I4" t="s">
        <v>79</v>
      </c>
      <c r="J4" t="s">
        <v>80</v>
      </c>
      <c r="K4" t="s">
        <v>81</v>
      </c>
      <c r="L4" t="s">
        <v>82</v>
      </c>
      <c r="N4" s="1"/>
      <c r="O4" s="1"/>
      <c r="P4" s="1"/>
      <c r="Q4" s="1"/>
    </row>
    <row r="5" spans="1:17" x14ac:dyDescent="0.25">
      <c r="A5">
        <v>2</v>
      </c>
      <c r="B5" t="s">
        <v>56</v>
      </c>
      <c r="C5" s="1">
        <f>Rankings!H9</f>
        <v>3.6149643290606992</v>
      </c>
      <c r="D5" s="1">
        <f>Rankings!I9</f>
        <v>6.6221010836456484</v>
      </c>
      <c r="E5" s="1">
        <f>Rankings!J9</f>
        <v>3.1128955371860085</v>
      </c>
      <c r="F5" s="1">
        <f>Rankings!K9</f>
        <v>1</v>
      </c>
      <c r="G5" s="1">
        <f>Rankings!L9</f>
        <v>14.349960949892356</v>
      </c>
      <c r="H5" s="1"/>
      <c r="I5" s="1">
        <f>C5</f>
        <v>3.6149643290606992</v>
      </c>
      <c r="J5" s="1">
        <f>D5</f>
        <v>6.6221010836456484</v>
      </c>
      <c r="K5" s="1">
        <f>F5</f>
        <v>1</v>
      </c>
      <c r="L5" s="1">
        <f>E5</f>
        <v>3.1128955371860085</v>
      </c>
      <c r="M5" s="1"/>
      <c r="N5" s="1">
        <f>I5/$G5</f>
        <v>0.25191457605240497</v>
      </c>
      <c r="O5" s="1">
        <f t="shared" ref="O5:Q5" si="0">J5/$G5</f>
        <v>0.46147171457601233</v>
      </c>
      <c r="P5" s="1">
        <f t="shared" si="0"/>
        <v>6.9686600785314426E-2</v>
      </c>
      <c r="Q5" s="1">
        <f t="shared" si="0"/>
        <v>0.21692710858626826</v>
      </c>
    </row>
    <row r="6" spans="1:17" x14ac:dyDescent="0.25">
      <c r="C6" s="1" t="s">
        <v>79</v>
      </c>
      <c r="D6" s="1" t="s">
        <v>81</v>
      </c>
      <c r="E6" s="1" t="s">
        <v>80</v>
      </c>
      <c r="F6" s="1" t="s">
        <v>82</v>
      </c>
      <c r="G6" s="1"/>
      <c r="H6" s="1"/>
      <c r="I6" s="1" t="s">
        <v>79</v>
      </c>
      <c r="J6" s="1" t="s">
        <v>80</v>
      </c>
      <c r="K6" s="1" t="s">
        <v>81</v>
      </c>
      <c r="L6" s="1" t="s">
        <v>82</v>
      </c>
      <c r="M6" s="1"/>
      <c r="N6" s="1"/>
      <c r="O6" s="1"/>
      <c r="P6" s="1"/>
      <c r="Q6" s="1"/>
    </row>
    <row r="7" spans="1:17" x14ac:dyDescent="0.25">
      <c r="A7">
        <v>3</v>
      </c>
      <c r="B7" t="s">
        <v>57</v>
      </c>
      <c r="C7" s="1">
        <f>Rankings!H10</f>
        <v>1.8796061892292097</v>
      </c>
      <c r="D7" s="1">
        <f>Rankings!I10</f>
        <v>0.60374130957842365</v>
      </c>
      <c r="E7" s="1">
        <f>Rankings!J10</f>
        <v>2.1273123381557117</v>
      </c>
      <c r="F7" s="1">
        <f>Rankings!K10</f>
        <v>1</v>
      </c>
      <c r="G7" s="1">
        <f>Rankings!L10</f>
        <v>5.6106598369633449</v>
      </c>
      <c r="H7" s="1"/>
      <c r="I7" s="1">
        <f>C7</f>
        <v>1.8796061892292097</v>
      </c>
      <c r="J7" s="1">
        <f>E7</f>
        <v>2.1273123381557117</v>
      </c>
      <c r="K7" s="1">
        <f>D7</f>
        <v>0.60374130957842365</v>
      </c>
      <c r="L7" s="1">
        <f>F7</f>
        <v>1</v>
      </c>
      <c r="M7" s="1"/>
      <c r="N7" s="1">
        <f t="shared" ref="N7" si="1">I7/$G7</f>
        <v>0.33500626376353415</v>
      </c>
      <c r="O7" s="1">
        <f t="shared" ref="O7" si="2">J7/$G7</f>
        <v>0.37915546477098067</v>
      </c>
      <c r="P7" s="1">
        <f t="shared" ref="P7" si="3">K7/$G7</f>
        <v>0.10760611534510463</v>
      </c>
      <c r="Q7" s="1">
        <f t="shared" ref="Q7" si="4">L7/$G7</f>
        <v>0.1782321561203806</v>
      </c>
    </row>
    <row r="8" spans="1:17" x14ac:dyDescent="0.25">
      <c r="C8" s="1" t="s">
        <v>79</v>
      </c>
      <c r="D8" s="1" t="s">
        <v>81</v>
      </c>
      <c r="E8" s="1" t="s">
        <v>82</v>
      </c>
      <c r="F8" s="1" t="s">
        <v>80</v>
      </c>
      <c r="G8" s="1"/>
      <c r="H8" s="1"/>
      <c r="I8" s="1" t="s">
        <v>79</v>
      </c>
      <c r="J8" s="1" t="s">
        <v>80</v>
      </c>
      <c r="K8" s="1" t="s">
        <v>81</v>
      </c>
      <c r="L8" s="1" t="s">
        <v>82</v>
      </c>
      <c r="M8" s="1"/>
      <c r="N8" s="1"/>
      <c r="O8" s="1"/>
      <c r="P8" s="1"/>
      <c r="Q8" s="1"/>
    </row>
    <row r="9" spans="1:17" x14ac:dyDescent="0.25">
      <c r="A9">
        <v>4</v>
      </c>
      <c r="B9" t="s">
        <v>58</v>
      </c>
      <c r="C9" s="1">
        <f>Rankings!H11</f>
        <v>1.5550748929507308</v>
      </c>
      <c r="D9" s="1">
        <f>Rankings!I11</f>
        <v>0.49949981955933581</v>
      </c>
      <c r="E9" s="1">
        <f>Rankings!J11</f>
        <v>0.67580326515546185</v>
      </c>
      <c r="F9" s="1">
        <f>Rankings!K11</f>
        <v>1</v>
      </c>
      <c r="G9" s="1">
        <f>Rankings!L11</f>
        <v>3.7303779776655284</v>
      </c>
      <c r="H9" s="1"/>
      <c r="I9" s="1">
        <f>C9</f>
        <v>1.5550748929507308</v>
      </c>
      <c r="J9" s="1">
        <f>F9</f>
        <v>1</v>
      </c>
      <c r="K9" s="1">
        <f>D9</f>
        <v>0.49949981955933581</v>
      </c>
      <c r="L9" s="1">
        <f>E9</f>
        <v>0.67580326515546185</v>
      </c>
      <c r="M9" s="1"/>
      <c r="N9" s="1">
        <f>I9/$G9</f>
        <v>0.41686791586837996</v>
      </c>
      <c r="O9" s="1">
        <f>J9/$G9</f>
        <v>0.26806935007315275</v>
      </c>
      <c r="P9" s="1">
        <f>K9/$G9</f>
        <v>0.13390059199092821</v>
      </c>
      <c r="Q9" s="1">
        <f>L9/$G9</f>
        <v>0.18116214206753917</v>
      </c>
    </row>
    <row r="10" spans="1:17" x14ac:dyDescent="0.25">
      <c r="C10" s="1" t="s">
        <v>79</v>
      </c>
      <c r="D10" s="1" t="s">
        <v>82</v>
      </c>
      <c r="E10" s="1" t="s">
        <v>80</v>
      </c>
      <c r="F10" s="1" t="s">
        <v>81</v>
      </c>
      <c r="G10" s="1"/>
      <c r="H10" s="1"/>
      <c r="I10" s="1" t="s">
        <v>79</v>
      </c>
      <c r="J10" s="1" t="s">
        <v>80</v>
      </c>
      <c r="K10" s="1" t="s">
        <v>81</v>
      </c>
      <c r="L10" s="1" t="s">
        <v>82</v>
      </c>
      <c r="M10" s="1"/>
      <c r="N10" s="1"/>
      <c r="O10" s="1"/>
      <c r="P10" s="1"/>
      <c r="Q10" s="1"/>
    </row>
    <row r="11" spans="1:17" x14ac:dyDescent="0.25">
      <c r="A11">
        <v>5</v>
      </c>
      <c r="B11" t="s">
        <v>59</v>
      </c>
      <c r="C11" s="1">
        <f>Rankings!H12</f>
        <v>3.4984524582714998</v>
      </c>
      <c r="D11" s="1">
        <f>Rankings!I12</f>
        <v>3.0252649883662706</v>
      </c>
      <c r="E11" s="1">
        <f>Rankings!J12</f>
        <v>4.4765468655590741</v>
      </c>
      <c r="F11" s="1">
        <f>Rankings!K12</f>
        <v>1</v>
      </c>
      <c r="G11" s="1">
        <f>Rankings!L12</f>
        <v>12.000264312196844</v>
      </c>
      <c r="H11" s="1"/>
      <c r="I11" s="1">
        <f>C11</f>
        <v>3.4984524582714998</v>
      </c>
      <c r="J11" s="1">
        <f>E11</f>
        <v>4.4765468655590741</v>
      </c>
      <c r="K11" s="1">
        <f>F11</f>
        <v>1</v>
      </c>
      <c r="L11" s="1">
        <f>D11</f>
        <v>3.0252649883662706</v>
      </c>
      <c r="M11" s="1"/>
      <c r="N11" s="1">
        <f>I11/$G11</f>
        <v>0.29153128358312391</v>
      </c>
      <c r="O11" s="1">
        <f>J11/$G11</f>
        <v>0.37303735560300916</v>
      </c>
      <c r="P11" s="1">
        <f>K11/$G11</f>
        <v>8.3331497872394258E-2</v>
      </c>
      <c r="Q11" s="1">
        <f>L11/$G11</f>
        <v>0.25209986294147269</v>
      </c>
    </row>
    <row r="12" spans="1:17" x14ac:dyDescent="0.25">
      <c r="C12" s="1" t="s">
        <v>79</v>
      </c>
      <c r="D12" s="1" t="s">
        <v>82</v>
      </c>
      <c r="E12" s="1" t="s">
        <v>81</v>
      </c>
      <c r="F12" s="1" t="s">
        <v>80</v>
      </c>
      <c r="G12" s="1"/>
      <c r="H12" s="1"/>
      <c r="I12" s="1" t="s">
        <v>79</v>
      </c>
      <c r="J12" s="1" t="s">
        <v>80</v>
      </c>
      <c r="K12" s="1" t="s">
        <v>81</v>
      </c>
      <c r="L12" s="1" t="s">
        <v>82</v>
      </c>
      <c r="M12" s="1"/>
      <c r="N12" s="1"/>
      <c r="O12" s="1"/>
      <c r="P12" s="1"/>
      <c r="Q12" s="1"/>
    </row>
    <row r="13" spans="1:17" x14ac:dyDescent="0.25">
      <c r="A13">
        <v>6</v>
      </c>
      <c r="B13" t="s">
        <v>60</v>
      </c>
      <c r="C13" s="1">
        <f>Rankings!H13</f>
        <v>1.0216372880047684</v>
      </c>
      <c r="D13" s="1">
        <f>Rankings!I13</f>
        <v>0.88345448596930343</v>
      </c>
      <c r="E13" s="1">
        <f>Rankings!J13</f>
        <v>0.28380473273700907</v>
      </c>
      <c r="F13" s="1">
        <f>Rankings!K13</f>
        <v>1</v>
      </c>
      <c r="G13" s="1">
        <f>Rankings!L13</f>
        <v>3.1888965067110808</v>
      </c>
      <c r="H13" s="1"/>
      <c r="I13" s="1">
        <f>C13</f>
        <v>1.0216372880047684</v>
      </c>
      <c r="J13" s="1">
        <f>F13</f>
        <v>1</v>
      </c>
      <c r="K13" s="1">
        <f>E13</f>
        <v>0.28380473273700907</v>
      </c>
      <c r="L13" s="1">
        <f>D13</f>
        <v>0.88345448596930343</v>
      </c>
      <c r="M13" s="1"/>
      <c r="N13" s="1">
        <f>I13/$G13</f>
        <v>0.32037329711225099</v>
      </c>
      <c r="O13" s="1">
        <f>J13/$G13</f>
        <v>0.31358810105485863</v>
      </c>
      <c r="P13" s="1">
        <f>K13/$G13</f>
        <v>8.8997787209380341E-2</v>
      </c>
      <c r="Q13" s="1">
        <f>L13/$G13</f>
        <v>0.2770408146235101</v>
      </c>
    </row>
    <row r="14" spans="1:17" x14ac:dyDescent="0.25">
      <c r="C14" s="1" t="s">
        <v>80</v>
      </c>
      <c r="D14" s="1" t="s">
        <v>79</v>
      </c>
      <c r="E14" s="1" t="s">
        <v>81</v>
      </c>
      <c r="F14" s="1" t="s">
        <v>82</v>
      </c>
      <c r="G14" s="1"/>
      <c r="H14" s="1"/>
      <c r="I14" s="1" t="s">
        <v>79</v>
      </c>
      <c r="J14" s="1" t="s">
        <v>80</v>
      </c>
      <c r="K14" s="1" t="s">
        <v>81</v>
      </c>
      <c r="L14" s="1" t="s">
        <v>82</v>
      </c>
      <c r="M14" s="1"/>
      <c r="N14" s="1"/>
      <c r="O14" s="1"/>
      <c r="P14" s="1"/>
      <c r="Q14" s="1"/>
    </row>
    <row r="15" spans="1:17" x14ac:dyDescent="0.25">
      <c r="A15">
        <v>7</v>
      </c>
      <c r="B15" t="s">
        <v>61</v>
      </c>
      <c r="C15" s="1">
        <f>Rankings!H14</f>
        <v>5.6523952375252602</v>
      </c>
      <c r="D15" s="1">
        <f>Rankings!I14</f>
        <v>2.3010763237330631</v>
      </c>
      <c r="E15" s="1">
        <f>Rankings!J14</f>
        <v>0.73912016309129669</v>
      </c>
      <c r="F15" s="1">
        <f>Rankings!K14</f>
        <v>1</v>
      </c>
      <c r="G15" s="1">
        <f>Rankings!L14</f>
        <v>9.6925917243496205</v>
      </c>
      <c r="H15" s="1"/>
      <c r="I15" s="1">
        <f>D15</f>
        <v>2.3010763237330631</v>
      </c>
      <c r="J15" s="1">
        <f>C15</f>
        <v>5.6523952375252602</v>
      </c>
      <c r="K15" s="1">
        <f>E15</f>
        <v>0.73912016309129669</v>
      </c>
      <c r="L15" s="1">
        <f>F15</f>
        <v>1</v>
      </c>
      <c r="M15" s="1"/>
      <c r="N15" s="1">
        <f>I15/$G15</f>
        <v>0.23740567942754928</v>
      </c>
      <c r="O15" s="1">
        <f>J15/$G15</f>
        <v>0.58316654598432904</v>
      </c>
      <c r="P15" s="1">
        <f>K15/$G15</f>
        <v>7.6256194845645595E-2</v>
      </c>
      <c r="Q15" s="1">
        <f>L15/$G15</f>
        <v>0.10317157974247602</v>
      </c>
    </row>
    <row r="16" spans="1:17" x14ac:dyDescent="0.25">
      <c r="C16" s="1" t="s">
        <v>80</v>
      </c>
      <c r="D16" s="1" t="s">
        <v>79</v>
      </c>
      <c r="E16" s="1" t="s">
        <v>82</v>
      </c>
      <c r="F16" s="1" t="s">
        <v>81</v>
      </c>
      <c r="G16" s="1"/>
      <c r="H16" s="1"/>
      <c r="I16" s="1" t="s">
        <v>79</v>
      </c>
      <c r="J16" s="1" t="s">
        <v>80</v>
      </c>
      <c r="K16" s="1" t="s">
        <v>81</v>
      </c>
      <c r="L16" s="1" t="s">
        <v>82</v>
      </c>
      <c r="M16" s="1"/>
      <c r="N16" s="1"/>
      <c r="O16" s="1"/>
      <c r="P16" s="1"/>
      <c r="Q16" s="1"/>
    </row>
    <row r="17" spans="1:37" x14ac:dyDescent="0.25">
      <c r="A17">
        <v>8</v>
      </c>
      <c r="B17" t="s">
        <v>62</v>
      </c>
      <c r="C17" s="1">
        <f>Rankings!H15</f>
        <v>8.8425719033024777</v>
      </c>
      <c r="D17" s="1">
        <f>Rankings!I15</f>
        <v>3.5997894684563994</v>
      </c>
      <c r="E17" s="1">
        <f>Rankings!J15</f>
        <v>3.1128955371860085</v>
      </c>
      <c r="F17" s="1">
        <f>Rankings!K15</f>
        <v>1</v>
      </c>
      <c r="G17" s="1">
        <f>Rankings!L15</f>
        <v>16.555256908944887</v>
      </c>
      <c r="H17" s="1"/>
      <c r="I17" s="1">
        <f>D17</f>
        <v>3.5997894684563994</v>
      </c>
      <c r="J17" s="1">
        <f>C17</f>
        <v>8.8425719033024777</v>
      </c>
      <c r="K17" s="1">
        <f>F17</f>
        <v>1</v>
      </c>
      <c r="L17" s="1">
        <f>E17</f>
        <v>3.1128955371860085</v>
      </c>
      <c r="M17" s="1"/>
      <c r="N17" s="1">
        <f t="shared" ref="N16:N49" si="5">I17/$G17</f>
        <v>0.21744087018736721</v>
      </c>
      <c r="O17" s="1">
        <f t="shared" ref="O16:O49" si="6">J17/$G17</f>
        <v>0.53412471651374926</v>
      </c>
      <c r="P17" s="1">
        <f t="shared" ref="P16:P49" si="7">K17/$G17</f>
        <v>6.0403774190885252E-2</v>
      </c>
      <c r="Q17" s="1">
        <f t="shared" ref="Q16:Q49" si="8">L17/$G17</f>
        <v>0.18803063910799811</v>
      </c>
    </row>
    <row r="18" spans="1:37" x14ac:dyDescent="0.25">
      <c r="C18" s="1" t="s">
        <v>80</v>
      </c>
      <c r="D18" s="1" t="s">
        <v>81</v>
      </c>
      <c r="E18" s="1" t="s">
        <v>79</v>
      </c>
      <c r="F18" s="1" t="s">
        <v>82</v>
      </c>
      <c r="G18" s="1"/>
      <c r="H18" s="1"/>
      <c r="I18" s="1" t="s">
        <v>79</v>
      </c>
      <c r="J18" s="1" t="s">
        <v>80</v>
      </c>
      <c r="K18" s="1" t="s">
        <v>81</v>
      </c>
      <c r="L18" s="1" t="s">
        <v>82</v>
      </c>
      <c r="M18" s="1"/>
      <c r="N18" s="1"/>
      <c r="O18" s="1"/>
      <c r="P18" s="1"/>
      <c r="Q18" s="1"/>
    </row>
    <row r="19" spans="1:37" x14ac:dyDescent="0.25">
      <c r="A19">
        <v>9</v>
      </c>
      <c r="B19" t="s">
        <v>63</v>
      </c>
      <c r="C19" s="1">
        <f>Rankings!H16</f>
        <v>3.8642488332663234</v>
      </c>
      <c r="D19" s="1">
        <f>Rankings!I16</f>
        <v>0.86322090426360787</v>
      </c>
      <c r="E19" s="1">
        <f>Rankings!J16</f>
        <v>1.1564119082873345</v>
      </c>
      <c r="F19" s="1">
        <f>Rankings!K16</f>
        <v>1</v>
      </c>
      <c r="G19" s="1">
        <f>Rankings!L16</f>
        <v>6.883881645817266</v>
      </c>
      <c r="H19" s="1"/>
      <c r="I19" s="1">
        <f>E19</f>
        <v>1.1564119082873345</v>
      </c>
      <c r="J19" s="1">
        <f>C19</f>
        <v>3.8642488332663234</v>
      </c>
      <c r="K19" s="1">
        <f>D19</f>
        <v>0.86322090426360787</v>
      </c>
      <c r="L19" s="1">
        <f>F19</f>
        <v>1</v>
      </c>
      <c r="M19" s="1"/>
      <c r="N19" s="1">
        <f t="shared" si="5"/>
        <v>0.16798834840369242</v>
      </c>
      <c r="O19" s="1">
        <f t="shared" si="6"/>
        <v>0.56134736651294548</v>
      </c>
      <c r="P19" s="1">
        <f t="shared" si="7"/>
        <v>0.12539740638744304</v>
      </c>
      <c r="Q19" s="1">
        <f t="shared" si="8"/>
        <v>0.14526687869591901</v>
      </c>
    </row>
    <row r="20" spans="1:37" x14ac:dyDescent="0.25">
      <c r="C20" s="1" t="s">
        <v>80</v>
      </c>
      <c r="D20" s="1" t="s">
        <v>81</v>
      </c>
      <c r="E20" s="1" t="s">
        <v>82</v>
      </c>
      <c r="F20" s="1" t="s">
        <v>79</v>
      </c>
      <c r="G20" s="1"/>
      <c r="H20" s="1"/>
      <c r="I20" s="1" t="s">
        <v>79</v>
      </c>
      <c r="J20" s="1" t="s">
        <v>80</v>
      </c>
      <c r="K20" s="1" t="s">
        <v>81</v>
      </c>
      <c r="L20" s="1" t="s">
        <v>82</v>
      </c>
      <c r="M20" s="1"/>
      <c r="N20" s="1"/>
      <c r="O20" s="1"/>
      <c r="P20" s="1"/>
      <c r="Q20" s="1"/>
    </row>
    <row r="21" spans="1:37" x14ac:dyDescent="0.25">
      <c r="A21">
        <v>10</v>
      </c>
      <c r="B21" t="s">
        <v>64</v>
      </c>
      <c r="C21" s="1">
        <f>Rankings!H17</f>
        <v>6.578473167516437</v>
      </c>
      <c r="D21" s="1">
        <f>Rankings!I17</f>
        <v>1.4695418958145663</v>
      </c>
      <c r="E21" s="1">
        <f>Rankings!J17</f>
        <v>1.9882313718358775</v>
      </c>
      <c r="F21" s="1">
        <f>Rankings!K17</f>
        <v>1</v>
      </c>
      <c r="G21" s="1">
        <f>Rankings!L17</f>
        <v>11.036246435166881</v>
      </c>
      <c r="H21" s="1"/>
      <c r="I21" s="1">
        <f>F21</f>
        <v>1</v>
      </c>
      <c r="J21" s="1">
        <f>C21</f>
        <v>6.578473167516437</v>
      </c>
      <c r="K21" s="1">
        <f>D21</f>
        <v>1.4695418958145663</v>
      </c>
      <c r="L21" s="1">
        <f>E21</f>
        <v>1.9882313718358775</v>
      </c>
      <c r="M21" s="1"/>
      <c r="N21" s="1">
        <f t="shared" si="5"/>
        <v>9.0610517432223217E-2</v>
      </c>
      <c r="O21" s="1">
        <f t="shared" si="6"/>
        <v>0.59607885762266077</v>
      </c>
      <c r="P21" s="1">
        <f t="shared" si="7"/>
        <v>0.13315595156808813</v>
      </c>
      <c r="Q21" s="1">
        <f t="shared" si="8"/>
        <v>0.18015467337702787</v>
      </c>
    </row>
    <row r="22" spans="1:37" x14ac:dyDescent="0.25">
      <c r="C22" s="1" t="s">
        <v>80</v>
      </c>
      <c r="D22" s="1" t="s">
        <v>82</v>
      </c>
      <c r="E22" s="1" t="s">
        <v>79</v>
      </c>
      <c r="F22" s="1" t="s">
        <v>81</v>
      </c>
      <c r="G22" s="1"/>
      <c r="H22" s="1"/>
      <c r="I22" s="1" t="s">
        <v>79</v>
      </c>
      <c r="J22" s="1" t="s">
        <v>80</v>
      </c>
      <c r="K22" s="1" t="s">
        <v>81</v>
      </c>
      <c r="L22" s="1" t="s">
        <v>82</v>
      </c>
      <c r="M22" s="1"/>
      <c r="N22" s="1"/>
      <c r="O22" s="1"/>
      <c r="P22" s="1"/>
      <c r="Q22" s="1"/>
    </row>
    <row r="23" spans="1:37" x14ac:dyDescent="0.25">
      <c r="A23">
        <v>11</v>
      </c>
      <c r="B23" s="25" t="s">
        <v>65</v>
      </c>
      <c r="C23" s="1">
        <f>Rankings!H18</f>
        <v>13.167828302516071</v>
      </c>
      <c r="D23" s="1">
        <f>Rankings!I18</f>
        <v>6.1898894987522199</v>
      </c>
      <c r="E23" s="1">
        <f>Rankings!J18</f>
        <v>3.1132641735939659</v>
      </c>
      <c r="F23" s="1">
        <f>Rankings!K18</f>
        <v>1</v>
      </c>
      <c r="G23" s="1">
        <f>Rankings!L18</f>
        <v>23.470981974862255</v>
      </c>
      <c r="H23" s="1"/>
      <c r="I23" s="1">
        <f>E23</f>
        <v>3.1132641735939659</v>
      </c>
      <c r="J23" s="1">
        <f>C23</f>
        <v>13.167828302516071</v>
      </c>
      <c r="K23" s="1">
        <f>F23</f>
        <v>1</v>
      </c>
      <c r="L23" s="1">
        <f>D23</f>
        <v>6.1898894987522199</v>
      </c>
      <c r="M23" s="1"/>
      <c r="N23" s="1">
        <f t="shared" si="5"/>
        <v>0.13264311552572938</v>
      </c>
      <c r="O23" s="1">
        <f t="shared" si="6"/>
        <v>0.56102587938668247</v>
      </c>
      <c r="P23" s="1">
        <f t="shared" si="7"/>
        <v>4.2605801541282497E-2</v>
      </c>
      <c r="Q23" s="1">
        <f t="shared" si="8"/>
        <v>0.26372520354630569</v>
      </c>
    </row>
    <row r="24" spans="1:37" x14ac:dyDescent="0.25">
      <c r="C24" s="1" t="s">
        <v>80</v>
      </c>
      <c r="D24" s="1" t="s">
        <v>82</v>
      </c>
      <c r="E24" s="1" t="s">
        <v>81</v>
      </c>
      <c r="F24" s="1" t="s">
        <v>79</v>
      </c>
      <c r="G24" s="1"/>
      <c r="H24" s="1"/>
      <c r="I24" s="1" t="s">
        <v>79</v>
      </c>
      <c r="J24" s="1" t="s">
        <v>80</v>
      </c>
      <c r="K24" s="1" t="s">
        <v>81</v>
      </c>
      <c r="L24" s="1" t="s">
        <v>82</v>
      </c>
      <c r="M24" s="1"/>
      <c r="N24" s="1"/>
      <c r="O24" s="1"/>
      <c r="P24" s="1"/>
      <c r="Q24" s="1"/>
    </row>
    <row r="25" spans="1:37" x14ac:dyDescent="0.25">
      <c r="A25">
        <v>12</v>
      </c>
      <c r="B25" s="25" t="s">
        <v>66</v>
      </c>
      <c r="C25" s="1">
        <f>Rankings!H19</f>
        <v>4.9431660505948987</v>
      </c>
      <c r="D25" s="1">
        <f>Rankings!I19</f>
        <v>2.3236672687567879</v>
      </c>
      <c r="E25" s="1">
        <f>Rankings!J19</f>
        <v>0.7464649041378798</v>
      </c>
      <c r="F25" s="1">
        <f>Rankings!K19</f>
        <v>1</v>
      </c>
      <c r="G25" s="1">
        <f>Rankings!L19</f>
        <v>9.0132982234895671</v>
      </c>
      <c r="H25" s="1"/>
      <c r="I25" s="1">
        <f>F25</f>
        <v>1</v>
      </c>
      <c r="J25" s="1">
        <f>C25</f>
        <v>4.9431660505948987</v>
      </c>
      <c r="K25" s="1">
        <f>E25</f>
        <v>0.7464649041378798</v>
      </c>
      <c r="L25" s="1">
        <f>D25</f>
        <v>2.3236672687567879</v>
      </c>
      <c r="M25" s="1"/>
      <c r="N25" s="1">
        <f t="shared" si="5"/>
        <v>0.11094717773721265</v>
      </c>
      <c r="O25" s="1">
        <f t="shared" si="6"/>
        <v>0.54843032239990774</v>
      </c>
      <c r="P25" s="1">
        <f t="shared" si="7"/>
        <v>8.2818174393976748E-2</v>
      </c>
      <c r="Q25" s="1">
        <f t="shared" si="8"/>
        <v>0.25780432546890281</v>
      </c>
      <c r="AG25" s="28"/>
      <c r="AH25" s="28"/>
      <c r="AI25" s="28"/>
      <c r="AJ25" s="28"/>
      <c r="AK25" s="28"/>
    </row>
    <row r="26" spans="1:37" x14ac:dyDescent="0.25">
      <c r="C26" s="1" t="s">
        <v>81</v>
      </c>
      <c r="D26" s="1" t="s">
        <v>79</v>
      </c>
      <c r="E26" s="1" t="s">
        <v>80</v>
      </c>
      <c r="F26" s="1" t="s">
        <v>82</v>
      </c>
      <c r="G26" s="1"/>
      <c r="H26" s="1"/>
      <c r="I26" s="1" t="s">
        <v>79</v>
      </c>
      <c r="J26" s="1" t="s">
        <v>80</v>
      </c>
      <c r="K26" s="1" t="s">
        <v>81</v>
      </c>
      <c r="L26" s="1" t="s">
        <v>82</v>
      </c>
      <c r="M26" s="1"/>
      <c r="N26" s="1"/>
      <c r="O26" s="1"/>
      <c r="P26" s="1"/>
      <c r="Q26" s="1"/>
      <c r="AG26" s="28"/>
      <c r="AH26" s="28"/>
      <c r="AI26" s="28"/>
      <c r="AJ26" s="28"/>
      <c r="AK26" s="28"/>
    </row>
    <row r="27" spans="1:37" x14ac:dyDescent="0.25">
      <c r="A27">
        <v>13</v>
      </c>
      <c r="B27" t="s">
        <v>67</v>
      </c>
      <c r="C27" s="1">
        <f>Rankings!H20</f>
        <v>0.86685979954004044</v>
      </c>
      <c r="D27" s="1">
        <f>Rankings!I20</f>
        <v>1.1612867460141467</v>
      </c>
      <c r="E27" s="1">
        <f>Rankings!J20</f>
        <v>2.1273123381557117</v>
      </c>
      <c r="F27" s="1">
        <f>Rankings!K20</f>
        <v>1</v>
      </c>
      <c r="G27" s="1">
        <f>Rankings!L20</f>
        <v>5.1554588837098994</v>
      </c>
      <c r="H27" s="1"/>
      <c r="I27" s="1">
        <f>D27</f>
        <v>1.1612867460141467</v>
      </c>
      <c r="J27" s="1">
        <f>E27</f>
        <v>2.1273123381557117</v>
      </c>
      <c r="K27" s="1">
        <f>C27</f>
        <v>0.86685979954004044</v>
      </c>
      <c r="L27" s="1">
        <f>F27</f>
        <v>1</v>
      </c>
      <c r="M27" s="1"/>
      <c r="N27" s="1">
        <f t="shared" si="5"/>
        <v>0.22525380809137163</v>
      </c>
      <c r="O27" s="1">
        <f t="shared" si="6"/>
        <v>0.41263297528713583</v>
      </c>
      <c r="P27" s="1">
        <f t="shared" si="7"/>
        <v>0.16814406226361811</v>
      </c>
      <c r="Q27" s="1">
        <f t="shared" si="8"/>
        <v>0.19396915435787435</v>
      </c>
      <c r="AG27" s="28"/>
      <c r="AH27" s="28"/>
      <c r="AI27" s="28"/>
      <c r="AJ27" s="28"/>
      <c r="AK27" s="28"/>
    </row>
    <row r="28" spans="1:37" x14ac:dyDescent="0.25">
      <c r="C28" s="1" t="s">
        <v>81</v>
      </c>
      <c r="D28" s="1" t="s">
        <v>79</v>
      </c>
      <c r="E28" s="1" t="s">
        <v>82</v>
      </c>
      <c r="F28" s="1" t="s">
        <v>80</v>
      </c>
      <c r="G28" s="1"/>
      <c r="H28" s="1"/>
      <c r="I28" s="1" t="s">
        <v>79</v>
      </c>
      <c r="J28" s="1" t="s">
        <v>80</v>
      </c>
      <c r="K28" s="1" t="s">
        <v>81</v>
      </c>
      <c r="L28" s="1" t="s">
        <v>82</v>
      </c>
      <c r="M28" s="1"/>
      <c r="N28" s="1"/>
      <c r="O28" s="1"/>
      <c r="P28" s="1"/>
      <c r="Q28" s="1"/>
      <c r="AG28" s="28"/>
      <c r="AH28" s="28"/>
      <c r="AI28" s="28"/>
      <c r="AJ28" s="28"/>
      <c r="AK28" s="28"/>
    </row>
    <row r="29" spans="1:37" x14ac:dyDescent="0.25">
      <c r="A29">
        <v>14</v>
      </c>
      <c r="B29" t="s">
        <v>68</v>
      </c>
      <c r="C29" s="1">
        <f>Rankings!H21</f>
        <v>0.58336750565179651</v>
      </c>
      <c r="D29" s="1">
        <f>Rankings!I21</f>
        <v>0.78150694348523919</v>
      </c>
      <c r="E29" s="1">
        <f>Rankings!J21</f>
        <v>0.67580326515546185</v>
      </c>
      <c r="F29" s="1">
        <f>Rankings!K21</f>
        <v>1</v>
      </c>
      <c r="G29" s="1">
        <f>Rankings!L21</f>
        <v>3.0406777142924977</v>
      </c>
      <c r="H29" s="1"/>
      <c r="I29" s="1">
        <f>D29</f>
        <v>0.78150694348523919</v>
      </c>
      <c r="J29" s="1">
        <f>F29</f>
        <v>1</v>
      </c>
      <c r="K29" s="1">
        <f>C29</f>
        <v>0.58336750565179651</v>
      </c>
      <c r="L29" s="1">
        <f>E29</f>
        <v>0.67580326515546185</v>
      </c>
      <c r="M29" s="1"/>
      <c r="N29" s="1">
        <f t="shared" si="5"/>
        <v>0.25701735498366673</v>
      </c>
      <c r="O29" s="1">
        <f t="shared" si="6"/>
        <v>0.3288740517614111</v>
      </c>
      <c r="P29" s="1">
        <f t="shared" si="7"/>
        <v>0.1918544352496542</v>
      </c>
      <c r="Q29" s="1">
        <f t="shared" si="8"/>
        <v>0.22225415800526799</v>
      </c>
      <c r="AG29" s="28"/>
      <c r="AH29" s="28"/>
      <c r="AI29" s="28"/>
      <c r="AJ29" s="28"/>
      <c r="AK29" s="28"/>
    </row>
    <row r="30" spans="1:37" x14ac:dyDescent="0.25">
      <c r="C30" s="1" t="s">
        <v>81</v>
      </c>
      <c r="D30" s="1" t="s">
        <v>80</v>
      </c>
      <c r="E30" s="1" t="s">
        <v>79</v>
      </c>
      <c r="F30" s="1" t="s">
        <v>82</v>
      </c>
      <c r="G30" s="1"/>
      <c r="H30" s="1"/>
      <c r="I30" s="1" t="s">
        <v>79</v>
      </c>
      <c r="J30" s="1" t="s">
        <v>80</v>
      </c>
      <c r="K30" s="1" t="s">
        <v>81</v>
      </c>
      <c r="L30" s="1" t="s">
        <v>82</v>
      </c>
      <c r="M30" s="1"/>
      <c r="N30" s="1"/>
      <c r="O30" s="1"/>
      <c r="P30" s="1"/>
      <c r="Q30" s="1"/>
      <c r="AG30" s="28"/>
      <c r="AH30" s="28"/>
      <c r="AI30" s="28"/>
      <c r="AJ30" s="28"/>
      <c r="AK30" s="28"/>
    </row>
    <row r="31" spans="1:37" x14ac:dyDescent="0.25">
      <c r="A31">
        <v>15</v>
      </c>
      <c r="B31" t="s">
        <v>69</v>
      </c>
      <c r="C31" s="1">
        <f>Rankings!H22</f>
        <v>0.8061830940826038</v>
      </c>
      <c r="D31" s="1">
        <f>Rankings!I22</f>
        <v>2.8406259695100387</v>
      </c>
      <c r="E31" s="1">
        <f>Rankings!J22</f>
        <v>1.1564119082873345</v>
      </c>
      <c r="F31" s="1">
        <f>Rankings!K22</f>
        <v>1</v>
      </c>
      <c r="G31" s="1">
        <f>Rankings!L22</f>
        <v>5.803220971879977</v>
      </c>
      <c r="H31" s="1"/>
      <c r="I31" s="1">
        <f>E31</f>
        <v>1.1564119082873345</v>
      </c>
      <c r="J31" s="1">
        <f>D31</f>
        <v>2.8406259695100387</v>
      </c>
      <c r="K31" s="1">
        <f>C31</f>
        <v>0.8061830940826038</v>
      </c>
      <c r="L31" s="1">
        <f>F31</f>
        <v>1</v>
      </c>
      <c r="M31" s="1"/>
      <c r="N31" s="1">
        <f t="shared" si="5"/>
        <v>0.19927070051111809</v>
      </c>
      <c r="O31" s="1">
        <f t="shared" si="6"/>
        <v>0.48949126412289728</v>
      </c>
      <c r="P31" s="1">
        <f t="shared" si="7"/>
        <v>0.13891993739149958</v>
      </c>
      <c r="Q31" s="1">
        <f t="shared" si="8"/>
        <v>0.17231809797448502</v>
      </c>
      <c r="AG31" s="28"/>
      <c r="AH31" s="28"/>
      <c r="AI31" s="28"/>
      <c r="AJ31" s="28"/>
      <c r="AK31" s="28"/>
    </row>
    <row r="32" spans="1:37" x14ac:dyDescent="0.25">
      <c r="C32" s="1" t="s">
        <v>81</v>
      </c>
      <c r="D32" s="1" t="s">
        <v>80</v>
      </c>
      <c r="E32" s="1" t="s">
        <v>82</v>
      </c>
      <c r="F32" s="1" t="s">
        <v>79</v>
      </c>
      <c r="G32" s="1"/>
      <c r="H32" s="1"/>
      <c r="I32" s="1" t="s">
        <v>79</v>
      </c>
      <c r="J32" s="1" t="s">
        <v>80</v>
      </c>
      <c r="K32" s="1" t="s">
        <v>81</v>
      </c>
      <c r="L32" s="1" t="s">
        <v>82</v>
      </c>
      <c r="M32" s="1"/>
      <c r="N32" s="1"/>
      <c r="O32" s="1"/>
      <c r="P32" s="1"/>
      <c r="Q32" s="1"/>
      <c r="AG32" s="28"/>
      <c r="AH32" s="28"/>
      <c r="AI32" s="28"/>
      <c r="AJ32" s="28"/>
      <c r="AK32" s="28"/>
    </row>
    <row r="33" spans="1:37" x14ac:dyDescent="0.25">
      <c r="A33">
        <v>16</v>
      </c>
      <c r="B33" t="s">
        <v>70</v>
      </c>
      <c r="C33" s="1">
        <f>Rankings!H23</f>
        <v>1.2003774121770985</v>
      </c>
      <c r="D33" s="1">
        <f>Rankings!I23</f>
        <v>4.2295891284147187</v>
      </c>
      <c r="E33" s="1">
        <f>Rankings!J23</f>
        <v>1.9882313718358775</v>
      </c>
      <c r="F33" s="1">
        <f>Rankings!K23</f>
        <v>1</v>
      </c>
      <c r="G33" s="1">
        <f>Rankings!L23</f>
        <v>8.4181979124276936</v>
      </c>
      <c r="H33" s="1"/>
      <c r="I33" s="1">
        <f>F33</f>
        <v>1</v>
      </c>
      <c r="J33" s="1">
        <f>D33</f>
        <v>4.2295891284147187</v>
      </c>
      <c r="K33" s="1">
        <f>C33</f>
        <v>1.2003774121770985</v>
      </c>
      <c r="L33" s="1">
        <f>E33</f>
        <v>1.9882313718358775</v>
      </c>
      <c r="M33" s="1"/>
      <c r="N33" s="1">
        <f t="shared" si="5"/>
        <v>0.11879026965185874</v>
      </c>
      <c r="O33" s="1">
        <f t="shared" si="6"/>
        <v>0.50243403308095458</v>
      </c>
      <c r="P33" s="1">
        <f t="shared" si="7"/>
        <v>0.14259315647651791</v>
      </c>
      <c r="Q33" s="1">
        <f t="shared" si="8"/>
        <v>0.23618254079066889</v>
      </c>
      <c r="AA33" s="28"/>
      <c r="AB33" s="28"/>
      <c r="AC33" s="28"/>
      <c r="AD33" s="28"/>
      <c r="AE33" s="28"/>
      <c r="AG33" s="28"/>
      <c r="AH33" s="28"/>
      <c r="AI33" s="28"/>
      <c r="AJ33" s="28"/>
      <c r="AK33" s="28"/>
    </row>
    <row r="34" spans="1:37" x14ac:dyDescent="0.25">
      <c r="C34" s="1" t="s">
        <v>81</v>
      </c>
      <c r="D34" s="1" t="s">
        <v>82</v>
      </c>
      <c r="E34" s="1" t="s">
        <v>79</v>
      </c>
      <c r="F34" s="1" t="s">
        <v>80</v>
      </c>
      <c r="G34" s="1"/>
      <c r="H34" s="1"/>
      <c r="I34" s="1" t="s">
        <v>79</v>
      </c>
      <c r="J34" s="1" t="s">
        <v>80</v>
      </c>
      <c r="K34" s="1" t="s">
        <v>81</v>
      </c>
      <c r="L34" s="1" t="s">
        <v>82</v>
      </c>
      <c r="M34" s="1"/>
      <c r="N34" s="1"/>
      <c r="O34" s="1"/>
      <c r="P34" s="1"/>
      <c r="Q34" s="1"/>
      <c r="AA34" s="28"/>
      <c r="AB34" s="28"/>
      <c r="AC34" s="28"/>
      <c r="AD34" s="28"/>
      <c r="AE34" s="28"/>
      <c r="AG34" s="28"/>
      <c r="AH34" s="28"/>
      <c r="AI34" s="28"/>
      <c r="AJ34" s="28"/>
      <c r="AK34" s="28"/>
    </row>
    <row r="35" spans="1:37" x14ac:dyDescent="0.25">
      <c r="A35">
        <v>17</v>
      </c>
      <c r="B35" t="s">
        <v>71</v>
      </c>
      <c r="C35" s="1">
        <f>Rankings!H24</f>
        <v>0.80221389953553868</v>
      </c>
      <c r="D35" s="1">
        <f>Rankings!I24</f>
        <v>1.0853633003060812</v>
      </c>
      <c r="E35" s="1">
        <f>Rankings!J24</f>
        <v>0.54589386108714644</v>
      </c>
      <c r="F35" s="1">
        <f>Rankings!K24</f>
        <v>1</v>
      </c>
      <c r="G35" s="1">
        <f>Rankings!L24</f>
        <v>3.4334710609287664</v>
      </c>
      <c r="H35" s="1"/>
      <c r="I35" s="1">
        <f>E35</f>
        <v>0.54589386108714644</v>
      </c>
      <c r="J35" s="1">
        <f>F35</f>
        <v>1</v>
      </c>
      <c r="K35" s="1">
        <f>C35</f>
        <v>0.80221389953553868</v>
      </c>
      <c r="L35" s="1">
        <f>D35</f>
        <v>1.0853633003060812</v>
      </c>
      <c r="M35" s="1"/>
      <c r="N35" s="1">
        <f t="shared" si="5"/>
        <v>0.15899183403616052</v>
      </c>
      <c r="O35" s="1">
        <f t="shared" si="6"/>
        <v>0.29125045245888759</v>
      </c>
      <c r="P35" s="1">
        <f t="shared" si="7"/>
        <v>0.23364516120853424</v>
      </c>
      <c r="Q35" s="1">
        <f t="shared" si="8"/>
        <v>0.3161125522964176</v>
      </c>
      <c r="AA35" s="28"/>
      <c r="AB35" s="28"/>
      <c r="AC35" s="28"/>
      <c r="AD35" s="28"/>
      <c r="AE35" s="28"/>
      <c r="AG35" s="28"/>
      <c r="AH35" s="28"/>
      <c r="AI35" s="28"/>
      <c r="AJ35" s="28"/>
      <c r="AK35" s="28"/>
    </row>
    <row r="36" spans="1:37" x14ac:dyDescent="0.25">
      <c r="C36" s="1" t="s">
        <v>81</v>
      </c>
      <c r="D36" s="1" t="s">
        <v>82</v>
      </c>
      <c r="E36" s="1" t="s">
        <v>80</v>
      </c>
      <c r="F36" s="1" t="s">
        <v>79</v>
      </c>
      <c r="G36" s="1"/>
      <c r="H36" s="1"/>
      <c r="I36" s="1" t="s">
        <v>79</v>
      </c>
      <c r="J36" s="1" t="s">
        <v>80</v>
      </c>
      <c r="K36" s="1" t="s">
        <v>81</v>
      </c>
      <c r="L36" s="1" t="s">
        <v>82</v>
      </c>
      <c r="M36" s="1"/>
      <c r="N36" s="1"/>
      <c r="O36" s="1"/>
      <c r="P36" s="1"/>
      <c r="Q36" s="1"/>
      <c r="AA36" s="28"/>
      <c r="AB36" s="28"/>
      <c r="AC36" s="28"/>
      <c r="AD36" s="28"/>
      <c r="AE36" s="28"/>
      <c r="AG36" s="28"/>
      <c r="AH36" s="28"/>
      <c r="AI36" s="28"/>
      <c r="AJ36" s="28"/>
      <c r="AK36" s="28"/>
    </row>
    <row r="37" spans="1:37" x14ac:dyDescent="0.25">
      <c r="A37">
        <v>18</v>
      </c>
      <c r="B37" t="s">
        <v>72</v>
      </c>
      <c r="C37" s="1">
        <f>Rankings!H25</f>
        <v>1.2269781632629768</v>
      </c>
      <c r="D37" s="1">
        <f>Rankings!I25</f>
        <v>1.6600523494464856</v>
      </c>
      <c r="E37" s="1">
        <f>Rankings!J25</f>
        <v>2.4564136266263925</v>
      </c>
      <c r="F37" s="1">
        <f>Rankings!K25</f>
        <v>1</v>
      </c>
      <c r="G37" s="1">
        <f>Rankings!L25</f>
        <v>6.3434441393358547</v>
      </c>
      <c r="H37" s="1"/>
      <c r="I37" s="1">
        <f>F37</f>
        <v>1</v>
      </c>
      <c r="J37" s="1">
        <f>E37</f>
        <v>2.4564136266263925</v>
      </c>
      <c r="K37" s="1">
        <f>C37</f>
        <v>1.2269781632629768</v>
      </c>
      <c r="L37" s="1">
        <f>D37</f>
        <v>1.6600523494464856</v>
      </c>
      <c r="M37" s="1"/>
      <c r="N37" s="1">
        <f t="shared" si="5"/>
        <v>0.15764306866028427</v>
      </c>
      <c r="O37" s="1">
        <f t="shared" si="6"/>
        <v>0.38723658200032229</v>
      </c>
      <c r="P37" s="1">
        <f t="shared" si="7"/>
        <v>0.19342460283593493</v>
      </c>
      <c r="Q37" s="1">
        <f t="shared" si="8"/>
        <v>0.26169574650345856</v>
      </c>
      <c r="AA37" s="28"/>
      <c r="AB37" s="28"/>
      <c r="AC37" s="28"/>
      <c r="AD37" s="28"/>
      <c r="AE37" s="28"/>
      <c r="AG37" s="28"/>
      <c r="AH37" s="28"/>
      <c r="AI37" s="28"/>
      <c r="AJ37" s="28"/>
      <c r="AK37" s="28"/>
    </row>
    <row r="38" spans="1:37" x14ac:dyDescent="0.25">
      <c r="C38" s="1" t="s">
        <v>82</v>
      </c>
      <c r="D38" s="1" t="s">
        <v>79</v>
      </c>
      <c r="E38" s="1" t="s">
        <v>80</v>
      </c>
      <c r="F38" s="1" t="s">
        <v>81</v>
      </c>
      <c r="G38" s="1"/>
      <c r="H38" s="1"/>
      <c r="I38" s="1" t="s">
        <v>79</v>
      </c>
      <c r="J38" s="1" t="s">
        <v>80</v>
      </c>
      <c r="K38" s="1" t="s">
        <v>81</v>
      </c>
      <c r="L38" s="1" t="s">
        <v>82</v>
      </c>
      <c r="M38" s="1"/>
      <c r="N38" s="1"/>
      <c r="O38" s="1"/>
      <c r="P38" s="1"/>
      <c r="Q38" s="1"/>
      <c r="AA38" s="28"/>
      <c r="AB38" s="28"/>
      <c r="AC38" s="28"/>
      <c r="AD38" s="28"/>
      <c r="AE38" s="28"/>
      <c r="AG38" s="28"/>
      <c r="AH38" s="28"/>
      <c r="AI38" s="28"/>
      <c r="AJ38" s="28"/>
      <c r="AK38" s="28"/>
    </row>
    <row r="39" spans="1:37" x14ac:dyDescent="0.25">
      <c r="A39">
        <v>19</v>
      </c>
      <c r="B39" s="25" t="s">
        <v>73</v>
      </c>
      <c r="C39" s="1">
        <f>Rankings!H26</f>
        <v>4.8586796799780396</v>
      </c>
      <c r="D39" s="1">
        <f>Rankings!I26</f>
        <v>2.4437194527776058</v>
      </c>
      <c r="E39" s="1">
        <f>Rankings!J26</f>
        <v>4.4765468655590741</v>
      </c>
      <c r="F39" s="1">
        <f>Rankings!K26</f>
        <v>1</v>
      </c>
      <c r="G39" s="1">
        <f>Rankings!L26</f>
        <v>12.77894599831472</v>
      </c>
      <c r="H39" s="1"/>
      <c r="I39" s="1">
        <f>D39</f>
        <v>2.4437194527776058</v>
      </c>
      <c r="J39" s="1">
        <f>E39</f>
        <v>4.4765468655590741</v>
      </c>
      <c r="K39" s="1">
        <f>F39</f>
        <v>1</v>
      </c>
      <c r="L39" s="1">
        <f>C39</f>
        <v>4.8586796799780396</v>
      </c>
      <c r="M39" s="1"/>
      <c r="N39" s="1">
        <f t="shared" si="5"/>
        <v>0.19123012595091035</v>
      </c>
      <c r="O39" s="1">
        <f t="shared" si="6"/>
        <v>0.35030642324879052</v>
      </c>
      <c r="P39" s="1">
        <f t="shared" si="7"/>
        <v>7.8253715144572911E-2</v>
      </c>
      <c r="Q39" s="1">
        <f t="shared" si="8"/>
        <v>0.38020973565572619</v>
      </c>
      <c r="AA39" s="28"/>
      <c r="AB39" s="28"/>
      <c r="AC39" s="28"/>
      <c r="AD39" s="28"/>
      <c r="AE39" s="28"/>
    </row>
    <row r="40" spans="1:37" x14ac:dyDescent="0.25">
      <c r="C40" s="1" t="s">
        <v>82</v>
      </c>
      <c r="D40" s="1" t="s">
        <v>79</v>
      </c>
      <c r="E40" s="1" t="s">
        <v>81</v>
      </c>
      <c r="F40" s="1" t="s">
        <v>80</v>
      </c>
      <c r="G40" s="1"/>
      <c r="H40" s="1"/>
      <c r="I40" s="1" t="s">
        <v>79</v>
      </c>
      <c r="J40" s="1" t="s">
        <v>80</v>
      </c>
      <c r="K40" s="1" t="s">
        <v>81</v>
      </c>
      <c r="L40" s="1" t="s">
        <v>82</v>
      </c>
      <c r="M40" s="1"/>
      <c r="N40" s="1"/>
      <c r="O40" s="1"/>
      <c r="P40" s="1"/>
      <c r="Q40" s="1"/>
      <c r="AA40" s="28"/>
      <c r="AB40" s="28"/>
      <c r="AC40" s="28"/>
      <c r="AD40" s="28"/>
      <c r="AE40" s="28"/>
    </row>
    <row r="41" spans="1:37" x14ac:dyDescent="0.25">
      <c r="A41">
        <v>20</v>
      </c>
      <c r="B41" s="25" t="s">
        <v>74</v>
      </c>
      <c r="C41" s="1">
        <f>Rankings!H27</f>
        <v>1.7567199348649929</v>
      </c>
      <c r="D41" s="1">
        <f>Rankings!I27</f>
        <v>0.88355910672654092</v>
      </c>
      <c r="E41" s="1">
        <f>Rankings!J27</f>
        <v>0.28380473273700907</v>
      </c>
      <c r="F41" s="1">
        <f>Rankings!K27</f>
        <v>1</v>
      </c>
      <c r="G41" s="1">
        <f>Rankings!L27</f>
        <v>3.9240837743285431</v>
      </c>
      <c r="H41" s="1"/>
      <c r="I41" s="1">
        <f>D41</f>
        <v>0.88355910672654092</v>
      </c>
      <c r="J41" s="1">
        <f>F41</f>
        <v>1</v>
      </c>
      <c r="K41" s="1">
        <f>E41</f>
        <v>0.28380473273700907</v>
      </c>
      <c r="L41" s="1">
        <f>C41</f>
        <v>1.7567199348649929</v>
      </c>
      <c r="M41" s="1"/>
      <c r="N41" s="1">
        <f t="shared" si="5"/>
        <v>0.22516316101781703</v>
      </c>
      <c r="O41" s="1">
        <f t="shared" si="6"/>
        <v>0.25483655740023331</v>
      </c>
      <c r="P41" s="1">
        <f t="shared" si="7"/>
        <v>7.2323821064592689E-2</v>
      </c>
      <c r="Q41" s="1">
        <f t="shared" si="8"/>
        <v>0.44767646051735693</v>
      </c>
      <c r="AA41" s="28"/>
      <c r="AB41" s="28"/>
      <c r="AC41" s="28"/>
      <c r="AD41" s="28"/>
      <c r="AE41" s="28"/>
    </row>
    <row r="42" spans="1:37" x14ac:dyDescent="0.25">
      <c r="C42" s="1" t="s">
        <v>82</v>
      </c>
      <c r="D42" s="1" t="s">
        <v>80</v>
      </c>
      <c r="E42" s="1" t="s">
        <v>79</v>
      </c>
      <c r="F42" s="1" t="s">
        <v>81</v>
      </c>
      <c r="G42" s="1"/>
      <c r="H42" s="1"/>
      <c r="I42" s="1" t="s">
        <v>79</v>
      </c>
      <c r="J42" s="1" t="s">
        <v>80</v>
      </c>
      <c r="K42" s="1" t="s">
        <v>81</v>
      </c>
      <c r="L42" s="1" t="s">
        <v>82</v>
      </c>
      <c r="M42" s="1"/>
      <c r="N42" s="1"/>
      <c r="O42" s="1"/>
      <c r="P42" s="1"/>
      <c r="Q42" s="1"/>
      <c r="AA42" s="28"/>
      <c r="AB42" s="28"/>
      <c r="AC42" s="28"/>
      <c r="AD42" s="28"/>
      <c r="AE42" s="28"/>
    </row>
    <row r="43" spans="1:37" x14ac:dyDescent="0.25">
      <c r="A43">
        <v>21</v>
      </c>
      <c r="B43" t="s">
        <v>75</v>
      </c>
      <c r="C43" s="1">
        <f>Rankings!H28</f>
        <v>5.1681815058222345</v>
      </c>
      <c r="D43" s="1">
        <f>Rankings!I28</f>
        <v>7.6474645393039724</v>
      </c>
      <c r="E43" s="1">
        <f>Rankings!J28</f>
        <v>3.1132641735939659</v>
      </c>
      <c r="F43" s="1">
        <f>Rankings!K28</f>
        <v>1</v>
      </c>
      <c r="G43" s="1">
        <f>Rankings!L28</f>
        <v>16.928910218720173</v>
      </c>
      <c r="H43" s="1"/>
      <c r="I43" s="1">
        <f>E43</f>
        <v>3.1132641735939659</v>
      </c>
      <c r="J43" s="1">
        <f>D43</f>
        <v>7.6474645393039724</v>
      </c>
      <c r="K43" s="1">
        <f>F43</f>
        <v>1</v>
      </c>
      <c r="L43" s="1">
        <f>C43</f>
        <v>5.1681815058222345</v>
      </c>
      <c r="M43" s="1"/>
      <c r="N43" s="1">
        <f t="shared" si="5"/>
        <v>0.18390222012940233</v>
      </c>
      <c r="O43" s="1">
        <f t="shared" si="6"/>
        <v>0.45173991949271036</v>
      </c>
      <c r="P43" s="1">
        <f t="shared" si="7"/>
        <v>5.9070547783648182E-2</v>
      </c>
      <c r="Q43" s="1">
        <f t="shared" si="8"/>
        <v>0.30528731259423914</v>
      </c>
      <c r="AA43" s="28"/>
      <c r="AB43" s="28"/>
      <c r="AC43" s="28"/>
      <c r="AD43" s="28"/>
      <c r="AE43" s="28"/>
    </row>
    <row r="44" spans="1:37" x14ac:dyDescent="0.25">
      <c r="C44" s="1" t="s">
        <v>82</v>
      </c>
      <c r="D44" s="1" t="s">
        <v>80</v>
      </c>
      <c r="E44" s="1" t="s">
        <v>81</v>
      </c>
      <c r="F44" s="1" t="s">
        <v>79</v>
      </c>
      <c r="G44" s="1"/>
      <c r="H44" s="1"/>
      <c r="I44" s="1" t="s">
        <v>79</v>
      </c>
      <c r="J44" s="1" t="s">
        <v>80</v>
      </c>
      <c r="K44" s="1" t="s">
        <v>81</v>
      </c>
      <c r="L44" s="1" t="s">
        <v>82</v>
      </c>
      <c r="M44" s="1"/>
      <c r="N44" s="1"/>
      <c r="O44" s="1"/>
      <c r="P44" s="1"/>
      <c r="Q44" s="1"/>
      <c r="AA44" s="28"/>
      <c r="AB44" s="28"/>
      <c r="AC44" s="28"/>
      <c r="AD44" s="28"/>
      <c r="AE44" s="28"/>
    </row>
    <row r="45" spans="1:37" x14ac:dyDescent="0.25">
      <c r="A45">
        <v>22</v>
      </c>
      <c r="B45" t="s">
        <v>76</v>
      </c>
      <c r="C45" s="1">
        <f>Rankings!H29</f>
        <v>2.2582541395325122</v>
      </c>
      <c r="D45" s="1">
        <f>Rankings!I29</f>
        <v>3.3415851268682806</v>
      </c>
      <c r="E45" s="1">
        <f>Rankings!J29</f>
        <v>0.7464649041378798</v>
      </c>
      <c r="F45" s="1">
        <f>Rankings!K29</f>
        <v>1</v>
      </c>
      <c r="G45" s="1">
        <f>Rankings!L29</f>
        <v>7.346304170538672</v>
      </c>
      <c r="H45" s="1"/>
      <c r="I45" s="1">
        <f>F45</f>
        <v>1</v>
      </c>
      <c r="J45" s="1">
        <f>D45</f>
        <v>3.3415851268682806</v>
      </c>
      <c r="K45" s="1">
        <f>E45</f>
        <v>0.7464649041378798</v>
      </c>
      <c r="L45" s="1">
        <f>C45</f>
        <v>2.2582541395325122</v>
      </c>
      <c r="M45" s="1"/>
      <c r="N45" s="1">
        <f t="shared" si="5"/>
        <v>0.13612286896727752</v>
      </c>
      <c r="O45" s="1">
        <f t="shared" si="6"/>
        <v>0.4548661543676944</v>
      </c>
      <c r="P45" s="1">
        <f t="shared" si="7"/>
        <v>0.10161094433463198</v>
      </c>
      <c r="Q45" s="1">
        <f t="shared" si="8"/>
        <v>0.3074000323303962</v>
      </c>
      <c r="AA45" s="28"/>
      <c r="AB45" s="28"/>
      <c r="AC45" s="28"/>
      <c r="AD45" s="28"/>
      <c r="AE45" s="28"/>
    </row>
    <row r="46" spans="1:37" x14ac:dyDescent="0.25">
      <c r="C46" s="1" t="s">
        <v>82</v>
      </c>
      <c r="D46" s="1" t="s">
        <v>81</v>
      </c>
      <c r="E46" s="1" t="s">
        <v>79</v>
      </c>
      <c r="F46" s="1" t="s">
        <v>80</v>
      </c>
      <c r="G46" s="1"/>
      <c r="H46" s="1"/>
      <c r="I46" s="1" t="s">
        <v>79</v>
      </c>
      <c r="J46" s="1" t="s">
        <v>80</v>
      </c>
      <c r="K46" s="1" t="s">
        <v>81</v>
      </c>
      <c r="L46" s="1" t="s">
        <v>82</v>
      </c>
      <c r="M46" s="1"/>
      <c r="N46" s="1"/>
      <c r="O46" s="1"/>
      <c r="P46" s="1"/>
      <c r="Q46" s="1"/>
      <c r="S46" s="23" t="s">
        <v>46</v>
      </c>
      <c r="AA46" s="28"/>
      <c r="AB46" s="28"/>
      <c r="AC46" s="28"/>
      <c r="AD46" s="28"/>
      <c r="AE46" s="28"/>
    </row>
    <row r="47" spans="1:37" x14ac:dyDescent="0.25">
      <c r="A47">
        <v>23</v>
      </c>
      <c r="B47" t="s">
        <v>77</v>
      </c>
      <c r="C47" s="1">
        <f>Rankings!H30</f>
        <v>1.268475697223467</v>
      </c>
      <c r="D47" s="1">
        <f>Rankings!I30</f>
        <v>0.40749060868587383</v>
      </c>
      <c r="E47" s="1">
        <f>Rankings!J30</f>
        <v>0.54589386108714644</v>
      </c>
      <c r="F47" s="1">
        <f>Rankings!K30</f>
        <v>1</v>
      </c>
      <c r="G47" s="1">
        <f>Rankings!L30</f>
        <v>3.2218601669964873</v>
      </c>
      <c r="H47" s="1"/>
      <c r="I47" s="1">
        <f>E47</f>
        <v>0.54589386108714644</v>
      </c>
      <c r="J47" s="1">
        <f>F47</f>
        <v>1</v>
      </c>
      <c r="K47" s="1">
        <f>D47</f>
        <v>0.40749060868587383</v>
      </c>
      <c r="L47" s="1">
        <f>C47</f>
        <v>1.268475697223467</v>
      </c>
      <c r="M47" s="1"/>
      <c r="N47" s="1">
        <f t="shared" si="5"/>
        <v>0.16943437417895288</v>
      </c>
      <c r="O47" s="1">
        <f t="shared" si="6"/>
        <v>0.31037970245997032</v>
      </c>
      <c r="P47" s="1">
        <f t="shared" si="7"/>
        <v>0.12647681387915372</v>
      </c>
      <c r="Q47" s="1">
        <f t="shared" si="8"/>
        <v>0.39370910948192306</v>
      </c>
      <c r="S47" t="s">
        <v>86</v>
      </c>
      <c r="AA47" s="28"/>
      <c r="AB47" s="28"/>
      <c r="AC47" s="28"/>
      <c r="AD47" s="28"/>
      <c r="AE47" s="28"/>
    </row>
    <row r="48" spans="1:37" x14ac:dyDescent="0.25">
      <c r="C48" s="1" t="s">
        <v>82</v>
      </c>
      <c r="D48" s="1" t="s">
        <v>81</v>
      </c>
      <c r="E48" s="1" t="s">
        <v>80</v>
      </c>
      <c r="F48" s="1" t="s">
        <v>79</v>
      </c>
      <c r="G48" s="1"/>
      <c r="H48" s="1"/>
      <c r="I48" s="1" t="s">
        <v>79</v>
      </c>
      <c r="J48" s="1" t="s">
        <v>80</v>
      </c>
      <c r="K48" s="1" t="s">
        <v>81</v>
      </c>
      <c r="L48" s="1" t="s">
        <v>82</v>
      </c>
      <c r="M48" s="1"/>
      <c r="N48" s="1"/>
      <c r="O48" s="1"/>
      <c r="P48" s="1"/>
      <c r="Q48" s="1"/>
      <c r="AA48" s="28"/>
      <c r="AB48" s="28"/>
      <c r="AC48" s="28"/>
      <c r="AD48" s="28"/>
      <c r="AE48" s="28"/>
    </row>
    <row r="49" spans="1:31" x14ac:dyDescent="0.25">
      <c r="A49">
        <v>24</v>
      </c>
      <c r="B49" t="s">
        <v>78</v>
      </c>
      <c r="C49" s="1">
        <f>Rankings!H31</f>
        <v>2.1701296378392119</v>
      </c>
      <c r="D49" s="1">
        <f>Rankings!I31</f>
        <v>0.69714181279625054</v>
      </c>
      <c r="E49" s="1">
        <f>Rankings!J31</f>
        <v>2.4564136266263925</v>
      </c>
      <c r="F49" s="1">
        <f>Rankings!K31</f>
        <v>1</v>
      </c>
      <c r="G49" s="1">
        <f>Rankings!L31</f>
        <v>6.3236850772618549</v>
      </c>
      <c r="H49" s="1"/>
      <c r="I49" s="1">
        <f>F49</f>
        <v>1</v>
      </c>
      <c r="J49" s="1">
        <f>E49</f>
        <v>2.4564136266263925</v>
      </c>
      <c r="K49" s="1">
        <f>D49</f>
        <v>0.69714181279625054</v>
      </c>
      <c r="L49" s="1">
        <f>C49</f>
        <v>2.1701296378392119</v>
      </c>
      <c r="M49" s="1"/>
      <c r="N49" s="1">
        <f t="shared" si="5"/>
        <v>0.15813564207928557</v>
      </c>
      <c r="O49" s="1">
        <f t="shared" si="6"/>
        <v>0.38844654605887102</v>
      </c>
      <c r="P49" s="1">
        <f t="shared" si="7"/>
        <v>0.11024296818685218</v>
      </c>
      <c r="Q49" s="1">
        <f t="shared" si="8"/>
        <v>0.34317484367499124</v>
      </c>
      <c r="AA49" s="28"/>
      <c r="AB49" s="28"/>
      <c r="AC49" s="28"/>
      <c r="AD49" s="28"/>
      <c r="AE49" s="28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CFEE7-8130-4D97-B771-A2F5086CFBB4}">
  <dimension ref="A1:M51"/>
  <sheetViews>
    <sheetView zoomScale="80" zoomScaleNormal="80" workbookViewId="0">
      <selection activeCell="C4" sqref="C4"/>
    </sheetView>
  </sheetViews>
  <sheetFormatPr defaultRowHeight="15" x14ac:dyDescent="0.25"/>
  <cols>
    <col min="1" max="1" width="11.28515625" style="23" bestFit="1" customWidth="1"/>
    <col min="2" max="11" width="7" style="23" bestFit="1" customWidth="1"/>
    <col min="12" max="12" width="7.42578125" style="23" customWidth="1"/>
    <col min="13" max="13" width="139.85546875" style="23" bestFit="1" customWidth="1"/>
    <col min="14" max="16384" width="9.140625" style="23"/>
  </cols>
  <sheetData>
    <row r="1" spans="1:13" ht="13.15" customHeight="1" x14ac:dyDescent="0.25">
      <c r="A1" s="22" t="s">
        <v>35</v>
      </c>
      <c r="B1" s="22" t="s">
        <v>36</v>
      </c>
      <c r="C1" s="22" t="s">
        <v>37</v>
      </c>
      <c r="D1" s="22" t="s">
        <v>38</v>
      </c>
      <c r="E1" s="22" t="s">
        <v>39</v>
      </c>
      <c r="F1" s="22" t="s">
        <v>40</v>
      </c>
      <c r="G1" s="22" t="s">
        <v>41</v>
      </c>
      <c r="H1" s="22" t="s">
        <v>42</v>
      </c>
      <c r="I1" s="22" t="s">
        <v>43</v>
      </c>
      <c r="J1" s="22" t="s">
        <v>44</v>
      </c>
      <c r="K1" s="22" t="s">
        <v>45</v>
      </c>
      <c r="M1" s="23" t="s">
        <v>46</v>
      </c>
    </row>
    <row r="2" spans="1:13" ht="12.75" customHeight="1" x14ac:dyDescent="0.25">
      <c r="A2" s="22">
        <v>0.01</v>
      </c>
      <c r="B2" s="24">
        <v>1E-4</v>
      </c>
      <c r="C2" s="24">
        <v>1.8800000000000001E-2</v>
      </c>
      <c r="D2" s="24">
        <v>0.14949999999999999</v>
      </c>
      <c r="E2" s="24">
        <v>0.30120000000000002</v>
      </c>
      <c r="F2" s="24">
        <v>0.4249</v>
      </c>
      <c r="G2" s="24">
        <v>0.51</v>
      </c>
      <c r="H2" s="24">
        <v>0.57230000000000003</v>
      </c>
      <c r="I2" s="24">
        <v>0.61699999999999999</v>
      </c>
      <c r="J2" s="24">
        <v>0.65210000000000001</v>
      </c>
      <c r="K2" s="24">
        <v>0.68</v>
      </c>
    </row>
    <row r="3" spans="1:13" ht="12.75" customHeight="1" x14ac:dyDescent="0.25">
      <c r="A3" s="22">
        <v>0.02</v>
      </c>
      <c r="B3" s="24">
        <v>2.0000000000000001E-4</v>
      </c>
      <c r="C3" s="24">
        <v>4.1799999999999997E-2</v>
      </c>
      <c r="D3" s="24">
        <v>0.19339999999999999</v>
      </c>
      <c r="E3" s="24">
        <v>0.34620000000000001</v>
      </c>
      <c r="F3" s="24">
        <v>0.46200000000000002</v>
      </c>
      <c r="G3" s="24">
        <v>0.54</v>
      </c>
      <c r="H3" s="24">
        <v>0.59609999999999996</v>
      </c>
      <c r="I3" s="24">
        <v>0.6371</v>
      </c>
      <c r="J3" s="24">
        <v>0.66900000000000004</v>
      </c>
      <c r="K3" s="24">
        <v>0.69450000000000001</v>
      </c>
    </row>
    <row r="4" spans="1:13" ht="12.75" customHeight="1" x14ac:dyDescent="0.25">
      <c r="A4" s="22">
        <v>0.03</v>
      </c>
      <c r="B4" s="24">
        <v>5.0000000000000001E-4</v>
      </c>
      <c r="C4" s="24">
        <v>5.96E-2</v>
      </c>
      <c r="D4" s="24">
        <v>0.223</v>
      </c>
      <c r="E4" s="24">
        <v>0.3745</v>
      </c>
      <c r="F4" s="24">
        <v>0.48470000000000002</v>
      </c>
      <c r="G4" s="24">
        <v>0.55810000000000004</v>
      </c>
      <c r="H4" s="24">
        <v>0.61050000000000004</v>
      </c>
      <c r="I4" s="24">
        <v>0.64929999999999999</v>
      </c>
      <c r="J4" s="24">
        <v>0.67930000000000001</v>
      </c>
      <c r="K4" s="24">
        <v>0.70340000000000003</v>
      </c>
    </row>
    <row r="5" spans="1:13" ht="12.75" customHeight="1" x14ac:dyDescent="0.25">
      <c r="A5" s="22">
        <v>0.04</v>
      </c>
      <c r="B5" s="24">
        <v>8.9999999999999998E-4</v>
      </c>
      <c r="C5" s="24">
        <v>7.4800000000000005E-2</v>
      </c>
      <c r="D5" s="24">
        <v>0.246</v>
      </c>
      <c r="E5" s="24">
        <v>0.39550000000000002</v>
      </c>
      <c r="F5" s="24">
        <v>0.50119999999999998</v>
      </c>
      <c r="G5" s="24">
        <v>0.57130000000000003</v>
      </c>
      <c r="H5" s="24">
        <v>0.62109999999999999</v>
      </c>
      <c r="I5" s="24">
        <v>0.65820000000000001</v>
      </c>
      <c r="J5" s="24">
        <v>0.68679999999999997</v>
      </c>
      <c r="K5" s="24">
        <v>0.71</v>
      </c>
    </row>
    <row r="6" spans="1:13" ht="12.75" customHeight="1" x14ac:dyDescent="0.25">
      <c r="A6" s="22">
        <v>0.05</v>
      </c>
      <c r="B6" s="24">
        <v>1.4E-3</v>
      </c>
      <c r="C6" s="24">
        <v>8.8400000000000006E-2</v>
      </c>
      <c r="D6" s="24">
        <v>0.2651</v>
      </c>
      <c r="E6" s="24">
        <v>0.41239999999999999</v>
      </c>
      <c r="F6" s="24">
        <v>0.51429999999999998</v>
      </c>
      <c r="G6" s="24">
        <v>0.58179999999999998</v>
      </c>
      <c r="H6" s="24">
        <v>0.62949999999999995</v>
      </c>
      <c r="I6" s="24">
        <v>0.6653</v>
      </c>
      <c r="J6" s="24">
        <v>0.69279999999999997</v>
      </c>
      <c r="K6" s="24">
        <v>0.71519999999999995</v>
      </c>
    </row>
    <row r="7" spans="1:13" ht="12.75" customHeight="1" x14ac:dyDescent="0.25">
      <c r="A7" s="22">
        <v>0.06</v>
      </c>
      <c r="B7" s="24">
        <v>2.0999999999999999E-3</v>
      </c>
      <c r="C7" s="24">
        <v>0.1008</v>
      </c>
      <c r="D7" s="24">
        <v>0.28160000000000002</v>
      </c>
      <c r="E7" s="24">
        <v>0.42659999999999998</v>
      </c>
      <c r="F7" s="24">
        <v>0.52529999999999999</v>
      </c>
      <c r="G7" s="24">
        <v>0.59040000000000004</v>
      </c>
      <c r="H7" s="24">
        <v>0.63649999999999995</v>
      </c>
      <c r="I7" s="24">
        <v>0.67120000000000002</v>
      </c>
      <c r="J7" s="24">
        <v>0.69779999999999998</v>
      </c>
      <c r="K7" s="24">
        <v>0.71960000000000002</v>
      </c>
    </row>
    <row r="8" spans="1:13" ht="12.75" customHeight="1" x14ac:dyDescent="0.25">
      <c r="A8" s="22">
        <v>7.0000000000000007E-2</v>
      </c>
      <c r="B8" s="24">
        <v>2.8E-3</v>
      </c>
      <c r="C8" s="24">
        <v>0.1124</v>
      </c>
      <c r="D8" s="24">
        <v>0.29630000000000001</v>
      </c>
      <c r="E8" s="24">
        <v>0.439</v>
      </c>
      <c r="F8" s="24">
        <v>0.53469999999999995</v>
      </c>
      <c r="G8" s="24">
        <v>0.59789999999999999</v>
      </c>
      <c r="H8" s="24">
        <v>0.64249999999999996</v>
      </c>
      <c r="I8" s="24">
        <v>0.67630000000000001</v>
      </c>
      <c r="J8" s="24">
        <v>0.70220000000000005</v>
      </c>
      <c r="K8" s="24">
        <v>0.72340000000000004</v>
      </c>
    </row>
    <row r="9" spans="1:13" ht="12.6" customHeight="1" x14ac:dyDescent="0.25">
      <c r="A9" s="22">
        <v>0.08</v>
      </c>
      <c r="B9" s="24">
        <v>3.7000000000000002E-3</v>
      </c>
      <c r="C9" s="24">
        <v>0.12330000000000001</v>
      </c>
      <c r="D9" s="24">
        <v>0.3095</v>
      </c>
      <c r="E9" s="24">
        <v>0.44990000000000002</v>
      </c>
      <c r="F9" s="24">
        <v>0.54300000000000004</v>
      </c>
      <c r="G9" s="24">
        <v>0.60450000000000004</v>
      </c>
      <c r="H9" s="24">
        <v>0.64780000000000004</v>
      </c>
      <c r="I9" s="24">
        <v>0.68069999999999997</v>
      </c>
      <c r="J9" s="24">
        <v>0.70599999999999996</v>
      </c>
      <c r="K9" s="24">
        <v>0.72670000000000001</v>
      </c>
    </row>
    <row r="10" spans="1:13" ht="12.75" customHeight="1" x14ac:dyDescent="0.25">
      <c r="A10" s="22">
        <v>0.09</v>
      </c>
      <c r="B10" s="24">
        <v>4.5999999999999999E-3</v>
      </c>
      <c r="C10" s="24">
        <v>0.13370000000000001</v>
      </c>
      <c r="D10" s="24">
        <v>0.32150000000000001</v>
      </c>
      <c r="E10" s="24">
        <v>0.4597</v>
      </c>
      <c r="F10" s="24">
        <v>0.55049999999999999</v>
      </c>
      <c r="G10" s="24">
        <v>0.61040000000000005</v>
      </c>
      <c r="H10" s="24">
        <v>0.65259999999999996</v>
      </c>
      <c r="I10" s="24">
        <v>0.68479999999999996</v>
      </c>
      <c r="J10" s="24">
        <v>0.70950000000000002</v>
      </c>
      <c r="K10" s="24">
        <v>0.7298</v>
      </c>
    </row>
    <row r="11" spans="1:13" ht="12.75" customHeight="1" x14ac:dyDescent="0.25">
      <c r="A11" s="22">
        <v>0.1</v>
      </c>
      <c r="B11" s="24">
        <v>5.7000000000000002E-3</v>
      </c>
      <c r="C11" s="24">
        <v>0.14369999999999999</v>
      </c>
      <c r="D11" s="24">
        <v>0.3327</v>
      </c>
      <c r="E11" s="24">
        <v>0.46860000000000002</v>
      </c>
      <c r="F11" s="24">
        <v>0.55720000000000003</v>
      </c>
      <c r="G11" s="24">
        <v>0.61570000000000003</v>
      </c>
      <c r="H11" s="24">
        <v>0.65690000000000004</v>
      </c>
      <c r="I11" s="24">
        <v>0.68840000000000001</v>
      </c>
      <c r="J11" s="24">
        <v>0.71260000000000001</v>
      </c>
      <c r="K11" s="24">
        <v>0.73250000000000004</v>
      </c>
    </row>
    <row r="12" spans="1:13" ht="12.75" customHeight="1" x14ac:dyDescent="0.25">
      <c r="A12" s="22">
        <v>0.11</v>
      </c>
      <c r="B12" s="24">
        <v>6.8999999999999999E-3</v>
      </c>
      <c r="C12" s="24">
        <v>0.1532</v>
      </c>
      <c r="D12" s="24">
        <v>0.34300000000000003</v>
      </c>
      <c r="E12" s="24">
        <v>0.47689999999999999</v>
      </c>
      <c r="F12" s="24">
        <v>0.56340000000000001</v>
      </c>
      <c r="G12" s="24">
        <v>0.62060000000000004</v>
      </c>
      <c r="H12" s="24">
        <v>0.66090000000000004</v>
      </c>
      <c r="I12" s="24">
        <v>0.69179999999999997</v>
      </c>
      <c r="J12" s="24">
        <v>0.71550000000000002</v>
      </c>
      <c r="K12" s="24">
        <v>0.73499999999999999</v>
      </c>
    </row>
    <row r="13" spans="1:13" ht="12.75" customHeight="1" x14ac:dyDescent="0.25">
      <c r="A13" s="22">
        <v>0.12</v>
      </c>
      <c r="B13" s="24">
        <v>8.3000000000000001E-3</v>
      </c>
      <c r="C13" s="24">
        <v>0.16250000000000001</v>
      </c>
      <c r="D13" s="24">
        <v>0.3528</v>
      </c>
      <c r="E13" s="24">
        <v>0.48449999999999999</v>
      </c>
      <c r="F13" s="24">
        <v>0.56910000000000005</v>
      </c>
      <c r="G13" s="24">
        <v>0.62519999999999998</v>
      </c>
      <c r="H13" s="24">
        <v>0.66459999999999997</v>
      </c>
      <c r="I13" s="24">
        <v>0.69489999999999996</v>
      </c>
      <c r="J13" s="24">
        <v>0.71819999999999995</v>
      </c>
      <c r="K13" s="24">
        <v>0.73740000000000006</v>
      </c>
    </row>
    <row r="14" spans="1:13" ht="12.75" customHeight="1" x14ac:dyDescent="0.25">
      <c r="A14" s="22">
        <v>0.13</v>
      </c>
      <c r="B14" s="24">
        <v>9.7000000000000003E-3</v>
      </c>
      <c r="C14" s="24">
        <v>0.1714</v>
      </c>
      <c r="D14" s="24">
        <v>0.36199999999999999</v>
      </c>
      <c r="E14" s="24">
        <v>0.49159999999999998</v>
      </c>
      <c r="F14" s="24">
        <v>0.57450000000000001</v>
      </c>
      <c r="G14" s="24">
        <v>0.62939999999999996</v>
      </c>
      <c r="H14" s="24">
        <v>0.66810000000000003</v>
      </c>
      <c r="I14" s="24">
        <v>0.69779999999999998</v>
      </c>
      <c r="J14" s="24">
        <v>0.72070000000000001</v>
      </c>
      <c r="K14" s="24">
        <v>0.73960000000000004</v>
      </c>
    </row>
    <row r="15" spans="1:13" ht="12.75" customHeight="1" x14ac:dyDescent="0.25">
      <c r="A15" s="22">
        <v>0.14000000000000001</v>
      </c>
      <c r="B15" s="24">
        <v>1.1299999999999999E-2</v>
      </c>
      <c r="C15" s="24">
        <v>0.18010000000000001</v>
      </c>
      <c r="D15" s="24">
        <v>0.37059999999999998</v>
      </c>
      <c r="E15" s="24">
        <v>0.49830000000000002</v>
      </c>
      <c r="F15" s="24">
        <v>0.57950000000000002</v>
      </c>
      <c r="G15" s="24">
        <v>0.63339999999999996</v>
      </c>
      <c r="H15" s="24">
        <v>0.67130000000000001</v>
      </c>
      <c r="I15" s="24">
        <v>0.70050000000000001</v>
      </c>
      <c r="J15" s="24">
        <v>0.72309999999999997</v>
      </c>
      <c r="K15" s="24">
        <v>0.74170000000000003</v>
      </c>
    </row>
    <row r="16" spans="1:13" ht="12.75" customHeight="1" x14ac:dyDescent="0.25">
      <c r="A16" s="22">
        <v>0.15</v>
      </c>
      <c r="B16" s="24">
        <v>1.29E-2</v>
      </c>
      <c r="C16" s="24">
        <v>0.18859999999999999</v>
      </c>
      <c r="D16" s="24">
        <v>0.37890000000000001</v>
      </c>
      <c r="E16" s="24">
        <v>0.50470000000000004</v>
      </c>
      <c r="F16" s="24">
        <v>0.58420000000000005</v>
      </c>
      <c r="G16" s="24">
        <v>0.6371</v>
      </c>
      <c r="H16" s="24">
        <v>0.67430000000000001</v>
      </c>
      <c r="I16" s="24">
        <v>0.70309999999999995</v>
      </c>
      <c r="J16" s="24">
        <v>0.72529999999999994</v>
      </c>
      <c r="K16" s="24">
        <v>0.74360000000000004</v>
      </c>
    </row>
    <row r="17" spans="1:11" ht="12.75" customHeight="1" x14ac:dyDescent="0.25">
      <c r="A17" s="22">
        <v>0.16</v>
      </c>
      <c r="B17" s="24">
        <v>1.47E-2</v>
      </c>
      <c r="C17" s="24">
        <v>0.19689999999999999</v>
      </c>
      <c r="D17" s="24">
        <v>0.38679999999999998</v>
      </c>
      <c r="E17" s="24">
        <v>0.51060000000000005</v>
      </c>
      <c r="F17" s="24">
        <v>0.5887</v>
      </c>
      <c r="G17" s="24">
        <v>0.64059999999999995</v>
      </c>
      <c r="H17" s="24">
        <v>0.67720000000000002</v>
      </c>
      <c r="I17" s="24">
        <v>0.7056</v>
      </c>
      <c r="J17" s="24">
        <v>0.72740000000000005</v>
      </c>
      <c r="K17" s="24">
        <v>0.74550000000000005</v>
      </c>
    </row>
    <row r="18" spans="1:11" ht="12.6" customHeight="1" x14ac:dyDescent="0.25">
      <c r="A18" s="22">
        <v>0.17</v>
      </c>
      <c r="B18" s="24">
        <v>1.66E-2</v>
      </c>
      <c r="C18" s="24">
        <v>0.20499999999999999</v>
      </c>
      <c r="D18" s="24">
        <v>0.39439999999999997</v>
      </c>
      <c r="E18" s="24">
        <v>0.51629999999999998</v>
      </c>
      <c r="F18" s="24">
        <v>0.59289999999999998</v>
      </c>
      <c r="G18" s="24">
        <v>0.64400000000000002</v>
      </c>
      <c r="H18" s="24">
        <v>0.68</v>
      </c>
      <c r="I18" s="24">
        <v>0.70789999999999997</v>
      </c>
      <c r="J18" s="24">
        <v>0.72940000000000005</v>
      </c>
      <c r="K18" s="24">
        <v>0.74729999999999996</v>
      </c>
    </row>
    <row r="19" spans="1:11" ht="12.75" customHeight="1" x14ac:dyDescent="0.25">
      <c r="A19" s="22">
        <v>0.18</v>
      </c>
      <c r="B19" s="24">
        <v>1.8700000000000001E-2</v>
      </c>
      <c r="C19" s="24">
        <v>0.21290000000000001</v>
      </c>
      <c r="D19" s="24">
        <v>0.40160000000000001</v>
      </c>
      <c r="E19" s="24">
        <v>0.52180000000000004</v>
      </c>
      <c r="F19" s="24">
        <v>0.59699999999999998</v>
      </c>
      <c r="G19" s="24">
        <v>0.6472</v>
      </c>
      <c r="H19" s="24">
        <v>0.68259999999999998</v>
      </c>
      <c r="I19" s="24">
        <v>0.71009999999999995</v>
      </c>
      <c r="J19" s="24">
        <v>0.73129999999999995</v>
      </c>
      <c r="K19" s="24">
        <v>0.749</v>
      </c>
    </row>
    <row r="20" spans="1:11" ht="12.75" customHeight="1" x14ac:dyDescent="0.25">
      <c r="A20" s="22">
        <v>0.19</v>
      </c>
      <c r="B20" s="24">
        <v>2.07E-2</v>
      </c>
      <c r="C20" s="24">
        <v>0.22070000000000001</v>
      </c>
      <c r="D20" s="24">
        <v>0.40860000000000002</v>
      </c>
      <c r="E20" s="24">
        <v>0.52700000000000002</v>
      </c>
      <c r="F20" s="24">
        <v>0.60089999999999999</v>
      </c>
      <c r="G20" s="24">
        <v>0.6502</v>
      </c>
      <c r="H20" s="24">
        <v>0.68510000000000004</v>
      </c>
      <c r="I20" s="24">
        <v>0.71220000000000006</v>
      </c>
      <c r="J20" s="24">
        <v>0.73319999999999996</v>
      </c>
      <c r="K20" s="24">
        <v>0.75060000000000004</v>
      </c>
    </row>
    <row r="21" spans="1:11" ht="12.75" customHeight="1" x14ac:dyDescent="0.25">
      <c r="A21" s="22">
        <v>0.2</v>
      </c>
      <c r="B21" s="24">
        <v>2.3E-2</v>
      </c>
      <c r="C21" s="24">
        <v>0.2283</v>
      </c>
      <c r="D21" s="24">
        <v>0.41539999999999999</v>
      </c>
      <c r="E21" s="24">
        <v>0.53200000000000003</v>
      </c>
      <c r="F21" s="24">
        <v>0.60460000000000003</v>
      </c>
      <c r="G21" s="24">
        <v>0.6532</v>
      </c>
      <c r="H21" s="24">
        <v>0.6875</v>
      </c>
      <c r="I21" s="24">
        <v>0.71430000000000005</v>
      </c>
      <c r="J21" s="24">
        <v>0.73499999999999999</v>
      </c>
      <c r="K21" s="24">
        <v>0.75209999999999999</v>
      </c>
    </row>
    <row r="22" spans="1:11" ht="12.75" customHeight="1" x14ac:dyDescent="0.25">
      <c r="A22" s="22">
        <v>0.21</v>
      </c>
      <c r="B22" s="24">
        <v>2.5399999999999999E-2</v>
      </c>
      <c r="C22" s="24">
        <v>0.2359</v>
      </c>
      <c r="D22" s="24">
        <v>0.4219</v>
      </c>
      <c r="E22" s="24">
        <v>0.53680000000000005</v>
      </c>
      <c r="F22" s="24">
        <v>0.60809999999999997</v>
      </c>
      <c r="G22" s="24">
        <v>0.65600000000000003</v>
      </c>
      <c r="H22" s="24">
        <v>0.68989999999999996</v>
      </c>
      <c r="I22" s="24">
        <v>0.71630000000000005</v>
      </c>
      <c r="J22" s="24">
        <v>0.73670000000000002</v>
      </c>
      <c r="K22" s="24">
        <v>0.75370000000000004</v>
      </c>
    </row>
    <row r="23" spans="1:11" ht="12.75" customHeight="1" x14ac:dyDescent="0.25">
      <c r="A23" s="22">
        <v>0.22</v>
      </c>
      <c r="B23" s="24">
        <v>2.81E-2</v>
      </c>
      <c r="C23" s="24">
        <v>0.24329999999999999</v>
      </c>
      <c r="D23" s="24">
        <v>0.42820000000000003</v>
      </c>
      <c r="E23" s="24">
        <v>0.54139999999999999</v>
      </c>
      <c r="F23" s="24">
        <v>0.61160000000000003</v>
      </c>
      <c r="G23" s="24">
        <v>0.65869999999999995</v>
      </c>
      <c r="H23" s="24">
        <v>0.69210000000000005</v>
      </c>
      <c r="I23" s="24">
        <v>0.71819999999999995</v>
      </c>
      <c r="J23" s="24">
        <v>0.73829999999999996</v>
      </c>
      <c r="K23" s="24">
        <v>0.75509999999999999</v>
      </c>
    </row>
    <row r="24" spans="1:11" ht="12.75" customHeight="1" x14ac:dyDescent="0.25">
      <c r="A24" s="22">
        <v>0.23</v>
      </c>
      <c r="B24" s="24">
        <v>3.0599999999999999E-2</v>
      </c>
      <c r="C24" s="24">
        <v>0.25059999999999999</v>
      </c>
      <c r="D24" s="24">
        <v>0.43430000000000002</v>
      </c>
      <c r="E24" s="24">
        <v>0.54590000000000005</v>
      </c>
      <c r="F24" s="24">
        <v>0.6149</v>
      </c>
      <c r="G24" s="24">
        <v>0.66139999999999999</v>
      </c>
      <c r="H24" s="24">
        <v>0.69430000000000003</v>
      </c>
      <c r="I24" s="24">
        <v>0.72</v>
      </c>
      <c r="J24" s="24">
        <v>0.7399</v>
      </c>
      <c r="K24" s="24">
        <v>0.75649999999999995</v>
      </c>
    </row>
    <row r="25" spans="1:11" ht="12.75" customHeight="1" x14ac:dyDescent="0.25">
      <c r="A25" s="22">
        <v>0.24</v>
      </c>
      <c r="B25" s="24">
        <v>3.3399999999999999E-2</v>
      </c>
      <c r="C25" s="24">
        <v>0.25779999999999997</v>
      </c>
      <c r="D25" s="24">
        <v>0.44030000000000002</v>
      </c>
      <c r="E25" s="24">
        <v>0.55020000000000002</v>
      </c>
      <c r="F25" s="24">
        <v>0.61809999999999998</v>
      </c>
      <c r="G25" s="24">
        <v>0.66390000000000005</v>
      </c>
      <c r="H25" s="24">
        <v>0.69640000000000002</v>
      </c>
      <c r="I25" s="24">
        <v>0.7218</v>
      </c>
      <c r="J25" s="24">
        <v>0.74150000000000005</v>
      </c>
      <c r="K25" s="24">
        <v>0.75790000000000002</v>
      </c>
    </row>
    <row r="26" spans="1:11" ht="12.75" customHeight="1" x14ac:dyDescent="0.25">
      <c r="A26" s="22">
        <v>0.25</v>
      </c>
      <c r="B26" s="24">
        <v>3.6299999999999999E-2</v>
      </c>
      <c r="C26" s="24">
        <v>0.26479999999999998</v>
      </c>
      <c r="D26" s="24">
        <v>0.4461</v>
      </c>
      <c r="E26" s="24">
        <v>0.5544</v>
      </c>
      <c r="F26" s="24">
        <v>0.62119999999999997</v>
      </c>
      <c r="G26" s="24">
        <v>0.66639999999999999</v>
      </c>
      <c r="H26" s="24">
        <v>0.69840000000000002</v>
      </c>
      <c r="I26" s="24">
        <v>0.72350000000000003</v>
      </c>
      <c r="J26" s="24">
        <v>0.74299999999999999</v>
      </c>
      <c r="K26" s="24">
        <v>0.75919999999999999</v>
      </c>
    </row>
    <row r="27" spans="1:11" ht="12.75" customHeight="1" x14ac:dyDescent="0.25">
      <c r="A27" s="22">
        <v>0.26</v>
      </c>
      <c r="B27" s="24">
        <v>3.9300000000000002E-2</v>
      </c>
      <c r="C27" s="24">
        <v>0.27189999999999998</v>
      </c>
      <c r="D27" s="24">
        <v>0.45169999999999999</v>
      </c>
      <c r="E27" s="24">
        <v>0.5585</v>
      </c>
      <c r="F27" s="24">
        <v>0.62429999999999997</v>
      </c>
      <c r="G27" s="24">
        <v>0.66879999999999995</v>
      </c>
      <c r="H27" s="24">
        <v>0.70040000000000002</v>
      </c>
      <c r="I27" s="24">
        <v>0.72519999999999996</v>
      </c>
      <c r="J27" s="24">
        <v>0.74450000000000005</v>
      </c>
      <c r="K27" s="24">
        <v>0.76049999999999995</v>
      </c>
    </row>
    <row r="28" spans="1:11" ht="12.75" customHeight="1" x14ac:dyDescent="0.25">
      <c r="A28" s="22">
        <v>0.27</v>
      </c>
      <c r="B28" s="24">
        <v>4.2500000000000003E-2</v>
      </c>
      <c r="C28" s="24">
        <v>0.27879999999999999</v>
      </c>
      <c r="D28" s="24">
        <v>0.4572</v>
      </c>
      <c r="E28" s="24">
        <v>0.5625</v>
      </c>
      <c r="F28" s="24">
        <v>0.62719999999999998</v>
      </c>
      <c r="G28" s="24">
        <v>0.67110000000000003</v>
      </c>
      <c r="H28" s="24">
        <v>0.70230000000000004</v>
      </c>
      <c r="I28" s="24">
        <v>0.7268</v>
      </c>
      <c r="J28" s="24">
        <v>0.74590000000000001</v>
      </c>
      <c r="K28" s="24">
        <v>0.76180000000000003</v>
      </c>
    </row>
    <row r="29" spans="1:11" ht="12.75" customHeight="1" x14ac:dyDescent="0.25">
      <c r="A29" s="22">
        <v>0.28000000000000003</v>
      </c>
      <c r="B29" s="24">
        <v>4.5699999999999998E-2</v>
      </c>
      <c r="C29" s="24">
        <v>0.28560000000000002</v>
      </c>
      <c r="D29" s="24">
        <v>0.46260000000000001</v>
      </c>
      <c r="E29" s="24">
        <v>0.56640000000000001</v>
      </c>
      <c r="F29" s="24">
        <v>0.63009999999999999</v>
      </c>
      <c r="G29" s="24">
        <v>0.6734</v>
      </c>
      <c r="H29" s="24">
        <v>0.70420000000000005</v>
      </c>
      <c r="I29" s="24">
        <v>0.72840000000000005</v>
      </c>
      <c r="J29" s="24">
        <v>0.74729999999999996</v>
      </c>
      <c r="K29" s="24">
        <v>0.76300000000000001</v>
      </c>
    </row>
    <row r="30" spans="1:11" ht="12.75" customHeight="1" x14ac:dyDescent="0.25">
      <c r="A30" s="22">
        <v>0.28999999999999998</v>
      </c>
      <c r="B30" s="24">
        <v>4.9099999999999998E-2</v>
      </c>
      <c r="C30" s="24">
        <v>0.29239999999999999</v>
      </c>
      <c r="D30" s="24">
        <v>0.46789999999999998</v>
      </c>
      <c r="E30" s="24">
        <v>0.57010000000000005</v>
      </c>
      <c r="F30" s="24">
        <v>0.63290000000000002</v>
      </c>
      <c r="G30" s="24">
        <v>0.67559999999999998</v>
      </c>
      <c r="H30" s="24">
        <v>0.70609999999999995</v>
      </c>
      <c r="I30" s="24">
        <v>0.73</v>
      </c>
      <c r="J30" s="24">
        <v>0.74870000000000003</v>
      </c>
      <c r="K30" s="24">
        <v>0.76429999999999998</v>
      </c>
    </row>
    <row r="31" spans="1:11" ht="12.75" customHeight="1" x14ac:dyDescent="0.25">
      <c r="A31" s="22">
        <v>0.3</v>
      </c>
      <c r="B31" s="24">
        <v>5.2600000000000001E-2</v>
      </c>
      <c r="C31" s="24">
        <v>0.29909999999999998</v>
      </c>
      <c r="D31" s="24">
        <v>0.47299999999999998</v>
      </c>
      <c r="E31" s="24">
        <v>0.57379999999999998</v>
      </c>
      <c r="F31" s="24">
        <v>0.63560000000000005</v>
      </c>
      <c r="G31" s="24">
        <v>0.67779999999999996</v>
      </c>
      <c r="H31" s="24">
        <v>0.70789999999999997</v>
      </c>
      <c r="I31" s="24">
        <v>0.73150000000000004</v>
      </c>
      <c r="J31" s="24">
        <v>0.75</v>
      </c>
      <c r="K31" s="24">
        <v>0.76539999999999997</v>
      </c>
    </row>
    <row r="32" spans="1:11" ht="12.75" customHeight="1" x14ac:dyDescent="0.25">
      <c r="A32" s="22">
        <v>0.31</v>
      </c>
      <c r="B32" s="24">
        <v>5.6399999999999999E-2</v>
      </c>
      <c r="C32" s="24">
        <v>0.30570000000000003</v>
      </c>
      <c r="D32" s="24">
        <v>0.47799999999999998</v>
      </c>
      <c r="E32" s="24">
        <v>0.57740000000000002</v>
      </c>
      <c r="F32" s="24">
        <v>0.63829999999999998</v>
      </c>
      <c r="G32" s="24">
        <v>0.67989999999999995</v>
      </c>
      <c r="H32" s="24">
        <v>0.70960000000000001</v>
      </c>
      <c r="I32" s="24">
        <v>0.73299999999999998</v>
      </c>
      <c r="J32" s="24">
        <v>0.75129999999999997</v>
      </c>
      <c r="K32" s="24">
        <v>0.76659999999999995</v>
      </c>
    </row>
    <row r="33" spans="1:11" ht="12.75" customHeight="1" x14ac:dyDescent="0.25">
      <c r="A33" s="22">
        <v>0.32</v>
      </c>
      <c r="B33" s="24">
        <v>6.0199999999999997E-2</v>
      </c>
      <c r="C33" s="24">
        <v>0.31230000000000002</v>
      </c>
      <c r="D33" s="24">
        <v>0.48299999999999998</v>
      </c>
      <c r="E33" s="24">
        <v>0.58089999999999997</v>
      </c>
      <c r="F33" s="24">
        <v>0.64090000000000003</v>
      </c>
      <c r="G33" s="24">
        <v>0.68200000000000005</v>
      </c>
      <c r="H33" s="24">
        <v>0.71130000000000004</v>
      </c>
      <c r="I33" s="24">
        <v>0.73450000000000004</v>
      </c>
      <c r="J33" s="24">
        <v>0.75260000000000005</v>
      </c>
      <c r="K33" s="24">
        <v>0.76770000000000005</v>
      </c>
    </row>
    <row r="34" spans="1:11" ht="12.6" customHeight="1" x14ac:dyDescent="0.25">
      <c r="A34" s="22">
        <v>0.33</v>
      </c>
      <c r="B34" s="24">
        <v>6.4100000000000004E-2</v>
      </c>
      <c r="C34" s="24">
        <v>0.31879999999999997</v>
      </c>
      <c r="D34" s="24">
        <v>0.48780000000000001</v>
      </c>
      <c r="E34" s="24">
        <v>0.58430000000000004</v>
      </c>
      <c r="F34" s="24">
        <v>0.64339999999999997</v>
      </c>
      <c r="G34" s="24">
        <v>0.68400000000000005</v>
      </c>
      <c r="H34" s="24">
        <v>0.71299999999999997</v>
      </c>
      <c r="I34" s="24">
        <v>0.7359</v>
      </c>
      <c r="J34" s="24">
        <v>0.75380000000000003</v>
      </c>
      <c r="K34" s="24">
        <v>0.76890000000000003</v>
      </c>
    </row>
    <row r="35" spans="1:11" ht="12.75" customHeight="1" x14ac:dyDescent="0.25">
      <c r="A35" s="22">
        <v>0.34</v>
      </c>
      <c r="B35" s="24">
        <v>6.8199999999999997E-2</v>
      </c>
      <c r="C35" s="24">
        <v>0.32529999999999998</v>
      </c>
      <c r="D35" s="24">
        <v>0.49259999999999998</v>
      </c>
      <c r="E35" s="24">
        <v>0.5877</v>
      </c>
      <c r="F35" s="24">
        <v>0.64600000000000002</v>
      </c>
      <c r="G35" s="24">
        <v>0.68600000000000005</v>
      </c>
      <c r="H35" s="24">
        <v>0.7147</v>
      </c>
      <c r="I35" s="24">
        <v>0.73740000000000006</v>
      </c>
      <c r="J35" s="24">
        <v>0.75509999999999999</v>
      </c>
      <c r="K35" s="24">
        <v>0.77</v>
      </c>
    </row>
    <row r="36" spans="1:11" ht="12.75" customHeight="1" x14ac:dyDescent="0.25">
      <c r="A36" s="22">
        <v>0.35</v>
      </c>
      <c r="B36" s="24">
        <v>7.2499999999999995E-2</v>
      </c>
      <c r="C36" s="24">
        <v>0.33169999999999999</v>
      </c>
      <c r="D36" s="24">
        <v>0.49719999999999998</v>
      </c>
      <c r="E36" s="24">
        <v>0.59099999999999997</v>
      </c>
      <c r="F36" s="24">
        <v>0.64839999999999998</v>
      </c>
      <c r="G36" s="24">
        <v>0.68799999999999994</v>
      </c>
      <c r="H36" s="24">
        <v>0.71630000000000005</v>
      </c>
      <c r="I36" s="24">
        <v>0.73880000000000001</v>
      </c>
      <c r="J36" s="24">
        <v>0.75629999999999997</v>
      </c>
      <c r="K36" s="24">
        <v>0.77100000000000002</v>
      </c>
    </row>
    <row r="37" spans="1:11" ht="12.75" customHeight="1" x14ac:dyDescent="0.25">
      <c r="A37" s="22">
        <v>0.36</v>
      </c>
      <c r="B37" s="24">
        <v>7.6899999999999996E-2</v>
      </c>
      <c r="C37" s="24">
        <v>0.33800000000000002</v>
      </c>
      <c r="D37" s="24">
        <v>0.50180000000000002</v>
      </c>
      <c r="E37" s="24">
        <v>0.59419999999999995</v>
      </c>
      <c r="F37" s="24">
        <v>0.65080000000000005</v>
      </c>
      <c r="G37" s="24">
        <v>0.68989999999999996</v>
      </c>
      <c r="H37" s="24">
        <v>0.71789999999999998</v>
      </c>
      <c r="I37" s="24">
        <v>0.74009999999999998</v>
      </c>
      <c r="J37" s="24">
        <v>0.75749999999999995</v>
      </c>
      <c r="K37" s="24">
        <v>0.77210000000000001</v>
      </c>
    </row>
    <row r="38" spans="1:11" ht="12.75" customHeight="1" x14ac:dyDescent="0.25">
      <c r="A38" s="22">
        <v>0.37</v>
      </c>
      <c r="B38" s="24">
        <v>8.1500000000000003E-2</v>
      </c>
      <c r="C38" s="24">
        <v>0.34429999999999999</v>
      </c>
      <c r="D38" s="24">
        <v>0.50629999999999997</v>
      </c>
      <c r="E38" s="24">
        <v>0.59740000000000004</v>
      </c>
      <c r="F38" s="24">
        <v>0.6532</v>
      </c>
      <c r="G38" s="24">
        <v>0.69179999999999997</v>
      </c>
      <c r="H38" s="24">
        <v>0.71950000000000003</v>
      </c>
      <c r="I38" s="24">
        <v>0.74150000000000005</v>
      </c>
      <c r="J38" s="24">
        <v>0.75870000000000004</v>
      </c>
      <c r="K38" s="24">
        <v>0.7732</v>
      </c>
    </row>
    <row r="39" spans="1:11" ht="12.75" customHeight="1" x14ac:dyDescent="0.25">
      <c r="A39" s="22">
        <v>0.38</v>
      </c>
      <c r="B39" s="24">
        <v>8.6199999999999999E-2</v>
      </c>
      <c r="C39" s="24">
        <v>0.35060000000000002</v>
      </c>
      <c r="D39" s="24">
        <v>0.51080000000000003</v>
      </c>
      <c r="E39" s="24">
        <v>0.60060000000000002</v>
      </c>
      <c r="F39" s="24">
        <v>0.65549999999999997</v>
      </c>
      <c r="G39" s="24">
        <v>0.69369999999999998</v>
      </c>
      <c r="H39" s="24">
        <v>0.72109999999999996</v>
      </c>
      <c r="I39" s="24">
        <v>0.74280000000000002</v>
      </c>
      <c r="J39" s="24">
        <v>0.75990000000000002</v>
      </c>
      <c r="K39" s="24">
        <v>0.7742</v>
      </c>
    </row>
    <row r="40" spans="1:11" ht="12.75" customHeight="1" x14ac:dyDescent="0.25">
      <c r="A40" s="22">
        <v>0.39</v>
      </c>
      <c r="B40" s="24">
        <v>9.11E-2</v>
      </c>
      <c r="C40" s="24">
        <v>0.35680000000000001</v>
      </c>
      <c r="D40" s="24">
        <v>0.51519999999999999</v>
      </c>
      <c r="E40" s="24">
        <v>0.60370000000000001</v>
      </c>
      <c r="F40" s="24">
        <v>0.65790000000000004</v>
      </c>
      <c r="G40" s="24">
        <v>0.69550000000000001</v>
      </c>
      <c r="H40" s="24">
        <v>0.72260000000000002</v>
      </c>
      <c r="I40" s="24">
        <v>0.74409999999999998</v>
      </c>
      <c r="J40" s="24">
        <v>0.76100000000000001</v>
      </c>
      <c r="K40" s="24">
        <v>0.7752</v>
      </c>
    </row>
    <row r="41" spans="1:11" ht="12.75" customHeight="1" x14ac:dyDescent="0.25">
      <c r="A41" s="22">
        <v>0.4</v>
      </c>
      <c r="B41" s="24">
        <v>9.6000000000000002E-2</v>
      </c>
      <c r="C41" s="24">
        <v>0.36299999999999999</v>
      </c>
      <c r="D41" s="24">
        <v>0.51949999999999996</v>
      </c>
      <c r="E41" s="24">
        <v>0.60670000000000002</v>
      </c>
      <c r="F41" s="24">
        <v>0.66010000000000002</v>
      </c>
      <c r="G41" s="24">
        <v>0.69730000000000003</v>
      </c>
      <c r="H41" s="24">
        <v>0.72409999999999997</v>
      </c>
      <c r="I41" s="24">
        <v>0.74539999999999995</v>
      </c>
      <c r="J41" s="24">
        <v>0.7621</v>
      </c>
      <c r="K41" s="24">
        <v>0.7762</v>
      </c>
    </row>
    <row r="42" spans="1:11" ht="12.75" customHeight="1" x14ac:dyDescent="0.25">
      <c r="A42" s="22">
        <v>0.41</v>
      </c>
      <c r="B42" s="24">
        <v>0.1012</v>
      </c>
      <c r="C42" s="24">
        <v>0.36909999999999998</v>
      </c>
      <c r="D42" s="24">
        <v>0.52370000000000005</v>
      </c>
      <c r="E42" s="24">
        <v>0.60970000000000002</v>
      </c>
      <c r="F42" s="24">
        <v>0.66239999999999999</v>
      </c>
      <c r="G42" s="24">
        <v>0.69910000000000005</v>
      </c>
      <c r="H42" s="24">
        <v>0.72560000000000002</v>
      </c>
      <c r="I42" s="24">
        <v>0.74670000000000003</v>
      </c>
      <c r="J42" s="24">
        <v>0.76329999999999998</v>
      </c>
      <c r="K42" s="24">
        <v>0.7772</v>
      </c>
    </row>
    <row r="43" spans="1:11" ht="12.6" customHeight="1" x14ac:dyDescent="0.25">
      <c r="A43" s="22">
        <v>0.42</v>
      </c>
      <c r="B43" s="24">
        <v>0.1065</v>
      </c>
      <c r="C43" s="24">
        <v>0.37519999999999998</v>
      </c>
      <c r="D43" s="24">
        <v>0.52790000000000004</v>
      </c>
      <c r="E43" s="24">
        <v>0.61260000000000003</v>
      </c>
      <c r="F43" s="24">
        <v>0.66459999999999997</v>
      </c>
      <c r="G43" s="24">
        <v>0.70089999999999997</v>
      </c>
      <c r="H43" s="24">
        <v>0.72709999999999997</v>
      </c>
      <c r="I43" s="24">
        <v>0.748</v>
      </c>
      <c r="J43" s="24">
        <v>0.76439999999999997</v>
      </c>
      <c r="K43" s="24">
        <v>0.7782</v>
      </c>
    </row>
    <row r="44" spans="1:11" ht="12.75" customHeight="1" x14ac:dyDescent="0.25">
      <c r="A44" s="22">
        <v>0.43</v>
      </c>
      <c r="B44" s="24">
        <v>0.1119</v>
      </c>
      <c r="C44" s="24">
        <v>0.38129999999999997</v>
      </c>
      <c r="D44" s="24">
        <v>0.53210000000000002</v>
      </c>
      <c r="E44" s="24">
        <v>0.61550000000000005</v>
      </c>
      <c r="F44" s="24">
        <v>0.66679999999999995</v>
      </c>
      <c r="G44" s="24">
        <v>0.7026</v>
      </c>
      <c r="H44" s="24">
        <v>0.72860000000000003</v>
      </c>
      <c r="I44" s="24">
        <v>0.74919999999999998</v>
      </c>
      <c r="J44" s="24">
        <v>0.76549999999999996</v>
      </c>
      <c r="K44" s="24">
        <v>0.7792</v>
      </c>
    </row>
    <row r="45" spans="1:11" ht="12.75" customHeight="1" x14ac:dyDescent="0.25">
      <c r="A45" s="22">
        <v>0.44</v>
      </c>
      <c r="B45" s="24">
        <v>0.1174</v>
      </c>
      <c r="C45" s="24">
        <v>0.38729999999999998</v>
      </c>
      <c r="D45" s="24">
        <v>0.53620000000000001</v>
      </c>
      <c r="E45" s="24">
        <v>0.61839999999999995</v>
      </c>
      <c r="F45" s="24">
        <v>0.66890000000000005</v>
      </c>
      <c r="G45" s="24">
        <v>0.70440000000000003</v>
      </c>
      <c r="H45" s="24">
        <v>0.73</v>
      </c>
      <c r="I45" s="24">
        <v>0.75049999999999994</v>
      </c>
      <c r="J45" s="24">
        <v>0.76659999999999995</v>
      </c>
      <c r="K45" s="24">
        <v>0.7802</v>
      </c>
    </row>
    <row r="46" spans="1:11" ht="12.75" customHeight="1" x14ac:dyDescent="0.25">
      <c r="A46" s="22">
        <v>0.45</v>
      </c>
      <c r="B46" s="24">
        <v>0.12330000000000001</v>
      </c>
      <c r="C46" s="24">
        <v>0.39329999999999998</v>
      </c>
      <c r="D46" s="24">
        <v>0.54020000000000001</v>
      </c>
      <c r="E46" s="24">
        <v>0.62129999999999996</v>
      </c>
      <c r="F46" s="24">
        <v>0.67100000000000004</v>
      </c>
      <c r="G46" s="24">
        <v>0.70609999999999995</v>
      </c>
      <c r="H46" s="24">
        <v>0.73140000000000005</v>
      </c>
      <c r="I46" s="24">
        <v>0.75170000000000003</v>
      </c>
      <c r="J46" s="24">
        <v>0.76770000000000005</v>
      </c>
      <c r="K46" s="24">
        <v>0.78120000000000001</v>
      </c>
    </row>
    <row r="47" spans="1:11" ht="12.75" customHeight="1" x14ac:dyDescent="0.25">
      <c r="A47" s="22">
        <v>0.46</v>
      </c>
      <c r="B47" s="24">
        <v>0.12920000000000001</v>
      </c>
      <c r="C47" s="24">
        <v>0.39929999999999999</v>
      </c>
      <c r="D47" s="24">
        <v>0.54430000000000001</v>
      </c>
      <c r="E47" s="24">
        <v>0.62409999999999999</v>
      </c>
      <c r="F47" s="24">
        <v>0.67320000000000002</v>
      </c>
      <c r="G47" s="24">
        <v>0.70779999999999998</v>
      </c>
      <c r="H47" s="24">
        <v>0.7329</v>
      </c>
      <c r="I47" s="24">
        <v>0.75290000000000001</v>
      </c>
      <c r="J47" s="24">
        <v>0.76870000000000005</v>
      </c>
      <c r="K47" s="24">
        <v>0.78210000000000002</v>
      </c>
    </row>
    <row r="48" spans="1:11" ht="12.75" customHeight="1" x14ac:dyDescent="0.25">
      <c r="A48" s="22">
        <v>0.47</v>
      </c>
      <c r="B48" s="24">
        <v>0.1351</v>
      </c>
      <c r="C48" s="24">
        <v>0.4052</v>
      </c>
      <c r="D48" s="24">
        <v>0.54820000000000002</v>
      </c>
      <c r="E48" s="24">
        <v>0.62680000000000002</v>
      </c>
      <c r="F48" s="24">
        <v>0.67520000000000002</v>
      </c>
      <c r="G48" s="24">
        <v>0.70940000000000003</v>
      </c>
      <c r="H48" s="24">
        <v>0.73429999999999995</v>
      </c>
      <c r="I48" s="24">
        <v>0.75409999999999999</v>
      </c>
      <c r="J48" s="24">
        <v>0.76980000000000004</v>
      </c>
      <c r="K48" s="24">
        <v>0.78310000000000002</v>
      </c>
    </row>
    <row r="49" spans="1:11" ht="12.75" customHeight="1" x14ac:dyDescent="0.25">
      <c r="A49" s="22">
        <v>0.48</v>
      </c>
      <c r="B49" s="24">
        <v>0.1411</v>
      </c>
      <c r="C49" s="24">
        <v>0.41120000000000001</v>
      </c>
      <c r="D49" s="24">
        <v>0.55210000000000004</v>
      </c>
      <c r="E49" s="24">
        <v>0.62960000000000005</v>
      </c>
      <c r="F49" s="24">
        <v>0.67730000000000001</v>
      </c>
      <c r="G49" s="24">
        <v>0.71109999999999995</v>
      </c>
      <c r="H49" s="24">
        <v>0.73570000000000002</v>
      </c>
      <c r="I49" s="24">
        <v>0.75529999999999997</v>
      </c>
      <c r="J49" s="24">
        <v>0.77090000000000003</v>
      </c>
      <c r="K49" s="24">
        <v>0.78400000000000003</v>
      </c>
    </row>
    <row r="50" spans="1:11" ht="12.75" customHeight="1" x14ac:dyDescent="0.25">
      <c r="A50" s="22">
        <v>0.49</v>
      </c>
      <c r="B50" s="24">
        <v>0.14729999999999999</v>
      </c>
      <c r="C50" s="24">
        <v>0.41699999999999998</v>
      </c>
      <c r="D50" s="24">
        <v>0.55600000000000005</v>
      </c>
      <c r="E50" s="24">
        <v>0.63229999999999997</v>
      </c>
      <c r="F50" s="24">
        <v>0.6794</v>
      </c>
      <c r="G50" s="24">
        <v>0.71279999999999999</v>
      </c>
      <c r="H50" s="24">
        <v>0.73709999999999998</v>
      </c>
      <c r="I50" s="24">
        <v>0.75649999999999995</v>
      </c>
      <c r="J50" s="24">
        <v>0.77190000000000003</v>
      </c>
      <c r="K50" s="24">
        <v>0.78490000000000004</v>
      </c>
    </row>
    <row r="51" spans="1:11" ht="12.75" customHeight="1" x14ac:dyDescent="0.25">
      <c r="A51" s="22">
        <v>0.5</v>
      </c>
      <c r="B51" s="24">
        <v>0.15390000000000001</v>
      </c>
      <c r="C51" s="24">
        <v>0.4229</v>
      </c>
      <c r="D51" s="24">
        <v>0.55989999999999995</v>
      </c>
      <c r="E51" s="24">
        <v>0.63500000000000001</v>
      </c>
      <c r="F51" s="24">
        <v>0.68140000000000001</v>
      </c>
      <c r="G51" s="24">
        <v>0.71440000000000003</v>
      </c>
      <c r="H51" s="24">
        <v>0.73839999999999995</v>
      </c>
      <c r="I51" s="24">
        <v>0.75770000000000004</v>
      </c>
      <c r="J51" s="24">
        <v>0.77290000000000003</v>
      </c>
      <c r="K51" s="24">
        <v>0.78590000000000004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</vt:lpstr>
      <vt:lpstr>Permutations</vt:lpstr>
      <vt:lpstr>Input and Orientations</vt:lpstr>
      <vt:lpstr>Vlookup</vt:lpstr>
      <vt:lpstr>Rankings</vt:lpstr>
      <vt:lpstr>Rotations</vt:lpstr>
      <vt:lpstr>RSV lookup table by #Variables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2023-01-26T21:54:14Z</dcterms:created>
  <dcterms:modified xsi:type="dcterms:W3CDTF">2023-07-26T05:12:32Z</dcterms:modified>
</cp:coreProperties>
</file>