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E30A4B87-812E-4A16-BF59-5F8F2BEDB69D}" xr6:coauthVersionLast="47" xr6:coauthVersionMax="47" xr10:uidLastSave="{00000000-0000-0000-0000-000000000000}"/>
  <bookViews>
    <workbookView xWindow="-120" yWindow="-120" windowWidth="20730" windowHeight="11160" xr2:uid="{09650B9A-9751-4E7C-88F1-6E2BFCCE4CED}"/>
  </bookViews>
  <sheets>
    <sheet name="D Ranges from strategy experts" sheetId="2" r:id="rId1"/>
    <sheet name="Model Results Import" sheetId="4" r:id="rId2"/>
    <sheet name="Panel 1 Score" sheetId="5" r:id="rId3"/>
    <sheet name="Panel 1 D Score composite" sheetId="1" r:id="rId4"/>
    <sheet name="Sensitivity" sheetId="7" r:id="rId5"/>
    <sheet name="Sensitivity Sanity Check" sheetId="8" r:id="rId6"/>
  </sheets>
  <definedNames>
    <definedName name="_xlnm._FilterDatabase" localSheetId="3" hidden="1">'Panel 1 D Score composite'!$A$1:$G$1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8" l="1"/>
  <c r="E1" i="8"/>
  <c r="F1" i="8"/>
  <c r="C1" i="8"/>
  <c r="A18" i="7" l="1"/>
  <c r="B18" i="7"/>
  <c r="B18" i="8" s="1"/>
  <c r="A19" i="7"/>
  <c r="B19" i="7"/>
  <c r="B19" i="8" s="1"/>
  <c r="A20" i="7"/>
  <c r="B20" i="7"/>
  <c r="B20" i="8" s="1"/>
  <c r="A21" i="7"/>
  <c r="B21" i="7"/>
  <c r="B21" i="8" s="1"/>
  <c r="A22" i="7"/>
  <c r="B22" i="7"/>
  <c r="B22" i="8" s="1"/>
  <c r="A23" i="7"/>
  <c r="B23" i="7"/>
  <c r="B23" i="8" s="1"/>
  <c r="A24" i="7"/>
  <c r="B24" i="7"/>
  <c r="B24" i="8" s="1"/>
  <c r="A25" i="7"/>
  <c r="B25" i="7"/>
  <c r="B25" i="8" s="1"/>
  <c r="A26" i="7"/>
  <c r="B26" i="7"/>
  <c r="B26" i="8" s="1"/>
  <c r="A27" i="7"/>
  <c r="B27" i="7"/>
  <c r="B27" i="8" s="1"/>
  <c r="A28" i="7"/>
  <c r="B28" i="7"/>
  <c r="B28" i="8" s="1"/>
  <c r="A29" i="7"/>
  <c r="B29" i="7"/>
  <c r="B29" i="8" s="1"/>
  <c r="A30" i="7"/>
  <c r="B30" i="7"/>
  <c r="B30" i="8" s="1"/>
  <c r="A3" i="7"/>
  <c r="B3" i="7"/>
  <c r="B3" i="8" s="1"/>
  <c r="A4" i="7"/>
  <c r="B4" i="7"/>
  <c r="B4" i="8" s="1"/>
  <c r="A5" i="7"/>
  <c r="B5" i="7"/>
  <c r="B5" i="8" s="1"/>
  <c r="A6" i="7"/>
  <c r="B6" i="7"/>
  <c r="B6" i="8" s="1"/>
  <c r="A7" i="7"/>
  <c r="B7" i="7"/>
  <c r="B7" i="8" s="1"/>
  <c r="A8" i="7"/>
  <c r="B8" i="7"/>
  <c r="B8" i="8" s="1"/>
  <c r="A9" i="7"/>
  <c r="B9" i="7"/>
  <c r="B9" i="8" s="1"/>
  <c r="A10" i="7"/>
  <c r="B10" i="7"/>
  <c r="B10" i="8" s="1"/>
  <c r="A11" i="7"/>
  <c r="B11" i="7"/>
  <c r="B11" i="8" s="1"/>
  <c r="A12" i="7"/>
  <c r="B12" i="7"/>
  <c r="B12" i="8" s="1"/>
  <c r="A13" i="7"/>
  <c r="B13" i="7"/>
  <c r="B13" i="8" s="1"/>
  <c r="A14" i="7"/>
  <c r="B14" i="7"/>
  <c r="B14" i="8" s="1"/>
  <c r="A15" i="7"/>
  <c r="B15" i="7"/>
  <c r="B15" i="8" s="1"/>
  <c r="A16" i="7"/>
  <c r="B16" i="7"/>
  <c r="B16" i="8" s="1"/>
  <c r="A17" i="7"/>
  <c r="B17" i="7"/>
  <c r="B17" i="8" s="1"/>
  <c r="B2" i="7"/>
  <c r="B2" i="8" s="1"/>
  <c r="A2" i="7"/>
  <c r="B1" i="7"/>
  <c r="B1" i="8" s="1"/>
  <c r="A1" i="7"/>
  <c r="A1" i="8" s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" i="1"/>
  <c r="F2" i="1" s="1"/>
  <c r="D13" i="5"/>
  <c r="F31" i="1" l="1"/>
  <c r="F17" i="7"/>
  <c r="A17" i="8"/>
  <c r="C17" i="7"/>
  <c r="F13" i="7"/>
  <c r="A13" i="8"/>
  <c r="C13" i="7"/>
  <c r="J3" i="7"/>
  <c r="C3" i="7"/>
  <c r="A3" i="8"/>
  <c r="F21" i="7"/>
  <c r="A21" i="8"/>
  <c r="C21" i="7"/>
  <c r="D16" i="7"/>
  <c r="A16" i="8"/>
  <c r="C16" i="7"/>
  <c r="H14" i="7"/>
  <c r="A14" i="8"/>
  <c r="C14" i="7"/>
  <c r="D12" i="7"/>
  <c r="A12" i="8"/>
  <c r="C12" i="7"/>
  <c r="H10" i="7"/>
  <c r="A10" i="8"/>
  <c r="C10" i="7"/>
  <c r="D8" i="7"/>
  <c r="A8" i="8"/>
  <c r="C8" i="7"/>
  <c r="H6" i="7"/>
  <c r="A6" i="8"/>
  <c r="C6" i="7"/>
  <c r="D4" i="7"/>
  <c r="A4" i="8"/>
  <c r="C4" i="7"/>
  <c r="H30" i="7"/>
  <c r="A30" i="8"/>
  <c r="C30" i="7"/>
  <c r="D28" i="7"/>
  <c r="A28" i="8"/>
  <c r="C28" i="7"/>
  <c r="H26" i="7"/>
  <c r="A26" i="8"/>
  <c r="C26" i="7"/>
  <c r="D24" i="7"/>
  <c r="A24" i="8"/>
  <c r="C24" i="7"/>
  <c r="H22" i="7"/>
  <c r="A22" i="8"/>
  <c r="C22" i="7"/>
  <c r="D20" i="7"/>
  <c r="A20" i="8"/>
  <c r="C20" i="7"/>
  <c r="H18" i="7"/>
  <c r="A18" i="8"/>
  <c r="C18" i="7"/>
  <c r="J15" i="7"/>
  <c r="C15" i="7"/>
  <c r="A15" i="8"/>
  <c r="J11" i="7"/>
  <c r="C11" i="7"/>
  <c r="A11" i="8"/>
  <c r="F9" i="7"/>
  <c r="A9" i="8"/>
  <c r="C9" i="7"/>
  <c r="J7" i="7"/>
  <c r="C7" i="7"/>
  <c r="A7" i="8"/>
  <c r="F5" i="7"/>
  <c r="A5" i="8"/>
  <c r="C5" i="7"/>
  <c r="F29" i="7"/>
  <c r="A29" i="8"/>
  <c r="C29" i="7"/>
  <c r="J27" i="7"/>
  <c r="C27" i="7"/>
  <c r="A27" i="8"/>
  <c r="F25" i="7"/>
  <c r="A25" i="8"/>
  <c r="C25" i="7"/>
  <c r="J23" i="7"/>
  <c r="C23" i="7"/>
  <c r="A23" i="8"/>
  <c r="J19" i="7"/>
  <c r="C19" i="7"/>
  <c r="A19" i="8"/>
  <c r="J2" i="7"/>
  <c r="A2" i="8"/>
  <c r="C2" i="7"/>
  <c r="D2" i="7"/>
  <c r="D27" i="7"/>
  <c r="D23" i="7"/>
  <c r="D19" i="7"/>
  <c r="D15" i="7"/>
  <c r="D11" i="7"/>
  <c r="D7" i="7"/>
  <c r="D3" i="7"/>
  <c r="F28" i="7"/>
  <c r="F24" i="7"/>
  <c r="F20" i="7"/>
  <c r="F16" i="7"/>
  <c r="F12" i="7"/>
  <c r="F8" i="7"/>
  <c r="F4" i="7"/>
  <c r="H29" i="7"/>
  <c r="H25" i="7"/>
  <c r="H21" i="7"/>
  <c r="H17" i="7"/>
  <c r="H13" i="7"/>
  <c r="H9" i="7"/>
  <c r="H5" i="7"/>
  <c r="J30" i="7"/>
  <c r="J26" i="7"/>
  <c r="J22" i="7"/>
  <c r="J18" i="7"/>
  <c r="J14" i="7"/>
  <c r="J10" i="7"/>
  <c r="J6" i="7"/>
  <c r="D30" i="7"/>
  <c r="D26" i="7"/>
  <c r="D22" i="7"/>
  <c r="D18" i="7"/>
  <c r="D14" i="7"/>
  <c r="D10" i="7"/>
  <c r="D6" i="7"/>
  <c r="F2" i="7"/>
  <c r="F27" i="7"/>
  <c r="F23" i="7"/>
  <c r="F19" i="7"/>
  <c r="F15" i="7"/>
  <c r="F11" i="7"/>
  <c r="F7" i="7"/>
  <c r="F3" i="7"/>
  <c r="H28" i="7"/>
  <c r="H24" i="7"/>
  <c r="H20" i="7"/>
  <c r="H16" i="7"/>
  <c r="H12" i="7"/>
  <c r="H8" i="7"/>
  <c r="H4" i="7"/>
  <c r="J29" i="7"/>
  <c r="J25" i="7"/>
  <c r="J21" i="7"/>
  <c r="J17" i="7"/>
  <c r="J13" i="7"/>
  <c r="J9" i="7"/>
  <c r="J5" i="7"/>
  <c r="D29" i="7"/>
  <c r="D25" i="7"/>
  <c r="D21" i="7"/>
  <c r="D17" i="7"/>
  <c r="D13" i="7"/>
  <c r="D9" i="7"/>
  <c r="D5" i="7"/>
  <c r="F30" i="7"/>
  <c r="F26" i="7"/>
  <c r="F22" i="7"/>
  <c r="F18" i="7"/>
  <c r="F14" i="7"/>
  <c r="F10" i="7"/>
  <c r="F6" i="7"/>
  <c r="H2" i="7"/>
  <c r="H27" i="7"/>
  <c r="H23" i="7"/>
  <c r="H19" i="7"/>
  <c r="H15" i="7"/>
  <c r="H11" i="7"/>
  <c r="H7" i="7"/>
  <c r="H3" i="7"/>
  <c r="J28" i="7"/>
  <c r="J24" i="7"/>
  <c r="J20" i="7"/>
  <c r="J16" i="7"/>
  <c r="J12" i="7"/>
  <c r="J8" i="7"/>
  <c r="J4" i="7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" i="2"/>
  <c r="R3" i="2" s="1"/>
  <c r="C2" i="1" s="1"/>
  <c r="G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3" i="1" s="1"/>
  <c r="G3" i="1" s="1"/>
  <c r="I5" i="2"/>
  <c r="I6" i="2"/>
  <c r="I7" i="2"/>
  <c r="R7" i="2" s="1"/>
  <c r="C6" i="1" s="1"/>
  <c r="G6" i="1" s="1"/>
  <c r="I8" i="2"/>
  <c r="I9" i="2"/>
  <c r="I10" i="2"/>
  <c r="R10" i="2" s="1"/>
  <c r="C9" i="1" s="1"/>
  <c r="G9" i="1" s="1"/>
  <c r="I11" i="2"/>
  <c r="I12" i="2"/>
  <c r="R12" i="2" s="1"/>
  <c r="C11" i="1" s="1"/>
  <c r="G11" i="1" s="1"/>
  <c r="I13" i="2"/>
  <c r="R13" i="2" s="1"/>
  <c r="C12" i="1" s="1"/>
  <c r="G12" i="1" s="1"/>
  <c r="I14" i="2"/>
  <c r="I15" i="2"/>
  <c r="I16" i="2"/>
  <c r="R16" i="2" s="1"/>
  <c r="C15" i="1" s="1"/>
  <c r="G15" i="1" s="1"/>
  <c r="I17" i="2"/>
  <c r="I18" i="2"/>
  <c r="I19" i="2"/>
  <c r="R19" i="2" s="1"/>
  <c r="C18" i="1" s="1"/>
  <c r="G18" i="1" s="1"/>
  <c r="I20" i="2"/>
  <c r="I21" i="2"/>
  <c r="I22" i="2"/>
  <c r="R22" i="2" s="1"/>
  <c r="C21" i="1" s="1"/>
  <c r="G21" i="1" s="1"/>
  <c r="I23" i="2"/>
  <c r="I24" i="2"/>
  <c r="I25" i="2"/>
  <c r="R25" i="2" s="1"/>
  <c r="C24" i="1" s="1"/>
  <c r="G24" i="1" s="1"/>
  <c r="I26" i="2"/>
  <c r="I27" i="2"/>
  <c r="R27" i="2" s="1"/>
  <c r="C26" i="1" s="1"/>
  <c r="G26" i="1" s="1"/>
  <c r="I28" i="2"/>
  <c r="I29" i="2"/>
  <c r="I30" i="2"/>
  <c r="R30" i="2" s="1"/>
  <c r="C29" i="1" s="1"/>
  <c r="G29" i="1" s="1"/>
  <c r="I31" i="2"/>
  <c r="R31" i="2" s="1"/>
  <c r="C30" i="1" s="1"/>
  <c r="G30" i="1" s="1"/>
  <c r="M4" i="2"/>
  <c r="M5" i="2"/>
  <c r="R5" i="2" s="1"/>
  <c r="C4" i="1" s="1"/>
  <c r="G4" i="1" s="1"/>
  <c r="M6" i="2"/>
  <c r="M7" i="2"/>
  <c r="M8" i="2"/>
  <c r="M9" i="2"/>
  <c r="R8" i="2" s="1"/>
  <c r="C7" i="1" s="1"/>
  <c r="G7" i="1" s="1"/>
  <c r="M10" i="2"/>
  <c r="M11" i="2"/>
  <c r="M12" i="2"/>
  <c r="M13" i="2"/>
  <c r="M14" i="2"/>
  <c r="R14" i="2" s="1"/>
  <c r="C13" i="1" s="1"/>
  <c r="G13" i="1" s="1"/>
  <c r="M15" i="2"/>
  <c r="M16" i="2"/>
  <c r="M17" i="2"/>
  <c r="M18" i="2"/>
  <c r="R17" i="2" s="1"/>
  <c r="C16" i="1" s="1"/>
  <c r="G16" i="1" s="1"/>
  <c r="M19" i="2"/>
  <c r="M20" i="2"/>
  <c r="M21" i="2"/>
  <c r="R20" i="2" s="1"/>
  <c r="C19" i="1" s="1"/>
  <c r="G19" i="1" s="1"/>
  <c r="M22" i="2"/>
  <c r="M23" i="2"/>
  <c r="R23" i="2" s="1"/>
  <c r="C22" i="1" s="1"/>
  <c r="G22" i="1" s="1"/>
  <c r="M24" i="2"/>
  <c r="M25" i="2"/>
  <c r="M26" i="2"/>
  <c r="R26" i="2" s="1"/>
  <c r="C25" i="1" s="1"/>
  <c r="G25" i="1" s="1"/>
  <c r="M27" i="2"/>
  <c r="M28" i="2"/>
  <c r="M29" i="2"/>
  <c r="M30" i="2"/>
  <c r="M31" i="2"/>
  <c r="Q4" i="2"/>
  <c r="Q5" i="2"/>
  <c r="Q6" i="2"/>
  <c r="R6" i="2" s="1"/>
  <c r="C5" i="1" s="1"/>
  <c r="G5" i="1" s="1"/>
  <c r="Q7" i="2"/>
  <c r="Q8" i="2"/>
  <c r="Q9" i="2"/>
  <c r="R9" i="2" s="1"/>
  <c r="C8" i="1" s="1"/>
  <c r="G8" i="1" s="1"/>
  <c r="Q10" i="2"/>
  <c r="Q11" i="2"/>
  <c r="R11" i="2" s="1"/>
  <c r="C10" i="1" s="1"/>
  <c r="G10" i="1" s="1"/>
  <c r="Q12" i="2"/>
  <c r="Q13" i="2"/>
  <c r="Q14" i="2"/>
  <c r="Q15" i="2"/>
  <c r="R15" i="2" s="1"/>
  <c r="C14" i="1" s="1"/>
  <c r="G14" i="1" s="1"/>
  <c r="Q16" i="2"/>
  <c r="Q17" i="2"/>
  <c r="Q18" i="2"/>
  <c r="R18" i="2" s="1"/>
  <c r="C17" i="1" s="1"/>
  <c r="G17" i="1" s="1"/>
  <c r="Q19" i="2"/>
  <c r="Q20" i="2"/>
  <c r="Q21" i="2"/>
  <c r="R21" i="2" s="1"/>
  <c r="C20" i="1" s="1"/>
  <c r="G20" i="1" s="1"/>
  <c r="Q22" i="2"/>
  <c r="Q23" i="2"/>
  <c r="Q24" i="2"/>
  <c r="R24" i="2" s="1"/>
  <c r="C23" i="1" s="1"/>
  <c r="G23" i="1" s="1"/>
  <c r="Q25" i="2"/>
  <c r="Q26" i="2"/>
  <c r="Q27" i="2"/>
  <c r="Q28" i="2"/>
  <c r="R28" i="2" s="1"/>
  <c r="C27" i="1" s="1"/>
  <c r="G27" i="1" s="1"/>
  <c r="Q29" i="2"/>
  <c r="R29" i="2" s="1"/>
  <c r="C28" i="1" s="1"/>
  <c r="G28" i="1" s="1"/>
  <c r="Q30" i="2"/>
  <c r="Q31" i="2"/>
  <c r="Q3" i="2"/>
  <c r="M3" i="2"/>
  <c r="I3" i="2"/>
  <c r="K7" i="7" l="1"/>
  <c r="O7" i="7" s="1"/>
  <c r="I7" i="7"/>
  <c r="N7" i="7" s="1"/>
  <c r="G7" i="7"/>
  <c r="M7" i="7" s="1"/>
  <c r="E7" i="7"/>
  <c r="L7" i="7" s="1"/>
  <c r="K23" i="7"/>
  <c r="O23" i="7" s="1"/>
  <c r="I23" i="7"/>
  <c r="N23" i="7" s="1"/>
  <c r="G23" i="7"/>
  <c r="M23" i="7" s="1"/>
  <c r="E23" i="7"/>
  <c r="L23" i="7" s="1"/>
  <c r="E4" i="7"/>
  <c r="L4" i="7" s="1"/>
  <c r="K4" i="7"/>
  <c r="O4" i="7" s="1"/>
  <c r="G4" i="7"/>
  <c r="M4" i="7" s="1"/>
  <c r="I4" i="7"/>
  <c r="N4" i="7" s="1"/>
  <c r="E20" i="7"/>
  <c r="L20" i="7" s="1"/>
  <c r="K20" i="7"/>
  <c r="O20" i="7" s="1"/>
  <c r="I20" i="7"/>
  <c r="N20" i="7" s="1"/>
  <c r="G20" i="7"/>
  <c r="M20" i="7" s="1"/>
  <c r="K11" i="7"/>
  <c r="O11" i="7" s="1"/>
  <c r="I11" i="7"/>
  <c r="N11" i="7" s="1"/>
  <c r="G11" i="7"/>
  <c r="M11" i="7" s="1"/>
  <c r="E11" i="7"/>
  <c r="L11" i="7" s="1"/>
  <c r="K27" i="7"/>
  <c r="O27" i="7" s="1"/>
  <c r="I27" i="7"/>
  <c r="N27" i="7" s="1"/>
  <c r="G27" i="7"/>
  <c r="M27" i="7" s="1"/>
  <c r="E27" i="7"/>
  <c r="L27" i="7" s="1"/>
  <c r="E8" i="7"/>
  <c r="L8" i="7" s="1"/>
  <c r="K8" i="7"/>
  <c r="O8" i="7" s="1"/>
  <c r="I8" i="7"/>
  <c r="N8" i="7" s="1"/>
  <c r="G8" i="7"/>
  <c r="M8" i="7" s="1"/>
  <c r="E24" i="7"/>
  <c r="L24" i="7" s="1"/>
  <c r="K24" i="7"/>
  <c r="O24" i="7" s="1"/>
  <c r="I24" i="7"/>
  <c r="N24" i="7" s="1"/>
  <c r="G24" i="7"/>
  <c r="M24" i="7" s="1"/>
  <c r="G9" i="7"/>
  <c r="M9" i="7" s="1"/>
  <c r="E9" i="7"/>
  <c r="L9" i="7" s="1"/>
  <c r="I9" i="7"/>
  <c r="N9" i="7" s="1"/>
  <c r="K9" i="7"/>
  <c r="O9" i="7" s="1"/>
  <c r="G25" i="7"/>
  <c r="M25" i="7" s="1"/>
  <c r="E25" i="7"/>
  <c r="L25" i="7" s="1"/>
  <c r="I25" i="7"/>
  <c r="N25" i="7" s="1"/>
  <c r="K25" i="7"/>
  <c r="O25" i="7" s="1"/>
  <c r="I10" i="7"/>
  <c r="N10" i="7" s="1"/>
  <c r="G10" i="7"/>
  <c r="M10" i="7" s="1"/>
  <c r="K10" i="7"/>
  <c r="O10" i="7" s="1"/>
  <c r="E10" i="7"/>
  <c r="L10" i="7" s="1"/>
  <c r="I26" i="7"/>
  <c r="N26" i="7" s="1"/>
  <c r="G26" i="7"/>
  <c r="M26" i="7" s="1"/>
  <c r="E26" i="7"/>
  <c r="L26" i="7" s="1"/>
  <c r="K26" i="7"/>
  <c r="O26" i="7" s="1"/>
  <c r="K15" i="7"/>
  <c r="O15" i="7" s="1"/>
  <c r="I15" i="7"/>
  <c r="N15" i="7" s="1"/>
  <c r="G15" i="7"/>
  <c r="M15" i="7" s="1"/>
  <c r="E15" i="7"/>
  <c r="L15" i="7" s="1"/>
  <c r="K2" i="7"/>
  <c r="O2" i="7" s="1"/>
  <c r="I2" i="7"/>
  <c r="N2" i="7" s="1"/>
  <c r="G2" i="7"/>
  <c r="M2" i="7" s="1"/>
  <c r="E2" i="7"/>
  <c r="L2" i="7" s="1"/>
  <c r="E12" i="7"/>
  <c r="L12" i="7" s="1"/>
  <c r="K12" i="7"/>
  <c r="O12" i="7" s="1"/>
  <c r="G12" i="7"/>
  <c r="M12" i="7" s="1"/>
  <c r="I12" i="7"/>
  <c r="N12" i="7" s="1"/>
  <c r="E28" i="7"/>
  <c r="L28" i="7" s="1"/>
  <c r="K28" i="7"/>
  <c r="O28" i="7" s="1"/>
  <c r="I28" i="7"/>
  <c r="N28" i="7" s="1"/>
  <c r="G28" i="7"/>
  <c r="M28" i="7" s="1"/>
  <c r="G13" i="7"/>
  <c r="M13" i="7" s="1"/>
  <c r="E13" i="7"/>
  <c r="L13" i="7" s="1"/>
  <c r="K13" i="7"/>
  <c r="O13" i="7" s="1"/>
  <c r="I13" i="7"/>
  <c r="N13" i="7" s="1"/>
  <c r="G29" i="7"/>
  <c r="M29" i="7" s="1"/>
  <c r="E29" i="7"/>
  <c r="L29" i="7" s="1"/>
  <c r="K29" i="7"/>
  <c r="O29" i="7" s="1"/>
  <c r="I29" i="7"/>
  <c r="N29" i="7" s="1"/>
  <c r="I14" i="7"/>
  <c r="N14" i="7" s="1"/>
  <c r="G14" i="7"/>
  <c r="M14" i="7" s="1"/>
  <c r="K14" i="7"/>
  <c r="O14" i="7" s="1"/>
  <c r="E14" i="7"/>
  <c r="L14" i="7" s="1"/>
  <c r="I30" i="7"/>
  <c r="N30" i="7" s="1"/>
  <c r="G30" i="7"/>
  <c r="M30" i="7" s="1"/>
  <c r="K30" i="7"/>
  <c r="O30" i="7" s="1"/>
  <c r="E30" i="7"/>
  <c r="L30" i="7" s="1"/>
  <c r="K3" i="7"/>
  <c r="O3" i="7" s="1"/>
  <c r="I3" i="7"/>
  <c r="N3" i="7" s="1"/>
  <c r="G3" i="7"/>
  <c r="M3" i="7" s="1"/>
  <c r="E3" i="7"/>
  <c r="L3" i="7" s="1"/>
  <c r="K19" i="7"/>
  <c r="O19" i="7" s="1"/>
  <c r="I19" i="7"/>
  <c r="N19" i="7" s="1"/>
  <c r="G19" i="7"/>
  <c r="M19" i="7" s="1"/>
  <c r="E19" i="7"/>
  <c r="L19" i="7" s="1"/>
  <c r="E16" i="7"/>
  <c r="L16" i="7" s="1"/>
  <c r="K16" i="7"/>
  <c r="O16" i="7" s="1"/>
  <c r="I16" i="7"/>
  <c r="N16" i="7" s="1"/>
  <c r="G16" i="7"/>
  <c r="M16" i="7" s="1"/>
  <c r="G17" i="7"/>
  <c r="M17" i="7" s="1"/>
  <c r="E17" i="7"/>
  <c r="L17" i="7" s="1"/>
  <c r="I17" i="7"/>
  <c r="N17" i="7" s="1"/>
  <c r="K17" i="7"/>
  <c r="O17" i="7" s="1"/>
  <c r="I18" i="7"/>
  <c r="N18" i="7" s="1"/>
  <c r="G18" i="7"/>
  <c r="M18" i="7" s="1"/>
  <c r="E18" i="7"/>
  <c r="L18" i="7" s="1"/>
  <c r="K18" i="7"/>
  <c r="O18" i="7" s="1"/>
  <c r="G5" i="7"/>
  <c r="M5" i="7" s="1"/>
  <c r="E5" i="7"/>
  <c r="L5" i="7" s="1"/>
  <c r="K5" i="7"/>
  <c r="O5" i="7" s="1"/>
  <c r="I5" i="7"/>
  <c r="N5" i="7" s="1"/>
  <c r="G21" i="7"/>
  <c r="M21" i="7" s="1"/>
  <c r="E21" i="7"/>
  <c r="L21" i="7" s="1"/>
  <c r="K21" i="7"/>
  <c r="O21" i="7" s="1"/>
  <c r="I21" i="7"/>
  <c r="N21" i="7" s="1"/>
  <c r="I6" i="7"/>
  <c r="N6" i="7" s="1"/>
  <c r="G6" i="7"/>
  <c r="M6" i="7" s="1"/>
  <c r="K6" i="7"/>
  <c r="O6" i="7" s="1"/>
  <c r="E6" i="7"/>
  <c r="L6" i="7" s="1"/>
  <c r="I22" i="7"/>
  <c r="N22" i="7" s="1"/>
  <c r="G22" i="7"/>
  <c r="M22" i="7" s="1"/>
  <c r="K22" i="7"/>
  <c r="O22" i="7" s="1"/>
  <c r="E22" i="7"/>
  <c r="L22" i="7" s="1"/>
  <c r="G31" i="1"/>
  <c r="N31" i="7" l="1"/>
  <c r="R29" i="7" s="1"/>
  <c r="V29" i="7" s="1"/>
  <c r="E29" i="8" s="1"/>
  <c r="L31" i="7"/>
  <c r="P19" i="7" s="1"/>
  <c r="T19" i="7" s="1"/>
  <c r="C19" i="8" s="1"/>
  <c r="M31" i="7"/>
  <c r="Q24" i="7" s="1"/>
  <c r="U24" i="7" s="1"/>
  <c r="D24" i="8" s="1"/>
  <c r="O31" i="7"/>
  <c r="S26" i="7" s="1"/>
  <c r="W26" i="7" s="1"/>
  <c r="F26" i="8" s="1"/>
  <c r="P20" i="7" l="1"/>
  <c r="T20" i="7" s="1"/>
  <c r="C20" i="8" s="1"/>
  <c r="P24" i="7"/>
  <c r="T24" i="7" s="1"/>
  <c r="C24" i="8" s="1"/>
  <c r="Q29" i="7"/>
  <c r="U29" i="7" s="1"/>
  <c r="D29" i="8" s="1"/>
  <c r="Q21" i="7"/>
  <c r="U21" i="7" s="1"/>
  <c r="D21" i="8" s="1"/>
  <c r="P13" i="7"/>
  <c r="T13" i="7" s="1"/>
  <c r="C13" i="8" s="1"/>
  <c r="Q11" i="7"/>
  <c r="U11" i="7" s="1"/>
  <c r="D11" i="8" s="1"/>
  <c r="Q5" i="7"/>
  <c r="U5" i="7" s="1"/>
  <c r="D5" i="8" s="1"/>
  <c r="Q7" i="7"/>
  <c r="U7" i="7" s="1"/>
  <c r="D7" i="8" s="1"/>
  <c r="Q9" i="7"/>
  <c r="U9" i="7" s="1"/>
  <c r="D9" i="8" s="1"/>
  <c r="R14" i="7"/>
  <c r="V14" i="7" s="1"/>
  <c r="E14" i="8" s="1"/>
  <c r="Q16" i="7"/>
  <c r="U16" i="7" s="1"/>
  <c r="D16" i="8" s="1"/>
  <c r="Q18" i="7"/>
  <c r="U18" i="7" s="1"/>
  <c r="D18" i="8" s="1"/>
  <c r="Q15" i="7"/>
  <c r="U15" i="7" s="1"/>
  <c r="D15" i="8" s="1"/>
  <c r="Q13" i="7"/>
  <c r="U13" i="7" s="1"/>
  <c r="D13" i="8" s="1"/>
  <c r="Q10" i="7"/>
  <c r="U10" i="7" s="1"/>
  <c r="D10" i="8" s="1"/>
  <c r="P12" i="7"/>
  <c r="T12" i="7" s="1"/>
  <c r="C12" i="8" s="1"/>
  <c r="P16" i="7"/>
  <c r="T16" i="7" s="1"/>
  <c r="C16" i="8" s="1"/>
  <c r="R21" i="7"/>
  <c r="V21" i="7" s="1"/>
  <c r="E21" i="8" s="1"/>
  <c r="Q22" i="7"/>
  <c r="U22" i="7" s="1"/>
  <c r="D22" i="8" s="1"/>
  <c r="Q12" i="7"/>
  <c r="U12" i="7" s="1"/>
  <c r="D12" i="8" s="1"/>
  <c r="S11" i="7"/>
  <c r="W11" i="7" s="1"/>
  <c r="F11" i="8" s="1"/>
  <c r="S4" i="7"/>
  <c r="W4" i="7" s="1"/>
  <c r="F4" i="8" s="1"/>
  <c r="R3" i="7"/>
  <c r="V3" i="7" s="1"/>
  <c r="E3" i="8" s="1"/>
  <c r="R9" i="7"/>
  <c r="V9" i="7" s="1"/>
  <c r="E9" i="8" s="1"/>
  <c r="S14" i="7"/>
  <c r="W14" i="7" s="1"/>
  <c r="F14" i="8" s="1"/>
  <c r="R16" i="7"/>
  <c r="V16" i="7" s="1"/>
  <c r="E16" i="8" s="1"/>
  <c r="S21" i="7"/>
  <c r="W21" i="7" s="1"/>
  <c r="F21" i="8" s="1"/>
  <c r="P7" i="7"/>
  <c r="T7" i="7" s="1"/>
  <c r="C7" i="8" s="1"/>
  <c r="P11" i="7"/>
  <c r="T11" i="7" s="1"/>
  <c r="C11" i="8" s="1"/>
  <c r="S9" i="7"/>
  <c r="W9" i="7" s="1"/>
  <c r="F9" i="8" s="1"/>
  <c r="P15" i="7"/>
  <c r="T15" i="7" s="1"/>
  <c r="C15" i="8" s="1"/>
  <c r="R12" i="7"/>
  <c r="V12" i="7" s="1"/>
  <c r="E12" i="8" s="1"/>
  <c r="P14" i="7"/>
  <c r="T14" i="7" s="1"/>
  <c r="C14" i="8" s="1"/>
  <c r="S23" i="7"/>
  <c r="W23" i="7" s="1"/>
  <c r="F23" i="8" s="1"/>
  <c r="S27" i="7"/>
  <c r="W27" i="7" s="1"/>
  <c r="F27" i="8" s="1"/>
  <c r="Q25" i="7"/>
  <c r="U25" i="7" s="1"/>
  <c r="D25" i="8" s="1"/>
  <c r="S2" i="7"/>
  <c r="P28" i="7"/>
  <c r="T28" i="7" s="1"/>
  <c r="C28" i="8" s="1"/>
  <c r="R30" i="7"/>
  <c r="V30" i="7" s="1"/>
  <c r="E30" i="8" s="1"/>
  <c r="Q17" i="7"/>
  <c r="U17" i="7" s="1"/>
  <c r="D17" i="8" s="1"/>
  <c r="R6" i="7"/>
  <c r="V6" i="7" s="1"/>
  <c r="E6" i="8" s="1"/>
  <c r="P6" i="7"/>
  <c r="T6" i="7" s="1"/>
  <c r="C6" i="8" s="1"/>
  <c r="S20" i="7"/>
  <c r="W20" i="7" s="1"/>
  <c r="F20" i="8" s="1"/>
  <c r="S24" i="7"/>
  <c r="W24" i="7" s="1"/>
  <c r="F24" i="8" s="1"/>
  <c r="Q26" i="7"/>
  <c r="U26" i="7" s="1"/>
  <c r="D26" i="8" s="1"/>
  <c r="R2" i="7"/>
  <c r="P29" i="7"/>
  <c r="T29" i="7" s="1"/>
  <c r="C29" i="8" s="1"/>
  <c r="R19" i="7"/>
  <c r="V19" i="7" s="1"/>
  <c r="E19" i="8" s="1"/>
  <c r="P5" i="7"/>
  <c r="T5" i="7" s="1"/>
  <c r="C5" i="8" s="1"/>
  <c r="S17" i="7"/>
  <c r="W17" i="7" s="1"/>
  <c r="F17" i="8" s="1"/>
  <c r="Q23" i="7"/>
  <c r="U23" i="7" s="1"/>
  <c r="D23" i="8" s="1"/>
  <c r="Q27" i="7"/>
  <c r="U27" i="7" s="1"/>
  <c r="D27" i="8" s="1"/>
  <c r="R25" i="7"/>
  <c r="V25" i="7" s="1"/>
  <c r="E25" i="8" s="1"/>
  <c r="R28" i="7"/>
  <c r="V28" i="7" s="1"/>
  <c r="E28" i="8" s="1"/>
  <c r="S30" i="7"/>
  <c r="W30" i="7" s="1"/>
  <c r="F30" i="8" s="1"/>
  <c r="R17" i="7"/>
  <c r="V17" i="7" s="1"/>
  <c r="E17" i="8" s="1"/>
  <c r="S6" i="7"/>
  <c r="W6" i="7" s="1"/>
  <c r="F6" i="8" s="1"/>
  <c r="P23" i="7"/>
  <c r="T23" i="7" s="1"/>
  <c r="C23" i="8" s="1"/>
  <c r="P27" i="7"/>
  <c r="T27" i="7" s="1"/>
  <c r="C27" i="8" s="1"/>
  <c r="S25" i="7"/>
  <c r="W25" i="7" s="1"/>
  <c r="F25" i="8" s="1"/>
  <c r="P2" i="7"/>
  <c r="Q28" i="7"/>
  <c r="U28" i="7" s="1"/>
  <c r="D28" i="8" s="1"/>
  <c r="P30" i="7"/>
  <c r="T30" i="7" s="1"/>
  <c r="C30" i="8" s="1"/>
  <c r="S8" i="7"/>
  <c r="W8" i="7" s="1"/>
  <c r="F8" i="8" s="1"/>
  <c r="P4" i="7"/>
  <c r="T4" i="7" s="1"/>
  <c r="C4" i="8" s="1"/>
  <c r="P8" i="7"/>
  <c r="T8" i="7" s="1"/>
  <c r="C8" i="8" s="1"/>
  <c r="R10" i="7"/>
  <c r="V10" i="7" s="1"/>
  <c r="E10" i="8" s="1"/>
  <c r="S3" i="7"/>
  <c r="W3" i="7" s="1"/>
  <c r="F3" i="8" s="1"/>
  <c r="R18" i="7"/>
  <c r="V18" i="7" s="1"/>
  <c r="E18" i="8" s="1"/>
  <c r="R22" i="7"/>
  <c r="V22" i="7" s="1"/>
  <c r="E22" i="8" s="1"/>
  <c r="R7" i="7"/>
  <c r="V7" i="7" s="1"/>
  <c r="E7" i="8" s="1"/>
  <c r="R11" i="7"/>
  <c r="V11" i="7" s="1"/>
  <c r="E11" i="8" s="1"/>
  <c r="P9" i="7"/>
  <c r="T9" i="7" s="1"/>
  <c r="C9" i="8" s="1"/>
  <c r="R15" i="7"/>
  <c r="V15" i="7" s="1"/>
  <c r="E15" i="8" s="1"/>
  <c r="S12" i="7"/>
  <c r="W12" i="7" s="1"/>
  <c r="F12" i="8" s="1"/>
  <c r="Q14" i="7"/>
  <c r="U14" i="7" s="1"/>
  <c r="D14" i="8" s="1"/>
  <c r="S16" i="7"/>
  <c r="W16" i="7" s="1"/>
  <c r="F16" i="8" s="1"/>
  <c r="P21" i="7"/>
  <c r="T21" i="7" s="1"/>
  <c r="C21" i="8" s="1"/>
  <c r="R5" i="7"/>
  <c r="V5" i="7" s="1"/>
  <c r="E5" i="8" s="1"/>
  <c r="Q4" i="7"/>
  <c r="U4" i="7" s="1"/>
  <c r="D4" i="8" s="1"/>
  <c r="R8" i="7"/>
  <c r="V8" i="7" s="1"/>
  <c r="E8" i="8" s="1"/>
  <c r="S10" i="7"/>
  <c r="W10" i="7" s="1"/>
  <c r="F10" i="8" s="1"/>
  <c r="S13" i="7"/>
  <c r="W13" i="7" s="1"/>
  <c r="F13" i="8" s="1"/>
  <c r="Q3" i="7"/>
  <c r="U3" i="7" s="1"/>
  <c r="D3" i="8" s="1"/>
  <c r="P18" i="7"/>
  <c r="T18" i="7" s="1"/>
  <c r="C18" i="8" s="1"/>
  <c r="S22" i="7"/>
  <c r="W22" i="7" s="1"/>
  <c r="F22" i="8" s="1"/>
  <c r="R4" i="7"/>
  <c r="V4" i="7" s="1"/>
  <c r="E4" i="8" s="1"/>
  <c r="Q8" i="7"/>
  <c r="U8" i="7" s="1"/>
  <c r="D8" i="8" s="1"/>
  <c r="P10" i="7"/>
  <c r="T10" i="7" s="1"/>
  <c r="C10" i="8" s="1"/>
  <c r="R13" i="7"/>
  <c r="V13" i="7" s="1"/>
  <c r="E13" i="8" s="1"/>
  <c r="P3" i="7"/>
  <c r="T3" i="7" s="1"/>
  <c r="C3" i="8" s="1"/>
  <c r="S7" i="7"/>
  <c r="W7" i="7" s="1"/>
  <c r="F7" i="8" s="1"/>
  <c r="S15" i="7"/>
  <c r="W15" i="7" s="1"/>
  <c r="F15" i="8" s="1"/>
  <c r="R26" i="7"/>
  <c r="V26" i="7" s="1"/>
  <c r="E26" i="8" s="1"/>
  <c r="S19" i="7"/>
  <c r="W19" i="7" s="1"/>
  <c r="F19" i="8" s="1"/>
  <c r="R23" i="7"/>
  <c r="V23" i="7" s="1"/>
  <c r="E23" i="8" s="1"/>
  <c r="R27" i="7"/>
  <c r="V27" i="7" s="1"/>
  <c r="E27" i="8" s="1"/>
  <c r="P25" i="7"/>
  <c r="T25" i="7" s="1"/>
  <c r="C25" i="8" s="1"/>
  <c r="S28" i="7"/>
  <c r="W28" i="7" s="1"/>
  <c r="F28" i="8" s="1"/>
  <c r="Q30" i="7"/>
  <c r="U30" i="7" s="1"/>
  <c r="D30" i="8" s="1"/>
  <c r="P17" i="7"/>
  <c r="T17" i="7" s="1"/>
  <c r="C17" i="8" s="1"/>
  <c r="Q6" i="7"/>
  <c r="U6" i="7" s="1"/>
  <c r="D6" i="8" s="1"/>
  <c r="P22" i="7"/>
  <c r="T22" i="7" s="1"/>
  <c r="C22" i="8" s="1"/>
  <c r="R20" i="7"/>
  <c r="V20" i="7" s="1"/>
  <c r="E20" i="8" s="1"/>
  <c r="R24" i="7"/>
  <c r="V24" i="7" s="1"/>
  <c r="E24" i="8" s="1"/>
  <c r="P26" i="7"/>
  <c r="T26" i="7" s="1"/>
  <c r="C26" i="8" s="1"/>
  <c r="Q2" i="7"/>
  <c r="S29" i="7"/>
  <c r="W29" i="7" s="1"/>
  <c r="F29" i="8" s="1"/>
  <c r="Q19" i="7"/>
  <c r="U19" i="7" s="1"/>
  <c r="D19" i="8" s="1"/>
  <c r="S5" i="7"/>
  <c r="W5" i="7" s="1"/>
  <c r="F5" i="8" s="1"/>
  <c r="S18" i="7"/>
  <c r="W18" i="7" s="1"/>
  <c r="F18" i="8" s="1"/>
  <c r="Q20" i="7"/>
  <c r="U20" i="7" s="1"/>
  <c r="D20" i="8" s="1"/>
  <c r="Q31" i="7" l="1"/>
  <c r="U2" i="7"/>
  <c r="V2" i="7"/>
  <c r="R31" i="7"/>
  <c r="T2" i="7"/>
  <c r="P31" i="7"/>
  <c r="S31" i="7"/>
  <c r="W2" i="7"/>
  <c r="W31" i="7" l="1"/>
  <c r="W32" i="7" s="1"/>
  <c r="F2" i="8"/>
  <c r="V31" i="7"/>
  <c r="V32" i="7" s="1"/>
  <c r="E2" i="8"/>
  <c r="U31" i="7"/>
  <c r="U32" i="7" s="1"/>
  <c r="D2" i="8"/>
  <c r="T31" i="7"/>
  <c r="T32" i="7" s="1"/>
  <c r="C2" i="8"/>
</calcChain>
</file>

<file path=xl/sharedStrings.xml><?xml version="1.0" encoding="utf-8"?>
<sst xmlns="http://schemas.openxmlformats.org/spreadsheetml/2006/main" count="261" uniqueCount="115">
  <si>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</si>
  <si>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</si>
  <si>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</si>
  <si>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</si>
  <si>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</si>
  <si>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</si>
  <si>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</si>
  <si>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</si>
  <si>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</si>
  <si>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</si>
  <si>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</si>
  <si>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</si>
  <si>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</si>
  <si>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</si>
  <si>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</si>
  <si>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</si>
  <si>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</si>
  <si>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</si>
  <si>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</si>
  <si>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</si>
  <si>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</si>
  <si>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</si>
  <si>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</si>
  <si>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</si>
  <si>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</si>
  <si>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</si>
  <si>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</si>
  <si>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</si>
  <si>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</si>
  <si>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</si>
  <si>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</si>
  <si>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</si>
  <si>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</si>
  <si>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</si>
  <si>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</si>
  <si>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</si>
  <si>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</si>
  <si>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</si>
  <si>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</si>
  <si>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</si>
  <si>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</si>
  <si>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</si>
  <si>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</si>
  <si>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</si>
  <si>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</si>
  <si>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</si>
  <si>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</si>
  <si>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</si>
  <si>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Avg.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</si>
  <si>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</si>
  <si>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</si>
  <si>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</si>
  <si>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</si>
  <si>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</si>
  <si>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</si>
  <si>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</si>
  <si>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</si>
  <si>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</si>
  <si>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</si>
  <si>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</si>
  <si>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</si>
  <si>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</si>
  <si>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</si>
  <si>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</si>
  <si>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</si>
  <si>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</si>
  <si>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</si>
  <si>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</si>
  <si>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</si>
  <si>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</si>
  <si>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</si>
  <si>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</si>
  <si>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</si>
  <si>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</si>
  <si>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</si>
  <si>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</si>
  <si>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</si>
  <si>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</si>
  <si>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</si>
  <si>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</si>
  <si>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</si>
  <si>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Perspectives</t>
  </si>
  <si>
    <t>Description</t>
  </si>
  <si>
    <t>Score</t>
  </si>
  <si>
    <t>sums to one</t>
  </si>
  <si>
    <t>Enter perspectives number -&gt;</t>
  </si>
  <si>
    <t>Persepective Weight</t>
  </si>
  <si>
    <t>Short Name for Perspective</t>
  </si>
  <si>
    <t>Average</t>
  </si>
  <si>
    <t>Global Weight - Normalized by # of critieria to contribution (aka each Perspecitive sums to weights in resultant model)</t>
  </si>
  <si>
    <t>Row Labels</t>
  </si>
  <si>
    <t>Grand Total</t>
  </si>
  <si>
    <t>Total</t>
  </si>
  <si>
    <t>i1 sens * global</t>
  </si>
  <si>
    <t>i2 sens * global</t>
  </si>
  <si>
    <t>i3 sens * global</t>
  </si>
  <si>
    <t>i4 sens * global</t>
  </si>
  <si>
    <t>i1 sens result * D score</t>
  </si>
  <si>
    <t>i2 sens result * D score</t>
  </si>
  <si>
    <t>i3 sens result * D score</t>
  </si>
  <si>
    <t>i4 sens result * D score</t>
  </si>
  <si>
    <t>Focus</t>
  </si>
  <si>
    <t>i1 sum to 1 (aka sens results)</t>
  </si>
  <si>
    <t>i2 sum to 1 (aka sens results)</t>
  </si>
  <si>
    <t>i3 sum to 1 (aka sens results)</t>
  </si>
  <si>
    <t>i4 sum to 1 (aka sens results)</t>
  </si>
  <si>
    <t>Sum of i1 sens result * D score</t>
  </si>
  <si>
    <t>Sum of i2 sens result * D score</t>
  </si>
  <si>
    <t>Sum of i3 sens result * D score</t>
  </si>
  <si>
    <t>Sum of i4 sens result * D score</t>
  </si>
  <si>
    <t>Local Weight Raw - (Each Perspective sums to 1 - manually filter in the Pivot Table). This column is calculated by dividing by number of experts.</t>
  </si>
  <si>
    <t>total change vs the baseline composite</t>
  </si>
  <si>
    <t>Score (Normalized * D Score) - This is the weighted score, including desirability curves, and can be filtered by perspective here to compare with a filtered sensitivity perspective, for a sanity check to show global rank has not changed</t>
  </si>
  <si>
    <t>Score +1 (for positive number multiplication)</t>
  </si>
  <si>
    <t>sensitive i# composite by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</si>
</sst>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164" formatCode="0.000"/>
      <alignment horizontal="general" vertical="bottom" textRotation="0" wrapText="1" indent="0" justifyLastLine="0" shrinkToFit="0" readingOrder="0"/>
    </dxf>
    <dxf>
      <numFmt numFmtId="164" formatCode="0.0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avanaugh" refreshedDate="44939.287010300926" createdVersion="8" refreshedVersion="8" minRefreshableVersion="3" recordCount="29" xr:uid="{5474FF2E-49C6-4700-9551-4BAA6E514549}">
  <cacheSource type="worksheet">
    <worksheetSource ref="A1:F30" sheet="Sensitivity Sanity Check"/>
  </cacheSource>
  <cacheFields count="6">
    <cacheField name="Short Name for Perspective" numFmtId="0">
      <sharedItems count="4">
        <s v="Prof"/>
        <s v="Org"/>
        <s v="Lead"/>
        <s v="Tech"/>
      </sharedItems>
    </cacheField>
    <cacheField name="Criteria" numFmtId="0">
      <sharedItems count="29">
        <s v="Change Management is considered"/>
        <s v="Computer users settings and permissions are known"/>
        <s v="Cyber awareness of all staff is checked"/>
        <s v="Cybersecurity goals of energy organization are identified"/>
        <s v="Cybersecurity learning sources are available"/>
        <s v="Cybersecurity Readiness Assessments"/>
        <s v="Cybersecurity risk is considered priority by C-Suite"/>
        <s v="Data loss prevention system is in place"/>
        <s v="Documents are marked and protected"/>
        <s v="Energy system outages are planned for"/>
        <s v="External reporting is done"/>
        <s v="External vendor/supply coordination is done"/>
        <s v="Info Officer is in contact with Internet Service Provider"/>
        <s v="Logging is sufficient for security and forensics"/>
        <s v="Machine limitations are recorded"/>
        <s v="Network and System admin procedures documented"/>
        <s v="Network modeling for IoT is done"/>
        <s v="Outages are not required for security updates"/>
        <s v="Planning for forensic evidence collection"/>
        <s v="Policies are updated"/>
        <s v="Presence of Implementation Oversight"/>
        <s v="Presence of legislative understanding"/>
        <s v="Professionals with cyber certifications are in operations roles"/>
        <s v="Retention periods are in place and used for information and data"/>
        <s v="Social impact of breaches is talked about in the company"/>
        <s v="Standards are understood"/>
        <s v="Supply chain cyber risk is considered during procurement"/>
        <s v="There is an organizational common vocabulary for cybersecurity in the energy industry"/>
        <s v="Threats to organization are modeled"/>
      </sharedItems>
    </cacheField>
    <cacheField name="i1 sens result * D score" numFmtId="0">
      <sharedItems containsSemiMixedTypes="0" containsString="0" containsNumber="1" minValue="0.11367373163367736" maxValue="10.117627102645599"/>
    </cacheField>
    <cacheField name="i2 sens result * D score" numFmtId="0">
      <sharedItems containsSemiMixedTypes="0" containsString="0" containsNumber="1" minValue="9.686439981581324E-2" maxValue="12.932247355302209"/>
    </cacheField>
    <cacheField name="i3 sens result * D score" numFmtId="0">
      <sharedItems containsSemiMixedTypes="0" containsString="0" containsNumber="1" minValue="0.18635108355469238" maxValue="11.05755772234334"/>
    </cacheField>
    <cacheField name="i4 sens result * D score" numFmtId="0">
      <sharedItems containsSemiMixedTypes="0" containsString="0" containsNumber="1" minValue="0.12521267403674152" maxValue="11.144660478917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0.11367373163367736"/>
    <n v="9.686439981581324E-2"/>
    <n v="0.18635108355469238"/>
    <n v="0.12521267403674152"/>
  </r>
  <r>
    <x v="1"/>
    <x v="1"/>
    <n v="2.4301564149579788"/>
    <n v="1.3805337973891465"/>
    <n v="1.7706124542248525"/>
    <n v="1.7845599487312622"/>
  </r>
  <r>
    <x v="0"/>
    <x v="2"/>
    <n v="1.5794359108445384"/>
    <n v="1.3458792049206634"/>
    <n v="2.5892489774117102"/>
    <n v="1.7397633650649902"/>
  </r>
  <r>
    <x v="2"/>
    <x v="3"/>
    <n v="0.61886249131652282"/>
    <n v="0.52734913271848805"/>
    <n v="0.67635500404401061"/>
    <n v="1.0225241964673604"/>
  </r>
  <r>
    <x v="2"/>
    <x v="4"/>
    <n v="0.22941382375247366"/>
    <n v="0.19548960017294403"/>
    <n v="0.25072643740577849"/>
    <n v="0.37905219508775201"/>
  </r>
  <r>
    <x v="1"/>
    <x v="5"/>
    <n v="5.8843575359315912"/>
    <n v="3.3428113533241648"/>
    <n v="4.2873440878547324"/>
    <n v="4.3211164178582626"/>
  </r>
  <r>
    <x v="2"/>
    <x v="6"/>
    <n v="0.89482101365226885"/>
    <n v="0.76250070429046823"/>
    <n v="0.97795015661710627"/>
    <n v="1.4784805199947439"/>
  </r>
  <r>
    <x v="3"/>
    <x v="7"/>
    <n v="4.7666422716405741"/>
    <n v="6.0926733398759829"/>
    <n v="5.2094647811881982"/>
    <n v="5.2505008539005456"/>
  </r>
  <r>
    <x v="1"/>
    <x v="8"/>
    <n v="7.6102661189995455"/>
    <n v="4.3232729875891858"/>
    <n v="5.5448414296818127"/>
    <n v="5.5885193362699361"/>
  </r>
  <r>
    <x v="3"/>
    <x v="9"/>
    <n v="3.0238900020106483"/>
    <n v="3.8651052351001831"/>
    <n v="3.3048102983066516"/>
    <n v="3.330842998669949"/>
  </r>
  <r>
    <x v="0"/>
    <x v="10"/>
    <n v="0.35213233111850739"/>
    <n v="0.30006129313548602"/>
    <n v="0.57726829686598158"/>
    <n v="0.38787704213166629"/>
  </r>
  <r>
    <x v="0"/>
    <x v="11"/>
    <n v="0.41484966370775106"/>
    <n v="0.35350439465064748"/>
    <n v="0.68008398451604746"/>
    <n v="0.45696076806456526"/>
  </r>
  <r>
    <x v="3"/>
    <x v="12"/>
    <n v="2.7466169497948836"/>
    <n v="3.5106976591107237"/>
    <n v="3.0017784956298725"/>
    <n v="3.0254241494133178"/>
  </r>
  <r>
    <x v="3"/>
    <x v="13"/>
    <n v="2.3697124613247933"/>
    <n v="3.0289422015544423"/>
    <n v="2.5898594661196288"/>
    <n v="2.6102603452560462"/>
  </r>
  <r>
    <x v="3"/>
    <x v="14"/>
    <n v="4.3659880428723215"/>
    <n v="5.5805612074745001"/>
    <n v="4.7715896533187925"/>
    <n v="4.8091764896237708"/>
  </r>
  <r>
    <x v="3"/>
    <x v="15"/>
    <n v="10.117627102645599"/>
    <n v="12.932247355302209"/>
    <n v="11.05755772234334"/>
    <n v="11.144660478917032"/>
  </r>
  <r>
    <x v="3"/>
    <x v="16"/>
    <n v="5.2956242212563769"/>
    <n v="6.768812650953457"/>
    <n v="5.787589314007259"/>
    <n v="5.8331793978055853"/>
  </r>
  <r>
    <x v="3"/>
    <x v="17"/>
    <n v="2.8738073811483509"/>
    <n v="3.6732711660015349"/>
    <n v="3.1407849565472703"/>
    <n v="3.1655255940722871"/>
  </r>
  <r>
    <x v="3"/>
    <x v="18"/>
    <n v="2.4764589922257301"/>
    <n v="3.1653845242380241"/>
    <n v="2.7065227820455906"/>
    <n v="2.7278426431727278"/>
  </r>
  <r>
    <x v="2"/>
    <x v="19"/>
    <n v="0.19919965525581482"/>
    <n v="0.16974330632561821"/>
    <n v="0.21770536351217232"/>
    <n v="0.32913041311280578"/>
  </r>
  <r>
    <x v="1"/>
    <x v="20"/>
    <n v="3.791715386358308"/>
    <n v="2.1540141238351542"/>
    <n v="2.7626445954830063"/>
    <n v="2.784406540185655"/>
  </r>
  <r>
    <x v="1"/>
    <x v="21"/>
    <n v="5.286590046548703"/>
    <n v="3.0032290050464701"/>
    <n v="3.8518105744901754"/>
    <n v="3.8821521134866082"/>
  </r>
  <r>
    <x v="2"/>
    <x v="22"/>
    <n v="0.66060441176078344"/>
    <n v="0.56291852956051847"/>
    <n v="0.72197476152975393"/>
    <n v="1.0914928676344775"/>
  </r>
  <r>
    <x v="3"/>
    <x v="23"/>
    <n v="3.0283363560027614"/>
    <n v="3.870788519241009"/>
    <n v="3.3096697199302172"/>
    <n v="3.3357406990011098"/>
  </r>
  <r>
    <x v="1"/>
    <x v="24"/>
    <n v="2.0730835857557719"/>
    <n v="1.177686315717259"/>
    <n v="1.5104491188283269"/>
    <n v="1.5223472508768177"/>
  </r>
  <r>
    <x v="3"/>
    <x v="25"/>
    <n v="3.5220526358833584"/>
    <n v="4.5018516123931516"/>
    <n v="3.8492523916233456"/>
    <n v="3.8795737792640166"/>
  </r>
  <r>
    <x v="2"/>
    <x v="26"/>
    <n v="0.61054477900318116"/>
    <n v="0.52026138958299539"/>
    <n v="0.66726457373959946"/>
    <n v="1.0087811401034932"/>
  </r>
  <r>
    <x v="1"/>
    <x v="27"/>
    <n v="1.1729281385731565"/>
    <n v="0.66632210471809594"/>
    <n v="0.85459567840381812"/>
    <n v="0.86132751207035407"/>
  </r>
  <r>
    <x v="0"/>
    <x v="28"/>
    <n v="1.0939722833260668"/>
    <n v="0.93220277997911827"/>
    <n v="1.7934039592680744"/>
    <n v="1.2050206582358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16295-742E-4D39-810D-A719BA9057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10" firstHeaderRow="0" firstDataRow="1" firstDataCol="1" rowPageCount="1" colPageCount="1"/>
  <pivotFields count="6"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 v="3"/>
    </i>
    <i>
      <x v="4"/>
    </i>
    <i>
      <x v="6"/>
    </i>
    <i>
      <x v="19"/>
    </i>
    <i>
      <x v="22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0" hier="-1"/>
  </pageFields>
  <dataFields count="4">
    <dataField name="Sum of i1 sens result * D score" fld="2" baseField="0" baseItem="0"/>
    <dataField name="Sum of i2 sens result * D score" fld="3" baseField="0" baseItem="0"/>
    <dataField name="Sum of i3 sens result * D score" fld="4" baseField="0" baseItem="0"/>
    <dataField name="Sum of i4 sens result * D score" fld="5" baseField="0" baseItem="0"/>
  </dataFields>
  <conditionalFormats count="1">
    <conditionalFormat priority="1">
      <pivotAreas count="1">
        <pivotArea type="data" collapsedLevelsAreSubtotals="1" fieldPosition="0">
          <references count="1">
            <reference field="1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6A57-1EB5-4E26-9CAF-3244CA3D24BC}" name="Table1" displayName="Table1" ref="A1:G31" totalsRowCount="1" headerRowDxfId="15" dataDxfId="14">
  <autoFilter ref="A1:G30" xr:uid="{DF736A57-1EB5-4E26-9CAF-3244CA3D24BC}"/>
  <tableColumns count="7">
    <tableColumn id="1" xr3:uid="{E8D4BB4D-98A7-49BF-AB24-9ECE71C982B6}" name="Short Name for Perspective" totalsRowLabel="Total" dataDxfId="13" totalsRowDxfId="12"/>
    <tableColumn id="2" xr3:uid="{C4A038CA-30AD-430F-81CC-3B41C2060C2B}" name="Criteria" dataDxfId="11" totalsRowDxfId="10"/>
    <tableColumn id="3" xr3:uid="{E22550A6-6910-4296-BAFA-A2253CCD1238}" name="D Score (This is the selected average by panelists)" dataDxfId="9" totalsRowDxfId="8">
      <calculatedColumnFormula>'D Ranges from strategy experts'!R3</calculatedColumnFormula>
    </tableColumn>
    <tableColumn id="4" xr3:uid="{6345119C-9067-4838-BE75-EE2E1EDFDF8D}" name="Local Weight Raw - (Each Perspective sums to 1 - manually filter in the Pivot Table). This column is calculated by dividing by number of experts." totalsRowFunction="sum" dataDxfId="7" totalsRowDxfId="6">
      <calculatedColumnFormula>'Model Results Import'!O2</calculatedColumnFormula>
    </tableColumn>
    <tableColumn id="5" xr3:uid="{89F3D977-E093-4E01-B672-C5E4A6A8BF6C}" name="Persepective Weight" dataDxfId="5" totalsRowDxfId="4">
      <calculatedColumnFormula>VLOOKUP(A2,'Panel 1 Score'!$A$1:$D$12,4,0)</calculatedColumnFormula>
    </tableColumn>
    <tableColumn id="6" xr3:uid="{9BABED69-0298-4DD8-A09E-4817AB6DA011}" name="Global Weight - Normalized by # of critieria to contribution (aka each Perspecitive sums to weights in resultant model)" totalsRowFunction="sum" dataDxfId="3" totalsRowDxfId="2">
      <calculatedColumnFormula>E2*'Model Results Import'!O2</calculatedColumnFormula>
    </tableColumn>
    <tableColumn id="7" xr3:uid="{9B6D3E40-616B-4FB0-A5B1-7B40A1BEEC4C}" name="Score (Normalized * D Score) - This is the weighted score, including desirability curves, and can be filtered by perspective here to compare with a filtered sensitivity perspective, for a sanity check to show global rank has not changed" totalsRowFunction="sum" dataDxfId="1" totalsRowDxfId="0">
      <calculatedColumnFormula>F2*C2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tabSelected="1" zoomScale="60" zoomScaleNormal="60" workbookViewId="0"/>
  </sheetViews>
  <sheetFormatPr defaultRowHeight="15" x14ac:dyDescent="0.25"/>
  <cols>
    <col min="1" max="1" width="24.7109375" style="2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44</v>
      </c>
      <c r="F1" t="s">
        <v>45</v>
      </c>
      <c r="J1" t="s">
        <v>46</v>
      </c>
      <c r="N1" t="s">
        <v>47</v>
      </c>
    </row>
    <row r="2" spans="1:18" ht="63" customHeight="1" x14ac:dyDescent="0.25">
      <c r="A2" s="2" t="s">
        <v>6</v>
      </c>
      <c r="B2" s="2" t="s">
        <v>40</v>
      </c>
      <c r="C2" s="2" t="s">
        <v>41</v>
      </c>
      <c r="D2" s="2" t="s">
        <v>42</v>
      </c>
      <c r="E2" s="2" t="s">
        <v>5</v>
      </c>
      <c r="F2" s="2" t="s">
        <v>40</v>
      </c>
      <c r="G2" s="2" t="s">
        <v>41</v>
      </c>
      <c r="H2" s="2" t="s">
        <v>42</v>
      </c>
      <c r="I2" s="2" t="s">
        <v>5</v>
      </c>
      <c r="J2" s="2" t="s">
        <v>40</v>
      </c>
      <c r="K2" s="2" t="s">
        <v>41</v>
      </c>
      <c r="L2" s="2" t="s">
        <v>42</v>
      </c>
      <c r="M2" s="2" t="s">
        <v>5</v>
      </c>
      <c r="N2" s="2" t="s">
        <v>40</v>
      </c>
      <c r="O2" s="2" t="s">
        <v>41</v>
      </c>
      <c r="P2" s="2" t="s">
        <v>42</v>
      </c>
      <c r="Q2" s="2" t="s">
        <v>5</v>
      </c>
      <c r="R2" s="2" t="s">
        <v>43</v>
      </c>
    </row>
    <row r="3" spans="1:18" ht="30" x14ac:dyDescent="0.25">
      <c r="A3" s="1" t="s">
        <v>20</v>
      </c>
      <c r="B3" s="4">
        <v>20</v>
      </c>
      <c r="C3" s="4">
        <v>18</v>
      </c>
      <c r="D3" s="4">
        <v>20</v>
      </c>
      <c r="E3" s="4">
        <f t="shared" ref="E3:E31" si="0">AVERAGE(B3:D3)</f>
        <v>19.333333333333332</v>
      </c>
      <c r="F3" s="4">
        <v>60</v>
      </c>
      <c r="G3" s="4">
        <v>65</v>
      </c>
      <c r="H3" s="4">
        <v>60</v>
      </c>
      <c r="I3" s="4">
        <f t="shared" ref="I3:I31" si="1">AVERAGE(F3:H3)</f>
        <v>61.666666666666664</v>
      </c>
      <c r="J3" s="4">
        <v>80</v>
      </c>
      <c r="K3" s="4">
        <v>85</v>
      </c>
      <c r="L3" s="4">
        <v>90</v>
      </c>
      <c r="M3" s="4">
        <f t="shared" ref="M3:M31" si="2">AVERAGE(J3:L3)</f>
        <v>85</v>
      </c>
      <c r="N3" s="4">
        <v>100</v>
      </c>
      <c r="O3" s="4">
        <v>100</v>
      </c>
      <c r="P3" s="4">
        <v>100</v>
      </c>
      <c r="Q3" s="4">
        <f t="shared" ref="Q3:Q31" si="3">AVERAGE(N3:P3)</f>
        <v>100</v>
      </c>
      <c r="R3" s="3">
        <f>E3</f>
        <v>19.333333333333332</v>
      </c>
    </row>
    <row r="4" spans="1:18" ht="45" x14ac:dyDescent="0.25">
      <c r="A4" s="1" t="s">
        <v>11</v>
      </c>
      <c r="B4" s="4">
        <v>20</v>
      </c>
      <c r="C4" s="4">
        <v>18</v>
      </c>
      <c r="D4" s="4">
        <v>20</v>
      </c>
      <c r="E4" s="4">
        <f t="shared" si="0"/>
        <v>19.333333333333332</v>
      </c>
      <c r="F4" s="4">
        <v>60</v>
      </c>
      <c r="G4" s="4">
        <v>65</v>
      </c>
      <c r="H4" s="4">
        <v>60</v>
      </c>
      <c r="I4" s="4">
        <f t="shared" si="1"/>
        <v>61.666666666666664</v>
      </c>
      <c r="J4" s="4">
        <v>70</v>
      </c>
      <c r="K4" s="4">
        <v>85</v>
      </c>
      <c r="L4" s="4">
        <v>90</v>
      </c>
      <c r="M4" s="4">
        <f t="shared" si="2"/>
        <v>81.666666666666671</v>
      </c>
      <c r="N4" s="4">
        <v>100</v>
      </c>
      <c r="O4" s="4">
        <v>100</v>
      </c>
      <c r="P4" s="4">
        <v>100</v>
      </c>
      <c r="Q4" s="4">
        <f t="shared" si="3"/>
        <v>100</v>
      </c>
      <c r="R4" s="3">
        <f>I4</f>
        <v>61.666666666666664</v>
      </c>
    </row>
    <row r="5" spans="1:18" ht="30" x14ac:dyDescent="0.25">
      <c r="A5" s="1" t="s">
        <v>30</v>
      </c>
      <c r="B5" s="4">
        <v>20</v>
      </c>
      <c r="C5" s="4">
        <v>18</v>
      </c>
      <c r="D5" s="4">
        <v>20</v>
      </c>
      <c r="E5" s="4">
        <f t="shared" si="0"/>
        <v>19.333333333333332</v>
      </c>
      <c r="F5" s="4">
        <v>60</v>
      </c>
      <c r="G5" s="4">
        <v>65</v>
      </c>
      <c r="H5" s="4">
        <v>60</v>
      </c>
      <c r="I5" s="4">
        <f t="shared" si="1"/>
        <v>61.666666666666664</v>
      </c>
      <c r="J5" s="4">
        <v>80</v>
      </c>
      <c r="K5" s="4">
        <v>60</v>
      </c>
      <c r="L5" s="4">
        <v>90</v>
      </c>
      <c r="M5" s="4">
        <f t="shared" si="2"/>
        <v>76.666666666666671</v>
      </c>
      <c r="N5" s="4">
        <v>100</v>
      </c>
      <c r="O5" s="4">
        <v>100</v>
      </c>
      <c r="P5" s="4">
        <v>100</v>
      </c>
      <c r="Q5" s="4">
        <f t="shared" si="3"/>
        <v>100</v>
      </c>
      <c r="R5" s="3">
        <f>M5</f>
        <v>76.666666666666671</v>
      </c>
    </row>
    <row r="6" spans="1:18" ht="45" x14ac:dyDescent="0.25">
      <c r="A6" s="1" t="s">
        <v>32</v>
      </c>
      <c r="B6" s="4">
        <v>20</v>
      </c>
      <c r="C6" s="4">
        <v>18</v>
      </c>
      <c r="D6" s="4">
        <v>20</v>
      </c>
      <c r="E6" s="4">
        <f t="shared" si="0"/>
        <v>19.333333333333332</v>
      </c>
      <c r="F6" s="4">
        <v>55</v>
      </c>
      <c r="G6" s="4">
        <v>65</v>
      </c>
      <c r="H6" s="4">
        <v>60</v>
      </c>
      <c r="I6" s="4">
        <f t="shared" si="1"/>
        <v>60</v>
      </c>
      <c r="J6" s="4">
        <v>84</v>
      </c>
      <c r="K6" s="4">
        <v>85</v>
      </c>
      <c r="L6" s="4">
        <v>90</v>
      </c>
      <c r="M6" s="4">
        <f t="shared" si="2"/>
        <v>86.333333333333329</v>
      </c>
      <c r="N6" s="4">
        <v>100</v>
      </c>
      <c r="O6" s="4">
        <v>100</v>
      </c>
      <c r="P6" s="4">
        <v>100</v>
      </c>
      <c r="Q6" s="4">
        <f t="shared" si="3"/>
        <v>100</v>
      </c>
      <c r="R6" s="3">
        <f>Q6</f>
        <v>100</v>
      </c>
    </row>
    <row r="7" spans="1:18" ht="30" x14ac:dyDescent="0.25">
      <c r="A7" s="1" t="s">
        <v>31</v>
      </c>
      <c r="B7" s="4">
        <v>20</v>
      </c>
      <c r="C7" s="4">
        <v>18</v>
      </c>
      <c r="D7" s="4">
        <v>12</v>
      </c>
      <c r="E7" s="4">
        <f t="shared" si="0"/>
        <v>16.666666666666668</v>
      </c>
      <c r="F7" s="4">
        <v>60</v>
      </c>
      <c r="G7" s="4">
        <v>42</v>
      </c>
      <c r="H7" s="4">
        <v>60</v>
      </c>
      <c r="I7" s="4">
        <f t="shared" si="1"/>
        <v>54</v>
      </c>
      <c r="J7" s="4">
        <v>95</v>
      </c>
      <c r="K7" s="4">
        <v>85</v>
      </c>
      <c r="L7" s="4">
        <v>90</v>
      </c>
      <c r="M7" s="4">
        <f t="shared" si="2"/>
        <v>90</v>
      </c>
      <c r="N7" s="4">
        <v>100</v>
      </c>
      <c r="O7" s="4">
        <v>100</v>
      </c>
      <c r="P7" s="4">
        <v>100</v>
      </c>
      <c r="Q7" s="4">
        <f t="shared" si="3"/>
        <v>100</v>
      </c>
      <c r="R7" s="3">
        <f>I7</f>
        <v>54</v>
      </c>
    </row>
    <row r="8" spans="1:18" ht="45" x14ac:dyDescent="0.25">
      <c r="A8" s="1" t="s">
        <v>9</v>
      </c>
      <c r="B8" s="4">
        <v>20</v>
      </c>
      <c r="C8" s="4">
        <v>18</v>
      </c>
      <c r="D8" s="4">
        <v>19</v>
      </c>
      <c r="E8" s="4">
        <f t="shared" si="0"/>
        <v>19</v>
      </c>
      <c r="F8" s="4">
        <v>60</v>
      </c>
      <c r="G8" s="4">
        <v>65</v>
      </c>
      <c r="H8" s="4">
        <v>60</v>
      </c>
      <c r="I8" s="4">
        <f t="shared" si="1"/>
        <v>61.666666666666664</v>
      </c>
      <c r="J8" s="4">
        <v>80</v>
      </c>
      <c r="K8" s="4">
        <v>87</v>
      </c>
      <c r="L8" s="4">
        <v>90</v>
      </c>
      <c r="M8" s="4">
        <f t="shared" si="2"/>
        <v>85.666666666666671</v>
      </c>
      <c r="N8" s="4">
        <v>100</v>
      </c>
      <c r="O8" s="4">
        <v>100</v>
      </c>
      <c r="P8" s="4">
        <v>100</v>
      </c>
      <c r="Q8" s="4">
        <f t="shared" si="3"/>
        <v>100</v>
      </c>
      <c r="R8" s="3">
        <f>M9</f>
        <v>84.333333333333329</v>
      </c>
    </row>
    <row r="9" spans="1:18" ht="45" x14ac:dyDescent="0.25">
      <c r="A9" s="1" t="s">
        <v>33</v>
      </c>
      <c r="B9" s="4">
        <v>18</v>
      </c>
      <c r="C9" s="4">
        <v>12</v>
      </c>
      <c r="D9" s="4">
        <v>5</v>
      </c>
      <c r="E9" s="4">
        <f t="shared" si="0"/>
        <v>11.666666666666666</v>
      </c>
      <c r="F9" s="4">
        <v>60</v>
      </c>
      <c r="G9" s="4">
        <v>62</v>
      </c>
      <c r="H9" s="4">
        <v>60</v>
      </c>
      <c r="I9" s="4">
        <f t="shared" si="1"/>
        <v>60.666666666666664</v>
      </c>
      <c r="J9" s="4">
        <v>80</v>
      </c>
      <c r="K9" s="4">
        <v>85</v>
      </c>
      <c r="L9" s="4">
        <v>88</v>
      </c>
      <c r="M9" s="4">
        <f t="shared" si="2"/>
        <v>84.333333333333329</v>
      </c>
      <c r="N9" s="4">
        <v>100</v>
      </c>
      <c r="O9" s="4">
        <v>100</v>
      </c>
      <c r="P9" s="4">
        <v>100</v>
      </c>
      <c r="Q9" s="4">
        <f t="shared" si="3"/>
        <v>100</v>
      </c>
      <c r="R9" s="3">
        <f>Q9</f>
        <v>100</v>
      </c>
    </row>
    <row r="10" spans="1:18" ht="30" x14ac:dyDescent="0.25">
      <c r="A10" s="1" t="s">
        <v>15</v>
      </c>
      <c r="B10" s="4">
        <v>18</v>
      </c>
      <c r="C10" s="4">
        <v>19</v>
      </c>
      <c r="D10" s="4">
        <v>5</v>
      </c>
      <c r="E10" s="4">
        <f t="shared" si="0"/>
        <v>14</v>
      </c>
      <c r="F10" s="4">
        <v>60</v>
      </c>
      <c r="G10" s="4">
        <v>65</v>
      </c>
      <c r="H10" s="4">
        <v>60</v>
      </c>
      <c r="I10" s="4">
        <f t="shared" si="1"/>
        <v>61.666666666666664</v>
      </c>
      <c r="J10" s="4">
        <v>80</v>
      </c>
      <c r="K10" s="4">
        <v>85</v>
      </c>
      <c r="L10" s="4">
        <v>90</v>
      </c>
      <c r="M10" s="4">
        <f t="shared" si="2"/>
        <v>85</v>
      </c>
      <c r="N10" s="4">
        <v>100</v>
      </c>
      <c r="O10" s="4">
        <v>100</v>
      </c>
      <c r="P10" s="4">
        <v>100</v>
      </c>
      <c r="Q10" s="4">
        <f t="shared" si="3"/>
        <v>100</v>
      </c>
      <c r="R10" s="3">
        <f>I10</f>
        <v>61.666666666666664</v>
      </c>
    </row>
    <row r="11" spans="1:18" ht="30" x14ac:dyDescent="0.25">
      <c r="A11" s="1" t="s">
        <v>13</v>
      </c>
      <c r="B11" s="4">
        <v>18</v>
      </c>
      <c r="C11" s="4">
        <v>22</v>
      </c>
      <c r="D11" s="4">
        <v>5</v>
      </c>
      <c r="E11" s="4">
        <f t="shared" si="0"/>
        <v>15</v>
      </c>
      <c r="F11" s="4">
        <v>60</v>
      </c>
      <c r="G11" s="4">
        <v>65</v>
      </c>
      <c r="H11" s="4">
        <v>55</v>
      </c>
      <c r="I11" s="4">
        <f t="shared" si="1"/>
        <v>60</v>
      </c>
      <c r="J11" s="4">
        <v>70</v>
      </c>
      <c r="K11" s="4">
        <v>85</v>
      </c>
      <c r="L11" s="4">
        <v>90</v>
      </c>
      <c r="M11" s="4">
        <f t="shared" si="2"/>
        <v>81.666666666666671</v>
      </c>
      <c r="N11" s="4">
        <v>100</v>
      </c>
      <c r="O11" s="4">
        <v>100</v>
      </c>
      <c r="P11" s="4">
        <v>100</v>
      </c>
      <c r="Q11" s="4">
        <f t="shared" si="3"/>
        <v>100</v>
      </c>
      <c r="R11" s="3">
        <f>Q11</f>
        <v>100</v>
      </c>
    </row>
    <row r="12" spans="1:18" ht="45" x14ac:dyDescent="0.25">
      <c r="A12" s="1" t="s">
        <v>21</v>
      </c>
      <c r="B12" s="4">
        <v>27</v>
      </c>
      <c r="C12" s="4">
        <v>29</v>
      </c>
      <c r="D12" s="4">
        <v>5</v>
      </c>
      <c r="E12" s="4">
        <f t="shared" si="0"/>
        <v>20.333333333333332</v>
      </c>
      <c r="F12" s="4">
        <v>60</v>
      </c>
      <c r="G12" s="4">
        <v>65</v>
      </c>
      <c r="H12" s="4">
        <v>44</v>
      </c>
      <c r="I12" s="4">
        <f t="shared" si="1"/>
        <v>56.333333333333336</v>
      </c>
      <c r="J12" s="4">
        <v>80</v>
      </c>
      <c r="K12" s="4">
        <v>60</v>
      </c>
      <c r="L12" s="4">
        <v>90</v>
      </c>
      <c r="M12" s="4">
        <f t="shared" si="2"/>
        <v>76.666666666666671</v>
      </c>
      <c r="N12" s="4">
        <v>100</v>
      </c>
      <c r="O12" s="4">
        <v>100</v>
      </c>
      <c r="P12" s="4">
        <v>100</v>
      </c>
      <c r="Q12" s="4">
        <f t="shared" si="3"/>
        <v>100</v>
      </c>
      <c r="R12" s="3">
        <f>I12</f>
        <v>56.333333333333336</v>
      </c>
    </row>
    <row r="13" spans="1:18" ht="30" x14ac:dyDescent="0.25">
      <c r="A13" s="1" t="s">
        <v>27</v>
      </c>
      <c r="B13" s="4">
        <v>14</v>
      </c>
      <c r="C13" s="4">
        <v>20</v>
      </c>
      <c r="D13" s="4">
        <v>5</v>
      </c>
      <c r="E13" s="4">
        <f t="shared" si="0"/>
        <v>13</v>
      </c>
      <c r="F13" s="4">
        <v>60</v>
      </c>
      <c r="G13" s="4">
        <v>65</v>
      </c>
      <c r="H13" s="4">
        <v>42</v>
      </c>
      <c r="I13" s="4">
        <f t="shared" si="1"/>
        <v>55.666666666666664</v>
      </c>
      <c r="J13" s="4">
        <v>84</v>
      </c>
      <c r="K13" s="4">
        <v>85</v>
      </c>
      <c r="L13" s="4">
        <v>90</v>
      </c>
      <c r="M13" s="4">
        <f t="shared" si="2"/>
        <v>86.333333333333329</v>
      </c>
      <c r="N13" s="4">
        <v>100</v>
      </c>
      <c r="O13" s="4">
        <v>100</v>
      </c>
      <c r="P13" s="4">
        <v>100</v>
      </c>
      <c r="Q13" s="4">
        <f t="shared" si="3"/>
        <v>100</v>
      </c>
      <c r="R13" s="3">
        <f>I13</f>
        <v>55.666666666666664</v>
      </c>
    </row>
    <row r="14" spans="1:18" ht="30" x14ac:dyDescent="0.25">
      <c r="A14" s="1" t="s">
        <v>28</v>
      </c>
      <c r="B14" s="4">
        <v>20</v>
      </c>
      <c r="C14" s="4">
        <v>10</v>
      </c>
      <c r="D14" s="4">
        <v>20</v>
      </c>
      <c r="E14" s="4">
        <f t="shared" si="0"/>
        <v>16.666666666666668</v>
      </c>
      <c r="F14" s="4">
        <v>60</v>
      </c>
      <c r="G14" s="4">
        <v>65</v>
      </c>
      <c r="H14" s="4">
        <v>33</v>
      </c>
      <c r="I14" s="4">
        <f t="shared" si="1"/>
        <v>52.666666666666664</v>
      </c>
      <c r="J14" s="4">
        <v>95</v>
      </c>
      <c r="K14" s="4">
        <v>85</v>
      </c>
      <c r="L14" s="4">
        <v>90</v>
      </c>
      <c r="M14" s="4">
        <f t="shared" si="2"/>
        <v>90</v>
      </c>
      <c r="N14" s="4">
        <v>100</v>
      </c>
      <c r="O14" s="4">
        <v>100</v>
      </c>
      <c r="P14" s="4">
        <v>100</v>
      </c>
      <c r="Q14" s="4">
        <f t="shared" si="3"/>
        <v>100</v>
      </c>
      <c r="R14" s="3">
        <f>M14</f>
        <v>90</v>
      </c>
    </row>
    <row r="15" spans="1:18" ht="45" x14ac:dyDescent="0.25">
      <c r="A15" s="1" t="s">
        <v>25</v>
      </c>
      <c r="B15" s="4">
        <v>20</v>
      </c>
      <c r="C15" s="4">
        <v>22</v>
      </c>
      <c r="D15" s="4">
        <v>20</v>
      </c>
      <c r="E15" s="4">
        <f t="shared" si="0"/>
        <v>20.666666666666668</v>
      </c>
      <c r="F15" s="4">
        <v>60</v>
      </c>
      <c r="G15" s="4">
        <v>65</v>
      </c>
      <c r="H15" s="4">
        <v>65</v>
      </c>
      <c r="I15" s="4">
        <f t="shared" si="1"/>
        <v>63.333333333333336</v>
      </c>
      <c r="J15" s="4">
        <v>80</v>
      </c>
      <c r="K15" s="4">
        <v>87</v>
      </c>
      <c r="L15" s="4">
        <v>90</v>
      </c>
      <c r="M15" s="4">
        <f t="shared" si="2"/>
        <v>85.666666666666671</v>
      </c>
      <c r="N15" s="4">
        <v>100</v>
      </c>
      <c r="O15" s="4">
        <v>100</v>
      </c>
      <c r="P15" s="4">
        <v>100</v>
      </c>
      <c r="Q15" s="4">
        <f t="shared" si="3"/>
        <v>100</v>
      </c>
      <c r="R15" s="3">
        <f>Q15</f>
        <v>100</v>
      </c>
    </row>
    <row r="16" spans="1:18" ht="30" x14ac:dyDescent="0.25">
      <c r="A16" s="1" t="s">
        <v>14</v>
      </c>
      <c r="B16" s="4">
        <v>20</v>
      </c>
      <c r="C16" s="4">
        <v>30</v>
      </c>
      <c r="D16" s="4">
        <v>20</v>
      </c>
      <c r="E16" s="4">
        <f t="shared" si="0"/>
        <v>23.333333333333332</v>
      </c>
      <c r="F16" s="4">
        <v>60</v>
      </c>
      <c r="G16" s="4">
        <v>65</v>
      </c>
      <c r="H16" s="4">
        <v>49</v>
      </c>
      <c r="I16" s="4">
        <f t="shared" si="1"/>
        <v>58</v>
      </c>
      <c r="J16" s="4">
        <v>80</v>
      </c>
      <c r="K16" s="4">
        <v>85</v>
      </c>
      <c r="L16" s="4">
        <v>88</v>
      </c>
      <c r="M16" s="4">
        <f t="shared" si="2"/>
        <v>84.333333333333329</v>
      </c>
      <c r="N16" s="4">
        <v>100</v>
      </c>
      <c r="O16" s="4">
        <v>100</v>
      </c>
      <c r="P16" s="4">
        <v>100</v>
      </c>
      <c r="Q16" s="4">
        <f t="shared" si="3"/>
        <v>100</v>
      </c>
      <c r="R16" s="3">
        <f>I16</f>
        <v>58</v>
      </c>
    </row>
    <row r="17" spans="1:18" ht="30" x14ac:dyDescent="0.25">
      <c r="A17" s="1" t="s">
        <v>22</v>
      </c>
      <c r="B17" s="4">
        <v>18</v>
      </c>
      <c r="C17" s="4">
        <v>20</v>
      </c>
      <c r="D17" s="4">
        <v>5</v>
      </c>
      <c r="E17" s="4">
        <f t="shared" si="0"/>
        <v>14.333333333333334</v>
      </c>
      <c r="F17" s="4">
        <v>60</v>
      </c>
      <c r="G17" s="4">
        <v>55</v>
      </c>
      <c r="H17" s="4">
        <v>65</v>
      </c>
      <c r="I17" s="4">
        <f t="shared" si="1"/>
        <v>60</v>
      </c>
      <c r="J17" s="4">
        <v>80</v>
      </c>
      <c r="K17" s="4">
        <v>74</v>
      </c>
      <c r="L17" s="4">
        <v>90</v>
      </c>
      <c r="M17" s="4">
        <f t="shared" si="2"/>
        <v>81.333333333333329</v>
      </c>
      <c r="N17" s="4">
        <v>100</v>
      </c>
      <c r="O17" s="4">
        <v>100</v>
      </c>
      <c r="P17" s="4">
        <v>100</v>
      </c>
      <c r="Q17" s="4">
        <f t="shared" si="3"/>
        <v>100</v>
      </c>
      <c r="R17" s="3">
        <f>M18</f>
        <v>85</v>
      </c>
    </row>
    <row r="18" spans="1:18" ht="45" x14ac:dyDescent="0.25">
      <c r="A18" s="1" t="s">
        <v>23</v>
      </c>
      <c r="B18" s="4">
        <v>18</v>
      </c>
      <c r="C18" s="4">
        <v>20</v>
      </c>
      <c r="D18" s="4">
        <v>5</v>
      </c>
      <c r="E18" s="4">
        <f t="shared" si="0"/>
        <v>14.333333333333334</v>
      </c>
      <c r="F18" s="4">
        <v>60</v>
      </c>
      <c r="G18" s="4">
        <v>60</v>
      </c>
      <c r="H18" s="4">
        <v>42</v>
      </c>
      <c r="I18" s="4">
        <f t="shared" si="1"/>
        <v>54</v>
      </c>
      <c r="J18" s="4">
        <v>80</v>
      </c>
      <c r="K18" s="4">
        <v>85</v>
      </c>
      <c r="L18" s="4">
        <v>90</v>
      </c>
      <c r="M18" s="4">
        <f t="shared" si="2"/>
        <v>85</v>
      </c>
      <c r="N18" s="4">
        <v>100</v>
      </c>
      <c r="O18" s="4">
        <v>100</v>
      </c>
      <c r="P18" s="4">
        <v>100</v>
      </c>
      <c r="Q18" s="4">
        <f t="shared" si="3"/>
        <v>100</v>
      </c>
      <c r="R18" s="3">
        <f>Q18</f>
        <v>100</v>
      </c>
    </row>
    <row r="19" spans="1:18" ht="30" x14ac:dyDescent="0.25">
      <c r="A19" s="1" t="s">
        <v>18</v>
      </c>
      <c r="B19" s="4">
        <v>18</v>
      </c>
      <c r="C19" s="4">
        <v>12</v>
      </c>
      <c r="D19" s="4">
        <v>5</v>
      </c>
      <c r="E19" s="4">
        <f t="shared" si="0"/>
        <v>11.666666666666666</v>
      </c>
      <c r="F19" s="4">
        <v>55</v>
      </c>
      <c r="G19" s="4">
        <v>65</v>
      </c>
      <c r="H19" s="4">
        <v>60</v>
      </c>
      <c r="I19" s="4">
        <f t="shared" si="1"/>
        <v>60</v>
      </c>
      <c r="J19" s="4">
        <v>80</v>
      </c>
      <c r="K19" s="4">
        <v>85</v>
      </c>
      <c r="L19" s="4">
        <v>90</v>
      </c>
      <c r="M19" s="4">
        <f t="shared" si="2"/>
        <v>85</v>
      </c>
      <c r="N19" s="4">
        <v>100</v>
      </c>
      <c r="O19" s="4">
        <v>100</v>
      </c>
      <c r="P19" s="4">
        <v>100</v>
      </c>
      <c r="Q19" s="4">
        <f t="shared" si="3"/>
        <v>100</v>
      </c>
      <c r="R19" s="3">
        <f>I19</f>
        <v>60</v>
      </c>
    </row>
    <row r="20" spans="1:18" ht="45" x14ac:dyDescent="0.25">
      <c r="A20" s="1" t="s">
        <v>24</v>
      </c>
      <c r="B20" s="4">
        <v>18</v>
      </c>
      <c r="C20" s="4">
        <v>19</v>
      </c>
      <c r="D20" s="4">
        <v>5</v>
      </c>
      <c r="E20" s="4">
        <f t="shared" si="0"/>
        <v>14</v>
      </c>
      <c r="F20" s="4">
        <v>60</v>
      </c>
      <c r="G20" s="4">
        <v>42</v>
      </c>
      <c r="H20" s="4">
        <v>60</v>
      </c>
      <c r="I20" s="4">
        <f t="shared" si="1"/>
        <v>54</v>
      </c>
      <c r="J20" s="4">
        <v>80</v>
      </c>
      <c r="K20" s="4">
        <v>85</v>
      </c>
      <c r="L20" s="4">
        <v>90</v>
      </c>
      <c r="M20" s="4">
        <f t="shared" si="2"/>
        <v>85</v>
      </c>
      <c r="N20" s="4">
        <v>100</v>
      </c>
      <c r="O20" s="4">
        <v>100</v>
      </c>
      <c r="P20" s="4">
        <v>100</v>
      </c>
      <c r="Q20" s="4">
        <f t="shared" si="3"/>
        <v>100</v>
      </c>
      <c r="R20" s="3">
        <f>M21</f>
        <v>81.666666666666671</v>
      </c>
    </row>
    <row r="21" spans="1:18" ht="30" x14ac:dyDescent="0.25">
      <c r="A21" s="1" t="s">
        <v>16</v>
      </c>
      <c r="B21" s="4">
        <v>12</v>
      </c>
      <c r="C21" s="4">
        <v>18</v>
      </c>
      <c r="D21" s="4">
        <v>20</v>
      </c>
      <c r="E21" s="4">
        <f t="shared" si="0"/>
        <v>16.666666666666668</v>
      </c>
      <c r="F21" s="4">
        <v>60</v>
      </c>
      <c r="G21" s="4">
        <v>65</v>
      </c>
      <c r="H21" s="4">
        <v>60</v>
      </c>
      <c r="I21" s="4">
        <f t="shared" si="1"/>
        <v>61.666666666666664</v>
      </c>
      <c r="J21" s="4">
        <v>70</v>
      </c>
      <c r="K21" s="4">
        <v>85</v>
      </c>
      <c r="L21" s="4">
        <v>90</v>
      </c>
      <c r="M21" s="4">
        <f t="shared" si="2"/>
        <v>81.666666666666671</v>
      </c>
      <c r="N21" s="4">
        <v>100</v>
      </c>
      <c r="O21" s="4">
        <v>100</v>
      </c>
      <c r="P21" s="4">
        <v>100</v>
      </c>
      <c r="Q21" s="4">
        <f t="shared" si="3"/>
        <v>100</v>
      </c>
      <c r="R21" s="3">
        <f>Q21</f>
        <v>100</v>
      </c>
    </row>
    <row r="22" spans="1:18" x14ac:dyDescent="0.25">
      <c r="A22" s="1" t="s">
        <v>35</v>
      </c>
      <c r="B22" s="4">
        <v>19</v>
      </c>
      <c r="C22" s="4">
        <v>18</v>
      </c>
      <c r="D22" s="4">
        <v>20</v>
      </c>
      <c r="E22" s="4">
        <f t="shared" si="0"/>
        <v>19</v>
      </c>
      <c r="F22" s="4">
        <v>60</v>
      </c>
      <c r="G22" s="4">
        <v>55</v>
      </c>
      <c r="H22" s="4">
        <v>65</v>
      </c>
      <c r="I22" s="4">
        <f t="shared" si="1"/>
        <v>60</v>
      </c>
      <c r="J22" s="4">
        <v>80</v>
      </c>
      <c r="K22" s="4">
        <v>60</v>
      </c>
      <c r="L22" s="4">
        <v>90</v>
      </c>
      <c r="M22" s="4">
        <f t="shared" si="2"/>
        <v>76.666666666666671</v>
      </c>
      <c r="N22" s="4">
        <v>100</v>
      </c>
      <c r="O22" s="4">
        <v>100</v>
      </c>
      <c r="P22" s="4">
        <v>100</v>
      </c>
      <c r="Q22" s="4">
        <f t="shared" si="3"/>
        <v>100</v>
      </c>
      <c r="R22" s="3">
        <f>I22</f>
        <v>60</v>
      </c>
    </row>
    <row r="23" spans="1:18" ht="45" x14ac:dyDescent="0.25">
      <c r="A23" s="1" t="s">
        <v>8</v>
      </c>
      <c r="B23" s="4">
        <v>22</v>
      </c>
      <c r="C23" s="4">
        <v>18</v>
      </c>
      <c r="D23" s="4">
        <v>12</v>
      </c>
      <c r="E23" s="4">
        <f t="shared" si="0"/>
        <v>17.333333333333332</v>
      </c>
      <c r="F23" s="4">
        <v>55</v>
      </c>
      <c r="G23" s="4">
        <v>65</v>
      </c>
      <c r="H23" s="4">
        <v>60</v>
      </c>
      <c r="I23" s="4">
        <f t="shared" si="1"/>
        <v>60</v>
      </c>
      <c r="J23" s="4">
        <v>84</v>
      </c>
      <c r="K23" s="4">
        <v>85</v>
      </c>
      <c r="L23" s="4">
        <v>90</v>
      </c>
      <c r="M23" s="4">
        <f t="shared" si="2"/>
        <v>86.333333333333329</v>
      </c>
      <c r="N23" s="4">
        <v>100</v>
      </c>
      <c r="O23" s="4">
        <v>100</v>
      </c>
      <c r="P23" s="4">
        <v>100</v>
      </c>
      <c r="Q23" s="4">
        <f t="shared" si="3"/>
        <v>100</v>
      </c>
      <c r="R23" s="3">
        <f>M23</f>
        <v>86.333333333333329</v>
      </c>
    </row>
    <row r="24" spans="1:18" ht="30" x14ac:dyDescent="0.25">
      <c r="A24" s="1" t="s">
        <v>10</v>
      </c>
      <c r="B24" s="4">
        <v>20</v>
      </c>
      <c r="C24" s="4">
        <v>18</v>
      </c>
      <c r="D24" s="4">
        <v>19</v>
      </c>
      <c r="E24" s="4">
        <f t="shared" si="0"/>
        <v>19</v>
      </c>
      <c r="F24" s="4">
        <v>60</v>
      </c>
      <c r="G24" s="4">
        <v>42</v>
      </c>
      <c r="H24" s="4">
        <v>60</v>
      </c>
      <c r="I24" s="4">
        <f t="shared" si="1"/>
        <v>54</v>
      </c>
      <c r="J24" s="4">
        <v>80</v>
      </c>
      <c r="K24" s="4">
        <v>74</v>
      </c>
      <c r="L24" s="4">
        <v>90</v>
      </c>
      <c r="M24" s="4">
        <f t="shared" si="2"/>
        <v>81.333333333333329</v>
      </c>
      <c r="N24" s="4">
        <v>100</v>
      </c>
      <c r="O24" s="4">
        <v>100</v>
      </c>
      <c r="P24" s="4">
        <v>100</v>
      </c>
      <c r="Q24" s="4">
        <f t="shared" si="3"/>
        <v>100</v>
      </c>
      <c r="R24" s="3">
        <f>Q24</f>
        <v>100</v>
      </c>
    </row>
    <row r="25" spans="1:18" ht="45" x14ac:dyDescent="0.25">
      <c r="A25" s="1" t="s">
        <v>34</v>
      </c>
      <c r="B25" s="4">
        <v>20</v>
      </c>
      <c r="C25" s="4">
        <v>12</v>
      </c>
      <c r="D25" s="4">
        <v>5</v>
      </c>
      <c r="E25" s="4">
        <f t="shared" si="0"/>
        <v>12.333333333333334</v>
      </c>
      <c r="F25" s="4">
        <v>60</v>
      </c>
      <c r="G25" s="4">
        <v>65</v>
      </c>
      <c r="H25" s="4">
        <v>60</v>
      </c>
      <c r="I25" s="4">
        <f t="shared" si="1"/>
        <v>61.666666666666664</v>
      </c>
      <c r="J25" s="4">
        <v>80</v>
      </c>
      <c r="K25" s="4">
        <v>85</v>
      </c>
      <c r="L25" s="4">
        <v>90</v>
      </c>
      <c r="M25" s="4">
        <f t="shared" si="2"/>
        <v>85</v>
      </c>
      <c r="N25" s="4">
        <v>100</v>
      </c>
      <c r="O25" s="4">
        <v>100</v>
      </c>
      <c r="P25" s="4">
        <v>100</v>
      </c>
      <c r="Q25" s="4">
        <f t="shared" si="3"/>
        <v>100</v>
      </c>
      <c r="R25" s="3">
        <f>I25</f>
        <v>61.666666666666664</v>
      </c>
    </row>
    <row r="26" spans="1:18" ht="45" x14ac:dyDescent="0.25">
      <c r="A26" s="1" t="s">
        <v>17</v>
      </c>
      <c r="B26" s="4">
        <v>20</v>
      </c>
      <c r="C26" s="4">
        <v>19</v>
      </c>
      <c r="D26" s="4">
        <v>5</v>
      </c>
      <c r="E26" s="4">
        <f t="shared" si="0"/>
        <v>14.666666666666666</v>
      </c>
      <c r="F26" s="4">
        <v>60</v>
      </c>
      <c r="G26" s="4">
        <v>65</v>
      </c>
      <c r="H26" s="4">
        <v>55</v>
      </c>
      <c r="I26" s="4">
        <f t="shared" si="1"/>
        <v>60</v>
      </c>
      <c r="J26" s="4">
        <v>80</v>
      </c>
      <c r="K26" s="4">
        <v>85</v>
      </c>
      <c r="L26" s="4">
        <v>90</v>
      </c>
      <c r="M26" s="4">
        <f t="shared" si="2"/>
        <v>85</v>
      </c>
      <c r="N26" s="4">
        <v>100</v>
      </c>
      <c r="O26" s="4">
        <v>100</v>
      </c>
      <c r="P26" s="4">
        <v>100</v>
      </c>
      <c r="Q26" s="4">
        <f t="shared" si="3"/>
        <v>100</v>
      </c>
      <c r="R26" s="3">
        <f>M26</f>
        <v>85</v>
      </c>
    </row>
    <row r="27" spans="1:18" ht="45" x14ac:dyDescent="0.25">
      <c r="A27" s="1" t="s">
        <v>12</v>
      </c>
      <c r="B27" s="4">
        <v>20</v>
      </c>
      <c r="C27" s="4">
        <v>18</v>
      </c>
      <c r="D27" s="4">
        <v>18</v>
      </c>
      <c r="E27" s="4">
        <f t="shared" si="0"/>
        <v>18.666666666666668</v>
      </c>
      <c r="F27" s="4">
        <v>65</v>
      </c>
      <c r="G27" s="4">
        <v>55</v>
      </c>
      <c r="H27" s="4">
        <v>70</v>
      </c>
      <c r="I27" s="4">
        <f t="shared" si="1"/>
        <v>63.333333333333336</v>
      </c>
      <c r="J27" s="4">
        <v>70</v>
      </c>
      <c r="K27" s="4">
        <v>85</v>
      </c>
      <c r="L27" s="4">
        <v>90</v>
      </c>
      <c r="M27" s="4">
        <f t="shared" si="2"/>
        <v>81.666666666666671</v>
      </c>
      <c r="N27" s="4">
        <v>100</v>
      </c>
      <c r="O27" s="4">
        <v>100</v>
      </c>
      <c r="P27" s="4">
        <v>100</v>
      </c>
      <c r="Q27" s="4">
        <f t="shared" si="3"/>
        <v>100</v>
      </c>
      <c r="R27" s="3">
        <f>I27</f>
        <v>63.333333333333336</v>
      </c>
    </row>
    <row r="28" spans="1:18" ht="30" x14ac:dyDescent="0.25">
      <c r="A28" s="1" t="s">
        <v>19</v>
      </c>
      <c r="B28" s="4">
        <v>20</v>
      </c>
      <c r="C28" s="4">
        <v>18</v>
      </c>
      <c r="D28" s="4">
        <v>18</v>
      </c>
      <c r="E28" s="4">
        <f t="shared" si="0"/>
        <v>18.666666666666668</v>
      </c>
      <c r="F28" s="4">
        <v>65</v>
      </c>
      <c r="G28" s="4">
        <v>44</v>
      </c>
      <c r="H28" s="4">
        <v>70</v>
      </c>
      <c r="I28" s="4">
        <f t="shared" si="1"/>
        <v>59.666666666666664</v>
      </c>
      <c r="J28" s="4">
        <v>80</v>
      </c>
      <c r="K28" s="4">
        <v>85</v>
      </c>
      <c r="L28" s="4">
        <v>77</v>
      </c>
      <c r="M28" s="4">
        <f t="shared" si="2"/>
        <v>80.666666666666671</v>
      </c>
      <c r="N28" s="4">
        <v>100</v>
      </c>
      <c r="O28" s="4">
        <v>100</v>
      </c>
      <c r="P28" s="4">
        <v>100</v>
      </c>
      <c r="Q28" s="4">
        <f t="shared" si="3"/>
        <v>100</v>
      </c>
      <c r="R28" s="3">
        <f>Q28</f>
        <v>100</v>
      </c>
    </row>
    <row r="29" spans="1:18" ht="45" x14ac:dyDescent="0.25">
      <c r="A29" s="1" t="s">
        <v>36</v>
      </c>
      <c r="B29" s="4">
        <v>20</v>
      </c>
      <c r="C29" s="4">
        <v>18</v>
      </c>
      <c r="D29" s="4">
        <v>18</v>
      </c>
      <c r="E29" s="4">
        <f t="shared" si="0"/>
        <v>18.666666666666668</v>
      </c>
      <c r="F29" s="4">
        <v>65</v>
      </c>
      <c r="G29" s="4">
        <v>42</v>
      </c>
      <c r="H29" s="4">
        <v>70</v>
      </c>
      <c r="I29" s="4">
        <f t="shared" si="1"/>
        <v>59</v>
      </c>
      <c r="J29" s="4">
        <v>70</v>
      </c>
      <c r="K29" s="4">
        <v>85</v>
      </c>
      <c r="L29" s="4">
        <v>90</v>
      </c>
      <c r="M29" s="4">
        <f t="shared" si="2"/>
        <v>81.666666666666671</v>
      </c>
      <c r="N29" s="4">
        <v>100</v>
      </c>
      <c r="O29" s="4">
        <v>100</v>
      </c>
      <c r="P29" s="4">
        <v>100</v>
      </c>
      <c r="Q29" s="4">
        <f t="shared" si="3"/>
        <v>100</v>
      </c>
      <c r="R29" s="3">
        <f>Q29</f>
        <v>100</v>
      </c>
    </row>
    <row r="30" spans="1:18" ht="75" x14ac:dyDescent="0.25">
      <c r="A30" s="1" t="s">
        <v>26</v>
      </c>
      <c r="B30" s="4">
        <v>20</v>
      </c>
      <c r="C30" s="4">
        <v>18</v>
      </c>
      <c r="D30" s="4">
        <v>18</v>
      </c>
      <c r="E30" s="4">
        <f t="shared" si="0"/>
        <v>18.666666666666668</v>
      </c>
      <c r="F30" s="4">
        <v>65</v>
      </c>
      <c r="G30" s="4">
        <v>33</v>
      </c>
      <c r="H30" s="4">
        <v>70</v>
      </c>
      <c r="I30" s="4">
        <f t="shared" si="1"/>
        <v>56</v>
      </c>
      <c r="J30" s="4">
        <v>80</v>
      </c>
      <c r="K30" s="4">
        <v>60</v>
      </c>
      <c r="L30" s="4">
        <v>76</v>
      </c>
      <c r="M30" s="4">
        <f t="shared" si="2"/>
        <v>72</v>
      </c>
      <c r="N30" s="4">
        <v>100</v>
      </c>
      <c r="O30" s="4">
        <v>100</v>
      </c>
      <c r="P30" s="4">
        <v>100</v>
      </c>
      <c r="Q30" s="4">
        <f t="shared" si="3"/>
        <v>100</v>
      </c>
      <c r="R30" s="3">
        <f>I30</f>
        <v>56</v>
      </c>
    </row>
    <row r="31" spans="1:18" ht="30" x14ac:dyDescent="0.25">
      <c r="A31" s="1" t="s">
        <v>29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2" t="s">
        <v>48</v>
      </c>
      <c r="B32" s="4">
        <f t="shared" ref="B32:L32" si="4">AVERAGE(B3:B31)</f>
        <v>19.310344827586206</v>
      </c>
      <c r="C32" s="4">
        <f t="shared" si="4"/>
        <v>18.482758620689655</v>
      </c>
      <c r="D32" s="4">
        <f t="shared" si="4"/>
        <v>13.137931034482758</v>
      </c>
      <c r="E32" s="4">
        <f t="shared" si="4"/>
        <v>16.977011494252878</v>
      </c>
      <c r="F32" s="4">
        <f t="shared" si="4"/>
        <v>60.344827586206897</v>
      </c>
      <c r="G32" s="4">
        <f t="shared" si="4"/>
        <v>58.689655172413794</v>
      </c>
      <c r="H32" s="4">
        <f t="shared" si="4"/>
        <v>58.793103448275865</v>
      </c>
      <c r="I32" s="4">
        <f t="shared" si="4"/>
        <v>59.275862068965523</v>
      </c>
      <c r="J32" s="4">
        <f t="shared" si="4"/>
        <v>79.862068965517238</v>
      </c>
      <c r="K32" s="4">
        <f t="shared" si="4"/>
        <v>80.931034482758619</v>
      </c>
      <c r="L32" s="4">
        <f t="shared" si="4"/>
        <v>88.931034482758619</v>
      </c>
      <c r="M32" s="4">
        <f>AVERAGE(M3:M31)</f>
        <v>83.241379310344811</v>
      </c>
      <c r="Q32" t="s">
        <v>48</v>
      </c>
      <c r="R32" s="3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87</v>
      </c>
      <c r="C1" t="s">
        <v>7</v>
      </c>
      <c r="D1" t="s">
        <v>37</v>
      </c>
      <c r="E1" t="s">
        <v>38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88</v>
      </c>
    </row>
    <row r="2" spans="1:15" x14ac:dyDescent="0.25">
      <c r="A2" t="s">
        <v>3</v>
      </c>
      <c r="B2" t="s">
        <v>20</v>
      </c>
      <c r="C2">
        <v>8.9126035057726177E-2</v>
      </c>
      <c r="D2" s="6">
        <v>0.08</v>
      </c>
      <c r="E2" s="6">
        <v>0.1</v>
      </c>
      <c r="F2" s="6">
        <v>0.17</v>
      </c>
      <c r="O2">
        <f>AVERAGE(C2:N2)</f>
        <v>0.10978150876443155</v>
      </c>
    </row>
    <row r="3" spans="1:15" x14ac:dyDescent="0.25">
      <c r="A3" t="s">
        <v>1</v>
      </c>
      <c r="B3" t="s">
        <v>11</v>
      </c>
      <c r="C3">
        <v>0.10301405398072951</v>
      </c>
      <c r="D3" s="6">
        <v>0.1</v>
      </c>
      <c r="E3" s="6">
        <v>0.19</v>
      </c>
      <c r="F3" s="6">
        <v>0.08</v>
      </c>
      <c r="O3">
        <f t="shared" ref="O3:O30" si="0">AVERAGE(C3:N3)</f>
        <v>0.11825351349518239</v>
      </c>
    </row>
    <row r="4" spans="1:15" x14ac:dyDescent="0.25">
      <c r="A4" t="s">
        <v>3</v>
      </c>
      <c r="B4" t="s">
        <v>30</v>
      </c>
      <c r="C4">
        <v>0.35861950999635456</v>
      </c>
      <c r="D4" s="6">
        <v>0.34</v>
      </c>
      <c r="E4" s="6">
        <v>0.55000000000000004</v>
      </c>
      <c r="F4" s="6">
        <v>0.28999999999999998</v>
      </c>
      <c r="O4">
        <f t="shared" si="0"/>
        <v>0.38465487749908867</v>
      </c>
    </row>
    <row r="5" spans="1:15" x14ac:dyDescent="0.25">
      <c r="A5" t="s">
        <v>4</v>
      </c>
      <c r="B5" t="s">
        <v>32</v>
      </c>
      <c r="C5">
        <v>0.10789438069451013</v>
      </c>
      <c r="D5" s="6">
        <v>0.13</v>
      </c>
      <c r="E5" s="6">
        <v>0.14000000000000001</v>
      </c>
      <c r="F5" s="6">
        <v>0.25</v>
      </c>
      <c r="O5">
        <f t="shared" si="0"/>
        <v>0.15697359517362752</v>
      </c>
    </row>
    <row r="6" spans="1:15" x14ac:dyDescent="0.25">
      <c r="A6" t="s">
        <v>4</v>
      </c>
      <c r="B6" t="s">
        <v>31</v>
      </c>
      <c r="C6">
        <v>0.11104067964897434</v>
      </c>
      <c r="D6" s="6">
        <v>0.15</v>
      </c>
      <c r="E6" s="6">
        <v>0.11</v>
      </c>
      <c r="F6" s="6">
        <v>0.06</v>
      </c>
      <c r="O6">
        <f t="shared" si="0"/>
        <v>0.10776016991224358</v>
      </c>
    </row>
    <row r="7" spans="1:15" x14ac:dyDescent="0.25">
      <c r="A7" t="s">
        <v>1</v>
      </c>
      <c r="B7" t="s">
        <v>9</v>
      </c>
      <c r="C7">
        <v>0.26751014599383494</v>
      </c>
      <c r="D7" s="6">
        <v>0.28000000000000003</v>
      </c>
      <c r="E7" s="6">
        <v>0.13</v>
      </c>
      <c r="F7" s="6">
        <v>0.16</v>
      </c>
      <c r="O7">
        <f t="shared" si="0"/>
        <v>0.20937753649845875</v>
      </c>
    </row>
    <row r="8" spans="1:15" x14ac:dyDescent="0.25">
      <c r="A8" t="s">
        <v>4</v>
      </c>
      <c r="B8" t="s">
        <v>33</v>
      </c>
      <c r="C8">
        <v>0.19788033542698624</v>
      </c>
      <c r="D8" s="6">
        <v>0.2</v>
      </c>
      <c r="E8" s="6">
        <v>0.36</v>
      </c>
      <c r="F8" s="6">
        <v>0.15</v>
      </c>
      <c r="O8">
        <f t="shared" si="0"/>
        <v>0.22697008385674658</v>
      </c>
    </row>
    <row r="9" spans="1:15" x14ac:dyDescent="0.25">
      <c r="A9" t="s">
        <v>2</v>
      </c>
      <c r="B9" t="s">
        <v>15</v>
      </c>
      <c r="C9">
        <v>0.13428523924323846</v>
      </c>
      <c r="D9" s="6">
        <v>0.13</v>
      </c>
      <c r="E9" s="6">
        <v>0.21</v>
      </c>
      <c r="F9" s="6">
        <v>7.0000000000000007E-2</v>
      </c>
      <c r="O9">
        <f t="shared" si="0"/>
        <v>0.13607130981080962</v>
      </c>
    </row>
    <row r="10" spans="1:15" x14ac:dyDescent="0.25">
      <c r="A10" t="s">
        <v>1</v>
      </c>
      <c r="B10" t="s">
        <v>13</v>
      </c>
      <c r="C10">
        <v>0.23346126149558508</v>
      </c>
      <c r="D10" s="6">
        <v>0.22</v>
      </c>
      <c r="E10" s="6">
        <v>0.22</v>
      </c>
      <c r="F10" s="6">
        <v>0.24</v>
      </c>
      <c r="O10">
        <f t="shared" si="0"/>
        <v>0.22836531537389626</v>
      </c>
    </row>
    <row r="11" spans="1:15" x14ac:dyDescent="0.25">
      <c r="A11" t="s">
        <v>2</v>
      </c>
      <c r="B11" t="s">
        <v>21</v>
      </c>
      <c r="C11">
        <v>8.7976682931686909E-2</v>
      </c>
      <c r="D11" s="6">
        <v>0.06</v>
      </c>
      <c r="E11" s="6">
        <v>0.06</v>
      </c>
      <c r="F11" s="6">
        <v>0.17</v>
      </c>
      <c r="O11">
        <f t="shared" si="0"/>
        <v>9.449417073292174E-2</v>
      </c>
    </row>
    <row r="12" spans="1:15" x14ac:dyDescent="0.25">
      <c r="A12" t="s">
        <v>3</v>
      </c>
      <c r="B12" t="s">
        <v>27</v>
      </c>
      <c r="C12">
        <v>0.16243981804892854</v>
      </c>
      <c r="D12" s="6">
        <v>0.19</v>
      </c>
      <c r="E12" s="6">
        <v>7.0000000000000007E-2</v>
      </c>
      <c r="F12" s="6">
        <v>0.05</v>
      </c>
      <c r="O12">
        <f t="shared" si="0"/>
        <v>0.11810995451223213</v>
      </c>
    </row>
    <row r="13" spans="1:15" x14ac:dyDescent="0.25">
      <c r="A13" t="s">
        <v>3</v>
      </c>
      <c r="B13" t="s">
        <v>28</v>
      </c>
      <c r="C13">
        <v>9.4257999867110337E-2</v>
      </c>
      <c r="D13" s="6">
        <v>0.1</v>
      </c>
      <c r="E13" s="6">
        <v>0.09</v>
      </c>
      <c r="F13" s="6">
        <v>0.06</v>
      </c>
      <c r="O13">
        <f t="shared" si="0"/>
        <v>8.6064499966777577E-2</v>
      </c>
    </row>
    <row r="14" spans="1:15" x14ac:dyDescent="0.25">
      <c r="A14" t="s">
        <v>2</v>
      </c>
      <c r="B14" t="s">
        <v>25</v>
      </c>
      <c r="C14">
        <v>6.3402714818588224E-2</v>
      </c>
      <c r="D14" s="6">
        <v>0.06</v>
      </c>
      <c r="E14" s="6">
        <v>0.05</v>
      </c>
      <c r="F14" s="6">
        <v>0.02</v>
      </c>
      <c r="O14">
        <f t="shared" si="0"/>
        <v>4.835067870464705E-2</v>
      </c>
    </row>
    <row r="15" spans="1:15" x14ac:dyDescent="0.25">
      <c r="A15" t="s">
        <v>2</v>
      </c>
      <c r="B15" t="s">
        <v>14</v>
      </c>
      <c r="C15">
        <v>6.7694877343989504E-2</v>
      </c>
      <c r="D15" s="6">
        <v>7.0000000000000007E-2</v>
      </c>
      <c r="E15" s="6">
        <v>0.1</v>
      </c>
      <c r="F15" s="6">
        <v>0.05</v>
      </c>
      <c r="O15">
        <f t="shared" si="0"/>
        <v>7.192371933599738E-2</v>
      </c>
    </row>
    <row r="16" spans="1:15" x14ac:dyDescent="0.25">
      <c r="A16" t="s">
        <v>2</v>
      </c>
      <c r="B16" t="s">
        <v>22</v>
      </c>
      <c r="C16">
        <v>9.1682991794071189E-2</v>
      </c>
      <c r="D16" s="6">
        <v>0.11</v>
      </c>
      <c r="E16" s="6">
        <v>0.11</v>
      </c>
      <c r="F16" s="6">
        <v>0.05</v>
      </c>
      <c r="O16">
        <f t="shared" si="0"/>
        <v>9.0420747948517788E-2</v>
      </c>
    </row>
    <row r="17" spans="1:15" x14ac:dyDescent="0.25">
      <c r="A17" t="s">
        <v>2</v>
      </c>
      <c r="B17" t="s">
        <v>23</v>
      </c>
      <c r="C17">
        <v>7.2431542126730405E-2</v>
      </c>
      <c r="D17" s="6">
        <v>0.13</v>
      </c>
      <c r="E17" s="6">
        <v>0.1</v>
      </c>
      <c r="F17" s="6">
        <v>0.41</v>
      </c>
      <c r="O17">
        <f t="shared" si="0"/>
        <v>0.17810788553168261</v>
      </c>
    </row>
    <row r="18" spans="1:15" x14ac:dyDescent="0.25">
      <c r="A18" t="s">
        <v>2</v>
      </c>
      <c r="B18" t="s">
        <v>18</v>
      </c>
      <c r="C18">
        <v>0.18148461165807453</v>
      </c>
      <c r="D18" s="6">
        <v>0.27</v>
      </c>
      <c r="E18" s="6">
        <v>0.11</v>
      </c>
      <c r="F18" s="6">
        <v>0.06</v>
      </c>
      <c r="O18">
        <f t="shared" si="0"/>
        <v>0.15537115291451864</v>
      </c>
    </row>
    <row r="19" spans="1:15" x14ac:dyDescent="0.25">
      <c r="A19" t="s">
        <v>2</v>
      </c>
      <c r="B19" t="s">
        <v>24</v>
      </c>
      <c r="C19">
        <v>1.7786303261498444E-2</v>
      </c>
      <c r="D19" s="6">
        <v>0.02</v>
      </c>
      <c r="E19" s="6">
        <v>0.08</v>
      </c>
      <c r="F19" s="6">
        <v>0.13</v>
      </c>
      <c r="O19">
        <f t="shared" si="0"/>
        <v>6.1946575815374612E-2</v>
      </c>
    </row>
    <row r="20" spans="1:15" x14ac:dyDescent="0.25">
      <c r="A20" t="s">
        <v>2</v>
      </c>
      <c r="B20" t="s">
        <v>16</v>
      </c>
      <c r="C20">
        <v>4.4379573485530732E-2</v>
      </c>
      <c r="D20" s="6">
        <v>0.03</v>
      </c>
      <c r="E20" s="6">
        <v>7.0000000000000007E-2</v>
      </c>
      <c r="F20" s="6">
        <v>0.03</v>
      </c>
      <c r="O20">
        <f t="shared" si="0"/>
        <v>4.3594893371382684E-2</v>
      </c>
    </row>
    <row r="21" spans="1:15" x14ac:dyDescent="0.25">
      <c r="A21" t="s">
        <v>4</v>
      </c>
      <c r="B21" t="s">
        <v>35</v>
      </c>
      <c r="C21">
        <v>9.6844737795552152E-2</v>
      </c>
      <c r="D21" s="6">
        <v>0.09</v>
      </c>
      <c r="E21" s="6">
        <v>7.0000000000000007E-2</v>
      </c>
      <c r="F21" s="6">
        <v>0.08</v>
      </c>
      <c r="O21">
        <f t="shared" si="0"/>
        <v>8.4211184448888046E-2</v>
      </c>
    </row>
    <row r="22" spans="1:15" x14ac:dyDescent="0.25">
      <c r="A22" t="s">
        <v>1</v>
      </c>
      <c r="B22" t="s">
        <v>8</v>
      </c>
      <c r="C22">
        <v>0.17716614553314208</v>
      </c>
      <c r="D22" s="6">
        <v>0.2</v>
      </c>
      <c r="E22" s="6">
        <v>0.08</v>
      </c>
      <c r="F22" s="6">
        <v>7.0000000000000007E-2</v>
      </c>
      <c r="O22">
        <f t="shared" si="0"/>
        <v>0.13179153638328553</v>
      </c>
    </row>
    <row r="23" spans="1:15" x14ac:dyDescent="0.25">
      <c r="A23" t="s">
        <v>1</v>
      </c>
      <c r="B23" t="s">
        <v>10</v>
      </c>
      <c r="C23">
        <v>0.13455011131269359</v>
      </c>
      <c r="D23" s="6">
        <v>0.13</v>
      </c>
      <c r="E23" s="6">
        <v>0.05</v>
      </c>
      <c r="F23" s="6">
        <v>0.32</v>
      </c>
      <c r="O23">
        <f t="shared" si="0"/>
        <v>0.15863752782817339</v>
      </c>
    </row>
    <row r="24" spans="1:15" x14ac:dyDescent="0.25">
      <c r="A24" t="s">
        <v>4</v>
      </c>
      <c r="B24" t="s">
        <v>58</v>
      </c>
      <c r="C24">
        <v>0.33688458957119294</v>
      </c>
      <c r="D24" s="6">
        <v>0.31</v>
      </c>
      <c r="E24" s="6">
        <v>0.19</v>
      </c>
      <c r="F24" s="6">
        <v>0.25</v>
      </c>
      <c r="O24">
        <f t="shared" si="0"/>
        <v>0.27172114739279823</v>
      </c>
    </row>
    <row r="25" spans="1:15" x14ac:dyDescent="0.25">
      <c r="A25" t="s">
        <v>2</v>
      </c>
      <c r="B25" t="s">
        <v>17</v>
      </c>
      <c r="C25">
        <v>9.0870534376739434E-2</v>
      </c>
      <c r="D25" s="6">
        <v>0.05</v>
      </c>
      <c r="E25" s="6">
        <v>0.11</v>
      </c>
      <c r="F25" s="6">
        <v>0</v>
      </c>
      <c r="O25">
        <f t="shared" si="0"/>
        <v>6.2717633594184863E-2</v>
      </c>
    </row>
    <row r="26" spans="1:15" x14ac:dyDescent="0.25">
      <c r="A26" t="s">
        <v>1</v>
      </c>
      <c r="B26" t="s">
        <v>12</v>
      </c>
      <c r="C26">
        <v>6.2893421752718531E-2</v>
      </c>
      <c r="D26" s="6">
        <v>0.06</v>
      </c>
      <c r="E26" s="6">
        <v>0.18</v>
      </c>
      <c r="F26" s="6">
        <v>0.09</v>
      </c>
      <c r="O26">
        <f t="shared" si="0"/>
        <v>9.8223355438179616E-2</v>
      </c>
    </row>
    <row r="27" spans="1:15" x14ac:dyDescent="0.25">
      <c r="A27" t="s">
        <v>2</v>
      </c>
      <c r="B27" t="s">
        <v>19</v>
      </c>
      <c r="C27">
        <v>0.14800492895985221</v>
      </c>
      <c r="D27" s="6">
        <v>7.0000000000000007E-2</v>
      </c>
      <c r="E27" s="6">
        <v>0.02</v>
      </c>
      <c r="F27" s="6">
        <v>0.01</v>
      </c>
      <c r="O27">
        <f t="shared" si="0"/>
        <v>6.2001232239963053E-2</v>
      </c>
    </row>
    <row r="28" spans="1:15" x14ac:dyDescent="0.25">
      <c r="A28" t="s">
        <v>4</v>
      </c>
      <c r="B28" t="s">
        <v>36</v>
      </c>
      <c r="C28">
        <v>0.14945527686278412</v>
      </c>
      <c r="D28" s="6">
        <v>0.13</v>
      </c>
      <c r="E28" s="6">
        <v>0.13</v>
      </c>
      <c r="F28" s="6">
        <v>0.21</v>
      </c>
      <c r="O28">
        <f t="shared" si="0"/>
        <v>0.15486381921569603</v>
      </c>
    </row>
    <row r="29" spans="1:15" x14ac:dyDescent="0.25">
      <c r="A29" t="s">
        <v>1</v>
      </c>
      <c r="B29" t="s">
        <v>26</v>
      </c>
      <c r="C29">
        <v>2.1404859931296327E-2</v>
      </c>
      <c r="D29" s="6">
        <v>0.02</v>
      </c>
      <c r="E29" s="6">
        <v>0.16</v>
      </c>
      <c r="F29" s="6">
        <v>0.05</v>
      </c>
      <c r="O29">
        <f t="shared" si="0"/>
        <v>6.2851214982824088E-2</v>
      </c>
    </row>
    <row r="30" spans="1:15" x14ac:dyDescent="0.25">
      <c r="A30" t="s">
        <v>3</v>
      </c>
      <c r="B30" t="s">
        <v>29</v>
      </c>
      <c r="C30">
        <v>0.29555663702988044</v>
      </c>
      <c r="D30" s="6">
        <v>0.28999999999999998</v>
      </c>
      <c r="E30" s="6">
        <v>0.2</v>
      </c>
      <c r="F30" s="6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H13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8" x14ac:dyDescent="0.25">
      <c r="A1" t="s">
        <v>87</v>
      </c>
      <c r="B1" t="s">
        <v>81</v>
      </c>
      <c r="C1" t="s">
        <v>82</v>
      </c>
      <c r="D1" t="s">
        <v>83</v>
      </c>
      <c r="E1" t="s">
        <v>59</v>
      </c>
      <c r="F1" t="s">
        <v>61</v>
      </c>
      <c r="G1" t="s">
        <v>63</v>
      </c>
      <c r="H1" t="s">
        <v>65</v>
      </c>
    </row>
    <row r="2" spans="1:8" x14ac:dyDescent="0.25">
      <c r="A2" s="5" t="s">
        <v>1</v>
      </c>
      <c r="B2" s="5" t="s">
        <v>59</v>
      </c>
      <c r="C2" s="5" t="s">
        <v>60</v>
      </c>
      <c r="D2">
        <v>0.28000000000000003</v>
      </c>
      <c r="E2">
        <v>1.5</v>
      </c>
      <c r="F2">
        <v>1</v>
      </c>
      <c r="G2">
        <v>1</v>
      </c>
      <c r="H2">
        <v>1</v>
      </c>
    </row>
    <row r="3" spans="1:8" x14ac:dyDescent="0.25">
      <c r="A3" s="5" t="s">
        <v>2</v>
      </c>
      <c r="B3" s="5" t="s">
        <v>61</v>
      </c>
      <c r="C3" s="5" t="s">
        <v>62</v>
      </c>
      <c r="D3">
        <v>0.57999999999999996</v>
      </c>
      <c r="E3">
        <v>1</v>
      </c>
      <c r="F3">
        <v>1.5</v>
      </c>
      <c r="G3">
        <v>1</v>
      </c>
      <c r="H3">
        <v>1</v>
      </c>
    </row>
    <row r="4" spans="1:8" x14ac:dyDescent="0.25">
      <c r="A4" s="5" t="s">
        <v>3</v>
      </c>
      <c r="B4" s="5" t="s">
        <v>63</v>
      </c>
      <c r="C4" s="5" t="s">
        <v>64</v>
      </c>
      <c r="D4">
        <v>0.08</v>
      </c>
      <c r="E4">
        <v>1</v>
      </c>
      <c r="F4">
        <v>1</v>
      </c>
      <c r="G4">
        <v>1.5</v>
      </c>
      <c r="H4">
        <v>1</v>
      </c>
    </row>
    <row r="5" spans="1:8" x14ac:dyDescent="0.25">
      <c r="A5" s="5" t="s">
        <v>4</v>
      </c>
      <c r="B5" s="5" t="s">
        <v>65</v>
      </c>
      <c r="C5" s="5" t="s">
        <v>66</v>
      </c>
      <c r="D5">
        <v>0.06</v>
      </c>
      <c r="E5">
        <v>1</v>
      </c>
      <c r="F5">
        <v>1</v>
      </c>
      <c r="G5">
        <v>1</v>
      </c>
      <c r="H5">
        <v>1.5</v>
      </c>
    </row>
    <row r="6" spans="1:8" x14ac:dyDescent="0.25">
      <c r="A6" s="5"/>
      <c r="B6" s="5" t="s">
        <v>67</v>
      </c>
      <c r="C6" s="5" t="s">
        <v>68</v>
      </c>
    </row>
    <row r="7" spans="1:8" x14ac:dyDescent="0.25">
      <c r="A7" s="5"/>
      <c r="B7" s="5" t="s">
        <v>69</v>
      </c>
      <c r="C7" s="5" t="s">
        <v>70</v>
      </c>
    </row>
    <row r="8" spans="1:8" x14ac:dyDescent="0.25">
      <c r="A8" s="5"/>
      <c r="B8" s="5" t="s">
        <v>71</v>
      </c>
      <c r="C8" s="5" t="s">
        <v>72</v>
      </c>
    </row>
    <row r="9" spans="1:8" x14ac:dyDescent="0.25">
      <c r="A9" s="5"/>
      <c r="B9" s="5" t="s">
        <v>73</v>
      </c>
      <c r="C9" s="5" t="s">
        <v>74</v>
      </c>
    </row>
    <row r="10" spans="1:8" x14ac:dyDescent="0.25">
      <c r="A10" s="5"/>
      <c r="B10" s="5" t="s">
        <v>75</v>
      </c>
      <c r="C10" s="5" t="s">
        <v>76</v>
      </c>
    </row>
    <row r="11" spans="1:8" x14ac:dyDescent="0.25">
      <c r="A11" s="5"/>
      <c r="B11" s="5" t="s">
        <v>77</v>
      </c>
      <c r="C11" s="5" t="s">
        <v>78</v>
      </c>
    </row>
    <row r="12" spans="1:8" x14ac:dyDescent="0.25">
      <c r="A12" s="5"/>
      <c r="B12" s="5" t="s">
        <v>79</v>
      </c>
      <c r="C12" s="5" t="s">
        <v>80</v>
      </c>
    </row>
    <row r="13" spans="1:8" x14ac:dyDescent="0.25">
      <c r="A13" s="5"/>
      <c r="B13" s="5" t="s">
        <v>85</v>
      </c>
      <c r="C13">
        <v>4</v>
      </c>
      <c r="D13">
        <f>SUM(D2:D12)</f>
        <v>1</v>
      </c>
      <c r="E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sheetPr>
    <tabColor rgb="FFFFFF00"/>
  </sheetPr>
  <dimension ref="A1:G32"/>
  <sheetViews>
    <sheetView zoomScale="70" zoomScaleNormal="7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20.140625" style="2" bestFit="1" customWidth="1"/>
    <col min="2" max="2" width="25" style="2" bestFit="1" customWidth="1"/>
    <col min="3" max="3" width="20.140625" style="2" bestFit="1" customWidth="1"/>
    <col min="4" max="4" width="22.7109375" style="2" bestFit="1" customWidth="1"/>
    <col min="5" max="5" width="18.5703125" style="2" bestFit="1" customWidth="1"/>
    <col min="6" max="6" width="26.140625" style="2" bestFit="1" customWidth="1"/>
    <col min="7" max="7" width="35.42578125" style="2" customWidth="1"/>
    <col min="8" max="16384" width="15.7109375" style="2"/>
  </cols>
  <sheetData>
    <row r="1" spans="1:7" ht="140.25" customHeight="1" x14ac:dyDescent="0.25">
      <c r="A1" s="2" t="s">
        <v>87</v>
      </c>
      <c r="B1" s="2" t="s">
        <v>0</v>
      </c>
      <c r="C1" s="2" t="s">
        <v>39</v>
      </c>
      <c r="D1" s="2" t="s">
        <v>110</v>
      </c>
      <c r="E1" s="2" t="s">
        <v>86</v>
      </c>
      <c r="F1" s="2" t="s">
        <v>89</v>
      </c>
      <c r="G1" s="2" t="s">
        <v>112</v>
      </c>
    </row>
    <row r="2" spans="1:7" ht="30" x14ac:dyDescent="0.25">
      <c r="A2" s="2" t="s">
        <v>3</v>
      </c>
      <c r="B2" s="1" t="s">
        <v>20</v>
      </c>
      <c r="C2" s="7">
        <f>'D Ranges from strategy experts'!R3</f>
        <v>19.333333333333332</v>
      </c>
      <c r="D2" s="7">
        <f>'Model Results Import'!O2</f>
        <v>0.10978150876443155</v>
      </c>
      <c r="E2" s="7">
        <f>VLOOKUP(A2,'Panel 1 Score'!$A$1:$D$12,4,0)</f>
        <v>0.08</v>
      </c>
      <c r="F2" s="7">
        <f>E2*'Model Results Import'!O2</f>
        <v>8.7825207011545236E-3</v>
      </c>
      <c r="G2" s="8">
        <f t="shared" ref="G2:G30" si="0">F2*C2</f>
        <v>0.16979540022232079</v>
      </c>
    </row>
    <row r="3" spans="1:7" ht="45" x14ac:dyDescent="0.25">
      <c r="A3" s="2" t="s">
        <v>1</v>
      </c>
      <c r="B3" s="1" t="s">
        <v>11</v>
      </c>
      <c r="C3" s="7">
        <f>'D Ranges from strategy experts'!R4</f>
        <v>61.666666666666664</v>
      </c>
      <c r="D3" s="7">
        <f>'Model Results Import'!O3</f>
        <v>0.11825351349518239</v>
      </c>
      <c r="E3" s="7">
        <f>VLOOKUP(A3,'Panel 1 Score'!$A$1:$D$12,4,0)</f>
        <v>0.28000000000000003</v>
      </c>
      <c r="F3" s="7">
        <f>E3*'Model Results Import'!O3</f>
        <v>3.3110983778651071E-2</v>
      </c>
      <c r="G3" s="8">
        <f t="shared" si="0"/>
        <v>2.0418439996834827</v>
      </c>
    </row>
    <row r="4" spans="1:7" ht="30" x14ac:dyDescent="0.25">
      <c r="A4" s="2" t="s">
        <v>3</v>
      </c>
      <c r="B4" s="1" t="s">
        <v>30</v>
      </c>
      <c r="C4" s="7">
        <f>'D Ranges from strategy experts'!R5</f>
        <v>76.666666666666671</v>
      </c>
      <c r="D4" s="7">
        <f>'Model Results Import'!O4</f>
        <v>0.38465487749908867</v>
      </c>
      <c r="E4" s="7">
        <f>VLOOKUP(A4,'Panel 1 Score'!$A$1:$D$12,4,0)</f>
        <v>0.08</v>
      </c>
      <c r="F4" s="7">
        <f>E4*'Model Results Import'!O4</f>
        <v>3.0772390199927092E-2</v>
      </c>
      <c r="G4" s="8">
        <f t="shared" si="0"/>
        <v>2.3592165819944104</v>
      </c>
    </row>
    <row r="5" spans="1:7" ht="45" x14ac:dyDescent="0.25">
      <c r="A5" s="2" t="s">
        <v>4</v>
      </c>
      <c r="B5" s="1" t="s">
        <v>32</v>
      </c>
      <c r="C5" s="7">
        <f>'D Ranges from strategy experts'!R6</f>
        <v>100</v>
      </c>
      <c r="D5" s="7">
        <f>'Model Results Import'!O5</f>
        <v>0.15697359517362752</v>
      </c>
      <c r="E5" s="7">
        <f>VLOOKUP(A5,'Panel 1 Score'!$A$1:$D$12,4,0)</f>
        <v>0.06</v>
      </c>
      <c r="F5" s="7">
        <f>E5*'Model Results Import'!O5</f>
        <v>9.4184157104176512E-3</v>
      </c>
      <c r="G5" s="8">
        <f t="shared" si="0"/>
        <v>0.94184157104176514</v>
      </c>
    </row>
    <row r="6" spans="1:7" ht="30" x14ac:dyDescent="0.25">
      <c r="A6" s="2" t="s">
        <v>4</v>
      </c>
      <c r="B6" s="1" t="s">
        <v>31</v>
      </c>
      <c r="C6" s="7">
        <f>'D Ranges from strategy experts'!R7</f>
        <v>54</v>
      </c>
      <c r="D6" s="7">
        <f>'Model Results Import'!O6</f>
        <v>0.10776016991224358</v>
      </c>
      <c r="E6" s="7">
        <f>VLOOKUP(A6,'Panel 1 Score'!$A$1:$D$12,4,0)</f>
        <v>0.06</v>
      </c>
      <c r="F6" s="7">
        <f>E6*'Model Results Import'!O6</f>
        <v>6.465610194734614E-3</v>
      </c>
      <c r="G6" s="8">
        <f t="shared" si="0"/>
        <v>0.34914295051566913</v>
      </c>
    </row>
    <row r="7" spans="1:7" ht="45" x14ac:dyDescent="0.25">
      <c r="A7" s="2" t="s">
        <v>1</v>
      </c>
      <c r="B7" s="1" t="s">
        <v>9</v>
      </c>
      <c r="C7" s="7">
        <f>'D Ranges from strategy experts'!R8</f>
        <v>84.333333333333329</v>
      </c>
      <c r="D7" s="7">
        <f>'Model Results Import'!O7</f>
        <v>0.20937753649845875</v>
      </c>
      <c r="E7" s="7">
        <f>VLOOKUP(A7,'Panel 1 Score'!$A$1:$D$12,4,0)</f>
        <v>0.28000000000000003</v>
      </c>
      <c r="F7" s="7">
        <f>E7*'Model Results Import'!O7</f>
        <v>5.8625710219568458E-2</v>
      </c>
      <c r="G7" s="8">
        <f t="shared" si="0"/>
        <v>4.9441015618502728</v>
      </c>
    </row>
    <row r="8" spans="1:7" ht="45" x14ac:dyDescent="0.25">
      <c r="A8" s="2" t="s">
        <v>4</v>
      </c>
      <c r="B8" s="1" t="s">
        <v>33</v>
      </c>
      <c r="C8" s="7">
        <f>'D Ranges from strategy experts'!R9</f>
        <v>100</v>
      </c>
      <c r="D8" s="7">
        <f>'Model Results Import'!O8</f>
        <v>0.22697008385674658</v>
      </c>
      <c r="E8" s="7">
        <f>VLOOKUP(A8,'Panel 1 Score'!$A$1:$D$12,4,0)</f>
        <v>0.06</v>
      </c>
      <c r="F8" s="7">
        <f>E8*'Model Results Import'!O8</f>
        <v>1.3618205031404795E-2</v>
      </c>
      <c r="G8" s="8">
        <f t="shared" si="0"/>
        <v>1.3618205031404795</v>
      </c>
    </row>
    <row r="9" spans="1:7" ht="30" x14ac:dyDescent="0.25">
      <c r="A9" s="2" t="s">
        <v>2</v>
      </c>
      <c r="B9" s="1" t="s">
        <v>15</v>
      </c>
      <c r="C9" s="7">
        <f>'D Ranges from strategy experts'!R10</f>
        <v>61.666666666666664</v>
      </c>
      <c r="D9" s="7">
        <f>'Model Results Import'!O9</f>
        <v>0.13607130981080962</v>
      </c>
      <c r="E9" s="7">
        <f>VLOOKUP(A9,'Panel 1 Score'!$A$1:$D$12,4,0)</f>
        <v>0.57999999999999996</v>
      </c>
      <c r="F9" s="7">
        <f>E9*'Model Results Import'!O9</f>
        <v>7.8921359690269574E-2</v>
      </c>
      <c r="G9" s="8">
        <f t="shared" si="0"/>
        <v>4.8668171808999565</v>
      </c>
    </row>
    <row r="10" spans="1:7" ht="30" x14ac:dyDescent="0.25">
      <c r="A10" s="2" t="s">
        <v>1</v>
      </c>
      <c r="B10" s="1" t="s">
        <v>13</v>
      </c>
      <c r="C10" s="7">
        <f>'D Ranges from strategy experts'!R11</f>
        <v>100</v>
      </c>
      <c r="D10" s="7">
        <f>'Model Results Import'!O10</f>
        <v>0.22836531537389626</v>
      </c>
      <c r="E10" s="7">
        <f>VLOOKUP(A10,'Panel 1 Score'!$A$1:$D$12,4,0)</f>
        <v>0.28000000000000003</v>
      </c>
      <c r="F10" s="7">
        <f>E10*'Model Results Import'!O10</f>
        <v>6.3942288304690953E-2</v>
      </c>
      <c r="G10" s="8">
        <f t="shared" si="0"/>
        <v>6.3942288304690953</v>
      </c>
    </row>
    <row r="11" spans="1:7" ht="30" x14ac:dyDescent="0.25">
      <c r="A11" s="2" t="s">
        <v>2</v>
      </c>
      <c r="B11" s="1" t="s">
        <v>21</v>
      </c>
      <c r="C11" s="7">
        <f>'D Ranges from strategy experts'!R12</f>
        <v>56.333333333333336</v>
      </c>
      <c r="D11" s="7">
        <f>'Model Results Import'!O11</f>
        <v>9.449417073292174E-2</v>
      </c>
      <c r="E11" s="7">
        <f>VLOOKUP(A11,'Panel 1 Score'!$A$1:$D$12,4,0)</f>
        <v>0.57999999999999996</v>
      </c>
      <c r="F11" s="7">
        <f>E11*'Model Results Import'!O11</f>
        <v>5.4806619025094608E-2</v>
      </c>
      <c r="G11" s="8">
        <f t="shared" si="0"/>
        <v>3.0874395384136633</v>
      </c>
    </row>
    <row r="12" spans="1:7" ht="30" x14ac:dyDescent="0.25">
      <c r="A12" s="2" t="s">
        <v>3</v>
      </c>
      <c r="B12" s="1" t="s">
        <v>27</v>
      </c>
      <c r="C12" s="7">
        <f>'D Ranges from strategy experts'!R13</f>
        <v>55.666666666666664</v>
      </c>
      <c r="D12" s="7">
        <f>'Model Results Import'!O12</f>
        <v>0.11810995451223213</v>
      </c>
      <c r="E12" s="7">
        <f>VLOOKUP(A12,'Panel 1 Score'!$A$1:$D$12,4,0)</f>
        <v>0.08</v>
      </c>
      <c r="F12" s="7">
        <f>E12*'Model Results Import'!O12</f>
        <v>9.4487963609785706E-3</v>
      </c>
      <c r="G12" s="8">
        <f t="shared" si="0"/>
        <v>0.52598299742780708</v>
      </c>
    </row>
    <row r="13" spans="1:7" ht="30" x14ac:dyDescent="0.25">
      <c r="A13" s="2" t="s">
        <v>3</v>
      </c>
      <c r="B13" s="1" t="s">
        <v>28</v>
      </c>
      <c r="C13" s="7">
        <f>'D Ranges from strategy experts'!R14</f>
        <v>90</v>
      </c>
      <c r="D13" s="7">
        <f>'Model Results Import'!O13</f>
        <v>8.6064499966777577E-2</v>
      </c>
      <c r="E13" s="7">
        <f>VLOOKUP(A13,'Panel 1 Score'!$A$1:$D$12,4,0)</f>
        <v>0.08</v>
      </c>
      <c r="F13" s="7">
        <f>E13*'Model Results Import'!O13</f>
        <v>6.8851599973422063E-3</v>
      </c>
      <c r="G13" s="8">
        <f t="shared" si="0"/>
        <v>0.61966439976079857</v>
      </c>
    </row>
    <row r="14" spans="1:7" ht="45" x14ac:dyDescent="0.25">
      <c r="A14" s="2" t="s">
        <v>2</v>
      </c>
      <c r="B14" s="1" t="s">
        <v>25</v>
      </c>
      <c r="C14" s="7">
        <f>'D Ranges from strategy experts'!R15</f>
        <v>100</v>
      </c>
      <c r="D14" s="7">
        <f>'Model Results Import'!O14</f>
        <v>4.835067870464705E-2</v>
      </c>
      <c r="E14" s="7">
        <f>VLOOKUP(A14,'Panel 1 Score'!$A$1:$D$12,4,0)</f>
        <v>0.57999999999999996</v>
      </c>
      <c r="F14" s="7">
        <f>E14*'Model Results Import'!O14</f>
        <v>2.8043393648695288E-2</v>
      </c>
      <c r="G14" s="8">
        <f t="shared" si="0"/>
        <v>2.8043393648695289</v>
      </c>
    </row>
    <row r="15" spans="1:7" ht="30" x14ac:dyDescent="0.25">
      <c r="A15" s="2" t="s">
        <v>2</v>
      </c>
      <c r="B15" s="1" t="s">
        <v>14</v>
      </c>
      <c r="C15" s="7">
        <f>'D Ranges from strategy experts'!R16</f>
        <v>58</v>
      </c>
      <c r="D15" s="7">
        <f>'Model Results Import'!O15</f>
        <v>7.192371933599738E-2</v>
      </c>
      <c r="E15" s="7">
        <f>VLOOKUP(A15,'Panel 1 Score'!$A$1:$D$12,4,0)</f>
        <v>0.57999999999999996</v>
      </c>
      <c r="F15" s="7">
        <f>E15*'Model Results Import'!O15</f>
        <v>4.1715757214878475E-2</v>
      </c>
      <c r="G15" s="8">
        <f t="shared" si="0"/>
        <v>2.4195139184629517</v>
      </c>
    </row>
    <row r="16" spans="1:7" ht="30" x14ac:dyDescent="0.25">
      <c r="A16" s="2" t="s">
        <v>2</v>
      </c>
      <c r="B16" s="1" t="s">
        <v>22</v>
      </c>
      <c r="C16" s="7">
        <f>'D Ranges from strategy experts'!R17</f>
        <v>85</v>
      </c>
      <c r="D16" s="7">
        <f>'Model Results Import'!O16</f>
        <v>9.0420747948517788E-2</v>
      </c>
      <c r="E16" s="7">
        <f>VLOOKUP(A16,'Panel 1 Score'!$A$1:$D$12,4,0)</f>
        <v>0.57999999999999996</v>
      </c>
      <c r="F16" s="7">
        <f>E16*'Model Results Import'!O16</f>
        <v>5.244403381014031E-2</v>
      </c>
      <c r="G16" s="8">
        <f t="shared" si="0"/>
        <v>4.4577428738619265</v>
      </c>
    </row>
    <row r="17" spans="1:7" ht="45" x14ac:dyDescent="0.25">
      <c r="A17" s="2" t="s">
        <v>2</v>
      </c>
      <c r="B17" s="1" t="s">
        <v>23</v>
      </c>
      <c r="C17" s="7">
        <f>'D Ranges from strategy experts'!R18</f>
        <v>100</v>
      </c>
      <c r="D17" s="7">
        <f>'Model Results Import'!O17</f>
        <v>0.17810788553168261</v>
      </c>
      <c r="E17" s="7">
        <f>VLOOKUP(A17,'Panel 1 Score'!$A$1:$D$12,4,0)</f>
        <v>0.57999999999999996</v>
      </c>
      <c r="F17" s="7">
        <f>E17*'Model Results Import'!O17</f>
        <v>0.1033025736083759</v>
      </c>
      <c r="G17" s="8">
        <f t="shared" si="0"/>
        <v>10.33025736083759</v>
      </c>
    </row>
    <row r="18" spans="1:7" ht="30" x14ac:dyDescent="0.25">
      <c r="A18" s="2" t="s">
        <v>2</v>
      </c>
      <c r="B18" s="1" t="s">
        <v>18</v>
      </c>
      <c r="C18" s="7">
        <f>'D Ranges from strategy experts'!R19</f>
        <v>60</v>
      </c>
      <c r="D18" s="7">
        <f>'Model Results Import'!O18</f>
        <v>0.15537115291451864</v>
      </c>
      <c r="E18" s="7">
        <f>VLOOKUP(A18,'Panel 1 Score'!$A$1:$D$12,4,0)</f>
        <v>0.57999999999999996</v>
      </c>
      <c r="F18" s="7">
        <f>E18*'Model Results Import'!O18</f>
        <v>9.0115268690420802E-2</v>
      </c>
      <c r="G18" s="8">
        <f t="shared" si="0"/>
        <v>5.4069161214252484</v>
      </c>
    </row>
    <row r="19" spans="1:7" ht="45" x14ac:dyDescent="0.25">
      <c r="A19" s="2" t="s">
        <v>2</v>
      </c>
      <c r="B19" s="1" t="s">
        <v>24</v>
      </c>
      <c r="C19" s="7">
        <f>'D Ranges from strategy experts'!R20</f>
        <v>81.666666666666671</v>
      </c>
      <c r="D19" s="7">
        <f>'Model Results Import'!O19</f>
        <v>6.1946575815374612E-2</v>
      </c>
      <c r="E19" s="7">
        <f>VLOOKUP(A19,'Panel 1 Score'!$A$1:$D$12,4,0)</f>
        <v>0.57999999999999996</v>
      </c>
      <c r="F19" s="7">
        <f>E19*'Model Results Import'!O19</f>
        <v>3.592901397291727E-2</v>
      </c>
      <c r="G19" s="8">
        <f t="shared" si="0"/>
        <v>2.9342028077882438</v>
      </c>
    </row>
    <row r="20" spans="1:7" ht="30" x14ac:dyDescent="0.25">
      <c r="A20" s="2" t="s">
        <v>2</v>
      </c>
      <c r="B20" s="1" t="s">
        <v>16</v>
      </c>
      <c r="C20" s="7">
        <f>'D Ranges from strategy experts'!R21</f>
        <v>100</v>
      </c>
      <c r="D20" s="7">
        <f>'Model Results Import'!O20</f>
        <v>4.3594893371382684E-2</v>
      </c>
      <c r="E20" s="7">
        <f>VLOOKUP(A20,'Panel 1 Score'!$A$1:$D$12,4,0)</f>
        <v>0.57999999999999996</v>
      </c>
      <c r="F20" s="7">
        <f>E20*'Model Results Import'!O20</f>
        <v>2.5285038155401954E-2</v>
      </c>
      <c r="G20" s="8">
        <f t="shared" si="0"/>
        <v>2.5285038155401955</v>
      </c>
    </row>
    <row r="21" spans="1:7" x14ac:dyDescent="0.25">
      <c r="A21" s="2" t="s">
        <v>4</v>
      </c>
      <c r="B21" s="1" t="s">
        <v>35</v>
      </c>
      <c r="C21" s="7">
        <f>'D Ranges from strategy experts'!R22</f>
        <v>60</v>
      </c>
      <c r="D21" s="7">
        <f>'Model Results Import'!O21</f>
        <v>8.4211184448888046E-2</v>
      </c>
      <c r="E21" s="7">
        <f>VLOOKUP(A21,'Panel 1 Score'!$A$1:$D$12,4,0)</f>
        <v>0.06</v>
      </c>
      <c r="F21" s="7">
        <f>E21*'Model Results Import'!O21</f>
        <v>5.0526710669332826E-3</v>
      </c>
      <c r="G21" s="8">
        <f t="shared" si="0"/>
        <v>0.30316026401599694</v>
      </c>
    </row>
    <row r="22" spans="1:7" ht="45" x14ac:dyDescent="0.25">
      <c r="A22" s="2" t="s">
        <v>1</v>
      </c>
      <c r="B22" s="1" t="s">
        <v>8</v>
      </c>
      <c r="C22" s="7">
        <f>'D Ranges from strategy experts'!R23</f>
        <v>86.333333333333329</v>
      </c>
      <c r="D22" s="7">
        <f>'Model Results Import'!O22</f>
        <v>0.13179153638328553</v>
      </c>
      <c r="E22" s="7">
        <f>VLOOKUP(A22,'Panel 1 Score'!$A$1:$D$12,4,0)</f>
        <v>0.28000000000000003</v>
      </c>
      <c r="F22" s="7">
        <f>E22*'Model Results Import'!O22</f>
        <v>3.6901630187319949E-2</v>
      </c>
      <c r="G22" s="8">
        <f t="shared" si="0"/>
        <v>3.1858407395052888</v>
      </c>
    </row>
    <row r="23" spans="1:7" ht="30" x14ac:dyDescent="0.25">
      <c r="A23" s="2" t="s">
        <v>1</v>
      </c>
      <c r="B23" s="1" t="s">
        <v>10</v>
      </c>
      <c r="C23" s="7">
        <f>'D Ranges from strategy experts'!R24</f>
        <v>100</v>
      </c>
      <c r="D23" s="7">
        <f>'Model Results Import'!O23</f>
        <v>0.15863752782817339</v>
      </c>
      <c r="E23" s="7">
        <f>VLOOKUP(A23,'Panel 1 Score'!$A$1:$D$12,4,0)</f>
        <v>0.28000000000000003</v>
      </c>
      <c r="F23" s="7">
        <f>E23*'Model Results Import'!O23</f>
        <v>4.4418507791888551E-2</v>
      </c>
      <c r="G23" s="8">
        <f t="shared" si="0"/>
        <v>4.4418507791888553</v>
      </c>
    </row>
    <row r="24" spans="1:7" ht="45" x14ac:dyDescent="0.25">
      <c r="A24" s="2" t="s">
        <v>4</v>
      </c>
      <c r="B24" s="1" t="s">
        <v>34</v>
      </c>
      <c r="C24" s="7">
        <f>'D Ranges from strategy experts'!R25</f>
        <v>61.666666666666664</v>
      </c>
      <c r="D24" s="7">
        <f>'Model Results Import'!O24</f>
        <v>0.27172114739279823</v>
      </c>
      <c r="E24" s="7">
        <f>VLOOKUP(A24,'Panel 1 Score'!$A$1:$D$12,4,0)</f>
        <v>0.06</v>
      </c>
      <c r="F24" s="7">
        <f>E24*'Model Results Import'!O24</f>
        <v>1.6303268843567892E-2</v>
      </c>
      <c r="G24" s="8">
        <f t="shared" si="0"/>
        <v>1.0053682453533532</v>
      </c>
    </row>
    <row r="25" spans="1:7" ht="45" x14ac:dyDescent="0.25">
      <c r="A25" s="2" t="s">
        <v>2</v>
      </c>
      <c r="B25" s="1" t="s">
        <v>17</v>
      </c>
      <c r="C25" s="7">
        <f>'D Ranges from strategy experts'!R26</f>
        <v>85</v>
      </c>
      <c r="D25" s="7">
        <f>'Model Results Import'!O25</f>
        <v>6.2717633594184863E-2</v>
      </c>
      <c r="E25" s="7">
        <f>VLOOKUP(A25,'Panel 1 Score'!$A$1:$D$12,4,0)</f>
        <v>0.57999999999999996</v>
      </c>
      <c r="F25" s="7">
        <f>E25*'Model Results Import'!O25</f>
        <v>3.6376227484627217E-2</v>
      </c>
      <c r="G25" s="8">
        <f t="shared" si="0"/>
        <v>3.0919793361933134</v>
      </c>
    </row>
    <row r="26" spans="1:7" ht="45" x14ac:dyDescent="0.25">
      <c r="A26" s="2" t="s">
        <v>1</v>
      </c>
      <c r="B26" s="1" t="s">
        <v>12</v>
      </c>
      <c r="C26" s="7">
        <f>'D Ranges from strategy experts'!R27</f>
        <v>63.333333333333336</v>
      </c>
      <c r="D26" s="7">
        <f>'Model Results Import'!O26</f>
        <v>9.8223355438179616E-2</v>
      </c>
      <c r="E26" s="7">
        <f>VLOOKUP(A26,'Panel 1 Score'!$A$1:$D$12,4,0)</f>
        <v>0.28000000000000003</v>
      </c>
      <c r="F26" s="7">
        <f>E26*'Model Results Import'!O26</f>
        <v>2.7502539522690297E-2</v>
      </c>
      <c r="G26" s="8">
        <f t="shared" si="0"/>
        <v>1.7418275031037189</v>
      </c>
    </row>
    <row r="27" spans="1:7" ht="30" x14ac:dyDescent="0.25">
      <c r="A27" s="2" t="s">
        <v>2</v>
      </c>
      <c r="B27" s="1" t="s">
        <v>19</v>
      </c>
      <c r="C27" s="7">
        <f>'D Ranges from strategy experts'!R28</f>
        <v>100</v>
      </c>
      <c r="D27" s="7">
        <f>'Model Results Import'!O27</f>
        <v>6.2001232239963053E-2</v>
      </c>
      <c r="E27" s="7">
        <f>VLOOKUP(A27,'Panel 1 Score'!$A$1:$D$12,4,0)</f>
        <v>0.57999999999999996</v>
      </c>
      <c r="F27" s="7">
        <f>E27*'Model Results Import'!O27</f>
        <v>3.5960714699178567E-2</v>
      </c>
      <c r="G27" s="8">
        <f t="shared" si="0"/>
        <v>3.5960714699178569</v>
      </c>
    </row>
    <row r="28" spans="1:7" ht="45" x14ac:dyDescent="0.25">
      <c r="A28" s="2" t="s">
        <v>4</v>
      </c>
      <c r="B28" s="1" t="s">
        <v>36</v>
      </c>
      <c r="C28" s="7">
        <f>'D Ranges from strategy experts'!R29</f>
        <v>100</v>
      </c>
      <c r="D28" s="7">
        <f>'Model Results Import'!O28</f>
        <v>0.15486381921569603</v>
      </c>
      <c r="E28" s="7">
        <f>VLOOKUP(A28,'Panel 1 Score'!$A$1:$D$12,4,0)</f>
        <v>0.06</v>
      </c>
      <c r="F28" s="7">
        <f>E28*'Model Results Import'!O28</f>
        <v>9.2918291529417614E-3</v>
      </c>
      <c r="G28" s="8">
        <f t="shared" si="0"/>
        <v>0.92918291529417618</v>
      </c>
    </row>
    <row r="29" spans="1:7" ht="75" x14ac:dyDescent="0.25">
      <c r="A29" s="2" t="s">
        <v>1</v>
      </c>
      <c r="B29" s="1" t="s">
        <v>26</v>
      </c>
      <c r="C29" s="7">
        <f>'D Ranges from strategy experts'!R30</f>
        <v>56</v>
      </c>
      <c r="D29" s="7">
        <f>'Model Results Import'!O29</f>
        <v>6.2851214982824088E-2</v>
      </c>
      <c r="E29" s="7">
        <f>VLOOKUP(A29,'Panel 1 Score'!$A$1:$D$12,4,0)</f>
        <v>0.28000000000000003</v>
      </c>
      <c r="F29" s="7">
        <f>E29*'Model Results Import'!O29</f>
        <v>1.7598340195190746E-2</v>
      </c>
      <c r="G29" s="8">
        <f t="shared" si="0"/>
        <v>0.9855070509306818</v>
      </c>
    </row>
    <row r="30" spans="1:7" ht="30" x14ac:dyDescent="0.25">
      <c r="A30" s="2" t="s">
        <v>3</v>
      </c>
      <c r="B30" s="1" t="s">
        <v>29</v>
      </c>
      <c r="C30" s="7">
        <f>'D Ranges from strategy experts'!R31</f>
        <v>66.666666666666671</v>
      </c>
      <c r="D30" s="7">
        <f>'Model Results Import'!O30</f>
        <v>0.30638915925747007</v>
      </c>
      <c r="E30" s="7">
        <f>VLOOKUP(A30,'Panel 1 Score'!$A$1:$D$12,4,0)</f>
        <v>0.08</v>
      </c>
      <c r="F30" s="7">
        <f>E30*'Model Results Import'!O30</f>
        <v>2.4511132740597606E-2</v>
      </c>
      <c r="G30" s="8">
        <f t="shared" si="0"/>
        <v>1.6340755160398406</v>
      </c>
    </row>
    <row r="31" spans="1:7" x14ac:dyDescent="0.25">
      <c r="A31" s="2" t="s">
        <v>92</v>
      </c>
      <c r="B31" s="1"/>
      <c r="D31" s="7">
        <f>SUBTOTAL(109,Table1[Local Weight Raw - (Each Perspective sums to 1 - manually filter in the Pivot Table). This column is calculated by dividing by number of experts.])</f>
        <v>4.0200000000000005</v>
      </c>
      <c r="E31" s="7"/>
      <c r="F31" s="7">
        <f>SUBTOTAL(109,Table1[Global Weight - Normalized by '# of critieria to contribution (aka each Perspecitive sums to weights in resultant model)])</f>
        <v>1.0055500000000002</v>
      </c>
      <c r="G31" s="8">
        <f>SUBTOTAL(109,Table1[Score (Normalized * D Score) - This is the weighted score, including desirability curves, and can be filtered by perspective here to compare with a filtered sensitivity perspective, for a sanity check to show global rank has not changed])</f>
        <v>79.458235597748512</v>
      </c>
    </row>
    <row r="32" spans="1:7" x14ac:dyDescent="0.25">
      <c r="D32" s="7"/>
      <c r="E32" s="7"/>
      <c r="F32" s="7"/>
      <c r="G32" s="7"/>
    </row>
  </sheetData>
  <conditionalFormatting sqref="A2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25C-486E-4C83-B922-2EA8B36C8C91}">
  <dimension ref="A1:X32"/>
  <sheetViews>
    <sheetView zoomScale="80" zoomScaleNormal="80" workbookViewId="0"/>
  </sheetViews>
  <sheetFormatPr defaultRowHeight="15" x14ac:dyDescent="0.25"/>
  <cols>
    <col min="1" max="1" width="12.7109375" style="2" customWidth="1"/>
    <col min="2" max="2" width="56" style="2" customWidth="1"/>
    <col min="3" max="3" width="17" style="2" customWidth="1"/>
    <col min="4" max="11" width="9.140625" style="2"/>
    <col min="12" max="12" width="11.5703125" style="2" bestFit="1" customWidth="1"/>
    <col min="13" max="15" width="12.42578125" style="2" bestFit="1" customWidth="1"/>
    <col min="16" max="23" width="12.42578125" style="2" customWidth="1"/>
    <col min="24" max="24" width="23" style="2" customWidth="1"/>
    <col min="25" max="16384" width="9.140625" style="2"/>
  </cols>
  <sheetData>
    <row r="1" spans="1:24" ht="60.75" customHeight="1" x14ac:dyDescent="0.25">
      <c r="A1" s="2" t="str">
        <f>Table1[[#Headers],[Short Name for Perspective]]</f>
        <v>Short Name for Perspective</v>
      </c>
      <c r="B1" s="2" t="str">
        <f>Table1[[#Headers],[Criteria]]</f>
        <v>Criteria</v>
      </c>
      <c r="C1" s="2" t="s">
        <v>113</v>
      </c>
      <c r="D1" s="2" t="s">
        <v>59</v>
      </c>
      <c r="F1" s="2" t="s">
        <v>61</v>
      </c>
      <c r="H1" s="2" t="s">
        <v>63</v>
      </c>
      <c r="J1" s="2" t="s">
        <v>65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</row>
    <row r="2" spans="1:24" x14ac:dyDescent="0.25">
      <c r="A2" s="2" t="str">
        <f>Table1[[#This Row],[Short Name for Perspective]]</f>
        <v>Prof</v>
      </c>
      <c r="B2" s="2" t="str">
        <f>Table1[[#This Row],[Criteria]]</f>
        <v>Change Management is considered</v>
      </c>
      <c r="C2" s="2">
        <f>VLOOKUP(A2,'Panel 1 Score'!$A$2:$D$5,4,0)+1</f>
        <v>1.08</v>
      </c>
      <c r="D2" s="2">
        <f>VLOOKUP(A2,'Panel 1 Score'!$A$2:$H$5,5,0)</f>
        <v>1</v>
      </c>
      <c r="E2" s="2">
        <f>C2*D2</f>
        <v>1.08</v>
      </c>
      <c r="F2" s="2">
        <f>VLOOKUP(A2,'Panel 1 Score'!$A$2:$H$5,6,0)</f>
        <v>1</v>
      </c>
      <c r="G2" s="2">
        <f>C2*F2</f>
        <v>1.08</v>
      </c>
      <c r="H2" s="2">
        <f>VLOOKUP(A2,'Panel 1 Score'!$A$2:$H$5,7,0)</f>
        <v>1.5</v>
      </c>
      <c r="I2" s="2">
        <f>C2*H2</f>
        <v>1.62</v>
      </c>
      <c r="J2" s="2">
        <f>VLOOKUP(A2,'Panel 1 Score'!$A$2:$H$5,8,0)</f>
        <v>1</v>
      </c>
      <c r="K2" s="2">
        <f>C2*J2</f>
        <v>1.08</v>
      </c>
      <c r="L2" s="2">
        <f>E2*Table1[[#This Row],[Global Weight - Normalized by '# of critieria to contribution (aka each Perspecitive sums to weights in resultant model)]]</f>
        <v>9.4851223572468869E-3</v>
      </c>
      <c r="M2" s="2">
        <f>G2*Table1[[#This Row],[Global Weight - Normalized by '# of critieria to contribution (aka each Perspecitive sums to weights in resultant model)]]</f>
        <v>9.4851223572468869E-3</v>
      </c>
      <c r="N2" s="2">
        <f>I2*Table1[[#This Row],[Global Weight - Normalized by '# of critieria to contribution (aka each Perspecitive sums to weights in resultant model)]]</f>
        <v>1.4227683535870329E-2</v>
      </c>
      <c r="O2" s="2">
        <f>K2*Table1[[#This Row],[Global Weight - Normalized by '# of critieria to contribution (aka each Perspecitive sums to weights in resultant model)]]</f>
        <v>9.4851223572468869E-3</v>
      </c>
      <c r="P2" s="2">
        <f>L2/$L$31</f>
        <v>5.8796757741557256E-3</v>
      </c>
      <c r="Q2" s="2">
        <f>M2/$M$31</f>
        <v>5.0102275766799953E-3</v>
      </c>
      <c r="R2" s="2">
        <f>N2/$N$31</f>
        <v>9.6388491493806412E-3</v>
      </c>
      <c r="S2" s="2">
        <f>O2/$O$31</f>
        <v>6.4765176225900787E-3</v>
      </c>
      <c r="T2" s="2">
        <f>P2*Table1[[#This Row],[D Score (This is the selected average by panelists)]]</f>
        <v>0.11367373163367736</v>
      </c>
      <c r="U2" s="2">
        <f>Q2*Table1[[#This Row],[D Score (This is the selected average by panelists)]]</f>
        <v>9.686439981581324E-2</v>
      </c>
      <c r="V2" s="2">
        <f>R2*Table1[[#This Row],[D Score (This is the selected average by panelists)]]</f>
        <v>0.18635108355469238</v>
      </c>
      <c r="W2" s="2">
        <f>S2*Table1[[#This Row],[D Score (This is the selected average by panelists)]]</f>
        <v>0.12521267403674152</v>
      </c>
    </row>
    <row r="3" spans="1:24" x14ac:dyDescent="0.25">
      <c r="A3" s="2" t="str">
        <f>Table1[[#This Row],[Short Name for Perspective]]</f>
        <v>Org</v>
      </c>
      <c r="B3" s="2" t="str">
        <f>Table1[[#This Row],[Criteria]]</f>
        <v>Computer users settings and permissions are known</v>
      </c>
      <c r="C3" s="2">
        <f>VLOOKUP(A3,'Panel 1 Score'!$A$2:$D$5,4,0)+1</f>
        <v>1.28</v>
      </c>
      <c r="D3" s="2">
        <f>VLOOKUP(A3,'Panel 1 Score'!$A$2:$H$5,5,0)</f>
        <v>1.5</v>
      </c>
      <c r="E3" s="2">
        <f t="shared" ref="E3:E30" si="0">C3*D3</f>
        <v>1.92</v>
      </c>
      <c r="F3" s="2">
        <f>VLOOKUP(A3,'Panel 1 Score'!$A$2:$H$5,6,0)</f>
        <v>1</v>
      </c>
      <c r="G3" s="2">
        <f t="shared" ref="G3:G30" si="1">C3*F3</f>
        <v>1.28</v>
      </c>
      <c r="H3" s="2">
        <f>VLOOKUP(A3,'Panel 1 Score'!$A$2:$H$5,7,0)</f>
        <v>1</v>
      </c>
      <c r="I3" s="2">
        <f t="shared" ref="I3:I30" si="2">C3*H3</f>
        <v>1.28</v>
      </c>
      <c r="J3" s="2">
        <f>VLOOKUP(A3,'Panel 1 Score'!$A$2:$H$5,8,0)</f>
        <v>1</v>
      </c>
      <c r="K3" s="2">
        <f t="shared" ref="K3:K30" si="3">C3*J3</f>
        <v>1.28</v>
      </c>
      <c r="L3" s="2">
        <f>E3*Table1[[#This Row],[Global Weight - Normalized by '# of critieria to contribution (aka each Perspecitive sums to weights in resultant model)]]</f>
        <v>6.3573088855010049E-2</v>
      </c>
      <c r="M3" s="2">
        <f>G3*Table1[[#This Row],[Global Weight - Normalized by '# of critieria to contribution (aka each Perspecitive sums to weights in resultant model)]]</f>
        <v>4.2382059236673368E-2</v>
      </c>
      <c r="N3" s="2">
        <f>I3*Table1[[#This Row],[Global Weight - Normalized by '# of critieria to contribution (aka each Perspecitive sums to weights in resultant model)]]</f>
        <v>4.2382059236673368E-2</v>
      </c>
      <c r="O3" s="2">
        <f>K3*Table1[[#This Row],[Global Weight - Normalized by '# of critieria to contribution (aka each Perspecitive sums to weights in resultant model)]]</f>
        <v>4.2382059236673368E-2</v>
      </c>
      <c r="P3" s="2">
        <f t="shared" ref="P3:P30" si="4">L3/$L$31</f>
        <v>3.9407941864183442E-2</v>
      </c>
      <c r="Q3" s="2">
        <f t="shared" ref="Q3:Q30" si="5">M3/$M$31</f>
        <v>2.2387034552256432E-2</v>
      </c>
      <c r="R3" s="2">
        <f t="shared" ref="R3:R30" si="6">N3/$N$31</f>
        <v>2.8712634392835445E-2</v>
      </c>
      <c r="S3" s="2">
        <f t="shared" ref="S3:S30" si="7">O3/$O$31</f>
        <v>2.8938809979425877E-2</v>
      </c>
      <c r="T3" s="2">
        <f>P3*Table1[[#This Row],[D Score (This is the selected average by panelists)]]</f>
        <v>2.4301564149579788</v>
      </c>
      <c r="U3" s="2">
        <f>Q3*Table1[[#This Row],[D Score (This is the selected average by panelists)]]</f>
        <v>1.3805337973891465</v>
      </c>
      <c r="V3" s="2">
        <f>R3*Table1[[#This Row],[D Score (This is the selected average by panelists)]]</f>
        <v>1.7706124542248525</v>
      </c>
      <c r="W3" s="2">
        <f>S3*Table1[[#This Row],[D Score (This is the selected average by panelists)]]</f>
        <v>1.7845599487312622</v>
      </c>
    </row>
    <row r="4" spans="1:24" x14ac:dyDescent="0.25">
      <c r="A4" s="2" t="str">
        <f>Table1[[#This Row],[Short Name for Perspective]]</f>
        <v>Prof</v>
      </c>
      <c r="B4" s="2" t="str">
        <f>Table1[[#This Row],[Criteria]]</f>
        <v>Cyber awareness of all staff is checked</v>
      </c>
      <c r="C4" s="2">
        <f>VLOOKUP(A4,'Panel 1 Score'!$A$2:$D$5,4,0)+1</f>
        <v>1.08</v>
      </c>
      <c r="D4" s="2">
        <f>VLOOKUP(A4,'Panel 1 Score'!$A$2:$H$5,5,0)</f>
        <v>1</v>
      </c>
      <c r="E4" s="2">
        <f t="shared" si="0"/>
        <v>1.08</v>
      </c>
      <c r="F4" s="2">
        <f>VLOOKUP(A4,'Panel 1 Score'!$A$2:$H$5,6,0)</f>
        <v>1</v>
      </c>
      <c r="G4" s="2">
        <f t="shared" si="1"/>
        <v>1.08</v>
      </c>
      <c r="H4" s="2">
        <f>VLOOKUP(A4,'Panel 1 Score'!$A$2:$H$5,7,0)</f>
        <v>1.5</v>
      </c>
      <c r="I4" s="2">
        <f t="shared" si="2"/>
        <v>1.62</v>
      </c>
      <c r="J4" s="2">
        <f>VLOOKUP(A4,'Panel 1 Score'!$A$2:$H$5,8,0)</f>
        <v>1</v>
      </c>
      <c r="K4" s="2">
        <f t="shared" si="3"/>
        <v>1.08</v>
      </c>
      <c r="L4" s="2">
        <f>E4*Table1[[#This Row],[Global Weight - Normalized by '# of critieria to contribution (aka each Perspecitive sums to weights in resultant model)]]</f>
        <v>3.3234181415921264E-2</v>
      </c>
      <c r="M4" s="2">
        <f>G4*Table1[[#This Row],[Global Weight - Normalized by '# of critieria to contribution (aka each Perspecitive sums to weights in resultant model)]]</f>
        <v>3.3234181415921264E-2</v>
      </c>
      <c r="N4" s="2">
        <f>I4*Table1[[#This Row],[Global Weight - Normalized by '# of critieria to contribution (aka each Perspecitive sums to weights in resultant model)]]</f>
        <v>4.9851272123881893E-2</v>
      </c>
      <c r="O4" s="2">
        <f>K4*Table1[[#This Row],[Global Weight - Normalized by '# of critieria to contribution (aka each Perspecitive sums to weights in resultant model)]]</f>
        <v>3.3234181415921264E-2</v>
      </c>
      <c r="P4" s="2">
        <f t="shared" si="4"/>
        <v>2.0601337967537457E-2</v>
      </c>
      <c r="Q4" s="2">
        <f t="shared" si="5"/>
        <v>1.7554946151139086E-2</v>
      </c>
      <c r="R4" s="2">
        <f t="shared" si="6"/>
        <v>3.3772812748848392E-2</v>
      </c>
      <c r="S4" s="2">
        <f t="shared" si="7"/>
        <v>2.2692565631282479E-2</v>
      </c>
      <c r="T4" s="2">
        <f>P4*Table1[[#This Row],[D Score (This is the selected average by panelists)]]</f>
        <v>1.5794359108445384</v>
      </c>
      <c r="U4" s="2">
        <f>Q4*Table1[[#This Row],[D Score (This is the selected average by panelists)]]</f>
        <v>1.3458792049206634</v>
      </c>
      <c r="V4" s="2">
        <f>R4*Table1[[#This Row],[D Score (This is the selected average by panelists)]]</f>
        <v>2.5892489774117102</v>
      </c>
      <c r="W4" s="2">
        <f>S4*Table1[[#This Row],[D Score (This is the selected average by panelists)]]</f>
        <v>1.7397633650649902</v>
      </c>
    </row>
    <row r="5" spans="1:24" x14ac:dyDescent="0.25">
      <c r="A5" s="2" t="str">
        <f>Table1[[#This Row],[Short Name for Perspective]]</f>
        <v>Lead</v>
      </c>
      <c r="B5" s="2" t="str">
        <f>Table1[[#This Row],[Criteria]]</f>
        <v>Cybersecurity goals of energy organization are identified</v>
      </c>
      <c r="C5" s="2">
        <f>VLOOKUP(A5,'Panel 1 Score'!$A$2:$D$5,4,0)+1</f>
        <v>1.06</v>
      </c>
      <c r="D5" s="2">
        <f>VLOOKUP(A5,'Panel 1 Score'!$A$2:$H$5,5,0)</f>
        <v>1</v>
      </c>
      <c r="E5" s="2">
        <f t="shared" si="0"/>
        <v>1.06</v>
      </c>
      <c r="F5" s="2">
        <f>VLOOKUP(A5,'Panel 1 Score'!$A$2:$H$5,6,0)</f>
        <v>1</v>
      </c>
      <c r="G5" s="2">
        <f t="shared" si="1"/>
        <v>1.06</v>
      </c>
      <c r="H5" s="2">
        <f>VLOOKUP(A5,'Panel 1 Score'!$A$2:$H$5,7,0)</f>
        <v>1</v>
      </c>
      <c r="I5" s="2">
        <f t="shared" si="2"/>
        <v>1.06</v>
      </c>
      <c r="J5" s="2">
        <f>VLOOKUP(A5,'Panel 1 Score'!$A$2:$H$5,8,0)</f>
        <v>1.5</v>
      </c>
      <c r="K5" s="2">
        <f t="shared" si="3"/>
        <v>1.59</v>
      </c>
      <c r="L5" s="2">
        <f>E5*Table1[[#This Row],[Global Weight - Normalized by '# of critieria to contribution (aka each Perspecitive sums to weights in resultant model)]]</f>
        <v>9.9835206530427111E-3</v>
      </c>
      <c r="M5" s="2">
        <f>G5*Table1[[#This Row],[Global Weight - Normalized by '# of critieria to contribution (aka each Perspecitive sums to weights in resultant model)]]</f>
        <v>9.9835206530427111E-3</v>
      </c>
      <c r="N5" s="2">
        <f>I5*Table1[[#This Row],[Global Weight - Normalized by '# of critieria to contribution (aka each Perspecitive sums to weights in resultant model)]]</f>
        <v>9.9835206530427111E-3</v>
      </c>
      <c r="O5" s="2">
        <f>K5*Table1[[#This Row],[Global Weight - Normalized by '# of critieria to contribution (aka each Perspecitive sums to weights in resultant model)]]</f>
        <v>1.4975280979564066E-2</v>
      </c>
      <c r="P5" s="2">
        <f t="shared" si="4"/>
        <v>6.1886249131652277E-3</v>
      </c>
      <c r="Q5" s="2">
        <f t="shared" si="5"/>
        <v>5.2734913271848807E-3</v>
      </c>
      <c r="R5" s="2">
        <f t="shared" si="6"/>
        <v>6.7635500404401062E-3</v>
      </c>
      <c r="S5" s="2">
        <f t="shared" si="7"/>
        <v>1.0225241964673604E-2</v>
      </c>
      <c r="T5" s="2">
        <f>P5*Table1[[#This Row],[D Score (This is the selected average by panelists)]]</f>
        <v>0.61886249131652282</v>
      </c>
      <c r="U5" s="2">
        <f>Q5*Table1[[#This Row],[D Score (This is the selected average by panelists)]]</f>
        <v>0.52734913271848805</v>
      </c>
      <c r="V5" s="2">
        <f>R5*Table1[[#This Row],[D Score (This is the selected average by panelists)]]</f>
        <v>0.67635500404401061</v>
      </c>
      <c r="W5" s="2">
        <f>S5*Table1[[#This Row],[D Score (This is the selected average by panelists)]]</f>
        <v>1.0225241964673604</v>
      </c>
    </row>
    <row r="6" spans="1:24" x14ac:dyDescent="0.25">
      <c r="A6" s="2" t="str">
        <f>Table1[[#This Row],[Short Name for Perspective]]</f>
        <v>Lead</v>
      </c>
      <c r="B6" s="2" t="str">
        <f>Table1[[#This Row],[Criteria]]</f>
        <v>Cybersecurity learning sources are available</v>
      </c>
      <c r="C6" s="2">
        <f>VLOOKUP(A6,'Panel 1 Score'!$A$2:$D$5,4,0)+1</f>
        <v>1.06</v>
      </c>
      <c r="D6" s="2">
        <f>VLOOKUP(A6,'Panel 1 Score'!$A$2:$H$5,5,0)</f>
        <v>1</v>
      </c>
      <c r="E6" s="2">
        <f t="shared" si="0"/>
        <v>1.06</v>
      </c>
      <c r="F6" s="2">
        <f>VLOOKUP(A6,'Panel 1 Score'!$A$2:$H$5,6,0)</f>
        <v>1</v>
      </c>
      <c r="G6" s="2">
        <f t="shared" si="1"/>
        <v>1.06</v>
      </c>
      <c r="H6" s="2">
        <f>VLOOKUP(A6,'Panel 1 Score'!$A$2:$H$5,7,0)</f>
        <v>1</v>
      </c>
      <c r="I6" s="2">
        <f t="shared" si="2"/>
        <v>1.06</v>
      </c>
      <c r="J6" s="2">
        <f>VLOOKUP(A6,'Panel 1 Score'!$A$2:$H$5,8,0)</f>
        <v>1.5</v>
      </c>
      <c r="K6" s="2">
        <f t="shared" si="3"/>
        <v>1.59</v>
      </c>
      <c r="L6" s="2">
        <f>E6*Table1[[#This Row],[Global Weight - Normalized by '# of critieria to contribution (aka each Perspecitive sums to weights in resultant model)]]</f>
        <v>6.8535468064186908E-3</v>
      </c>
      <c r="M6" s="2">
        <f>G6*Table1[[#This Row],[Global Weight - Normalized by '# of critieria to contribution (aka each Perspecitive sums to weights in resultant model)]]</f>
        <v>6.8535468064186908E-3</v>
      </c>
      <c r="N6" s="2">
        <f>I6*Table1[[#This Row],[Global Weight - Normalized by '# of critieria to contribution (aka each Perspecitive sums to weights in resultant model)]]</f>
        <v>6.8535468064186908E-3</v>
      </c>
      <c r="O6" s="2">
        <f>K6*Table1[[#This Row],[Global Weight - Normalized by '# of critieria to contribution (aka each Perspecitive sums to weights in resultant model)]]</f>
        <v>1.0280320209628036E-2</v>
      </c>
      <c r="P6" s="2">
        <f t="shared" si="4"/>
        <v>4.248404143564327E-3</v>
      </c>
      <c r="Q6" s="2">
        <f t="shared" si="5"/>
        <v>3.6201777809804448E-3</v>
      </c>
      <c r="R6" s="2">
        <f t="shared" si="6"/>
        <v>4.6430821741810834E-3</v>
      </c>
      <c r="S6" s="2">
        <f t="shared" si="7"/>
        <v>7.01948509421763E-3</v>
      </c>
      <c r="T6" s="2">
        <f>P6*Table1[[#This Row],[D Score (This is the selected average by panelists)]]</f>
        <v>0.22941382375247366</v>
      </c>
      <c r="U6" s="2">
        <f>Q6*Table1[[#This Row],[D Score (This is the selected average by panelists)]]</f>
        <v>0.19548960017294403</v>
      </c>
      <c r="V6" s="2">
        <f>R6*Table1[[#This Row],[D Score (This is the selected average by panelists)]]</f>
        <v>0.25072643740577849</v>
      </c>
      <c r="W6" s="2">
        <f>S6*Table1[[#This Row],[D Score (This is the selected average by panelists)]]</f>
        <v>0.37905219508775201</v>
      </c>
    </row>
    <row r="7" spans="1:24" x14ac:dyDescent="0.25">
      <c r="A7" s="2" t="str">
        <f>Table1[[#This Row],[Short Name for Perspective]]</f>
        <v>Org</v>
      </c>
      <c r="B7" s="2" t="str">
        <f>Table1[[#This Row],[Criteria]]</f>
        <v>Cybersecurity Readiness Assessments</v>
      </c>
      <c r="C7" s="2">
        <f>VLOOKUP(A7,'Panel 1 Score'!$A$2:$D$5,4,0)+1</f>
        <v>1.28</v>
      </c>
      <c r="D7" s="2">
        <f>VLOOKUP(A7,'Panel 1 Score'!$A$2:$H$5,5,0)</f>
        <v>1.5</v>
      </c>
      <c r="E7" s="2">
        <f t="shared" si="0"/>
        <v>1.92</v>
      </c>
      <c r="F7" s="2">
        <f>VLOOKUP(A7,'Panel 1 Score'!$A$2:$H$5,6,0)</f>
        <v>1</v>
      </c>
      <c r="G7" s="2">
        <f t="shared" si="1"/>
        <v>1.28</v>
      </c>
      <c r="H7" s="2">
        <f>VLOOKUP(A7,'Panel 1 Score'!$A$2:$H$5,7,0)</f>
        <v>1</v>
      </c>
      <c r="I7" s="2">
        <f t="shared" si="2"/>
        <v>1.28</v>
      </c>
      <c r="J7" s="2">
        <f>VLOOKUP(A7,'Panel 1 Score'!$A$2:$H$5,8,0)</f>
        <v>1</v>
      </c>
      <c r="K7" s="2">
        <f t="shared" si="3"/>
        <v>1.28</v>
      </c>
      <c r="L7" s="2">
        <f>E7*Table1[[#This Row],[Global Weight - Normalized by '# of critieria to contribution (aka each Perspecitive sums to weights in resultant model)]]</f>
        <v>0.11256136362157143</v>
      </c>
      <c r="M7" s="2">
        <f>G7*Table1[[#This Row],[Global Weight - Normalized by '# of critieria to contribution (aka each Perspecitive sums to weights in resultant model)]]</f>
        <v>7.504090908104763E-2</v>
      </c>
      <c r="N7" s="2">
        <f>I7*Table1[[#This Row],[Global Weight - Normalized by '# of critieria to contribution (aka each Perspecitive sums to weights in resultant model)]]</f>
        <v>7.504090908104763E-2</v>
      </c>
      <c r="O7" s="2">
        <f>K7*Table1[[#This Row],[Global Weight - Normalized by '# of critieria to contribution (aka each Perspecitive sums to weights in resultant model)]]</f>
        <v>7.504090908104763E-2</v>
      </c>
      <c r="P7" s="2">
        <f t="shared" si="4"/>
        <v>6.9774990544643381E-2</v>
      </c>
      <c r="Q7" s="2">
        <f t="shared" si="5"/>
        <v>3.9638079288428836E-2</v>
      </c>
      <c r="R7" s="2">
        <f t="shared" si="6"/>
        <v>5.083807218800078E-2</v>
      </c>
      <c r="S7" s="2">
        <f t="shared" si="7"/>
        <v>5.1238534599109833E-2</v>
      </c>
      <c r="T7" s="2">
        <f>P7*Table1[[#This Row],[D Score (This is the selected average by panelists)]]</f>
        <v>5.8843575359315912</v>
      </c>
      <c r="U7" s="2">
        <f>Q7*Table1[[#This Row],[D Score (This is the selected average by panelists)]]</f>
        <v>3.3428113533241648</v>
      </c>
      <c r="V7" s="2">
        <f>R7*Table1[[#This Row],[D Score (This is the selected average by panelists)]]</f>
        <v>4.2873440878547324</v>
      </c>
      <c r="W7" s="2">
        <f>S7*Table1[[#This Row],[D Score (This is the selected average by panelists)]]</f>
        <v>4.3211164178582626</v>
      </c>
    </row>
    <row r="8" spans="1:24" x14ac:dyDescent="0.25">
      <c r="A8" s="2" t="str">
        <f>Table1[[#This Row],[Short Name for Perspective]]</f>
        <v>Lead</v>
      </c>
      <c r="B8" s="2" t="str">
        <f>Table1[[#This Row],[Criteria]]</f>
        <v>Cybersecurity risk is considered priority by C-Suite</v>
      </c>
      <c r="C8" s="2">
        <f>VLOOKUP(A8,'Panel 1 Score'!$A$2:$D$5,4,0)+1</f>
        <v>1.06</v>
      </c>
      <c r="D8" s="2">
        <f>VLOOKUP(A8,'Panel 1 Score'!$A$2:$H$5,5,0)</f>
        <v>1</v>
      </c>
      <c r="E8" s="2">
        <f t="shared" si="0"/>
        <v>1.06</v>
      </c>
      <c r="F8" s="2">
        <f>VLOOKUP(A8,'Panel 1 Score'!$A$2:$H$5,6,0)</f>
        <v>1</v>
      </c>
      <c r="G8" s="2">
        <f t="shared" si="1"/>
        <v>1.06</v>
      </c>
      <c r="H8" s="2">
        <f>VLOOKUP(A8,'Panel 1 Score'!$A$2:$H$5,7,0)</f>
        <v>1</v>
      </c>
      <c r="I8" s="2">
        <f t="shared" si="2"/>
        <v>1.06</v>
      </c>
      <c r="J8" s="2">
        <f>VLOOKUP(A8,'Panel 1 Score'!$A$2:$H$5,8,0)</f>
        <v>1.5</v>
      </c>
      <c r="K8" s="2">
        <f t="shared" si="3"/>
        <v>1.59</v>
      </c>
      <c r="L8" s="2">
        <f>E8*Table1[[#This Row],[Global Weight - Normalized by '# of critieria to contribution (aka each Perspecitive sums to weights in resultant model)]]</f>
        <v>1.4435297333289084E-2</v>
      </c>
      <c r="M8" s="2">
        <f>G8*Table1[[#This Row],[Global Weight - Normalized by '# of critieria to contribution (aka each Perspecitive sums to weights in resultant model)]]</f>
        <v>1.4435297333289084E-2</v>
      </c>
      <c r="N8" s="2">
        <f>I8*Table1[[#This Row],[Global Weight - Normalized by '# of critieria to contribution (aka each Perspecitive sums to weights in resultant model)]]</f>
        <v>1.4435297333289084E-2</v>
      </c>
      <c r="O8" s="2">
        <f>K8*Table1[[#This Row],[Global Weight - Normalized by '# of critieria to contribution (aka each Perspecitive sums to weights in resultant model)]]</f>
        <v>2.1652945999933625E-2</v>
      </c>
      <c r="P8" s="2">
        <f t="shared" si="4"/>
        <v>8.9482101365226888E-3</v>
      </c>
      <c r="Q8" s="2">
        <f t="shared" si="5"/>
        <v>7.625007042904682E-3</v>
      </c>
      <c r="R8" s="2">
        <f t="shared" si="6"/>
        <v>9.7795015661710626E-3</v>
      </c>
      <c r="S8" s="2">
        <f t="shared" si="7"/>
        <v>1.4784805199947439E-2</v>
      </c>
      <c r="T8" s="2">
        <f>P8*Table1[[#This Row],[D Score (This is the selected average by panelists)]]</f>
        <v>0.89482101365226885</v>
      </c>
      <c r="U8" s="2">
        <f>Q8*Table1[[#This Row],[D Score (This is the selected average by panelists)]]</f>
        <v>0.76250070429046823</v>
      </c>
      <c r="V8" s="2">
        <f>R8*Table1[[#This Row],[D Score (This is the selected average by panelists)]]</f>
        <v>0.97795015661710627</v>
      </c>
      <c r="W8" s="2">
        <f>S8*Table1[[#This Row],[D Score (This is the selected average by panelists)]]</f>
        <v>1.4784805199947439</v>
      </c>
    </row>
    <row r="9" spans="1:24" x14ac:dyDescent="0.25">
      <c r="A9" s="2" t="str">
        <f>Table1[[#This Row],[Short Name for Perspective]]</f>
        <v>Tech</v>
      </c>
      <c r="B9" s="2" t="str">
        <f>Table1[[#This Row],[Criteria]]</f>
        <v>Data loss prevention system is in place</v>
      </c>
      <c r="C9" s="2">
        <f>VLOOKUP(A9,'Panel 1 Score'!$A$2:$D$5,4,0)+1</f>
        <v>1.58</v>
      </c>
      <c r="D9" s="2">
        <f>VLOOKUP(A9,'Panel 1 Score'!$A$2:$H$5,5,0)</f>
        <v>1</v>
      </c>
      <c r="E9" s="2">
        <f t="shared" si="0"/>
        <v>1.58</v>
      </c>
      <c r="F9" s="2">
        <f>VLOOKUP(A9,'Panel 1 Score'!$A$2:$H$5,6,0)</f>
        <v>1.5</v>
      </c>
      <c r="G9" s="2">
        <f t="shared" si="1"/>
        <v>2.37</v>
      </c>
      <c r="H9" s="2">
        <f>VLOOKUP(A9,'Panel 1 Score'!$A$2:$H$5,7,0)</f>
        <v>1</v>
      </c>
      <c r="I9" s="2">
        <f t="shared" si="2"/>
        <v>1.58</v>
      </c>
      <c r="J9" s="2">
        <f>VLOOKUP(A9,'Panel 1 Score'!$A$2:$H$5,8,0)</f>
        <v>1</v>
      </c>
      <c r="K9" s="2">
        <f t="shared" si="3"/>
        <v>1.58</v>
      </c>
      <c r="L9" s="2">
        <f>E9*Table1[[#This Row],[Global Weight - Normalized by '# of critieria to contribution (aka each Perspecitive sums to weights in resultant model)]]</f>
        <v>0.12469574831062594</v>
      </c>
      <c r="M9" s="2">
        <f>G9*Table1[[#This Row],[Global Weight - Normalized by '# of critieria to contribution (aka each Perspecitive sums to weights in resultant model)]]</f>
        <v>0.18704362246593889</v>
      </c>
      <c r="N9" s="2">
        <f>I9*Table1[[#This Row],[Global Weight - Normalized by '# of critieria to contribution (aka each Perspecitive sums to weights in resultant model)]]</f>
        <v>0.12469574831062594</v>
      </c>
      <c r="O9" s="2">
        <f>K9*Table1[[#This Row],[Global Weight - Normalized by '# of critieria to contribution (aka each Perspecitive sums to weights in resultant model)]]</f>
        <v>0.12469574831062594</v>
      </c>
      <c r="P9" s="2">
        <f t="shared" si="4"/>
        <v>7.7296901702279583E-2</v>
      </c>
      <c r="Q9" s="2">
        <f t="shared" si="5"/>
        <v>9.8800108214205137E-2</v>
      </c>
      <c r="R9" s="2">
        <f t="shared" si="6"/>
        <v>8.447780726251132E-2</v>
      </c>
      <c r="S9" s="2">
        <f t="shared" si="7"/>
        <v>8.5143257090279117E-2</v>
      </c>
      <c r="T9" s="2">
        <f>P9*Table1[[#This Row],[D Score (This is the selected average by panelists)]]</f>
        <v>4.7666422716405741</v>
      </c>
      <c r="U9" s="2">
        <f>Q9*Table1[[#This Row],[D Score (This is the selected average by panelists)]]</f>
        <v>6.0926733398759829</v>
      </c>
      <c r="V9" s="2">
        <f>R9*Table1[[#This Row],[D Score (This is the selected average by panelists)]]</f>
        <v>5.2094647811881982</v>
      </c>
      <c r="W9" s="2">
        <f>S9*Table1[[#This Row],[D Score (This is the selected average by panelists)]]</f>
        <v>5.2505008539005456</v>
      </c>
    </row>
    <row r="10" spans="1:24" x14ac:dyDescent="0.25">
      <c r="A10" s="2" t="str">
        <f>Table1[[#This Row],[Short Name for Perspective]]</f>
        <v>Org</v>
      </c>
      <c r="B10" s="2" t="str">
        <f>Table1[[#This Row],[Criteria]]</f>
        <v>Documents are marked and protected</v>
      </c>
      <c r="C10" s="2">
        <f>VLOOKUP(A10,'Panel 1 Score'!$A$2:$D$5,4,0)+1</f>
        <v>1.28</v>
      </c>
      <c r="D10" s="2">
        <f>VLOOKUP(A10,'Panel 1 Score'!$A$2:$H$5,5,0)</f>
        <v>1.5</v>
      </c>
      <c r="E10" s="2">
        <f t="shared" si="0"/>
        <v>1.92</v>
      </c>
      <c r="F10" s="2">
        <f>VLOOKUP(A10,'Panel 1 Score'!$A$2:$H$5,6,0)</f>
        <v>1</v>
      </c>
      <c r="G10" s="2">
        <f t="shared" si="1"/>
        <v>1.28</v>
      </c>
      <c r="H10" s="2">
        <f>VLOOKUP(A10,'Panel 1 Score'!$A$2:$H$5,7,0)</f>
        <v>1</v>
      </c>
      <c r="I10" s="2">
        <f t="shared" si="2"/>
        <v>1.28</v>
      </c>
      <c r="J10" s="2">
        <f>VLOOKUP(A10,'Panel 1 Score'!$A$2:$H$5,8,0)</f>
        <v>1</v>
      </c>
      <c r="K10" s="2">
        <f t="shared" si="3"/>
        <v>1.28</v>
      </c>
      <c r="L10" s="2">
        <f>E10*Table1[[#This Row],[Global Weight - Normalized by '# of critieria to contribution (aka each Perspecitive sums to weights in resultant model)]]</f>
        <v>0.12276919354500662</v>
      </c>
      <c r="M10" s="2">
        <f>G10*Table1[[#This Row],[Global Weight - Normalized by '# of critieria to contribution (aka each Perspecitive sums to weights in resultant model)]]</f>
        <v>8.1846129030004419E-2</v>
      </c>
      <c r="N10" s="2">
        <f>I10*Table1[[#This Row],[Global Weight - Normalized by '# of critieria to contribution (aka each Perspecitive sums to weights in resultant model)]]</f>
        <v>8.1846129030004419E-2</v>
      </c>
      <c r="O10" s="2">
        <f>K10*Table1[[#This Row],[Global Weight - Normalized by '# of critieria to contribution (aka each Perspecitive sums to weights in resultant model)]]</f>
        <v>8.1846129030004419E-2</v>
      </c>
      <c r="P10" s="2">
        <f t="shared" si="4"/>
        <v>7.6102661189995452E-2</v>
      </c>
      <c r="Q10" s="2">
        <f t="shared" si="5"/>
        <v>4.3232729875891857E-2</v>
      </c>
      <c r="R10" s="2">
        <f t="shared" si="6"/>
        <v>5.5448414296818127E-2</v>
      </c>
      <c r="S10" s="2">
        <f t="shared" si="7"/>
        <v>5.5885193362699363E-2</v>
      </c>
      <c r="T10" s="2">
        <f>P10*Table1[[#This Row],[D Score (This is the selected average by panelists)]]</f>
        <v>7.6102661189995455</v>
      </c>
      <c r="U10" s="2">
        <f>Q10*Table1[[#This Row],[D Score (This is the selected average by panelists)]]</f>
        <v>4.3232729875891858</v>
      </c>
      <c r="V10" s="2">
        <f>R10*Table1[[#This Row],[D Score (This is the selected average by panelists)]]</f>
        <v>5.5448414296818127</v>
      </c>
      <c r="W10" s="2">
        <f>S10*Table1[[#This Row],[D Score (This is the selected average by panelists)]]</f>
        <v>5.5885193362699361</v>
      </c>
    </row>
    <row r="11" spans="1:24" x14ac:dyDescent="0.25">
      <c r="A11" s="2" t="str">
        <f>Table1[[#This Row],[Short Name for Perspective]]</f>
        <v>Tech</v>
      </c>
      <c r="B11" s="2" t="str">
        <f>Table1[[#This Row],[Criteria]]</f>
        <v>Energy system outages are planned for</v>
      </c>
      <c r="C11" s="2">
        <f>VLOOKUP(A11,'Panel 1 Score'!$A$2:$D$5,4,0)+1</f>
        <v>1.58</v>
      </c>
      <c r="D11" s="2">
        <f>VLOOKUP(A11,'Panel 1 Score'!$A$2:$H$5,5,0)</f>
        <v>1</v>
      </c>
      <c r="E11" s="2">
        <f t="shared" si="0"/>
        <v>1.58</v>
      </c>
      <c r="F11" s="2">
        <f>VLOOKUP(A11,'Panel 1 Score'!$A$2:$H$5,6,0)</f>
        <v>1.5</v>
      </c>
      <c r="G11" s="2">
        <f t="shared" si="1"/>
        <v>2.37</v>
      </c>
      <c r="H11" s="2">
        <f>VLOOKUP(A11,'Panel 1 Score'!$A$2:$H$5,7,0)</f>
        <v>1</v>
      </c>
      <c r="I11" s="2">
        <f t="shared" si="2"/>
        <v>1.58</v>
      </c>
      <c r="J11" s="2">
        <f>VLOOKUP(A11,'Panel 1 Score'!$A$2:$H$5,8,0)</f>
        <v>1</v>
      </c>
      <c r="K11" s="2">
        <f t="shared" si="3"/>
        <v>1.58</v>
      </c>
      <c r="L11" s="2">
        <f>E11*Table1[[#This Row],[Global Weight - Normalized by '# of critieria to contribution (aka each Perspecitive sums to weights in resultant model)]]</f>
        <v>8.6594458059649479E-2</v>
      </c>
      <c r="M11" s="2">
        <f>G11*Table1[[#This Row],[Global Weight - Normalized by '# of critieria to contribution (aka each Perspecitive sums to weights in resultant model)]]</f>
        <v>0.12989168708947424</v>
      </c>
      <c r="N11" s="2">
        <f>I11*Table1[[#This Row],[Global Weight - Normalized by '# of critieria to contribution (aka each Perspecitive sums to weights in resultant model)]]</f>
        <v>8.6594458059649479E-2</v>
      </c>
      <c r="O11" s="2">
        <f>K11*Table1[[#This Row],[Global Weight - Normalized by '# of critieria to contribution (aka each Perspecitive sums to weights in resultant model)]]</f>
        <v>8.6594458059649479E-2</v>
      </c>
      <c r="P11" s="2">
        <f t="shared" si="4"/>
        <v>5.3678520745751149E-2</v>
      </c>
      <c r="Q11" s="2">
        <f t="shared" si="5"/>
        <v>6.8611335534322776E-2</v>
      </c>
      <c r="R11" s="2">
        <f t="shared" si="6"/>
        <v>5.8665271567573694E-2</v>
      </c>
      <c r="S11" s="2">
        <f t="shared" si="7"/>
        <v>5.9127390508934008E-2</v>
      </c>
      <c r="T11" s="2">
        <f>P11*Table1[[#This Row],[D Score (This is the selected average by panelists)]]</f>
        <v>3.0238900020106483</v>
      </c>
      <c r="U11" s="2">
        <f>Q11*Table1[[#This Row],[D Score (This is the selected average by panelists)]]</f>
        <v>3.8651052351001831</v>
      </c>
      <c r="V11" s="2">
        <f>R11*Table1[[#This Row],[D Score (This is the selected average by panelists)]]</f>
        <v>3.3048102983066516</v>
      </c>
      <c r="W11" s="2">
        <f>S11*Table1[[#This Row],[D Score (This is the selected average by panelists)]]</f>
        <v>3.330842998669949</v>
      </c>
    </row>
    <row r="12" spans="1:24" x14ac:dyDescent="0.25">
      <c r="A12" s="2" t="str">
        <f>Table1[[#This Row],[Short Name for Perspective]]</f>
        <v>Prof</v>
      </c>
      <c r="B12" s="2" t="str">
        <f>Table1[[#This Row],[Criteria]]</f>
        <v>External reporting is done</v>
      </c>
      <c r="C12" s="2">
        <f>VLOOKUP(A12,'Panel 1 Score'!$A$2:$D$5,4,0)+1</f>
        <v>1.08</v>
      </c>
      <c r="D12" s="2">
        <f>VLOOKUP(A12,'Panel 1 Score'!$A$2:$H$5,5,0)</f>
        <v>1</v>
      </c>
      <c r="E12" s="2">
        <f t="shared" si="0"/>
        <v>1.08</v>
      </c>
      <c r="F12" s="2">
        <f>VLOOKUP(A12,'Panel 1 Score'!$A$2:$H$5,6,0)</f>
        <v>1</v>
      </c>
      <c r="G12" s="2">
        <f t="shared" si="1"/>
        <v>1.08</v>
      </c>
      <c r="H12" s="2">
        <f>VLOOKUP(A12,'Panel 1 Score'!$A$2:$H$5,7,0)</f>
        <v>1.5</v>
      </c>
      <c r="I12" s="2">
        <f t="shared" si="2"/>
        <v>1.62</v>
      </c>
      <c r="J12" s="2">
        <f>VLOOKUP(A12,'Panel 1 Score'!$A$2:$H$5,8,0)</f>
        <v>1</v>
      </c>
      <c r="K12" s="2">
        <f t="shared" si="3"/>
        <v>1.08</v>
      </c>
      <c r="L12" s="2">
        <f>E12*Table1[[#This Row],[Global Weight - Normalized by '# of critieria to contribution (aka each Perspecitive sums to weights in resultant model)]]</f>
        <v>1.0204700069856857E-2</v>
      </c>
      <c r="M12" s="2">
        <f>G12*Table1[[#This Row],[Global Weight - Normalized by '# of critieria to contribution (aka each Perspecitive sums to weights in resultant model)]]</f>
        <v>1.0204700069856857E-2</v>
      </c>
      <c r="N12" s="2">
        <f>I12*Table1[[#This Row],[Global Weight - Normalized by '# of critieria to contribution (aka each Perspecitive sums to weights in resultant model)]]</f>
        <v>1.5307050104785285E-2</v>
      </c>
      <c r="O12" s="2">
        <f>K12*Table1[[#This Row],[Global Weight - Normalized by '# of critieria to contribution (aka each Perspecitive sums to weights in resultant model)]]</f>
        <v>1.0204700069856857E-2</v>
      </c>
      <c r="P12" s="2">
        <f t="shared" si="4"/>
        <v>6.3257304991348635E-3</v>
      </c>
      <c r="Q12" s="2">
        <f t="shared" si="5"/>
        <v>5.3903226311763962E-3</v>
      </c>
      <c r="R12" s="2">
        <f t="shared" si="6"/>
        <v>1.0370089165257154E-2</v>
      </c>
      <c r="S12" s="2">
        <f t="shared" si="7"/>
        <v>6.9678510562574784E-3</v>
      </c>
      <c r="T12" s="2">
        <f>P12*Table1[[#This Row],[D Score (This is the selected average by panelists)]]</f>
        <v>0.35213233111850739</v>
      </c>
      <c r="U12" s="2">
        <f>Q12*Table1[[#This Row],[D Score (This is the selected average by panelists)]]</f>
        <v>0.30006129313548602</v>
      </c>
      <c r="V12" s="2">
        <f>R12*Table1[[#This Row],[D Score (This is the selected average by panelists)]]</f>
        <v>0.57726829686598158</v>
      </c>
      <c r="W12" s="2">
        <f>S12*Table1[[#This Row],[D Score (This is the selected average by panelists)]]</f>
        <v>0.38787704213166629</v>
      </c>
    </row>
    <row r="13" spans="1:24" x14ac:dyDescent="0.25">
      <c r="A13" s="2" t="str">
        <f>Table1[[#This Row],[Short Name for Perspective]]</f>
        <v>Prof</v>
      </c>
      <c r="B13" s="2" t="str">
        <f>Table1[[#This Row],[Criteria]]</f>
        <v>External vendor/supply coordination is done</v>
      </c>
      <c r="C13" s="2">
        <f>VLOOKUP(A13,'Panel 1 Score'!$A$2:$D$5,4,0)+1</f>
        <v>1.08</v>
      </c>
      <c r="D13" s="2">
        <f>VLOOKUP(A13,'Panel 1 Score'!$A$2:$H$5,5,0)</f>
        <v>1</v>
      </c>
      <c r="E13" s="2">
        <f t="shared" si="0"/>
        <v>1.08</v>
      </c>
      <c r="F13" s="2">
        <f>VLOOKUP(A13,'Panel 1 Score'!$A$2:$H$5,6,0)</f>
        <v>1</v>
      </c>
      <c r="G13" s="2">
        <f t="shared" si="1"/>
        <v>1.08</v>
      </c>
      <c r="H13" s="2">
        <f>VLOOKUP(A13,'Panel 1 Score'!$A$2:$H$5,7,0)</f>
        <v>1.5</v>
      </c>
      <c r="I13" s="2">
        <f t="shared" si="2"/>
        <v>1.62</v>
      </c>
      <c r="J13" s="2">
        <f>VLOOKUP(A13,'Panel 1 Score'!$A$2:$H$5,8,0)</f>
        <v>1</v>
      </c>
      <c r="K13" s="2">
        <f t="shared" si="3"/>
        <v>1.08</v>
      </c>
      <c r="L13" s="2">
        <f>E13*Table1[[#This Row],[Global Weight - Normalized by '# of critieria to contribution (aka each Perspecitive sums to weights in resultant model)]]</f>
        <v>7.4359727971295836E-3</v>
      </c>
      <c r="M13" s="2">
        <f>G13*Table1[[#This Row],[Global Weight - Normalized by '# of critieria to contribution (aka each Perspecitive sums to weights in resultant model)]]</f>
        <v>7.4359727971295836E-3</v>
      </c>
      <c r="N13" s="2">
        <f>I13*Table1[[#This Row],[Global Weight - Normalized by '# of critieria to contribution (aka each Perspecitive sums to weights in resultant model)]]</f>
        <v>1.1153959195694375E-2</v>
      </c>
      <c r="O13" s="2">
        <f>K13*Table1[[#This Row],[Global Weight - Normalized by '# of critieria to contribution (aka each Perspecitive sums to weights in resultant model)]]</f>
        <v>7.4359727971295836E-3</v>
      </c>
      <c r="P13" s="2">
        <f t="shared" si="4"/>
        <v>4.6094407078639005E-3</v>
      </c>
      <c r="Q13" s="2">
        <f t="shared" si="5"/>
        <v>3.9278266072294166E-3</v>
      </c>
      <c r="R13" s="2">
        <f t="shared" si="6"/>
        <v>7.5564887168449715E-3</v>
      </c>
      <c r="S13" s="2">
        <f t="shared" si="7"/>
        <v>5.0773418673840586E-3</v>
      </c>
      <c r="T13" s="2">
        <f>P13*Table1[[#This Row],[D Score (This is the selected average by panelists)]]</f>
        <v>0.41484966370775106</v>
      </c>
      <c r="U13" s="2">
        <f>Q13*Table1[[#This Row],[D Score (This is the selected average by panelists)]]</f>
        <v>0.35350439465064748</v>
      </c>
      <c r="V13" s="2">
        <f>R13*Table1[[#This Row],[D Score (This is the selected average by panelists)]]</f>
        <v>0.68008398451604746</v>
      </c>
      <c r="W13" s="2">
        <f>S13*Table1[[#This Row],[D Score (This is the selected average by panelists)]]</f>
        <v>0.45696076806456526</v>
      </c>
    </row>
    <row r="14" spans="1:24" x14ac:dyDescent="0.25">
      <c r="A14" s="2" t="str">
        <f>Table1[[#This Row],[Short Name for Perspective]]</f>
        <v>Tech</v>
      </c>
      <c r="B14" s="2" t="str">
        <f>Table1[[#This Row],[Criteria]]</f>
        <v>Info Officer is in contact with Internet Service Provider</v>
      </c>
      <c r="C14" s="2">
        <f>VLOOKUP(A14,'Panel 1 Score'!$A$2:$D$5,4,0)+1</f>
        <v>1.58</v>
      </c>
      <c r="D14" s="2">
        <f>VLOOKUP(A14,'Panel 1 Score'!$A$2:$H$5,5,0)</f>
        <v>1</v>
      </c>
      <c r="E14" s="2">
        <f t="shared" si="0"/>
        <v>1.58</v>
      </c>
      <c r="F14" s="2">
        <f>VLOOKUP(A14,'Panel 1 Score'!$A$2:$H$5,6,0)</f>
        <v>1.5</v>
      </c>
      <c r="G14" s="2">
        <f t="shared" si="1"/>
        <v>2.37</v>
      </c>
      <c r="H14" s="2">
        <f>VLOOKUP(A14,'Panel 1 Score'!$A$2:$H$5,7,0)</f>
        <v>1</v>
      </c>
      <c r="I14" s="2">
        <f t="shared" si="2"/>
        <v>1.58</v>
      </c>
      <c r="J14" s="2">
        <f>VLOOKUP(A14,'Panel 1 Score'!$A$2:$H$5,8,0)</f>
        <v>1</v>
      </c>
      <c r="K14" s="2">
        <f t="shared" si="3"/>
        <v>1.58</v>
      </c>
      <c r="L14" s="2">
        <f>E14*Table1[[#This Row],[Global Weight - Normalized by '# of critieria to contribution (aka each Perspecitive sums to weights in resultant model)]]</f>
        <v>4.4308561964938556E-2</v>
      </c>
      <c r="M14" s="2">
        <f>G14*Table1[[#This Row],[Global Weight - Normalized by '# of critieria to contribution (aka each Perspecitive sums to weights in resultant model)]]</f>
        <v>6.6462842947407841E-2</v>
      </c>
      <c r="N14" s="2">
        <f>I14*Table1[[#This Row],[Global Weight - Normalized by '# of critieria to contribution (aka each Perspecitive sums to weights in resultant model)]]</f>
        <v>4.4308561964938556E-2</v>
      </c>
      <c r="O14" s="2">
        <f>K14*Table1[[#This Row],[Global Weight - Normalized by '# of critieria to contribution (aka each Perspecitive sums to weights in resultant model)]]</f>
        <v>4.4308561964938556E-2</v>
      </c>
      <c r="P14" s="2">
        <f t="shared" si="4"/>
        <v>2.7466169497948837E-2</v>
      </c>
      <c r="Q14" s="2">
        <f t="shared" si="5"/>
        <v>3.5106976591107238E-2</v>
      </c>
      <c r="R14" s="2">
        <f t="shared" si="6"/>
        <v>3.0017784956298726E-2</v>
      </c>
      <c r="S14" s="2">
        <f t="shared" si="7"/>
        <v>3.0254241494133177E-2</v>
      </c>
      <c r="T14" s="2">
        <f>P14*Table1[[#This Row],[D Score (This is the selected average by panelists)]]</f>
        <v>2.7466169497948836</v>
      </c>
      <c r="U14" s="2">
        <f>Q14*Table1[[#This Row],[D Score (This is the selected average by panelists)]]</f>
        <v>3.5106976591107237</v>
      </c>
      <c r="V14" s="2">
        <f>R14*Table1[[#This Row],[D Score (This is the selected average by panelists)]]</f>
        <v>3.0017784956298725</v>
      </c>
      <c r="W14" s="2">
        <f>S14*Table1[[#This Row],[D Score (This is the selected average by panelists)]]</f>
        <v>3.0254241494133178</v>
      </c>
    </row>
    <row r="15" spans="1:24" x14ac:dyDescent="0.25">
      <c r="A15" s="2" t="str">
        <f>Table1[[#This Row],[Short Name for Perspective]]</f>
        <v>Tech</v>
      </c>
      <c r="B15" s="2" t="str">
        <f>Table1[[#This Row],[Criteria]]</f>
        <v>Logging is sufficient for security and forensics</v>
      </c>
      <c r="C15" s="2">
        <f>VLOOKUP(A15,'Panel 1 Score'!$A$2:$D$5,4,0)+1</f>
        <v>1.58</v>
      </c>
      <c r="D15" s="2">
        <f>VLOOKUP(A15,'Panel 1 Score'!$A$2:$H$5,5,0)</f>
        <v>1</v>
      </c>
      <c r="E15" s="2">
        <f t="shared" si="0"/>
        <v>1.58</v>
      </c>
      <c r="F15" s="2">
        <f>VLOOKUP(A15,'Panel 1 Score'!$A$2:$H$5,6,0)</f>
        <v>1.5</v>
      </c>
      <c r="G15" s="2">
        <f t="shared" si="1"/>
        <v>2.37</v>
      </c>
      <c r="H15" s="2">
        <f>VLOOKUP(A15,'Panel 1 Score'!$A$2:$H$5,7,0)</f>
        <v>1</v>
      </c>
      <c r="I15" s="2">
        <f t="shared" si="2"/>
        <v>1.58</v>
      </c>
      <c r="J15" s="2">
        <f>VLOOKUP(A15,'Panel 1 Score'!$A$2:$H$5,8,0)</f>
        <v>1</v>
      </c>
      <c r="K15" s="2">
        <f t="shared" si="3"/>
        <v>1.58</v>
      </c>
      <c r="L15" s="2">
        <f>E15*Table1[[#This Row],[Global Weight - Normalized by '# of critieria to contribution (aka each Perspecitive sums to weights in resultant model)]]</f>
        <v>6.5910896399507993E-2</v>
      </c>
      <c r="M15" s="2">
        <f>G15*Table1[[#This Row],[Global Weight - Normalized by '# of critieria to contribution (aka each Perspecitive sums to weights in resultant model)]]</f>
        <v>9.8866344599261996E-2</v>
      </c>
      <c r="N15" s="2">
        <f>I15*Table1[[#This Row],[Global Weight - Normalized by '# of critieria to contribution (aka each Perspecitive sums to weights in resultant model)]]</f>
        <v>6.5910896399507993E-2</v>
      </c>
      <c r="O15" s="2">
        <f>K15*Table1[[#This Row],[Global Weight - Normalized by '# of critieria to contribution (aka each Perspecitive sums to weights in resultant model)]]</f>
        <v>6.5910896399507993E-2</v>
      </c>
      <c r="P15" s="2">
        <f t="shared" si="4"/>
        <v>4.0857111402151612E-2</v>
      </c>
      <c r="Q15" s="2">
        <f t="shared" si="5"/>
        <v>5.2223141406111076E-2</v>
      </c>
      <c r="R15" s="2">
        <f t="shared" si="6"/>
        <v>4.4652749415855668E-2</v>
      </c>
      <c r="S15" s="2">
        <f t="shared" si="7"/>
        <v>4.5004488711311144E-2</v>
      </c>
      <c r="T15" s="2">
        <f>P15*Table1[[#This Row],[D Score (This is the selected average by panelists)]]</f>
        <v>2.3697124613247933</v>
      </c>
      <c r="U15" s="2">
        <f>Q15*Table1[[#This Row],[D Score (This is the selected average by panelists)]]</f>
        <v>3.0289422015544423</v>
      </c>
      <c r="V15" s="2">
        <f>R15*Table1[[#This Row],[D Score (This is the selected average by panelists)]]</f>
        <v>2.5898594661196288</v>
      </c>
      <c r="W15" s="2">
        <f>S15*Table1[[#This Row],[D Score (This is the selected average by panelists)]]</f>
        <v>2.6102603452560462</v>
      </c>
    </row>
    <row r="16" spans="1:24" x14ac:dyDescent="0.25">
      <c r="A16" s="2" t="str">
        <f>Table1[[#This Row],[Short Name for Perspective]]</f>
        <v>Tech</v>
      </c>
      <c r="B16" s="2" t="str">
        <f>Table1[[#This Row],[Criteria]]</f>
        <v>Machine limitations are recorded</v>
      </c>
      <c r="C16" s="2">
        <f>VLOOKUP(A16,'Panel 1 Score'!$A$2:$D$5,4,0)+1</f>
        <v>1.58</v>
      </c>
      <c r="D16" s="2">
        <f>VLOOKUP(A16,'Panel 1 Score'!$A$2:$H$5,5,0)</f>
        <v>1</v>
      </c>
      <c r="E16" s="2">
        <f t="shared" si="0"/>
        <v>1.58</v>
      </c>
      <c r="F16" s="2">
        <f>VLOOKUP(A16,'Panel 1 Score'!$A$2:$H$5,6,0)</f>
        <v>1.5</v>
      </c>
      <c r="G16" s="2">
        <f t="shared" si="1"/>
        <v>2.37</v>
      </c>
      <c r="H16" s="2">
        <f>VLOOKUP(A16,'Panel 1 Score'!$A$2:$H$5,7,0)</f>
        <v>1</v>
      </c>
      <c r="I16" s="2">
        <f t="shared" si="2"/>
        <v>1.58</v>
      </c>
      <c r="J16" s="2">
        <f>VLOOKUP(A16,'Panel 1 Score'!$A$2:$H$5,8,0)</f>
        <v>1</v>
      </c>
      <c r="K16" s="2">
        <f t="shared" si="3"/>
        <v>1.58</v>
      </c>
      <c r="L16" s="2">
        <f>E16*Table1[[#This Row],[Global Weight - Normalized by '# of critieria to contribution (aka each Perspecitive sums to weights in resultant model)]]</f>
        <v>8.2861573420021692E-2</v>
      </c>
      <c r="M16" s="2">
        <f>G16*Table1[[#This Row],[Global Weight - Normalized by '# of critieria to contribution (aka each Perspecitive sums to weights in resultant model)]]</f>
        <v>0.12429236013003254</v>
      </c>
      <c r="N16" s="2">
        <f>I16*Table1[[#This Row],[Global Weight - Normalized by '# of critieria to contribution (aka each Perspecitive sums to weights in resultant model)]]</f>
        <v>8.2861573420021692E-2</v>
      </c>
      <c r="O16" s="2">
        <f>K16*Table1[[#This Row],[Global Weight - Normalized by '# of critieria to contribution (aka each Perspecitive sums to weights in resultant model)]]</f>
        <v>8.2861573420021692E-2</v>
      </c>
      <c r="P16" s="2">
        <f t="shared" si="4"/>
        <v>5.1364565210262607E-2</v>
      </c>
      <c r="Q16" s="2">
        <f t="shared" si="5"/>
        <v>6.5653661264405888E-2</v>
      </c>
      <c r="R16" s="2">
        <f t="shared" si="6"/>
        <v>5.6136348862574029E-2</v>
      </c>
      <c r="S16" s="2">
        <f t="shared" si="7"/>
        <v>5.6578546936750247E-2</v>
      </c>
      <c r="T16" s="2">
        <f>P16*Table1[[#This Row],[D Score (This is the selected average by panelists)]]</f>
        <v>4.3659880428723215</v>
      </c>
      <c r="U16" s="2">
        <f>Q16*Table1[[#This Row],[D Score (This is the selected average by panelists)]]</f>
        <v>5.5805612074745001</v>
      </c>
      <c r="V16" s="2">
        <f>R16*Table1[[#This Row],[D Score (This is the selected average by panelists)]]</f>
        <v>4.7715896533187925</v>
      </c>
      <c r="W16" s="2">
        <f>S16*Table1[[#This Row],[D Score (This is the selected average by panelists)]]</f>
        <v>4.8091764896237708</v>
      </c>
    </row>
    <row r="17" spans="1:24" x14ac:dyDescent="0.25">
      <c r="A17" s="2" t="str">
        <f>Table1[[#This Row],[Short Name for Perspective]]</f>
        <v>Tech</v>
      </c>
      <c r="B17" s="2" t="str">
        <f>Table1[[#This Row],[Criteria]]</f>
        <v>Network and System admin procedures documented</v>
      </c>
      <c r="C17" s="2">
        <f>VLOOKUP(A17,'Panel 1 Score'!$A$2:$D$5,4,0)+1</f>
        <v>1.58</v>
      </c>
      <c r="D17" s="2">
        <f>VLOOKUP(A17,'Panel 1 Score'!$A$2:$H$5,5,0)</f>
        <v>1</v>
      </c>
      <c r="E17" s="2">
        <f t="shared" si="0"/>
        <v>1.58</v>
      </c>
      <c r="F17" s="2">
        <f>VLOOKUP(A17,'Panel 1 Score'!$A$2:$H$5,6,0)</f>
        <v>1.5</v>
      </c>
      <c r="G17" s="2">
        <f t="shared" si="1"/>
        <v>2.37</v>
      </c>
      <c r="H17" s="2">
        <f>VLOOKUP(A17,'Panel 1 Score'!$A$2:$H$5,7,0)</f>
        <v>1</v>
      </c>
      <c r="I17" s="2">
        <f t="shared" si="2"/>
        <v>1.58</v>
      </c>
      <c r="J17" s="2">
        <f>VLOOKUP(A17,'Panel 1 Score'!$A$2:$H$5,8,0)</f>
        <v>1</v>
      </c>
      <c r="K17" s="2">
        <f t="shared" si="3"/>
        <v>1.58</v>
      </c>
      <c r="L17" s="2">
        <f>E17*Table1[[#This Row],[Global Weight - Normalized by '# of critieria to contribution (aka each Perspecitive sums to weights in resultant model)]]</f>
        <v>0.16321806630123392</v>
      </c>
      <c r="M17" s="2">
        <f>G17*Table1[[#This Row],[Global Weight - Normalized by '# of critieria to contribution (aka each Perspecitive sums to weights in resultant model)]]</f>
        <v>0.24482709945185088</v>
      </c>
      <c r="N17" s="2">
        <f>I17*Table1[[#This Row],[Global Weight - Normalized by '# of critieria to contribution (aka each Perspecitive sums to weights in resultant model)]]</f>
        <v>0.16321806630123392</v>
      </c>
      <c r="O17" s="2">
        <f>K17*Table1[[#This Row],[Global Weight - Normalized by '# of critieria to contribution (aka each Perspecitive sums to weights in resultant model)]]</f>
        <v>0.16321806630123392</v>
      </c>
      <c r="P17" s="2">
        <f t="shared" si="4"/>
        <v>0.10117627102645599</v>
      </c>
      <c r="Q17" s="2">
        <f t="shared" si="5"/>
        <v>0.12932247355302209</v>
      </c>
      <c r="R17" s="2">
        <f t="shared" si="6"/>
        <v>0.11057557722343341</v>
      </c>
      <c r="S17" s="2">
        <f t="shared" si="7"/>
        <v>0.11144660478917032</v>
      </c>
      <c r="T17" s="2">
        <f>P17*Table1[[#This Row],[D Score (This is the selected average by panelists)]]</f>
        <v>10.117627102645599</v>
      </c>
      <c r="U17" s="2">
        <f>Q17*Table1[[#This Row],[D Score (This is the selected average by panelists)]]</f>
        <v>12.932247355302209</v>
      </c>
      <c r="V17" s="2">
        <f>R17*Table1[[#This Row],[D Score (This is the selected average by panelists)]]</f>
        <v>11.05755772234334</v>
      </c>
      <c r="W17" s="2">
        <f>S17*Table1[[#This Row],[D Score (This is the selected average by panelists)]]</f>
        <v>11.144660478917032</v>
      </c>
    </row>
    <row r="18" spans="1:24" x14ac:dyDescent="0.25">
      <c r="A18" s="2" t="str">
        <f>Table1[[#This Row],[Short Name for Perspective]]</f>
        <v>Tech</v>
      </c>
      <c r="B18" s="2" t="str">
        <f>Table1[[#This Row],[Criteria]]</f>
        <v>Network modeling for IoT is done</v>
      </c>
      <c r="C18" s="2">
        <f>VLOOKUP(A18,'Panel 1 Score'!$A$2:$D$5,4,0)+1</f>
        <v>1.58</v>
      </c>
      <c r="D18" s="2">
        <f>VLOOKUP(A18,'Panel 1 Score'!$A$2:$H$5,5,0)</f>
        <v>1</v>
      </c>
      <c r="E18" s="2">
        <f t="shared" si="0"/>
        <v>1.58</v>
      </c>
      <c r="F18" s="2">
        <f>VLOOKUP(A18,'Panel 1 Score'!$A$2:$H$5,6,0)</f>
        <v>1.5</v>
      </c>
      <c r="G18" s="2">
        <f t="shared" si="1"/>
        <v>2.37</v>
      </c>
      <c r="H18" s="2">
        <f>VLOOKUP(A18,'Panel 1 Score'!$A$2:$H$5,7,0)</f>
        <v>1</v>
      </c>
      <c r="I18" s="2">
        <f t="shared" si="2"/>
        <v>1.58</v>
      </c>
      <c r="J18" s="2">
        <f>VLOOKUP(A18,'Panel 1 Score'!$A$2:$H$5,8,0)</f>
        <v>1</v>
      </c>
      <c r="K18" s="2">
        <f t="shared" si="3"/>
        <v>1.58</v>
      </c>
      <c r="L18" s="2">
        <f>E18*Table1[[#This Row],[Global Weight - Normalized by '# of critieria to contribution (aka each Perspecitive sums to weights in resultant model)]]</f>
        <v>0.14238212453086488</v>
      </c>
      <c r="M18" s="2">
        <f>G18*Table1[[#This Row],[Global Weight - Normalized by '# of critieria to contribution (aka each Perspecitive sums to weights in resultant model)]]</f>
        <v>0.2135731867962973</v>
      </c>
      <c r="N18" s="2">
        <f>I18*Table1[[#This Row],[Global Weight - Normalized by '# of critieria to contribution (aka each Perspecitive sums to weights in resultant model)]]</f>
        <v>0.14238212453086488</v>
      </c>
      <c r="O18" s="2">
        <f>K18*Table1[[#This Row],[Global Weight - Normalized by '# of critieria to contribution (aka each Perspecitive sums to weights in resultant model)]]</f>
        <v>0.14238212453086488</v>
      </c>
      <c r="P18" s="2">
        <f t="shared" si="4"/>
        <v>8.8260403687606279E-2</v>
      </c>
      <c r="Q18" s="2">
        <f t="shared" si="5"/>
        <v>0.11281354418255761</v>
      </c>
      <c r="R18" s="2">
        <f t="shared" si="6"/>
        <v>9.6459821900120979E-2</v>
      </c>
      <c r="S18" s="2">
        <f t="shared" si="7"/>
        <v>9.721965663009309E-2</v>
      </c>
      <c r="T18" s="2">
        <f>P18*Table1[[#This Row],[D Score (This is the selected average by panelists)]]</f>
        <v>5.2956242212563769</v>
      </c>
      <c r="U18" s="2">
        <f>Q18*Table1[[#This Row],[D Score (This is the selected average by panelists)]]</f>
        <v>6.768812650953457</v>
      </c>
      <c r="V18" s="2">
        <f>R18*Table1[[#This Row],[D Score (This is the selected average by panelists)]]</f>
        <v>5.787589314007259</v>
      </c>
      <c r="W18" s="2">
        <f>S18*Table1[[#This Row],[D Score (This is the selected average by panelists)]]</f>
        <v>5.8331793978055853</v>
      </c>
    </row>
    <row r="19" spans="1:24" x14ac:dyDescent="0.25">
      <c r="A19" s="2" t="str">
        <f>Table1[[#This Row],[Short Name for Perspective]]</f>
        <v>Tech</v>
      </c>
      <c r="B19" s="2" t="str">
        <f>Table1[[#This Row],[Criteria]]</f>
        <v>Outages are not required for security updates</v>
      </c>
      <c r="C19" s="2">
        <f>VLOOKUP(A19,'Panel 1 Score'!$A$2:$D$5,4,0)+1</f>
        <v>1.58</v>
      </c>
      <c r="D19" s="2">
        <f>VLOOKUP(A19,'Panel 1 Score'!$A$2:$H$5,5,0)</f>
        <v>1</v>
      </c>
      <c r="E19" s="2">
        <f t="shared" si="0"/>
        <v>1.58</v>
      </c>
      <c r="F19" s="2">
        <f>VLOOKUP(A19,'Panel 1 Score'!$A$2:$H$5,6,0)</f>
        <v>1.5</v>
      </c>
      <c r="G19" s="2">
        <f t="shared" si="1"/>
        <v>2.37</v>
      </c>
      <c r="H19" s="2">
        <f>VLOOKUP(A19,'Panel 1 Score'!$A$2:$H$5,7,0)</f>
        <v>1</v>
      </c>
      <c r="I19" s="2">
        <f t="shared" si="2"/>
        <v>1.58</v>
      </c>
      <c r="J19" s="2">
        <f>VLOOKUP(A19,'Panel 1 Score'!$A$2:$H$5,8,0)</f>
        <v>1</v>
      </c>
      <c r="K19" s="2">
        <f t="shared" si="3"/>
        <v>1.58</v>
      </c>
      <c r="L19" s="2">
        <f>E19*Table1[[#This Row],[Global Weight - Normalized by '# of critieria to contribution (aka each Perspecitive sums to weights in resultant model)]]</f>
        <v>5.6767842077209286E-2</v>
      </c>
      <c r="M19" s="2">
        <f>G19*Table1[[#This Row],[Global Weight - Normalized by '# of critieria to contribution (aka each Perspecitive sums to weights in resultant model)]]</f>
        <v>8.5151763115813933E-2</v>
      </c>
      <c r="N19" s="2">
        <f>I19*Table1[[#This Row],[Global Weight - Normalized by '# of critieria to contribution (aka each Perspecitive sums to weights in resultant model)]]</f>
        <v>5.6767842077209286E-2</v>
      </c>
      <c r="O19" s="2">
        <f>K19*Table1[[#This Row],[Global Weight - Normalized by '# of critieria to contribution (aka each Perspecitive sums to weights in resultant model)]]</f>
        <v>5.6767842077209286E-2</v>
      </c>
      <c r="P19" s="2">
        <f t="shared" si="4"/>
        <v>3.5189478136510417E-2</v>
      </c>
      <c r="Q19" s="2">
        <f t="shared" si="5"/>
        <v>4.4978830604100427E-2</v>
      </c>
      <c r="R19" s="2">
        <f t="shared" si="6"/>
        <v>3.845859130466045E-2</v>
      </c>
      <c r="S19" s="2">
        <f t="shared" si="7"/>
        <v>3.8761537886599431E-2</v>
      </c>
      <c r="T19" s="2">
        <f>P19*Table1[[#This Row],[D Score (This is the selected average by panelists)]]</f>
        <v>2.8738073811483509</v>
      </c>
      <c r="U19" s="2">
        <f>Q19*Table1[[#This Row],[D Score (This is the selected average by panelists)]]</f>
        <v>3.6732711660015349</v>
      </c>
      <c r="V19" s="2">
        <f>R19*Table1[[#This Row],[D Score (This is the selected average by panelists)]]</f>
        <v>3.1407849565472703</v>
      </c>
      <c r="W19" s="2">
        <f>S19*Table1[[#This Row],[D Score (This is the selected average by panelists)]]</f>
        <v>3.1655255940722871</v>
      </c>
    </row>
    <row r="20" spans="1:24" x14ac:dyDescent="0.25">
      <c r="A20" s="2" t="str">
        <f>Table1[[#This Row],[Short Name for Perspective]]</f>
        <v>Tech</v>
      </c>
      <c r="B20" s="2" t="str">
        <f>Table1[[#This Row],[Criteria]]</f>
        <v>Planning for forensic evidence collection</v>
      </c>
      <c r="C20" s="2">
        <f>VLOOKUP(A20,'Panel 1 Score'!$A$2:$D$5,4,0)+1</f>
        <v>1.58</v>
      </c>
      <c r="D20" s="2">
        <f>VLOOKUP(A20,'Panel 1 Score'!$A$2:$H$5,5,0)</f>
        <v>1</v>
      </c>
      <c r="E20" s="2">
        <f t="shared" si="0"/>
        <v>1.58</v>
      </c>
      <c r="F20" s="2">
        <f>VLOOKUP(A20,'Panel 1 Score'!$A$2:$H$5,6,0)</f>
        <v>1.5</v>
      </c>
      <c r="G20" s="2">
        <f t="shared" si="1"/>
        <v>2.37</v>
      </c>
      <c r="H20" s="2">
        <f>VLOOKUP(A20,'Panel 1 Score'!$A$2:$H$5,7,0)</f>
        <v>1</v>
      </c>
      <c r="I20" s="2">
        <f t="shared" si="2"/>
        <v>1.58</v>
      </c>
      <c r="J20" s="2">
        <f>VLOOKUP(A20,'Panel 1 Score'!$A$2:$H$5,8,0)</f>
        <v>1</v>
      </c>
      <c r="K20" s="2">
        <f t="shared" si="3"/>
        <v>1.58</v>
      </c>
      <c r="L20" s="2">
        <f>E20*Table1[[#This Row],[Global Weight - Normalized by '# of critieria to contribution (aka each Perspecitive sums to weights in resultant model)]]</f>
        <v>3.9950360285535093E-2</v>
      </c>
      <c r="M20" s="2">
        <f>G20*Table1[[#This Row],[Global Weight - Normalized by '# of critieria to contribution (aka each Perspecitive sums to weights in resultant model)]]</f>
        <v>5.9925540428302636E-2</v>
      </c>
      <c r="N20" s="2">
        <f>I20*Table1[[#This Row],[Global Weight - Normalized by '# of critieria to contribution (aka each Perspecitive sums to weights in resultant model)]]</f>
        <v>3.9950360285535093E-2</v>
      </c>
      <c r="O20" s="2">
        <f>K20*Table1[[#This Row],[Global Weight - Normalized by '# of critieria to contribution (aka each Perspecitive sums to weights in resultant model)]]</f>
        <v>3.9950360285535093E-2</v>
      </c>
      <c r="P20" s="2">
        <f t="shared" si="4"/>
        <v>2.4764589922257302E-2</v>
      </c>
      <c r="Q20" s="2">
        <f t="shared" si="5"/>
        <v>3.1653845242380241E-2</v>
      </c>
      <c r="R20" s="2">
        <f t="shared" si="6"/>
        <v>2.7065227820455905E-2</v>
      </c>
      <c r="S20" s="2">
        <f t="shared" si="7"/>
        <v>2.727842643172728E-2</v>
      </c>
      <c r="T20" s="2">
        <f>P20*Table1[[#This Row],[D Score (This is the selected average by panelists)]]</f>
        <v>2.4764589922257301</v>
      </c>
      <c r="U20" s="2">
        <f>Q20*Table1[[#This Row],[D Score (This is the selected average by panelists)]]</f>
        <v>3.1653845242380241</v>
      </c>
      <c r="V20" s="2">
        <f>R20*Table1[[#This Row],[D Score (This is the selected average by panelists)]]</f>
        <v>2.7065227820455906</v>
      </c>
      <c r="W20" s="2">
        <f>S20*Table1[[#This Row],[D Score (This is the selected average by panelists)]]</f>
        <v>2.7278426431727278</v>
      </c>
    </row>
    <row r="21" spans="1:24" x14ac:dyDescent="0.25">
      <c r="A21" s="2" t="str">
        <f>Table1[[#This Row],[Short Name for Perspective]]</f>
        <v>Lead</v>
      </c>
      <c r="B21" s="2" t="str">
        <f>Table1[[#This Row],[Criteria]]</f>
        <v>Policies are updated</v>
      </c>
      <c r="C21" s="2">
        <f>VLOOKUP(A21,'Panel 1 Score'!$A$2:$D$5,4,0)+1</f>
        <v>1.06</v>
      </c>
      <c r="D21" s="2">
        <f>VLOOKUP(A21,'Panel 1 Score'!$A$2:$H$5,5,0)</f>
        <v>1</v>
      </c>
      <c r="E21" s="2">
        <f t="shared" si="0"/>
        <v>1.06</v>
      </c>
      <c r="F21" s="2">
        <f>VLOOKUP(A21,'Panel 1 Score'!$A$2:$H$5,6,0)</f>
        <v>1</v>
      </c>
      <c r="G21" s="2">
        <f t="shared" si="1"/>
        <v>1.06</v>
      </c>
      <c r="H21" s="2">
        <f>VLOOKUP(A21,'Panel 1 Score'!$A$2:$H$5,7,0)</f>
        <v>1</v>
      </c>
      <c r="I21" s="2">
        <f t="shared" si="2"/>
        <v>1.06</v>
      </c>
      <c r="J21" s="2">
        <f>VLOOKUP(A21,'Panel 1 Score'!$A$2:$H$5,8,0)</f>
        <v>1.5</v>
      </c>
      <c r="K21" s="2">
        <f t="shared" si="3"/>
        <v>1.59</v>
      </c>
      <c r="L21" s="2">
        <f>E21*Table1[[#This Row],[Global Weight - Normalized by '# of critieria to contribution (aka each Perspecitive sums to weights in resultant model)]]</f>
        <v>5.3558313309492794E-3</v>
      </c>
      <c r="M21" s="2">
        <f>G21*Table1[[#This Row],[Global Weight - Normalized by '# of critieria to contribution (aka each Perspecitive sums to weights in resultant model)]]</f>
        <v>5.3558313309492794E-3</v>
      </c>
      <c r="N21" s="2">
        <f>I21*Table1[[#This Row],[Global Weight - Normalized by '# of critieria to contribution (aka each Perspecitive sums to weights in resultant model)]]</f>
        <v>5.3558313309492794E-3</v>
      </c>
      <c r="O21" s="2">
        <f>K21*Table1[[#This Row],[Global Weight - Normalized by '# of critieria to contribution (aka each Perspecitive sums to weights in resultant model)]]</f>
        <v>8.0337469964239204E-3</v>
      </c>
      <c r="P21" s="2">
        <f t="shared" si="4"/>
        <v>3.3199942542635804E-3</v>
      </c>
      <c r="Q21" s="2">
        <f t="shared" si="5"/>
        <v>2.8290551054269701E-3</v>
      </c>
      <c r="R21" s="2">
        <f t="shared" si="6"/>
        <v>3.6284227252028718E-3</v>
      </c>
      <c r="S21" s="2">
        <f t="shared" si="7"/>
        <v>5.4855068852134297E-3</v>
      </c>
      <c r="T21" s="2">
        <f>P21*Table1[[#This Row],[D Score (This is the selected average by panelists)]]</f>
        <v>0.19919965525581482</v>
      </c>
      <c r="U21" s="2">
        <f>Q21*Table1[[#This Row],[D Score (This is the selected average by panelists)]]</f>
        <v>0.16974330632561821</v>
      </c>
      <c r="V21" s="2">
        <f>R21*Table1[[#This Row],[D Score (This is the selected average by panelists)]]</f>
        <v>0.21770536351217232</v>
      </c>
      <c r="W21" s="2">
        <f>S21*Table1[[#This Row],[D Score (This is the selected average by panelists)]]</f>
        <v>0.32913041311280578</v>
      </c>
    </row>
    <row r="22" spans="1:24" x14ac:dyDescent="0.25">
      <c r="A22" s="2" t="str">
        <f>Table1[[#This Row],[Short Name for Perspective]]</f>
        <v>Org</v>
      </c>
      <c r="B22" s="2" t="str">
        <f>Table1[[#This Row],[Criteria]]</f>
        <v>Presence of Implementation Oversight</v>
      </c>
      <c r="C22" s="2">
        <f>VLOOKUP(A22,'Panel 1 Score'!$A$2:$D$5,4,0)+1</f>
        <v>1.28</v>
      </c>
      <c r="D22" s="2">
        <f>VLOOKUP(A22,'Panel 1 Score'!$A$2:$H$5,5,0)</f>
        <v>1.5</v>
      </c>
      <c r="E22" s="2">
        <f t="shared" si="0"/>
        <v>1.92</v>
      </c>
      <c r="F22" s="2">
        <f>VLOOKUP(A22,'Panel 1 Score'!$A$2:$H$5,6,0)</f>
        <v>1</v>
      </c>
      <c r="G22" s="2">
        <f t="shared" si="1"/>
        <v>1.28</v>
      </c>
      <c r="H22" s="2">
        <f>VLOOKUP(A22,'Panel 1 Score'!$A$2:$H$5,7,0)</f>
        <v>1</v>
      </c>
      <c r="I22" s="2">
        <f t="shared" si="2"/>
        <v>1.28</v>
      </c>
      <c r="J22" s="2">
        <f>VLOOKUP(A22,'Panel 1 Score'!$A$2:$H$5,8,0)</f>
        <v>1</v>
      </c>
      <c r="K22" s="2">
        <f t="shared" si="3"/>
        <v>1.28</v>
      </c>
      <c r="L22" s="2">
        <f>E22*Table1[[#This Row],[Global Weight - Normalized by '# of critieria to contribution (aka each Perspecitive sums to weights in resultant model)]]</f>
        <v>7.0851129959654299E-2</v>
      </c>
      <c r="M22" s="2">
        <f>G22*Table1[[#This Row],[Global Weight - Normalized by '# of critieria to contribution (aka each Perspecitive sums to weights in resultant model)]]</f>
        <v>4.7234086639769537E-2</v>
      </c>
      <c r="N22" s="2">
        <f>I22*Table1[[#This Row],[Global Weight - Normalized by '# of critieria to contribution (aka each Perspecitive sums to weights in resultant model)]]</f>
        <v>4.7234086639769537E-2</v>
      </c>
      <c r="O22" s="2">
        <f>K22*Table1[[#This Row],[Global Weight - Normalized by '# of critieria to contribution (aka each Perspecitive sums to weights in resultant model)]]</f>
        <v>4.7234086639769537E-2</v>
      </c>
      <c r="P22" s="2">
        <f t="shared" si="4"/>
        <v>4.3919483239671521E-2</v>
      </c>
      <c r="Q22" s="2">
        <f t="shared" si="5"/>
        <v>2.4949970546353138E-2</v>
      </c>
      <c r="R22" s="2">
        <f t="shared" si="6"/>
        <v>3.1999744349224014E-2</v>
      </c>
      <c r="S22" s="2">
        <f t="shared" si="7"/>
        <v>3.225181320678365E-2</v>
      </c>
      <c r="T22" s="2">
        <f>P22*Table1[[#This Row],[D Score (This is the selected average by panelists)]]</f>
        <v>3.791715386358308</v>
      </c>
      <c r="U22" s="2">
        <f>Q22*Table1[[#This Row],[D Score (This is the selected average by panelists)]]</f>
        <v>2.1540141238351542</v>
      </c>
      <c r="V22" s="2">
        <f>R22*Table1[[#This Row],[D Score (This is the selected average by panelists)]]</f>
        <v>2.7626445954830063</v>
      </c>
      <c r="W22" s="2">
        <f>S22*Table1[[#This Row],[D Score (This is the selected average by panelists)]]</f>
        <v>2.784406540185655</v>
      </c>
    </row>
    <row r="23" spans="1:24" x14ac:dyDescent="0.25">
      <c r="A23" s="2" t="str">
        <f>Table1[[#This Row],[Short Name for Perspective]]</f>
        <v>Org</v>
      </c>
      <c r="B23" s="2" t="str">
        <f>Table1[[#This Row],[Criteria]]</f>
        <v>Presence of legislative understanding</v>
      </c>
      <c r="C23" s="2">
        <f>VLOOKUP(A23,'Panel 1 Score'!$A$2:$D$5,4,0)+1</f>
        <v>1.28</v>
      </c>
      <c r="D23" s="2">
        <f>VLOOKUP(A23,'Panel 1 Score'!$A$2:$H$5,5,0)</f>
        <v>1.5</v>
      </c>
      <c r="E23" s="2">
        <f t="shared" si="0"/>
        <v>1.92</v>
      </c>
      <c r="F23" s="2">
        <f>VLOOKUP(A23,'Panel 1 Score'!$A$2:$H$5,6,0)</f>
        <v>1</v>
      </c>
      <c r="G23" s="2">
        <f t="shared" si="1"/>
        <v>1.28</v>
      </c>
      <c r="H23" s="2">
        <f>VLOOKUP(A23,'Panel 1 Score'!$A$2:$H$5,7,0)</f>
        <v>1</v>
      </c>
      <c r="I23" s="2">
        <f t="shared" si="2"/>
        <v>1.28</v>
      </c>
      <c r="J23" s="2">
        <f>VLOOKUP(A23,'Panel 1 Score'!$A$2:$H$5,8,0)</f>
        <v>1</v>
      </c>
      <c r="K23" s="2">
        <f t="shared" si="3"/>
        <v>1.28</v>
      </c>
      <c r="L23" s="2">
        <f>E23*Table1[[#This Row],[Global Weight - Normalized by '# of critieria to contribution (aka each Perspecitive sums to weights in resultant model)]]</f>
        <v>8.5283534960426011E-2</v>
      </c>
      <c r="M23" s="2">
        <f>G23*Table1[[#This Row],[Global Weight - Normalized by '# of critieria to contribution (aka each Perspecitive sums to weights in resultant model)]]</f>
        <v>5.6855689973617347E-2</v>
      </c>
      <c r="N23" s="2">
        <f>I23*Table1[[#This Row],[Global Weight - Normalized by '# of critieria to contribution (aka each Perspecitive sums to weights in resultant model)]]</f>
        <v>5.6855689973617347E-2</v>
      </c>
      <c r="O23" s="2">
        <f>K23*Table1[[#This Row],[Global Weight - Normalized by '# of critieria to contribution (aka each Perspecitive sums to weights in resultant model)]]</f>
        <v>5.6855689973617347E-2</v>
      </c>
      <c r="P23" s="2">
        <f t="shared" si="4"/>
        <v>5.2865900465487031E-2</v>
      </c>
      <c r="Q23" s="2">
        <f t="shared" si="5"/>
        <v>3.0032290050464702E-2</v>
      </c>
      <c r="R23" s="2">
        <f t="shared" si="6"/>
        <v>3.8518105744901755E-2</v>
      </c>
      <c r="S23" s="2">
        <f t="shared" si="7"/>
        <v>3.8821521134866081E-2</v>
      </c>
      <c r="T23" s="2">
        <f>P23*Table1[[#This Row],[D Score (This is the selected average by panelists)]]</f>
        <v>5.286590046548703</v>
      </c>
      <c r="U23" s="2">
        <f>Q23*Table1[[#This Row],[D Score (This is the selected average by panelists)]]</f>
        <v>3.0032290050464701</v>
      </c>
      <c r="V23" s="2">
        <f>R23*Table1[[#This Row],[D Score (This is the selected average by panelists)]]</f>
        <v>3.8518105744901754</v>
      </c>
      <c r="W23" s="2">
        <f>S23*Table1[[#This Row],[D Score (This is the selected average by panelists)]]</f>
        <v>3.8821521134866082</v>
      </c>
    </row>
    <row r="24" spans="1:24" ht="30" x14ac:dyDescent="0.25">
      <c r="A24" s="2" t="str">
        <f>Table1[[#This Row],[Short Name for Perspective]]</f>
        <v>Lead</v>
      </c>
      <c r="B24" s="2" t="str">
        <f>Table1[[#This Row],[Criteria]]</f>
        <v>Professionals with cyber certifications are in operations roles</v>
      </c>
      <c r="C24" s="2">
        <f>VLOOKUP(A24,'Panel 1 Score'!$A$2:$D$5,4,0)+1</f>
        <v>1.06</v>
      </c>
      <c r="D24" s="2">
        <f>VLOOKUP(A24,'Panel 1 Score'!$A$2:$H$5,5,0)</f>
        <v>1</v>
      </c>
      <c r="E24" s="2">
        <f t="shared" si="0"/>
        <v>1.06</v>
      </c>
      <c r="F24" s="2">
        <f>VLOOKUP(A24,'Panel 1 Score'!$A$2:$H$5,6,0)</f>
        <v>1</v>
      </c>
      <c r="G24" s="2">
        <f t="shared" si="1"/>
        <v>1.06</v>
      </c>
      <c r="H24" s="2">
        <f>VLOOKUP(A24,'Panel 1 Score'!$A$2:$H$5,7,0)</f>
        <v>1</v>
      </c>
      <c r="I24" s="2">
        <f t="shared" si="2"/>
        <v>1.06</v>
      </c>
      <c r="J24" s="2">
        <f>VLOOKUP(A24,'Panel 1 Score'!$A$2:$H$5,8,0)</f>
        <v>1.5</v>
      </c>
      <c r="K24" s="2">
        <f t="shared" si="3"/>
        <v>1.59</v>
      </c>
      <c r="L24" s="2">
        <f>E24*Table1[[#This Row],[Global Weight - Normalized by '# of critieria to contribution (aka each Perspecitive sums to weights in resultant model)]]</f>
        <v>1.7281464974181968E-2</v>
      </c>
      <c r="M24" s="2">
        <f>G24*Table1[[#This Row],[Global Weight - Normalized by '# of critieria to contribution (aka each Perspecitive sums to weights in resultant model)]]</f>
        <v>1.7281464974181968E-2</v>
      </c>
      <c r="N24" s="2">
        <f>I24*Table1[[#This Row],[Global Weight - Normalized by '# of critieria to contribution (aka each Perspecitive sums to weights in resultant model)]]</f>
        <v>1.7281464974181968E-2</v>
      </c>
      <c r="O24" s="2">
        <f>K24*Table1[[#This Row],[Global Weight - Normalized by '# of critieria to contribution (aka each Perspecitive sums to weights in resultant model)]]</f>
        <v>2.5922197461272948E-2</v>
      </c>
      <c r="P24" s="2">
        <f t="shared" si="4"/>
        <v>1.0712503974499191E-2</v>
      </c>
      <c r="Q24" s="2">
        <f t="shared" si="5"/>
        <v>9.1284085874678671E-3</v>
      </c>
      <c r="R24" s="2">
        <f t="shared" si="6"/>
        <v>1.1707698835617631E-2</v>
      </c>
      <c r="S24" s="2">
        <f t="shared" si="7"/>
        <v>1.7699884340018554E-2</v>
      </c>
      <c r="T24" s="2">
        <f>P24*Table1[[#This Row],[D Score (This is the selected average by panelists)]]</f>
        <v>0.66060441176078344</v>
      </c>
      <c r="U24" s="2">
        <f>Q24*Table1[[#This Row],[D Score (This is the selected average by panelists)]]</f>
        <v>0.56291852956051847</v>
      </c>
      <c r="V24" s="2">
        <f>R24*Table1[[#This Row],[D Score (This is the selected average by panelists)]]</f>
        <v>0.72197476152975393</v>
      </c>
      <c r="W24" s="2">
        <f>S24*Table1[[#This Row],[D Score (This is the selected average by panelists)]]</f>
        <v>1.0914928676344775</v>
      </c>
    </row>
    <row r="25" spans="1:24" ht="30" x14ac:dyDescent="0.25">
      <c r="A25" s="2" t="str">
        <f>Table1[[#This Row],[Short Name for Perspective]]</f>
        <v>Tech</v>
      </c>
      <c r="B25" s="2" t="str">
        <f>Table1[[#This Row],[Criteria]]</f>
        <v>Retention periods are in place and used for information and data</v>
      </c>
      <c r="C25" s="2">
        <f>VLOOKUP(A25,'Panel 1 Score'!$A$2:$D$5,4,0)+1</f>
        <v>1.58</v>
      </c>
      <c r="D25" s="2">
        <f>VLOOKUP(A25,'Panel 1 Score'!$A$2:$H$5,5,0)</f>
        <v>1</v>
      </c>
      <c r="E25" s="2">
        <f t="shared" si="0"/>
        <v>1.58</v>
      </c>
      <c r="F25" s="2">
        <f>VLOOKUP(A25,'Panel 1 Score'!$A$2:$H$5,6,0)</f>
        <v>1.5</v>
      </c>
      <c r="G25" s="2">
        <f t="shared" si="1"/>
        <v>2.37</v>
      </c>
      <c r="H25" s="2">
        <f>VLOOKUP(A25,'Panel 1 Score'!$A$2:$H$5,7,0)</f>
        <v>1</v>
      </c>
      <c r="I25" s="2">
        <f t="shared" si="2"/>
        <v>1.58</v>
      </c>
      <c r="J25" s="2">
        <f>VLOOKUP(A25,'Panel 1 Score'!$A$2:$H$5,8,0)</f>
        <v>1</v>
      </c>
      <c r="K25" s="2">
        <f t="shared" si="3"/>
        <v>1.58</v>
      </c>
      <c r="L25" s="2">
        <f>E25*Table1[[#This Row],[Global Weight - Normalized by '# of critieria to contribution (aka each Perspecitive sums to weights in resultant model)]]</f>
        <v>5.7474439425711003E-2</v>
      </c>
      <c r="M25" s="2">
        <f>G25*Table1[[#This Row],[Global Weight - Normalized by '# of critieria to contribution (aka each Perspecitive sums to weights in resultant model)]]</f>
        <v>8.6211659138566515E-2</v>
      </c>
      <c r="N25" s="2">
        <f>I25*Table1[[#This Row],[Global Weight - Normalized by '# of critieria to contribution (aka each Perspecitive sums to weights in resultant model)]]</f>
        <v>5.7474439425711003E-2</v>
      </c>
      <c r="O25" s="2">
        <f>K25*Table1[[#This Row],[Global Weight - Normalized by '# of critieria to contribution (aka each Perspecitive sums to weights in resultant model)]]</f>
        <v>5.7474439425711003E-2</v>
      </c>
      <c r="P25" s="2">
        <f t="shared" si="4"/>
        <v>3.5627486541208959E-2</v>
      </c>
      <c r="Q25" s="2">
        <f t="shared" si="5"/>
        <v>4.5538688461658927E-2</v>
      </c>
      <c r="R25" s="2">
        <f t="shared" si="6"/>
        <v>3.8937290822708436E-2</v>
      </c>
      <c r="S25" s="2">
        <f t="shared" si="7"/>
        <v>3.9244008223542466E-2</v>
      </c>
      <c r="T25" s="2">
        <f>P25*Table1[[#This Row],[D Score (This is the selected average by panelists)]]</f>
        <v>3.0283363560027614</v>
      </c>
      <c r="U25" s="2">
        <f>Q25*Table1[[#This Row],[D Score (This is the selected average by panelists)]]</f>
        <v>3.870788519241009</v>
      </c>
      <c r="V25" s="2">
        <f>R25*Table1[[#This Row],[D Score (This is the selected average by panelists)]]</f>
        <v>3.3096697199302172</v>
      </c>
      <c r="W25" s="2">
        <f>S25*Table1[[#This Row],[D Score (This is the selected average by panelists)]]</f>
        <v>3.3357406990011098</v>
      </c>
    </row>
    <row r="26" spans="1:24" x14ac:dyDescent="0.25">
      <c r="A26" s="2" t="str">
        <f>Table1[[#This Row],[Short Name for Perspective]]</f>
        <v>Org</v>
      </c>
      <c r="B26" s="2" t="str">
        <f>Table1[[#This Row],[Criteria]]</f>
        <v>Social impact of breaches is talked about in the company</v>
      </c>
      <c r="C26" s="2">
        <f>VLOOKUP(A26,'Panel 1 Score'!$A$2:$D$5,4,0)+1</f>
        <v>1.28</v>
      </c>
      <c r="D26" s="2">
        <f>VLOOKUP(A26,'Panel 1 Score'!$A$2:$H$5,5,0)</f>
        <v>1.5</v>
      </c>
      <c r="E26" s="2">
        <f t="shared" si="0"/>
        <v>1.92</v>
      </c>
      <c r="F26" s="2">
        <f>VLOOKUP(A26,'Panel 1 Score'!$A$2:$H$5,6,0)</f>
        <v>1</v>
      </c>
      <c r="G26" s="2">
        <f t="shared" si="1"/>
        <v>1.28</v>
      </c>
      <c r="H26" s="2">
        <f>VLOOKUP(A26,'Panel 1 Score'!$A$2:$H$5,7,0)</f>
        <v>1</v>
      </c>
      <c r="I26" s="2">
        <f t="shared" si="2"/>
        <v>1.28</v>
      </c>
      <c r="J26" s="2">
        <f>VLOOKUP(A26,'Panel 1 Score'!$A$2:$H$5,8,0)</f>
        <v>1</v>
      </c>
      <c r="K26" s="2">
        <f t="shared" si="3"/>
        <v>1.28</v>
      </c>
      <c r="L26" s="2">
        <f>E26*Table1[[#This Row],[Global Weight - Normalized by '# of critieria to contribution (aka each Perspecitive sums to weights in resultant model)]]</f>
        <v>5.2804875883565368E-2</v>
      </c>
      <c r="M26" s="2">
        <f>G26*Table1[[#This Row],[Global Weight - Normalized by '# of critieria to contribution (aka each Perspecitive sums to weights in resultant model)]]</f>
        <v>3.5203250589043583E-2</v>
      </c>
      <c r="N26" s="2">
        <f>I26*Table1[[#This Row],[Global Weight - Normalized by '# of critieria to contribution (aka each Perspecitive sums to weights in resultant model)]]</f>
        <v>3.5203250589043583E-2</v>
      </c>
      <c r="O26" s="2">
        <f>K26*Table1[[#This Row],[Global Weight - Normalized by '# of critieria to contribution (aka each Perspecitive sums to weights in resultant model)]]</f>
        <v>3.5203250589043583E-2</v>
      </c>
      <c r="P26" s="2">
        <f t="shared" si="4"/>
        <v>3.2732898722459554E-2</v>
      </c>
      <c r="Q26" s="2">
        <f t="shared" si="5"/>
        <v>1.8595047090272512E-2</v>
      </c>
      <c r="R26" s="2">
        <f t="shared" si="6"/>
        <v>2.3849196613078844E-2</v>
      </c>
      <c r="S26" s="2">
        <f t="shared" si="7"/>
        <v>2.4037061855949751E-2</v>
      </c>
      <c r="T26" s="2">
        <f>P26*Table1[[#This Row],[D Score (This is the selected average by panelists)]]</f>
        <v>2.0730835857557719</v>
      </c>
      <c r="U26" s="2">
        <f>Q26*Table1[[#This Row],[D Score (This is the selected average by panelists)]]</f>
        <v>1.177686315717259</v>
      </c>
      <c r="V26" s="2">
        <f>R26*Table1[[#This Row],[D Score (This is the selected average by panelists)]]</f>
        <v>1.5104491188283269</v>
      </c>
      <c r="W26" s="2">
        <f>S26*Table1[[#This Row],[D Score (This is the selected average by panelists)]]</f>
        <v>1.5223472508768177</v>
      </c>
    </row>
    <row r="27" spans="1:24" x14ac:dyDescent="0.25">
      <c r="A27" s="2" t="str">
        <f>Table1[[#This Row],[Short Name for Perspective]]</f>
        <v>Tech</v>
      </c>
      <c r="B27" s="2" t="str">
        <f>Table1[[#This Row],[Criteria]]</f>
        <v>Standards are understood</v>
      </c>
      <c r="C27" s="2">
        <f>VLOOKUP(A27,'Panel 1 Score'!$A$2:$D$5,4,0)+1</f>
        <v>1.58</v>
      </c>
      <c r="D27" s="2">
        <f>VLOOKUP(A27,'Panel 1 Score'!$A$2:$H$5,5,0)</f>
        <v>1</v>
      </c>
      <c r="E27" s="2">
        <f t="shared" si="0"/>
        <v>1.58</v>
      </c>
      <c r="F27" s="2">
        <f>VLOOKUP(A27,'Panel 1 Score'!$A$2:$H$5,6,0)</f>
        <v>1.5</v>
      </c>
      <c r="G27" s="2">
        <f t="shared" si="1"/>
        <v>2.37</v>
      </c>
      <c r="H27" s="2">
        <f>VLOOKUP(A27,'Panel 1 Score'!$A$2:$H$5,7,0)</f>
        <v>1</v>
      </c>
      <c r="I27" s="2">
        <f t="shared" si="2"/>
        <v>1.58</v>
      </c>
      <c r="J27" s="2">
        <f>VLOOKUP(A27,'Panel 1 Score'!$A$2:$H$5,8,0)</f>
        <v>1</v>
      </c>
      <c r="K27" s="2">
        <f t="shared" si="3"/>
        <v>1.58</v>
      </c>
      <c r="L27" s="2">
        <f>E27*Table1[[#This Row],[Global Weight - Normalized by '# of critieria to contribution (aka each Perspecitive sums to weights in resultant model)]]</f>
        <v>5.6817929224702135E-2</v>
      </c>
      <c r="M27" s="2">
        <f>G27*Table1[[#This Row],[Global Weight - Normalized by '# of critieria to contribution (aka each Perspecitive sums to weights in resultant model)]]</f>
        <v>8.5226893837053203E-2</v>
      </c>
      <c r="N27" s="2">
        <f>I27*Table1[[#This Row],[Global Weight - Normalized by '# of critieria to contribution (aka each Perspecitive sums to weights in resultant model)]]</f>
        <v>5.6817929224702135E-2</v>
      </c>
      <c r="O27" s="2">
        <f>K27*Table1[[#This Row],[Global Weight - Normalized by '# of critieria to contribution (aka each Perspecitive sums to weights in resultant model)]]</f>
        <v>5.6817929224702135E-2</v>
      </c>
      <c r="P27" s="2">
        <f t="shared" si="4"/>
        <v>3.5220526358833583E-2</v>
      </c>
      <c r="Q27" s="2">
        <f t="shared" si="5"/>
        <v>4.5018516123931519E-2</v>
      </c>
      <c r="R27" s="2">
        <f t="shared" si="6"/>
        <v>3.8492523916233458E-2</v>
      </c>
      <c r="S27" s="2">
        <f t="shared" si="7"/>
        <v>3.8795737792640166E-2</v>
      </c>
      <c r="T27" s="2">
        <f>P27*Table1[[#This Row],[D Score (This is the selected average by panelists)]]</f>
        <v>3.5220526358833584</v>
      </c>
      <c r="U27" s="2">
        <f>Q27*Table1[[#This Row],[D Score (This is the selected average by panelists)]]</f>
        <v>4.5018516123931516</v>
      </c>
      <c r="V27" s="2">
        <f>R27*Table1[[#This Row],[D Score (This is the selected average by panelists)]]</f>
        <v>3.8492523916233456</v>
      </c>
      <c r="W27" s="2">
        <f>S27*Table1[[#This Row],[D Score (This is the selected average by panelists)]]</f>
        <v>3.8795737792640166</v>
      </c>
    </row>
    <row r="28" spans="1:24" x14ac:dyDescent="0.25">
      <c r="A28" s="2" t="str">
        <f>Table1[[#This Row],[Short Name for Perspective]]</f>
        <v>Lead</v>
      </c>
      <c r="B28" s="2" t="str">
        <f>Table1[[#This Row],[Criteria]]</f>
        <v>Supply chain cyber risk is considered during procurement</v>
      </c>
      <c r="C28" s="2">
        <f>VLOOKUP(A28,'Panel 1 Score'!$A$2:$D$5,4,0)+1</f>
        <v>1.06</v>
      </c>
      <c r="D28" s="2">
        <f>VLOOKUP(A28,'Panel 1 Score'!$A$2:$H$5,5,0)</f>
        <v>1</v>
      </c>
      <c r="E28" s="2">
        <f t="shared" si="0"/>
        <v>1.06</v>
      </c>
      <c r="F28" s="2">
        <f>VLOOKUP(A28,'Panel 1 Score'!$A$2:$H$5,6,0)</f>
        <v>1</v>
      </c>
      <c r="G28" s="2">
        <f t="shared" si="1"/>
        <v>1.06</v>
      </c>
      <c r="H28" s="2">
        <f>VLOOKUP(A28,'Panel 1 Score'!$A$2:$H$5,7,0)</f>
        <v>1</v>
      </c>
      <c r="I28" s="2">
        <f t="shared" si="2"/>
        <v>1.06</v>
      </c>
      <c r="J28" s="2">
        <f>VLOOKUP(A28,'Panel 1 Score'!$A$2:$H$5,8,0)</f>
        <v>1.5</v>
      </c>
      <c r="K28" s="2">
        <f t="shared" si="3"/>
        <v>1.59</v>
      </c>
      <c r="L28" s="2">
        <f>E28*Table1[[#This Row],[Global Weight - Normalized by '# of critieria to contribution (aka each Perspecitive sums to weights in resultant model)]]</f>
        <v>9.8493389021182681E-3</v>
      </c>
      <c r="M28" s="2">
        <f>G28*Table1[[#This Row],[Global Weight - Normalized by '# of critieria to contribution (aka each Perspecitive sums to weights in resultant model)]]</f>
        <v>9.8493389021182681E-3</v>
      </c>
      <c r="N28" s="2">
        <f>I28*Table1[[#This Row],[Global Weight - Normalized by '# of critieria to contribution (aka each Perspecitive sums to weights in resultant model)]]</f>
        <v>9.8493389021182681E-3</v>
      </c>
      <c r="O28" s="2">
        <f>K28*Table1[[#This Row],[Global Weight - Normalized by '# of critieria to contribution (aka each Perspecitive sums to weights in resultant model)]]</f>
        <v>1.4774008353177402E-2</v>
      </c>
      <c r="P28" s="2">
        <f t="shared" si="4"/>
        <v>6.1054477900318116E-3</v>
      </c>
      <c r="Q28" s="2">
        <f t="shared" si="5"/>
        <v>5.2026138958299536E-3</v>
      </c>
      <c r="R28" s="2">
        <f t="shared" si="6"/>
        <v>6.6726457373959946E-3</v>
      </c>
      <c r="S28" s="2">
        <f t="shared" si="7"/>
        <v>1.0087811401034931E-2</v>
      </c>
      <c r="T28" s="2">
        <f>P28*Table1[[#This Row],[D Score (This is the selected average by panelists)]]</f>
        <v>0.61054477900318116</v>
      </c>
      <c r="U28" s="2">
        <f>Q28*Table1[[#This Row],[D Score (This is the selected average by panelists)]]</f>
        <v>0.52026138958299539</v>
      </c>
      <c r="V28" s="2">
        <f>R28*Table1[[#This Row],[D Score (This is the selected average by panelists)]]</f>
        <v>0.66726457373959946</v>
      </c>
      <c r="W28" s="2">
        <f>S28*Table1[[#This Row],[D Score (This is the selected average by panelists)]]</f>
        <v>1.0087811401034932</v>
      </c>
    </row>
    <row r="29" spans="1:24" ht="30" x14ac:dyDescent="0.25">
      <c r="A29" s="2" t="str">
        <f>Table1[[#This Row],[Short Name for Perspective]]</f>
        <v>Org</v>
      </c>
      <c r="B29" s="2" t="str">
        <f>Table1[[#This Row],[Criteria]]</f>
        <v>There is an organizational common vocabulary for cybersecurity in the energy industry</v>
      </c>
      <c r="C29" s="2">
        <f>VLOOKUP(A29,'Panel 1 Score'!$A$2:$D$5,4,0)+1</f>
        <v>1.28</v>
      </c>
      <c r="D29" s="2">
        <f>VLOOKUP(A29,'Panel 1 Score'!$A$2:$H$5,5,0)</f>
        <v>1.5</v>
      </c>
      <c r="E29" s="2">
        <f t="shared" si="0"/>
        <v>1.92</v>
      </c>
      <c r="F29" s="2">
        <f>VLOOKUP(A29,'Panel 1 Score'!$A$2:$H$5,6,0)</f>
        <v>1</v>
      </c>
      <c r="G29" s="2">
        <f t="shared" si="1"/>
        <v>1.28</v>
      </c>
      <c r="H29" s="2">
        <f>VLOOKUP(A29,'Panel 1 Score'!$A$2:$H$5,7,0)</f>
        <v>1</v>
      </c>
      <c r="I29" s="2">
        <f t="shared" si="2"/>
        <v>1.28</v>
      </c>
      <c r="J29" s="2">
        <f>VLOOKUP(A29,'Panel 1 Score'!$A$2:$H$5,8,0)</f>
        <v>1</v>
      </c>
      <c r="K29" s="2">
        <f t="shared" si="3"/>
        <v>1.28</v>
      </c>
      <c r="L29" s="2">
        <f>E29*Table1[[#This Row],[Global Weight - Normalized by '# of critieria to contribution (aka each Perspecitive sums to weights in resultant model)]]</f>
        <v>3.378881317476623E-2</v>
      </c>
      <c r="M29" s="2">
        <f>G29*Table1[[#This Row],[Global Weight - Normalized by '# of critieria to contribution (aka each Perspecitive sums to weights in resultant model)]]</f>
        <v>2.2525875449844156E-2</v>
      </c>
      <c r="N29" s="2">
        <f>I29*Table1[[#This Row],[Global Weight - Normalized by '# of critieria to contribution (aka each Perspecitive sums to weights in resultant model)]]</f>
        <v>2.2525875449844156E-2</v>
      </c>
      <c r="O29" s="2">
        <f>K29*Table1[[#This Row],[Global Weight - Normalized by '# of critieria to contribution (aka each Perspecitive sums to weights in resultant model)]]</f>
        <v>2.2525875449844156E-2</v>
      </c>
      <c r="P29" s="2">
        <f t="shared" si="4"/>
        <v>2.0945145331663508E-2</v>
      </c>
      <c r="Q29" s="2">
        <f t="shared" si="5"/>
        <v>1.1898609012823141E-2</v>
      </c>
      <c r="R29" s="2">
        <f t="shared" si="6"/>
        <v>1.5260637114353895E-2</v>
      </c>
      <c r="S29" s="2">
        <f t="shared" si="7"/>
        <v>1.5380848429827752E-2</v>
      </c>
      <c r="T29" s="2">
        <f>P29*Table1[[#This Row],[D Score (This is the selected average by panelists)]]</f>
        <v>1.1729281385731565</v>
      </c>
      <c r="U29" s="2">
        <f>Q29*Table1[[#This Row],[D Score (This is the selected average by panelists)]]</f>
        <v>0.66632210471809594</v>
      </c>
      <c r="V29" s="2">
        <f>R29*Table1[[#This Row],[D Score (This is the selected average by panelists)]]</f>
        <v>0.85459567840381812</v>
      </c>
      <c r="W29" s="2">
        <f>S29*Table1[[#This Row],[D Score (This is the selected average by panelists)]]</f>
        <v>0.86132751207035407</v>
      </c>
    </row>
    <row r="30" spans="1:24" x14ac:dyDescent="0.25">
      <c r="A30" s="2" t="str">
        <f>Table1[[#This Row],[Short Name for Perspective]]</f>
        <v>Prof</v>
      </c>
      <c r="B30" s="2" t="str">
        <f>Table1[[#This Row],[Criteria]]</f>
        <v>Threats to organization are modeled</v>
      </c>
      <c r="C30" s="2">
        <f>VLOOKUP(A30,'Panel 1 Score'!$A$2:$D$5,4,0)+1</f>
        <v>1.08</v>
      </c>
      <c r="D30" s="2">
        <f>VLOOKUP(A30,'Panel 1 Score'!$A$2:$H$5,5,0)</f>
        <v>1</v>
      </c>
      <c r="E30" s="2">
        <f t="shared" si="0"/>
        <v>1.08</v>
      </c>
      <c r="F30" s="2">
        <f>VLOOKUP(A30,'Panel 1 Score'!$A$2:$H$5,6,0)</f>
        <v>1</v>
      </c>
      <c r="G30" s="2">
        <f t="shared" si="1"/>
        <v>1.08</v>
      </c>
      <c r="H30" s="2">
        <f>VLOOKUP(A30,'Panel 1 Score'!$A$2:$H$5,7,0)</f>
        <v>1.5</v>
      </c>
      <c r="I30" s="2">
        <f t="shared" si="2"/>
        <v>1.62</v>
      </c>
      <c r="J30" s="2">
        <f>VLOOKUP(A30,'Panel 1 Score'!$A$2:$H$5,8,0)</f>
        <v>1</v>
      </c>
      <c r="K30" s="2">
        <f t="shared" si="3"/>
        <v>1.08</v>
      </c>
      <c r="L30" s="2">
        <f>E30*Table1[[#This Row],[Global Weight - Normalized by '# of critieria to contribution (aka each Perspecitive sums to weights in resultant model)]]</f>
        <v>2.6472023359845415E-2</v>
      </c>
      <c r="M30" s="2">
        <f>G30*Table1[[#This Row],[Global Weight - Normalized by '# of critieria to contribution (aka each Perspecitive sums to weights in resultant model)]]</f>
        <v>2.6472023359845415E-2</v>
      </c>
      <c r="N30" s="2">
        <f>I30*Table1[[#This Row],[Global Weight - Normalized by '# of critieria to contribution (aka each Perspecitive sums to weights in resultant model)]]</f>
        <v>3.9708035039768122E-2</v>
      </c>
      <c r="O30" s="2">
        <f>K30*Table1[[#This Row],[Global Weight - Normalized by '# of critieria to contribution (aka each Perspecitive sums to weights in resultant model)]]</f>
        <v>2.6472023359845415E-2</v>
      </c>
      <c r="P30" s="2">
        <f t="shared" si="4"/>
        <v>1.6409584249891002E-2</v>
      </c>
      <c r="Q30" s="2">
        <f t="shared" si="5"/>
        <v>1.3983041699686774E-2</v>
      </c>
      <c r="R30" s="2">
        <f t="shared" si="6"/>
        <v>2.6901059389021115E-2</v>
      </c>
      <c r="S30" s="2">
        <f t="shared" si="7"/>
        <v>1.8075309873537407E-2</v>
      </c>
      <c r="T30" s="2">
        <f>P30*Table1[[#This Row],[D Score (This is the selected average by panelists)]]</f>
        <v>1.0939722833260668</v>
      </c>
      <c r="U30" s="2">
        <f>Q30*Table1[[#This Row],[D Score (This is the selected average by panelists)]]</f>
        <v>0.93220277997911827</v>
      </c>
      <c r="V30" s="2">
        <f>R30*Table1[[#This Row],[D Score (This is the selected average by panelists)]]</f>
        <v>1.7934039592680744</v>
      </c>
      <c r="W30" s="2">
        <f>S30*Table1[[#This Row],[D Score (This is the selected average by panelists)]]</f>
        <v>1.2050206582358272</v>
      </c>
    </row>
    <row r="31" spans="1:24" ht="30" x14ac:dyDescent="0.25">
      <c r="L31" s="2">
        <f>SUM(L2:L30)</f>
        <v>1.613205</v>
      </c>
      <c r="M31" s="2">
        <f t="shared" ref="M31:O31" si="8">SUM(M2:M30)</f>
        <v>1.8931519999999999</v>
      </c>
      <c r="N31" s="2">
        <f t="shared" si="8"/>
        <v>1.4760770000000001</v>
      </c>
      <c r="O31" s="2">
        <f t="shared" si="8"/>
        <v>1.4645405000000002</v>
      </c>
      <c r="P31" s="2">
        <f t="shared" ref="P31" si="9">SUM(P2:P30)</f>
        <v>0.99999999999999989</v>
      </c>
      <c r="Q31" s="2">
        <f t="shared" ref="Q31" si="10">SUM(Q2:Q30)</f>
        <v>1</v>
      </c>
      <c r="R31" s="2">
        <f t="shared" ref="R31" si="11">SUM(R2:R30)</f>
        <v>1</v>
      </c>
      <c r="S31" s="2">
        <f t="shared" ref="S31" si="12">SUM(S2:S30)</f>
        <v>0.99999999999999989</v>
      </c>
      <c r="T31" s="2">
        <f t="shared" ref="T31" si="13">SUM(T2:T30)</f>
        <v>79.60336373930204</v>
      </c>
      <c r="U31" s="2">
        <f t="shared" ref="U31" si="14">SUM(U2:U30)</f>
        <v>78.80497989401745</v>
      </c>
      <c r="V31" s="2">
        <f t="shared" ref="V31" si="15">SUM(V2:V30)</f>
        <v>78.649510118491818</v>
      </c>
      <c r="W31" s="2">
        <f t="shared" ref="W31" si="16">SUM(W2:W30)</f>
        <v>79.081452388509717</v>
      </c>
      <c r="X31" s="2" t="s">
        <v>114</v>
      </c>
    </row>
    <row r="32" spans="1:24" ht="30" x14ac:dyDescent="0.25">
      <c r="T32" s="8">
        <f>T31-Table1[[#Totals],[Score (Normalized * D Score) - This is the weighted score, including desirability curves, and can be filtered by perspective here to compare with a filtered sensitivity perspective, for a sanity check to show global rank has not changed]]</f>
        <v>0.14512814155352771</v>
      </c>
      <c r="U32" s="8">
        <f>U31-Table1[[#Totals],[Score (Normalized * D Score) - This is the weighted score, including desirability curves, and can be filtered by perspective here to compare with a filtered sensitivity perspective, for a sanity check to show global rank has not changed]]</f>
        <v>-0.65325570373106245</v>
      </c>
      <c r="V32" s="8">
        <f>V31-Table1[[#Totals],[Score (Normalized * D Score) - This is the weighted score, including desirability curves, and can be filtered by perspective here to compare with a filtered sensitivity perspective, for a sanity check to show global rank has not changed]]</f>
        <v>-0.8087254792566938</v>
      </c>
      <c r="W32" s="8">
        <f>W31-Table1[[#Totals],[Score (Normalized * D Score) - This is the weighted score, including desirability curves, and can be filtered by perspective here to compare with a filtered sensitivity perspective, for a sanity check to show global rank has not changed]]</f>
        <v>-0.37678320923879483</v>
      </c>
      <c r="X32" s="2" t="s">
        <v>111</v>
      </c>
    </row>
  </sheetData>
  <conditionalFormatting sqref="L2:L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 S32 O2:O30 T2:W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W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BB95-2384-4BCF-B72A-B37A32B71EDF}">
  <dimension ref="A1:L30"/>
  <sheetViews>
    <sheetView zoomScale="80" zoomScaleNormal="80" workbookViewId="0"/>
  </sheetViews>
  <sheetFormatPr defaultRowHeight="15" x14ac:dyDescent="0.25"/>
  <cols>
    <col min="2" max="2" width="79.140625" bestFit="1" customWidth="1"/>
    <col min="3" max="6" width="21.140625" bestFit="1" customWidth="1"/>
    <col min="8" max="8" width="63.5703125" bestFit="1" customWidth="1"/>
    <col min="9" max="12" width="29.140625" bestFit="1" customWidth="1"/>
    <col min="13" max="13" width="13" bestFit="1" customWidth="1"/>
    <col min="14" max="15" width="12" bestFit="1" customWidth="1"/>
    <col min="16" max="22" width="13" bestFit="1" customWidth="1"/>
    <col min="23" max="23" width="12" bestFit="1" customWidth="1"/>
    <col min="24" max="24" width="13" bestFit="1" customWidth="1"/>
    <col min="25" max="25" width="10.85546875" bestFit="1" customWidth="1"/>
    <col min="26" max="37" width="13" bestFit="1" customWidth="1"/>
    <col min="38" max="38" width="11.5703125" bestFit="1" customWidth="1"/>
  </cols>
  <sheetData>
    <row r="1" spans="1:12" x14ac:dyDescent="0.25">
      <c r="A1" t="str">
        <f>Sensitivity!A1</f>
        <v>Short Name for Perspective</v>
      </c>
      <c r="B1" t="str">
        <f>Sensitivity!B1</f>
        <v>Criteria</v>
      </c>
      <c r="C1" t="str">
        <f>Sensitivity!T1</f>
        <v>i1 sens result * D score</v>
      </c>
      <c r="D1" t="str">
        <f>Sensitivity!U1</f>
        <v>i2 sens result * D score</v>
      </c>
      <c r="E1" t="str">
        <f>Sensitivity!V1</f>
        <v>i3 sens result * D score</v>
      </c>
      <c r="F1" t="str">
        <f>Sensitivity!W1</f>
        <v>i4 sens result * D score</v>
      </c>
      <c r="H1" s="9" t="s">
        <v>87</v>
      </c>
      <c r="I1" t="s">
        <v>4</v>
      </c>
    </row>
    <row r="2" spans="1:12" x14ac:dyDescent="0.25">
      <c r="A2" t="str">
        <f>Sensitivity!A2</f>
        <v>Prof</v>
      </c>
      <c r="B2" t="str">
        <f>Sensitivity!B2</f>
        <v>Change Management is considered</v>
      </c>
      <c r="C2">
        <f>Sensitivity!T2</f>
        <v>0.11367373163367736</v>
      </c>
      <c r="D2">
        <f>Sensitivity!U2</f>
        <v>9.686439981581324E-2</v>
      </c>
      <c r="E2">
        <f>Sensitivity!V2</f>
        <v>0.18635108355469238</v>
      </c>
      <c r="F2">
        <f>Sensitivity!W2</f>
        <v>0.12521267403674152</v>
      </c>
    </row>
    <row r="3" spans="1:12" x14ac:dyDescent="0.25">
      <c r="A3" t="str">
        <f>Sensitivity!A3</f>
        <v>Org</v>
      </c>
      <c r="B3" t="str">
        <f>Sensitivity!B3</f>
        <v>Computer users settings and permissions are known</v>
      </c>
      <c r="C3">
        <f>Sensitivity!T3</f>
        <v>2.4301564149579788</v>
      </c>
      <c r="D3">
        <f>Sensitivity!U3</f>
        <v>1.3805337973891465</v>
      </c>
      <c r="E3">
        <f>Sensitivity!V3</f>
        <v>1.7706124542248525</v>
      </c>
      <c r="F3">
        <f>Sensitivity!W3</f>
        <v>1.7845599487312622</v>
      </c>
      <c r="H3" s="9" t="s">
        <v>90</v>
      </c>
      <c r="I3" t="s">
        <v>106</v>
      </c>
      <c r="J3" t="s">
        <v>107</v>
      </c>
      <c r="K3" t="s">
        <v>108</v>
      </c>
      <c r="L3" t="s">
        <v>109</v>
      </c>
    </row>
    <row r="4" spans="1:12" x14ac:dyDescent="0.25">
      <c r="A4" t="str">
        <f>Sensitivity!A4</f>
        <v>Prof</v>
      </c>
      <c r="B4" t="str">
        <f>Sensitivity!B4</f>
        <v>Cyber awareness of all staff is checked</v>
      </c>
      <c r="C4">
        <f>Sensitivity!T4</f>
        <v>1.5794359108445384</v>
      </c>
      <c r="D4">
        <f>Sensitivity!U4</f>
        <v>1.3458792049206634</v>
      </c>
      <c r="E4">
        <f>Sensitivity!V4</f>
        <v>2.5892489774117102</v>
      </c>
      <c r="F4">
        <f>Sensitivity!W4</f>
        <v>1.7397633650649902</v>
      </c>
      <c r="H4" s="10" t="s">
        <v>32</v>
      </c>
      <c r="I4">
        <v>0.61886249131652282</v>
      </c>
      <c r="J4">
        <v>0.52734913271848805</v>
      </c>
      <c r="K4">
        <v>0.67635500404401061</v>
      </c>
      <c r="L4">
        <v>1.0225241964673604</v>
      </c>
    </row>
    <row r="5" spans="1:12" x14ac:dyDescent="0.25">
      <c r="A5" t="str">
        <f>Sensitivity!A5</f>
        <v>Lead</v>
      </c>
      <c r="B5" t="str">
        <f>Sensitivity!B5</f>
        <v>Cybersecurity goals of energy organization are identified</v>
      </c>
      <c r="C5">
        <f>Sensitivity!T5</f>
        <v>0.61886249131652282</v>
      </c>
      <c r="D5">
        <f>Sensitivity!U5</f>
        <v>0.52734913271848805</v>
      </c>
      <c r="E5">
        <f>Sensitivity!V5</f>
        <v>0.67635500404401061</v>
      </c>
      <c r="F5">
        <f>Sensitivity!W5</f>
        <v>1.0225241964673604</v>
      </c>
      <c r="H5" s="10" t="s">
        <v>31</v>
      </c>
      <c r="I5">
        <v>0.22941382375247366</v>
      </c>
      <c r="J5">
        <v>0.19548960017294403</v>
      </c>
      <c r="K5">
        <v>0.25072643740577849</v>
      </c>
      <c r="L5">
        <v>0.37905219508775201</v>
      </c>
    </row>
    <row r="6" spans="1:12" x14ac:dyDescent="0.25">
      <c r="A6" t="str">
        <f>Sensitivity!A6</f>
        <v>Lead</v>
      </c>
      <c r="B6" t="str">
        <f>Sensitivity!B6</f>
        <v>Cybersecurity learning sources are available</v>
      </c>
      <c r="C6">
        <f>Sensitivity!T6</f>
        <v>0.22941382375247366</v>
      </c>
      <c r="D6">
        <f>Sensitivity!U6</f>
        <v>0.19548960017294403</v>
      </c>
      <c r="E6">
        <f>Sensitivity!V6</f>
        <v>0.25072643740577849</v>
      </c>
      <c r="F6">
        <f>Sensitivity!W6</f>
        <v>0.37905219508775201</v>
      </c>
      <c r="H6" s="10" t="s">
        <v>33</v>
      </c>
      <c r="I6">
        <v>0.89482101365226885</v>
      </c>
      <c r="J6">
        <v>0.76250070429046823</v>
      </c>
      <c r="K6">
        <v>0.97795015661710627</v>
      </c>
      <c r="L6">
        <v>1.4784805199947439</v>
      </c>
    </row>
    <row r="7" spans="1:12" x14ac:dyDescent="0.25">
      <c r="A7" t="str">
        <f>Sensitivity!A7</f>
        <v>Org</v>
      </c>
      <c r="B7" t="str">
        <f>Sensitivity!B7</f>
        <v>Cybersecurity Readiness Assessments</v>
      </c>
      <c r="C7">
        <f>Sensitivity!T7</f>
        <v>5.8843575359315912</v>
      </c>
      <c r="D7">
        <f>Sensitivity!U7</f>
        <v>3.3428113533241648</v>
      </c>
      <c r="E7">
        <f>Sensitivity!V7</f>
        <v>4.2873440878547324</v>
      </c>
      <c r="F7">
        <f>Sensitivity!W7</f>
        <v>4.3211164178582626</v>
      </c>
      <c r="H7" s="10" t="s">
        <v>35</v>
      </c>
      <c r="I7">
        <v>0.19919965525581482</v>
      </c>
      <c r="J7">
        <v>0.16974330632561821</v>
      </c>
      <c r="K7">
        <v>0.21770536351217232</v>
      </c>
      <c r="L7">
        <v>0.32913041311280578</v>
      </c>
    </row>
    <row r="8" spans="1:12" x14ac:dyDescent="0.25">
      <c r="A8" t="str">
        <f>Sensitivity!A8</f>
        <v>Lead</v>
      </c>
      <c r="B8" t="str">
        <f>Sensitivity!B8</f>
        <v>Cybersecurity risk is considered priority by C-Suite</v>
      </c>
      <c r="C8">
        <f>Sensitivity!T8</f>
        <v>0.89482101365226885</v>
      </c>
      <c r="D8">
        <f>Sensitivity!U8</f>
        <v>0.76250070429046823</v>
      </c>
      <c r="E8">
        <f>Sensitivity!V8</f>
        <v>0.97795015661710627</v>
      </c>
      <c r="F8">
        <f>Sensitivity!W8</f>
        <v>1.4784805199947439</v>
      </c>
      <c r="H8" s="10" t="s">
        <v>34</v>
      </c>
      <c r="I8">
        <v>0.66060441176078344</v>
      </c>
      <c r="J8">
        <v>0.56291852956051847</v>
      </c>
      <c r="K8">
        <v>0.72197476152975393</v>
      </c>
      <c r="L8">
        <v>1.0914928676344775</v>
      </c>
    </row>
    <row r="9" spans="1:12" x14ac:dyDescent="0.25">
      <c r="A9" t="str">
        <f>Sensitivity!A9</f>
        <v>Tech</v>
      </c>
      <c r="B9" t="str">
        <f>Sensitivity!B9</f>
        <v>Data loss prevention system is in place</v>
      </c>
      <c r="C9">
        <f>Sensitivity!T9</f>
        <v>4.7666422716405741</v>
      </c>
      <c r="D9">
        <f>Sensitivity!U9</f>
        <v>6.0926733398759829</v>
      </c>
      <c r="E9">
        <f>Sensitivity!V9</f>
        <v>5.2094647811881982</v>
      </c>
      <c r="F9">
        <f>Sensitivity!W9</f>
        <v>5.2505008539005456</v>
      </c>
      <c r="H9" s="10" t="s">
        <v>36</v>
      </c>
      <c r="I9">
        <v>0.61054477900318116</v>
      </c>
      <c r="J9">
        <v>0.52026138958299539</v>
      </c>
      <c r="K9">
        <v>0.66726457373959946</v>
      </c>
      <c r="L9">
        <v>1.0087811401034932</v>
      </c>
    </row>
    <row r="10" spans="1:12" x14ac:dyDescent="0.25">
      <c r="A10" t="str">
        <f>Sensitivity!A10</f>
        <v>Org</v>
      </c>
      <c r="B10" t="str">
        <f>Sensitivity!B10</f>
        <v>Documents are marked and protected</v>
      </c>
      <c r="C10">
        <f>Sensitivity!T10</f>
        <v>7.6102661189995455</v>
      </c>
      <c r="D10">
        <f>Sensitivity!U10</f>
        <v>4.3232729875891858</v>
      </c>
      <c r="E10">
        <f>Sensitivity!V10</f>
        <v>5.5448414296818127</v>
      </c>
      <c r="F10">
        <f>Sensitivity!W10</f>
        <v>5.5885193362699361</v>
      </c>
      <c r="H10" s="10" t="s">
        <v>91</v>
      </c>
      <c r="I10">
        <v>3.213446174741045</v>
      </c>
      <c r="J10">
        <v>2.738262662651032</v>
      </c>
      <c r="K10">
        <v>3.5119762968484212</v>
      </c>
      <c r="L10">
        <v>5.309461332400633</v>
      </c>
    </row>
    <row r="11" spans="1:12" x14ac:dyDescent="0.25">
      <c r="A11" t="str">
        <f>Sensitivity!A11</f>
        <v>Tech</v>
      </c>
      <c r="B11" t="str">
        <f>Sensitivity!B11</f>
        <v>Energy system outages are planned for</v>
      </c>
      <c r="C11">
        <f>Sensitivity!T11</f>
        <v>3.0238900020106483</v>
      </c>
      <c r="D11">
        <f>Sensitivity!U11</f>
        <v>3.8651052351001831</v>
      </c>
      <c r="E11">
        <f>Sensitivity!V11</f>
        <v>3.3048102983066516</v>
      </c>
      <c r="F11">
        <f>Sensitivity!W11</f>
        <v>3.330842998669949</v>
      </c>
    </row>
    <row r="12" spans="1:12" x14ac:dyDescent="0.25">
      <c r="A12" t="str">
        <f>Sensitivity!A12</f>
        <v>Prof</v>
      </c>
      <c r="B12" t="str">
        <f>Sensitivity!B12</f>
        <v>External reporting is done</v>
      </c>
      <c r="C12">
        <f>Sensitivity!T12</f>
        <v>0.35213233111850739</v>
      </c>
      <c r="D12">
        <f>Sensitivity!U12</f>
        <v>0.30006129313548602</v>
      </c>
      <c r="E12">
        <f>Sensitivity!V12</f>
        <v>0.57726829686598158</v>
      </c>
      <c r="F12">
        <f>Sensitivity!W12</f>
        <v>0.38787704213166629</v>
      </c>
    </row>
    <row r="13" spans="1:12" x14ac:dyDescent="0.25">
      <c r="A13" t="str">
        <f>Sensitivity!A13</f>
        <v>Prof</v>
      </c>
      <c r="B13" t="str">
        <f>Sensitivity!B13</f>
        <v>External vendor/supply coordination is done</v>
      </c>
      <c r="C13">
        <f>Sensitivity!T13</f>
        <v>0.41484966370775106</v>
      </c>
      <c r="D13">
        <f>Sensitivity!U13</f>
        <v>0.35350439465064748</v>
      </c>
      <c r="E13">
        <f>Sensitivity!V13</f>
        <v>0.68008398451604746</v>
      </c>
      <c r="F13">
        <f>Sensitivity!W13</f>
        <v>0.45696076806456526</v>
      </c>
    </row>
    <row r="14" spans="1:12" x14ac:dyDescent="0.25">
      <c r="A14" t="str">
        <f>Sensitivity!A14</f>
        <v>Tech</v>
      </c>
      <c r="B14" t="str">
        <f>Sensitivity!B14</f>
        <v>Info Officer is in contact with Internet Service Provider</v>
      </c>
      <c r="C14">
        <f>Sensitivity!T14</f>
        <v>2.7466169497948836</v>
      </c>
      <c r="D14">
        <f>Sensitivity!U14</f>
        <v>3.5106976591107237</v>
      </c>
      <c r="E14">
        <f>Sensitivity!V14</f>
        <v>3.0017784956298725</v>
      </c>
      <c r="F14">
        <f>Sensitivity!W14</f>
        <v>3.0254241494133178</v>
      </c>
    </row>
    <row r="15" spans="1:12" x14ac:dyDescent="0.25">
      <c r="A15" t="str">
        <f>Sensitivity!A15</f>
        <v>Tech</v>
      </c>
      <c r="B15" t="str">
        <f>Sensitivity!B15</f>
        <v>Logging is sufficient for security and forensics</v>
      </c>
      <c r="C15">
        <f>Sensitivity!T15</f>
        <v>2.3697124613247933</v>
      </c>
      <c r="D15">
        <f>Sensitivity!U15</f>
        <v>3.0289422015544423</v>
      </c>
      <c r="E15">
        <f>Sensitivity!V15</f>
        <v>2.5898594661196288</v>
      </c>
      <c r="F15">
        <f>Sensitivity!W15</f>
        <v>2.6102603452560462</v>
      </c>
    </row>
    <row r="16" spans="1:12" x14ac:dyDescent="0.25">
      <c r="A16" t="str">
        <f>Sensitivity!A16</f>
        <v>Tech</v>
      </c>
      <c r="B16" t="str">
        <f>Sensitivity!B16</f>
        <v>Machine limitations are recorded</v>
      </c>
      <c r="C16">
        <f>Sensitivity!T16</f>
        <v>4.3659880428723215</v>
      </c>
      <c r="D16">
        <f>Sensitivity!U16</f>
        <v>5.5805612074745001</v>
      </c>
      <c r="E16">
        <f>Sensitivity!V16</f>
        <v>4.7715896533187925</v>
      </c>
      <c r="F16">
        <f>Sensitivity!W16</f>
        <v>4.8091764896237708</v>
      </c>
    </row>
    <row r="17" spans="1:6" x14ac:dyDescent="0.25">
      <c r="A17" t="str">
        <f>Sensitivity!A17</f>
        <v>Tech</v>
      </c>
      <c r="B17" t="str">
        <f>Sensitivity!B17</f>
        <v>Network and System admin procedures documented</v>
      </c>
      <c r="C17">
        <f>Sensitivity!T17</f>
        <v>10.117627102645599</v>
      </c>
      <c r="D17">
        <f>Sensitivity!U17</f>
        <v>12.932247355302209</v>
      </c>
      <c r="E17">
        <f>Sensitivity!V17</f>
        <v>11.05755772234334</v>
      </c>
      <c r="F17">
        <f>Sensitivity!W17</f>
        <v>11.144660478917032</v>
      </c>
    </row>
    <row r="18" spans="1:6" x14ac:dyDescent="0.25">
      <c r="A18" t="str">
        <f>Sensitivity!A18</f>
        <v>Tech</v>
      </c>
      <c r="B18" t="str">
        <f>Sensitivity!B18</f>
        <v>Network modeling for IoT is done</v>
      </c>
      <c r="C18">
        <f>Sensitivity!T18</f>
        <v>5.2956242212563769</v>
      </c>
      <c r="D18">
        <f>Sensitivity!U18</f>
        <v>6.768812650953457</v>
      </c>
      <c r="E18">
        <f>Sensitivity!V18</f>
        <v>5.787589314007259</v>
      </c>
      <c r="F18">
        <f>Sensitivity!W18</f>
        <v>5.8331793978055853</v>
      </c>
    </row>
    <row r="19" spans="1:6" x14ac:dyDescent="0.25">
      <c r="A19" t="str">
        <f>Sensitivity!A19</f>
        <v>Tech</v>
      </c>
      <c r="B19" t="str">
        <f>Sensitivity!B19</f>
        <v>Outages are not required for security updates</v>
      </c>
      <c r="C19">
        <f>Sensitivity!T19</f>
        <v>2.8738073811483509</v>
      </c>
      <c r="D19">
        <f>Sensitivity!U19</f>
        <v>3.6732711660015349</v>
      </c>
      <c r="E19">
        <f>Sensitivity!V19</f>
        <v>3.1407849565472703</v>
      </c>
      <c r="F19">
        <f>Sensitivity!W19</f>
        <v>3.1655255940722871</v>
      </c>
    </row>
    <row r="20" spans="1:6" x14ac:dyDescent="0.25">
      <c r="A20" t="str">
        <f>Sensitivity!A20</f>
        <v>Tech</v>
      </c>
      <c r="B20" t="str">
        <f>Sensitivity!B20</f>
        <v>Planning for forensic evidence collection</v>
      </c>
      <c r="C20">
        <f>Sensitivity!T20</f>
        <v>2.4764589922257301</v>
      </c>
      <c r="D20">
        <f>Sensitivity!U20</f>
        <v>3.1653845242380241</v>
      </c>
      <c r="E20">
        <f>Sensitivity!V20</f>
        <v>2.7065227820455906</v>
      </c>
      <c r="F20">
        <f>Sensitivity!W20</f>
        <v>2.7278426431727278</v>
      </c>
    </row>
    <row r="21" spans="1:6" x14ac:dyDescent="0.25">
      <c r="A21" t="str">
        <f>Sensitivity!A21</f>
        <v>Lead</v>
      </c>
      <c r="B21" t="str">
        <f>Sensitivity!B21</f>
        <v>Policies are updated</v>
      </c>
      <c r="C21">
        <f>Sensitivity!T21</f>
        <v>0.19919965525581482</v>
      </c>
      <c r="D21">
        <f>Sensitivity!U21</f>
        <v>0.16974330632561821</v>
      </c>
      <c r="E21">
        <f>Sensitivity!V21</f>
        <v>0.21770536351217232</v>
      </c>
      <c r="F21">
        <f>Sensitivity!W21</f>
        <v>0.32913041311280578</v>
      </c>
    </row>
    <row r="22" spans="1:6" x14ac:dyDescent="0.25">
      <c r="A22" t="str">
        <f>Sensitivity!A22</f>
        <v>Org</v>
      </c>
      <c r="B22" t="str">
        <f>Sensitivity!B22</f>
        <v>Presence of Implementation Oversight</v>
      </c>
      <c r="C22">
        <f>Sensitivity!T22</f>
        <v>3.791715386358308</v>
      </c>
      <c r="D22">
        <f>Sensitivity!U22</f>
        <v>2.1540141238351542</v>
      </c>
      <c r="E22">
        <f>Sensitivity!V22</f>
        <v>2.7626445954830063</v>
      </c>
      <c r="F22">
        <f>Sensitivity!W22</f>
        <v>2.784406540185655</v>
      </c>
    </row>
    <row r="23" spans="1:6" x14ac:dyDescent="0.25">
      <c r="A23" t="str">
        <f>Sensitivity!A23</f>
        <v>Org</v>
      </c>
      <c r="B23" t="str">
        <f>Sensitivity!B23</f>
        <v>Presence of legislative understanding</v>
      </c>
      <c r="C23">
        <f>Sensitivity!T23</f>
        <v>5.286590046548703</v>
      </c>
      <c r="D23">
        <f>Sensitivity!U23</f>
        <v>3.0032290050464701</v>
      </c>
      <c r="E23">
        <f>Sensitivity!V23</f>
        <v>3.8518105744901754</v>
      </c>
      <c r="F23">
        <f>Sensitivity!W23</f>
        <v>3.8821521134866082</v>
      </c>
    </row>
    <row r="24" spans="1:6" x14ac:dyDescent="0.25">
      <c r="A24" t="str">
        <f>Sensitivity!A24</f>
        <v>Lead</v>
      </c>
      <c r="B24" t="str">
        <f>Sensitivity!B24</f>
        <v>Professionals with cyber certifications are in operations roles</v>
      </c>
      <c r="C24">
        <f>Sensitivity!T24</f>
        <v>0.66060441176078344</v>
      </c>
      <c r="D24">
        <f>Sensitivity!U24</f>
        <v>0.56291852956051847</v>
      </c>
      <c r="E24">
        <f>Sensitivity!V24</f>
        <v>0.72197476152975393</v>
      </c>
      <c r="F24">
        <f>Sensitivity!W24</f>
        <v>1.0914928676344775</v>
      </c>
    </row>
    <row r="25" spans="1:6" x14ac:dyDescent="0.25">
      <c r="A25" t="str">
        <f>Sensitivity!A25</f>
        <v>Tech</v>
      </c>
      <c r="B25" t="str">
        <f>Sensitivity!B25</f>
        <v>Retention periods are in place and used for information and data</v>
      </c>
      <c r="C25">
        <f>Sensitivity!T25</f>
        <v>3.0283363560027614</v>
      </c>
      <c r="D25">
        <f>Sensitivity!U25</f>
        <v>3.870788519241009</v>
      </c>
      <c r="E25">
        <f>Sensitivity!V25</f>
        <v>3.3096697199302172</v>
      </c>
      <c r="F25">
        <f>Sensitivity!W25</f>
        <v>3.3357406990011098</v>
      </c>
    </row>
    <row r="26" spans="1:6" x14ac:dyDescent="0.25">
      <c r="A26" t="str">
        <f>Sensitivity!A26</f>
        <v>Org</v>
      </c>
      <c r="B26" t="str">
        <f>Sensitivity!B26</f>
        <v>Social impact of breaches is talked about in the company</v>
      </c>
      <c r="C26">
        <f>Sensitivity!T26</f>
        <v>2.0730835857557719</v>
      </c>
      <c r="D26">
        <f>Sensitivity!U26</f>
        <v>1.177686315717259</v>
      </c>
      <c r="E26">
        <f>Sensitivity!V26</f>
        <v>1.5104491188283269</v>
      </c>
      <c r="F26">
        <f>Sensitivity!W26</f>
        <v>1.5223472508768177</v>
      </c>
    </row>
    <row r="27" spans="1:6" x14ac:dyDescent="0.25">
      <c r="A27" t="str">
        <f>Sensitivity!A27</f>
        <v>Tech</v>
      </c>
      <c r="B27" t="str">
        <f>Sensitivity!B27</f>
        <v>Standards are understood</v>
      </c>
      <c r="C27">
        <f>Sensitivity!T27</f>
        <v>3.5220526358833584</v>
      </c>
      <c r="D27">
        <f>Sensitivity!U27</f>
        <v>4.5018516123931516</v>
      </c>
      <c r="E27">
        <f>Sensitivity!V27</f>
        <v>3.8492523916233456</v>
      </c>
      <c r="F27">
        <f>Sensitivity!W27</f>
        <v>3.8795737792640166</v>
      </c>
    </row>
    <row r="28" spans="1:6" x14ac:dyDescent="0.25">
      <c r="A28" t="str">
        <f>Sensitivity!A28</f>
        <v>Lead</v>
      </c>
      <c r="B28" t="str">
        <f>Sensitivity!B28</f>
        <v>Supply chain cyber risk is considered during procurement</v>
      </c>
      <c r="C28">
        <f>Sensitivity!T28</f>
        <v>0.61054477900318116</v>
      </c>
      <c r="D28">
        <f>Sensitivity!U28</f>
        <v>0.52026138958299539</v>
      </c>
      <c r="E28">
        <f>Sensitivity!V28</f>
        <v>0.66726457373959946</v>
      </c>
      <c r="F28">
        <f>Sensitivity!W28</f>
        <v>1.0087811401034932</v>
      </c>
    </row>
    <row r="29" spans="1:6" x14ac:dyDescent="0.25">
      <c r="A29" t="str">
        <f>Sensitivity!A29</f>
        <v>Org</v>
      </c>
      <c r="B29" t="str">
        <f>Sensitivity!B29</f>
        <v>There is an organizational common vocabulary for cybersecurity in the energy industry</v>
      </c>
      <c r="C29">
        <f>Sensitivity!T29</f>
        <v>1.1729281385731565</v>
      </c>
      <c r="D29">
        <f>Sensitivity!U29</f>
        <v>0.66632210471809594</v>
      </c>
      <c r="E29">
        <f>Sensitivity!V29</f>
        <v>0.85459567840381812</v>
      </c>
      <c r="F29">
        <f>Sensitivity!W29</f>
        <v>0.86132751207035407</v>
      </c>
    </row>
    <row r="30" spans="1:6" x14ac:dyDescent="0.25">
      <c r="A30" t="str">
        <f>Sensitivity!A30</f>
        <v>Prof</v>
      </c>
      <c r="B30" t="str">
        <f>Sensitivity!B30</f>
        <v>Threats to organization are modeled</v>
      </c>
      <c r="C30">
        <f>Sensitivity!T30</f>
        <v>1.0939722833260668</v>
      </c>
      <c r="D30">
        <f>Sensitivity!U30</f>
        <v>0.93220277997911827</v>
      </c>
      <c r="E30">
        <f>Sensitivity!V30</f>
        <v>1.7934039592680744</v>
      </c>
      <c r="F30">
        <f>Sensitivity!W30</f>
        <v>1.2050206582358272</v>
      </c>
    </row>
  </sheetData>
  <conditionalFormatting pivot="1" sqref="I4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 Ranges from strategy experts</vt:lpstr>
      <vt:lpstr>Model Results Import</vt:lpstr>
      <vt:lpstr>Panel 1 Score</vt:lpstr>
      <vt:lpstr>Panel 1 D Score composite</vt:lpstr>
      <vt:lpstr>Sensitivity</vt:lpstr>
      <vt:lpstr>Sensitivity Sanity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2023-01-13T15:30:52Z</dcterms:modified>
</cp:coreProperties>
</file>