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1"/>
  <workbookPr/>
  <mc:AlternateContent xmlns:mc="http://schemas.openxmlformats.org/markup-compatibility/2006">
    <mc:Choice Requires="x15">
      <x15ac:absPath xmlns:x15ac="http://schemas.microsoft.com/office/spreadsheetml/2010/11/ac" url="C:\zd_zxjtzq\ciss_web\CISS_rc\apps\rc_self\"/>
    </mc:Choice>
  </mc:AlternateContent>
  <xr:revisionPtr revIDLastSave="0" documentId="13_ncr:1_{7E54ED49-E261-4077-96AF-0BE5C6770CE3}" xr6:coauthVersionLast="36" xr6:coauthVersionMax="45" xr10:uidLastSave="{00000000-0000-0000-0000-000000000000}"/>
  <bookViews>
    <workbookView xWindow="0" yWindow="0" windowWidth="23040" windowHeight="9012" activeTab="1" xr2:uid="{00000000-000D-0000-FFFF-FFFF00000000}"/>
  </bookViews>
  <sheets>
    <sheet name="rc_debt_191021" sheetId="8" r:id="rId1"/>
    <sheet name="每月记录表" sheetId="7" r:id="rId2"/>
    <sheet name="ICBC分期合计" sheetId="10" r:id="rId3"/>
    <sheet name="分期试算" sheetId="9" r:id="rId4"/>
    <sheet name="rc_self" sheetId="5" r:id="rId5"/>
    <sheet name="上课笔记和考核_self" sheetId="4" r:id="rId6"/>
    <sheet name="rc_debt_191020" sheetId="6"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9" i="8" l="1"/>
  <c r="J38" i="8"/>
  <c r="J37" i="8"/>
  <c r="S29" i="8" l="1"/>
  <c r="T29" i="8" s="1"/>
  <c r="L29" i="8"/>
  <c r="S28" i="8"/>
  <c r="T28" i="8" s="1"/>
  <c r="L28" i="8"/>
  <c r="G28" i="8"/>
  <c r="H134" i="10" l="1"/>
  <c r="H135" i="10"/>
  <c r="H136" i="10"/>
  <c r="H137" i="10"/>
  <c r="H138" i="10"/>
  <c r="H139" i="10"/>
  <c r="H140" i="10"/>
  <c r="H141" i="10"/>
  <c r="H142" i="10"/>
  <c r="H143" i="10"/>
  <c r="H144" i="10"/>
  <c r="H145" i="10"/>
  <c r="H146" i="10"/>
  <c r="H147" i="10"/>
  <c r="H148" i="10"/>
  <c r="H149" i="10"/>
  <c r="H150" i="10"/>
  <c r="H151" i="10"/>
  <c r="H152" i="10"/>
  <c r="H153" i="10"/>
  <c r="H114" i="10"/>
  <c r="H115" i="10"/>
  <c r="H116" i="10"/>
  <c r="H117" i="10"/>
  <c r="H118" i="10"/>
  <c r="H119" i="10"/>
  <c r="H120" i="10"/>
  <c r="H121" i="10"/>
  <c r="H122" i="10"/>
  <c r="H123" i="10"/>
  <c r="H124" i="10"/>
  <c r="H125" i="10"/>
  <c r="H126" i="10"/>
  <c r="H127" i="10"/>
  <c r="H128" i="10"/>
  <c r="H129" i="10"/>
  <c r="H130" i="10"/>
  <c r="H131" i="10"/>
  <c r="H132" i="10"/>
  <c r="H133" i="10"/>
  <c r="H94" i="10"/>
  <c r="H95" i="10"/>
  <c r="H96" i="10"/>
  <c r="H97" i="10"/>
  <c r="H98" i="10"/>
  <c r="H99" i="10"/>
  <c r="H100" i="10"/>
  <c r="H101" i="10"/>
  <c r="H102" i="10"/>
  <c r="H103" i="10"/>
  <c r="H104" i="10"/>
  <c r="H105" i="10"/>
  <c r="H106" i="10"/>
  <c r="H107" i="10"/>
  <c r="H108" i="10"/>
  <c r="H109" i="10"/>
  <c r="H110" i="10"/>
  <c r="H111" i="10"/>
  <c r="H112" i="10"/>
  <c r="H113" i="10"/>
  <c r="H74" i="10"/>
  <c r="H75" i="10"/>
  <c r="H76" i="10"/>
  <c r="H77" i="10"/>
  <c r="H78" i="10"/>
  <c r="H79" i="10"/>
  <c r="H80" i="10"/>
  <c r="H81" i="10"/>
  <c r="H82" i="10"/>
  <c r="H83" i="10"/>
  <c r="H84" i="10"/>
  <c r="H85" i="10"/>
  <c r="H86" i="10"/>
  <c r="H87" i="10"/>
  <c r="H88" i="10"/>
  <c r="H89" i="10"/>
  <c r="H90" i="10"/>
  <c r="H91" i="10"/>
  <c r="H92" i="10"/>
  <c r="H93" i="10"/>
  <c r="H54" i="10"/>
  <c r="H55" i="10"/>
  <c r="H56" i="10"/>
  <c r="H57" i="10"/>
  <c r="H58" i="10"/>
  <c r="H59" i="10"/>
  <c r="H60" i="10"/>
  <c r="H61" i="10"/>
  <c r="H62" i="10"/>
  <c r="H63" i="10"/>
  <c r="H64" i="10"/>
  <c r="H65" i="10"/>
  <c r="H66" i="10"/>
  <c r="H67" i="10"/>
  <c r="H68" i="10"/>
  <c r="H69" i="10"/>
  <c r="H71" i="10"/>
  <c r="H72" i="10"/>
  <c r="H73" i="10"/>
  <c r="H34" i="10"/>
  <c r="H35" i="10"/>
  <c r="H36" i="10"/>
  <c r="H37" i="10"/>
  <c r="H38" i="10"/>
  <c r="H39" i="10"/>
  <c r="H40" i="10"/>
  <c r="H41" i="10"/>
  <c r="H42" i="10"/>
  <c r="H43" i="10"/>
  <c r="H44" i="10"/>
  <c r="H45" i="10"/>
  <c r="H46" i="10"/>
  <c r="H47" i="10"/>
  <c r="H48" i="10"/>
  <c r="H49" i="10"/>
  <c r="H50" i="10"/>
  <c r="H51" i="10"/>
  <c r="H52" i="10"/>
  <c r="H53" i="10"/>
  <c r="H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I3" i="7"/>
  <c r="J3" i="7"/>
  <c r="K3" i="7"/>
  <c r="I4" i="7"/>
  <c r="J4" i="7"/>
  <c r="K4" i="7"/>
  <c r="I5" i="7"/>
  <c r="J5" i="7"/>
  <c r="K5" i="7"/>
  <c r="I6" i="7"/>
  <c r="J6" i="7"/>
  <c r="K6" i="7"/>
  <c r="I7" i="7"/>
  <c r="J7" i="7"/>
  <c r="K7" i="7"/>
  <c r="I8" i="7"/>
  <c r="J8" i="7"/>
  <c r="K8" i="7"/>
  <c r="I9" i="7"/>
  <c r="J9" i="7"/>
  <c r="K9" i="7"/>
  <c r="I10" i="7"/>
  <c r="J10" i="7"/>
  <c r="K10" i="7"/>
  <c r="I11" i="7"/>
  <c r="J11" i="7"/>
  <c r="K11" i="7"/>
  <c r="I12" i="7"/>
  <c r="J12" i="7"/>
  <c r="K12" i="7"/>
  <c r="I13" i="7"/>
  <c r="J13" i="7"/>
  <c r="K13" i="7"/>
  <c r="I14" i="7"/>
  <c r="J14" i="7"/>
  <c r="K14" i="7"/>
  <c r="I15" i="7"/>
  <c r="J15" i="7"/>
  <c r="K15" i="7"/>
  <c r="I16" i="7"/>
  <c r="J16" i="7"/>
  <c r="K16" i="7"/>
  <c r="I17" i="7"/>
  <c r="J17" i="7"/>
  <c r="K17" i="7"/>
  <c r="I18" i="7"/>
  <c r="J18" i="7"/>
  <c r="K18" i="7"/>
  <c r="I19" i="7"/>
  <c r="J19" i="7"/>
  <c r="K19" i="7"/>
  <c r="I20" i="7"/>
  <c r="J20" i="7"/>
  <c r="K20" i="7"/>
  <c r="I21" i="7"/>
  <c r="J21" i="7"/>
  <c r="K21" i="7"/>
  <c r="I22" i="7"/>
  <c r="J22" i="7"/>
  <c r="K22" i="7"/>
  <c r="I23" i="7"/>
  <c r="J23" i="7"/>
  <c r="K23" i="7"/>
  <c r="I24" i="7"/>
  <c r="J24" i="7"/>
  <c r="K24" i="7"/>
  <c r="I25" i="7"/>
  <c r="J25" i="7"/>
  <c r="K25" i="7"/>
  <c r="I26" i="7"/>
  <c r="J26" i="7"/>
  <c r="K26" i="7"/>
  <c r="S17" i="8"/>
  <c r="T17" i="8" s="1"/>
  <c r="L17" i="8"/>
  <c r="G17" i="8"/>
  <c r="J1" i="10" l="1"/>
  <c r="T5" i="8"/>
  <c r="G5" i="8"/>
  <c r="A5" i="8"/>
  <c r="E2" i="7" l="1"/>
  <c r="E3" i="7" s="1"/>
  <c r="E4" i="7" s="1"/>
  <c r="E5" i="7" s="1"/>
  <c r="E6" i="7" s="1"/>
  <c r="E7" i="7" s="1"/>
  <c r="E8" i="7" s="1"/>
  <c r="E9" i="7" s="1"/>
  <c r="E10" i="7" s="1"/>
  <c r="E11" i="7" s="1"/>
  <c r="E12" i="7" s="1"/>
  <c r="E13" i="7" s="1"/>
  <c r="E14" i="7" s="1"/>
  <c r="E15" i="7" s="1"/>
  <c r="E16" i="7" s="1"/>
  <c r="E17" i="7" s="1"/>
  <c r="E18" i="7" s="1"/>
  <c r="E19" i="7" s="1"/>
  <c r="E20" i="7" s="1"/>
  <c r="E21" i="7" s="1"/>
  <c r="E22" i="7" s="1"/>
  <c r="E23" i="7" s="1"/>
  <c r="E24" i="7" s="1"/>
  <c r="E25" i="7" s="1"/>
  <c r="E26" i="7" s="1"/>
  <c r="K2" i="7"/>
  <c r="J2" i="7"/>
  <c r="I2" i="7"/>
  <c r="M47" i="9"/>
  <c r="L47" i="9"/>
  <c r="M46" i="9"/>
  <c r="L46" i="9"/>
  <c r="M45" i="9"/>
  <c r="L45" i="9"/>
  <c r="M44" i="9"/>
  <c r="L44" i="9"/>
  <c r="M43" i="9"/>
  <c r="L43" i="9"/>
  <c r="M42" i="9"/>
  <c r="L42" i="9"/>
  <c r="M41" i="9"/>
  <c r="L41" i="9"/>
  <c r="M40" i="9"/>
  <c r="L40" i="9"/>
  <c r="M39" i="9"/>
  <c r="L39" i="9"/>
  <c r="M38" i="9"/>
  <c r="L38" i="9"/>
  <c r="M37" i="9"/>
  <c r="L37" i="9"/>
  <c r="M36" i="9"/>
  <c r="L36" i="9"/>
  <c r="J36" i="9"/>
  <c r="N24" i="9"/>
  <c r="N23" i="9"/>
  <c r="N22" i="9"/>
  <c r="N21" i="9"/>
  <c r="N20" i="9"/>
  <c r="N19" i="9"/>
  <c r="N18" i="9"/>
  <c r="N17" i="9"/>
  <c r="N16" i="9"/>
  <c r="N15" i="9"/>
  <c r="N14" i="9"/>
  <c r="N13" i="9"/>
  <c r="N12" i="9"/>
  <c r="N11" i="9"/>
  <c r="N10" i="9"/>
  <c r="N9" i="9"/>
  <c r="N8" i="9"/>
  <c r="O7" i="9"/>
  <c r="K8" i="9" s="1"/>
  <c r="O8" i="9" s="1"/>
  <c r="K9" i="9" s="1"/>
  <c r="M7" i="9"/>
  <c r="P7" i="9" s="1"/>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B12" i="9"/>
  <c r="D107" i="9" s="1"/>
  <c r="L31" i="8"/>
  <c r="G31" i="8"/>
  <c r="D59" i="8"/>
  <c r="F59" i="8" s="1"/>
  <c r="D58" i="8"/>
  <c r="F58" i="8" s="1"/>
  <c r="D57" i="8"/>
  <c r="F57" i="8" s="1"/>
  <c r="D56" i="8"/>
  <c r="F56" i="8" s="1"/>
  <c r="D55" i="8"/>
  <c r="F55" i="8" s="1"/>
  <c r="G50" i="8"/>
  <c r="F50" i="8" s="1"/>
  <c r="D50" i="8" s="1"/>
  <c r="G49" i="8"/>
  <c r="F49" i="8" s="1"/>
  <c r="D49" i="8" s="1"/>
  <c r="G48" i="8"/>
  <c r="F48" i="8" s="1"/>
  <c r="D48" i="8" s="1"/>
  <c r="N41" i="8"/>
  <c r="L41" i="8"/>
  <c r="F41" i="8"/>
  <c r="D41" i="8"/>
  <c r="D38" i="8"/>
  <c r="D37" i="8"/>
  <c r="I36" i="8"/>
  <c r="I39" i="8" s="1"/>
  <c r="H36" i="8"/>
  <c r="D36" i="8"/>
  <c r="S27" i="8"/>
  <c r="T27" i="8" s="1"/>
  <c r="L27" i="8"/>
  <c r="G27" i="8"/>
  <c r="S26" i="8"/>
  <c r="T26" i="8" s="1"/>
  <c r="L26" i="8"/>
  <c r="G26" i="8"/>
  <c r="S25" i="8"/>
  <c r="T25" i="8" s="1"/>
  <c r="L25" i="8"/>
  <c r="G25" i="8"/>
  <c r="S24" i="8"/>
  <c r="T24" i="8" s="1"/>
  <c r="L24" i="8"/>
  <c r="G24" i="8"/>
  <c r="S23" i="8"/>
  <c r="T23" i="8" s="1"/>
  <c r="L23" i="8"/>
  <c r="G23" i="8"/>
  <c r="S22" i="8"/>
  <c r="T22" i="8" s="1"/>
  <c r="L22" i="8"/>
  <c r="G22" i="8"/>
  <c r="S21" i="8"/>
  <c r="T21" i="8" s="1"/>
  <c r="L21" i="8"/>
  <c r="G21" i="8"/>
  <c r="S20" i="8"/>
  <c r="T20" i="8" s="1"/>
  <c r="L20" i="8"/>
  <c r="G20" i="8"/>
  <c r="S19" i="8"/>
  <c r="T19" i="8" s="1"/>
  <c r="L19" i="8"/>
  <c r="G19" i="8"/>
  <c r="S18" i="8"/>
  <c r="T18" i="8" s="1"/>
  <c r="L18" i="8"/>
  <c r="G18" i="8"/>
  <c r="S16" i="8"/>
  <c r="T16" i="8" s="1"/>
  <c r="L16" i="8"/>
  <c r="G16" i="8"/>
  <c r="S15" i="8"/>
  <c r="T15" i="8" s="1"/>
  <c r="L15" i="8"/>
  <c r="G15" i="8"/>
  <c r="S14" i="8"/>
  <c r="T14" i="8" s="1"/>
  <c r="L14" i="8"/>
  <c r="G14" i="8"/>
  <c r="G11" i="8"/>
  <c r="G10" i="8"/>
  <c r="G9" i="8"/>
  <c r="T8" i="8"/>
  <c r="G8" i="8"/>
  <c r="A7" i="8"/>
  <c r="T6" i="8"/>
  <c r="T4" i="8"/>
  <c r="G4" i="8"/>
  <c r="A4" i="8"/>
  <c r="T3" i="8"/>
  <c r="G3" i="8"/>
  <c r="G2" i="8"/>
  <c r="R17" i="8" l="1"/>
  <c r="K17" i="8" s="1"/>
  <c r="J17" i="8" s="1"/>
  <c r="R28" i="8"/>
  <c r="K28" i="8" s="1"/>
  <c r="J28" i="8" s="1"/>
  <c r="R29" i="8"/>
  <c r="J29" i="8" s="1"/>
  <c r="R23" i="8"/>
  <c r="K23" i="8" s="1"/>
  <c r="R5" i="8"/>
  <c r="K5" i="8" s="1"/>
  <c r="J5" i="8" s="1"/>
  <c r="F12" i="9"/>
  <c r="B13" i="9" s="1"/>
  <c r="F13" i="9" s="1"/>
  <c r="B14" i="9" s="1"/>
  <c r="F14" i="9" s="1"/>
  <c r="B15" i="9" s="1"/>
  <c r="F15" i="9" s="1"/>
  <c r="B16" i="9" s="1"/>
  <c r="F16" i="9" s="1"/>
  <c r="B17" i="9" s="1"/>
  <c r="F17" i="9" s="1"/>
  <c r="B18" i="9" s="1"/>
  <c r="F18" i="9" s="1"/>
  <c r="B19" i="9" s="1"/>
  <c r="F19" i="9" s="1"/>
  <c r="B20" i="9" s="1"/>
  <c r="F20" i="9" s="1"/>
  <c r="B21" i="9" s="1"/>
  <c r="F21" i="9" s="1"/>
  <c r="B22" i="9" s="1"/>
  <c r="F22" i="9" s="1"/>
  <c r="B23" i="9" s="1"/>
  <c r="F23" i="9" s="1"/>
  <c r="B24" i="9" s="1"/>
  <c r="R26" i="8"/>
  <c r="K26" i="8" s="1"/>
  <c r="J26" i="8" s="1"/>
  <c r="R15" i="8"/>
  <c r="K15" i="8" s="1"/>
  <c r="J15" i="8" s="1"/>
  <c r="D12" i="9"/>
  <c r="G12" i="9" s="1"/>
  <c r="O36" i="9"/>
  <c r="D24" i="9"/>
  <c r="C24" i="9" s="1"/>
  <c r="L7" i="9"/>
  <c r="R8" i="8"/>
  <c r="K8" i="8" s="1"/>
  <c r="J8" i="8" s="1"/>
  <c r="R25" i="8"/>
  <c r="K25" i="8" s="1"/>
  <c r="J25" i="8" s="1"/>
  <c r="R2" i="8"/>
  <c r="K2" i="8" s="1"/>
  <c r="R24" i="8"/>
  <c r="K24" i="8" s="1"/>
  <c r="J24" i="8" s="1"/>
  <c r="D47" i="8"/>
  <c r="R20" i="8"/>
  <c r="K20" i="8" s="1"/>
  <c r="J20" i="8" s="1"/>
  <c r="R3" i="8"/>
  <c r="K3" i="8" s="1"/>
  <c r="J3" i="8" s="1"/>
  <c r="R6" i="8"/>
  <c r="K6" i="8" s="1"/>
  <c r="J6" i="8" s="1"/>
  <c r="R11" i="8"/>
  <c r="K11" i="8" s="1"/>
  <c r="J11" i="8" s="1"/>
  <c r="R21" i="8"/>
  <c r="K21" i="8" s="1"/>
  <c r="J21" i="8" s="1"/>
  <c r="G41" i="8"/>
  <c r="R45" i="8" s="1"/>
  <c r="R46" i="8" s="1"/>
  <c r="R9" i="8"/>
  <c r="K9" i="8" s="1"/>
  <c r="J9" i="8" s="1"/>
  <c r="R4" i="8"/>
  <c r="K4" i="8" s="1"/>
  <c r="J4" i="8" s="1"/>
  <c r="R14" i="8"/>
  <c r="K14" i="8" s="1"/>
  <c r="J14" i="8" s="1"/>
  <c r="R19" i="8"/>
  <c r="K19" i="8" s="1"/>
  <c r="J19" i="8" s="1"/>
  <c r="R31" i="8"/>
  <c r="K31" i="8" s="1"/>
  <c r="J31" i="8" s="1"/>
  <c r="R10" i="8"/>
  <c r="K10" i="8" s="1"/>
  <c r="J10" i="8" s="1"/>
  <c r="R18" i="8"/>
  <c r="K18" i="8" s="1"/>
  <c r="J18" i="8" s="1"/>
  <c r="R22" i="8"/>
  <c r="K22" i="8" s="1"/>
  <c r="J22" i="8" s="1"/>
  <c r="R27" i="8"/>
  <c r="K27" i="8" s="1"/>
  <c r="J27" i="8" s="1"/>
  <c r="K36" i="9"/>
  <c r="K37" i="9"/>
  <c r="K38" i="9"/>
  <c r="K39" i="9"/>
  <c r="K40" i="9"/>
  <c r="K41" i="9"/>
  <c r="K42" i="9"/>
  <c r="K43" i="9"/>
  <c r="K44" i="9"/>
  <c r="K45" i="9"/>
  <c r="K46" i="9"/>
  <c r="K47" i="9"/>
  <c r="N36" i="9"/>
  <c r="J37" i="9" s="1"/>
  <c r="N37" i="9" s="1"/>
  <c r="J38" i="9" s="1"/>
  <c r="N38" i="9" s="1"/>
  <c r="J39" i="9" s="1"/>
  <c r="N39" i="9" s="1"/>
  <c r="J40" i="9" s="1"/>
  <c r="N40" i="9" s="1"/>
  <c r="J41" i="9" s="1"/>
  <c r="N41" i="9" s="1"/>
  <c r="J42" i="9" s="1"/>
  <c r="N42" i="9" s="1"/>
  <c r="J43" i="9" s="1"/>
  <c r="N43" i="9" s="1"/>
  <c r="J44" i="9" s="1"/>
  <c r="N44" i="9" s="1"/>
  <c r="J45" i="9" s="1"/>
  <c r="N45" i="9" s="1"/>
  <c r="J46" i="9" s="1"/>
  <c r="N46" i="9" s="1"/>
  <c r="J47" i="9" s="1"/>
  <c r="N47" i="9" s="1"/>
  <c r="M9" i="9"/>
  <c r="O9" i="9"/>
  <c r="K10" i="9" s="1"/>
  <c r="M8" i="9"/>
  <c r="C107" i="9"/>
  <c r="D13" i="9"/>
  <c r="D14" i="9"/>
  <c r="D15" i="9"/>
  <c r="D16" i="9"/>
  <c r="D17" i="9"/>
  <c r="D18" i="9"/>
  <c r="D19" i="9"/>
  <c r="D20" i="9"/>
  <c r="D21" i="9"/>
  <c r="D22" i="9"/>
  <c r="D23" i="9"/>
  <c r="D26" i="9"/>
  <c r="D28" i="9"/>
  <c r="D30" i="9"/>
  <c r="D32" i="9"/>
  <c r="D34" i="9"/>
  <c r="D36" i="9"/>
  <c r="D38" i="9"/>
  <c r="D40" i="9"/>
  <c r="D42" i="9"/>
  <c r="D44" i="9"/>
  <c r="D46" i="9"/>
  <c r="D48" i="9"/>
  <c r="D50" i="9"/>
  <c r="D52" i="9"/>
  <c r="D54" i="9"/>
  <c r="D56" i="9"/>
  <c r="D58" i="9"/>
  <c r="D60" i="9"/>
  <c r="D62" i="9"/>
  <c r="D64" i="9"/>
  <c r="D66" i="9"/>
  <c r="D68" i="9"/>
  <c r="D70" i="9"/>
  <c r="D72" i="9"/>
  <c r="D74" i="9"/>
  <c r="D76" i="9"/>
  <c r="D78" i="9"/>
  <c r="D80" i="9"/>
  <c r="D82" i="9"/>
  <c r="D84" i="9"/>
  <c r="D86" i="9"/>
  <c r="D88" i="9"/>
  <c r="D90" i="9"/>
  <c r="D92" i="9"/>
  <c r="D94" i="9"/>
  <c r="D96" i="9"/>
  <c r="D98" i="9"/>
  <c r="D100" i="9"/>
  <c r="D102" i="9"/>
  <c r="D104" i="9"/>
  <c r="D106" i="9"/>
  <c r="D25" i="9"/>
  <c r="D27" i="9"/>
  <c r="D29" i="9"/>
  <c r="D31" i="9"/>
  <c r="D33" i="9"/>
  <c r="D35" i="9"/>
  <c r="D37" i="9"/>
  <c r="D39" i="9"/>
  <c r="D41" i="9"/>
  <c r="D43" i="9"/>
  <c r="D45" i="9"/>
  <c r="D47" i="9"/>
  <c r="D49" i="9"/>
  <c r="D51" i="9"/>
  <c r="D53" i="9"/>
  <c r="D55" i="9"/>
  <c r="D57" i="9"/>
  <c r="D59" i="9"/>
  <c r="D61" i="9"/>
  <c r="D63" i="9"/>
  <c r="D65" i="9"/>
  <c r="D67" i="9"/>
  <c r="D69" i="9"/>
  <c r="D71" i="9"/>
  <c r="D73" i="9"/>
  <c r="D75" i="9"/>
  <c r="D77" i="9"/>
  <c r="D79" i="9"/>
  <c r="D81" i="9"/>
  <c r="D83" i="9"/>
  <c r="D85" i="9"/>
  <c r="D87" i="9"/>
  <c r="D89" i="9"/>
  <c r="D91" i="9"/>
  <c r="D93" i="9"/>
  <c r="D95" i="9"/>
  <c r="D97" i="9"/>
  <c r="D99" i="9"/>
  <c r="D101" i="9"/>
  <c r="D103" i="9"/>
  <c r="D105" i="9"/>
  <c r="J23" i="8"/>
  <c r="G37" i="8"/>
  <c r="J33" i="8"/>
  <c r="J32" i="8"/>
  <c r="J30" i="8"/>
  <c r="J7" i="8"/>
  <c r="L36" i="8"/>
  <c r="T36" i="8"/>
  <c r="S36" i="8"/>
  <c r="G36" i="8"/>
  <c r="G38" i="8"/>
  <c r="R16" i="8"/>
  <c r="K16" i="8" s="1"/>
  <c r="J16" i="8" s="1"/>
  <c r="L37" i="8"/>
  <c r="J2" i="8" l="1"/>
  <c r="K37" i="8"/>
  <c r="K38" i="8" s="1"/>
  <c r="C12" i="9"/>
  <c r="O44" i="9"/>
  <c r="O46" i="9"/>
  <c r="O40" i="9"/>
  <c r="O47" i="9"/>
  <c r="O43" i="9"/>
  <c r="O34" i="9"/>
  <c r="O33" i="9" s="1"/>
  <c r="Q41" i="8"/>
  <c r="Q45" i="8"/>
  <c r="Q46" i="8" s="1"/>
  <c r="O41" i="9"/>
  <c r="O37" i="9"/>
  <c r="O38" i="9"/>
  <c r="O42" i="9"/>
  <c r="K34" i="9"/>
  <c r="O39" i="9"/>
  <c r="O45" i="9"/>
  <c r="P8" i="9"/>
  <c r="L8" i="9"/>
  <c r="O10" i="9"/>
  <c r="K11" i="9" s="1"/>
  <c r="M10" i="9"/>
  <c r="P9" i="9"/>
  <c r="L9" i="9"/>
  <c r="C101" i="9"/>
  <c r="C89" i="9"/>
  <c r="C77" i="9"/>
  <c r="C65" i="9"/>
  <c r="C53" i="9"/>
  <c r="C41" i="9"/>
  <c r="C29" i="9"/>
  <c r="C100" i="9"/>
  <c r="C88" i="9"/>
  <c r="C76" i="9"/>
  <c r="C64" i="9"/>
  <c r="C52" i="9"/>
  <c r="C40" i="9"/>
  <c r="C28" i="9"/>
  <c r="G19" i="9"/>
  <c r="C19" i="9"/>
  <c r="G13" i="9"/>
  <c r="E10" i="9"/>
  <c r="C13" i="9"/>
  <c r="C99" i="9"/>
  <c r="C87" i="9"/>
  <c r="C75" i="9"/>
  <c r="C63" i="9"/>
  <c r="C51" i="9"/>
  <c r="C39" i="9"/>
  <c r="C27" i="9"/>
  <c r="C98" i="9"/>
  <c r="C86" i="9"/>
  <c r="C74" i="9"/>
  <c r="C62" i="9"/>
  <c r="C50" i="9"/>
  <c r="C38" i="9"/>
  <c r="C26" i="9"/>
  <c r="G18" i="9"/>
  <c r="C18" i="9"/>
  <c r="C97" i="9"/>
  <c r="C61" i="9"/>
  <c r="C49" i="9"/>
  <c r="C37" i="9"/>
  <c r="C25" i="9"/>
  <c r="C96" i="9"/>
  <c r="C84" i="9"/>
  <c r="C72" i="9"/>
  <c r="C60" i="9"/>
  <c r="C48" i="9"/>
  <c r="C36" i="9"/>
  <c r="G23" i="9"/>
  <c r="C23" i="9"/>
  <c r="G17" i="9"/>
  <c r="C17" i="9"/>
  <c r="F24" i="9"/>
  <c r="B25" i="9" s="1"/>
  <c r="F25" i="9" s="1"/>
  <c r="B26" i="9" s="1"/>
  <c r="F26" i="9" s="1"/>
  <c r="B27" i="9" s="1"/>
  <c r="F27" i="9" s="1"/>
  <c r="B28" i="9" s="1"/>
  <c r="F28" i="9" s="1"/>
  <c r="B29" i="9" s="1"/>
  <c r="F29" i="9" s="1"/>
  <c r="B30" i="9" s="1"/>
  <c r="F30" i="9" s="1"/>
  <c r="B31" i="9" s="1"/>
  <c r="F31" i="9" s="1"/>
  <c r="B32" i="9" s="1"/>
  <c r="F32" i="9" s="1"/>
  <c r="B33" i="9" s="1"/>
  <c r="F33" i="9" s="1"/>
  <c r="B34" i="9" s="1"/>
  <c r="F34" i="9" s="1"/>
  <c r="B35" i="9" s="1"/>
  <c r="F35" i="9" s="1"/>
  <c r="B36" i="9" s="1"/>
  <c r="F36" i="9" s="1"/>
  <c r="B37" i="9" s="1"/>
  <c r="F37" i="9" s="1"/>
  <c r="B38" i="9" s="1"/>
  <c r="F38" i="9" s="1"/>
  <c r="B39" i="9" s="1"/>
  <c r="F39" i="9" s="1"/>
  <c r="B40" i="9" s="1"/>
  <c r="F40" i="9" s="1"/>
  <c r="B41" i="9" s="1"/>
  <c r="F41" i="9" s="1"/>
  <c r="B42" i="9" s="1"/>
  <c r="F42" i="9" s="1"/>
  <c r="B43" i="9" s="1"/>
  <c r="F43" i="9" s="1"/>
  <c r="B44" i="9" s="1"/>
  <c r="F44" i="9" s="1"/>
  <c r="B45" i="9" s="1"/>
  <c r="F45" i="9" s="1"/>
  <c r="B46" i="9" s="1"/>
  <c r="F46" i="9" s="1"/>
  <c r="B47" i="9" s="1"/>
  <c r="F47" i="9" s="1"/>
  <c r="B48" i="9" s="1"/>
  <c r="F48" i="9" s="1"/>
  <c r="B49" i="9" s="1"/>
  <c r="F49" i="9" s="1"/>
  <c r="B50" i="9" s="1"/>
  <c r="F50" i="9" s="1"/>
  <c r="B51" i="9" s="1"/>
  <c r="F51" i="9" s="1"/>
  <c r="B52" i="9" s="1"/>
  <c r="F52" i="9" s="1"/>
  <c r="B53" i="9" s="1"/>
  <c r="F53" i="9" s="1"/>
  <c r="B54" i="9" s="1"/>
  <c r="F54" i="9" s="1"/>
  <c r="B55" i="9" s="1"/>
  <c r="F55" i="9" s="1"/>
  <c r="B56" i="9" s="1"/>
  <c r="F56" i="9" s="1"/>
  <c r="B57" i="9" s="1"/>
  <c r="F57" i="9" s="1"/>
  <c r="B58" i="9" s="1"/>
  <c r="F58" i="9" s="1"/>
  <c r="B59" i="9" s="1"/>
  <c r="F59" i="9" s="1"/>
  <c r="B60" i="9" s="1"/>
  <c r="F60" i="9" s="1"/>
  <c r="B61" i="9" s="1"/>
  <c r="F61" i="9" s="1"/>
  <c r="B62" i="9" s="1"/>
  <c r="F62" i="9" s="1"/>
  <c r="B63" i="9" s="1"/>
  <c r="F63" i="9" s="1"/>
  <c r="B64" i="9" s="1"/>
  <c r="F64" i="9" s="1"/>
  <c r="B65" i="9" s="1"/>
  <c r="F65" i="9" s="1"/>
  <c r="B66" i="9" s="1"/>
  <c r="F66" i="9" s="1"/>
  <c r="B67" i="9" s="1"/>
  <c r="F67" i="9" s="1"/>
  <c r="B68" i="9" s="1"/>
  <c r="F68" i="9" s="1"/>
  <c r="B69" i="9" s="1"/>
  <c r="F69" i="9" s="1"/>
  <c r="B70" i="9" s="1"/>
  <c r="F70" i="9" s="1"/>
  <c r="B71" i="9" s="1"/>
  <c r="F71" i="9" s="1"/>
  <c r="B72" i="9" s="1"/>
  <c r="F72" i="9" s="1"/>
  <c r="B73" i="9" s="1"/>
  <c r="F73" i="9" s="1"/>
  <c r="B74" i="9" s="1"/>
  <c r="F74" i="9" s="1"/>
  <c r="B75" i="9" s="1"/>
  <c r="F75" i="9" s="1"/>
  <c r="B76" i="9" s="1"/>
  <c r="F76" i="9" s="1"/>
  <c r="B77" i="9" s="1"/>
  <c r="F77" i="9" s="1"/>
  <c r="B78" i="9" s="1"/>
  <c r="F78" i="9" s="1"/>
  <c r="B79" i="9" s="1"/>
  <c r="F79" i="9" s="1"/>
  <c r="B80" i="9" s="1"/>
  <c r="F80" i="9" s="1"/>
  <c r="B81" i="9" s="1"/>
  <c r="F81" i="9" s="1"/>
  <c r="B82" i="9" s="1"/>
  <c r="F82" i="9" s="1"/>
  <c r="B83" i="9" s="1"/>
  <c r="F83" i="9" s="1"/>
  <c r="B84" i="9" s="1"/>
  <c r="F84" i="9" s="1"/>
  <c r="B85" i="9" s="1"/>
  <c r="F85" i="9" s="1"/>
  <c r="B86" i="9" s="1"/>
  <c r="F86" i="9" s="1"/>
  <c r="B87" i="9" s="1"/>
  <c r="F87" i="9" s="1"/>
  <c r="B88" i="9" s="1"/>
  <c r="F88" i="9" s="1"/>
  <c r="B89" i="9" s="1"/>
  <c r="F89" i="9" s="1"/>
  <c r="B90" i="9" s="1"/>
  <c r="F90" i="9" s="1"/>
  <c r="B91" i="9" s="1"/>
  <c r="F91" i="9" s="1"/>
  <c r="B92" i="9" s="1"/>
  <c r="F92" i="9" s="1"/>
  <c r="B93" i="9" s="1"/>
  <c r="F93" i="9" s="1"/>
  <c r="B94" i="9" s="1"/>
  <c r="F94" i="9" s="1"/>
  <c r="B95" i="9" s="1"/>
  <c r="F95" i="9" s="1"/>
  <c r="B96" i="9" s="1"/>
  <c r="F96" i="9" s="1"/>
  <c r="B97" i="9" s="1"/>
  <c r="F97" i="9" s="1"/>
  <c r="B98" i="9" s="1"/>
  <c r="F98" i="9" s="1"/>
  <c r="B99" i="9" s="1"/>
  <c r="F99" i="9" s="1"/>
  <c r="B100" i="9" s="1"/>
  <c r="F100" i="9" s="1"/>
  <c r="B101" i="9" s="1"/>
  <c r="F101" i="9" s="1"/>
  <c r="B102" i="9" s="1"/>
  <c r="F102" i="9" s="1"/>
  <c r="B103" i="9" s="1"/>
  <c r="F103" i="9" s="1"/>
  <c r="B104" i="9" s="1"/>
  <c r="F104" i="9" s="1"/>
  <c r="B105" i="9" s="1"/>
  <c r="F105" i="9" s="1"/>
  <c r="B106" i="9" s="1"/>
  <c r="F106" i="9" s="1"/>
  <c r="B107" i="9" s="1"/>
  <c r="G24" i="9"/>
  <c r="C73" i="9"/>
  <c r="C95" i="9"/>
  <c r="C71" i="9"/>
  <c r="C47" i="9"/>
  <c r="C94" i="9"/>
  <c r="C46" i="9"/>
  <c r="C105" i="9"/>
  <c r="C93" i="9"/>
  <c r="C81" i="9"/>
  <c r="C69" i="9"/>
  <c r="C57" i="9"/>
  <c r="C45" i="9"/>
  <c r="C33" i="9"/>
  <c r="C104" i="9"/>
  <c r="C92" i="9"/>
  <c r="C80" i="9"/>
  <c r="C68" i="9"/>
  <c r="C56" i="9"/>
  <c r="C44" i="9"/>
  <c r="C32" i="9"/>
  <c r="G21" i="9"/>
  <c r="C21" i="9"/>
  <c r="G15" i="9"/>
  <c r="C15" i="9"/>
  <c r="C85" i="9"/>
  <c r="C83" i="9"/>
  <c r="C59" i="9"/>
  <c r="C35" i="9"/>
  <c r="C106" i="9"/>
  <c r="C82" i="9"/>
  <c r="C70" i="9"/>
  <c r="C58" i="9"/>
  <c r="C34" i="9"/>
  <c r="G22" i="9"/>
  <c r="C22" i="9"/>
  <c r="G16" i="9"/>
  <c r="C16" i="9"/>
  <c r="C103" i="9"/>
  <c r="C91" i="9"/>
  <c r="C79" i="9"/>
  <c r="C67" i="9"/>
  <c r="C55" i="9"/>
  <c r="C43" i="9"/>
  <c r="C31" i="9"/>
  <c r="C102" i="9"/>
  <c r="C90" i="9"/>
  <c r="C78" i="9"/>
  <c r="C66" i="9"/>
  <c r="C54" i="9"/>
  <c r="C42" i="9"/>
  <c r="C30" i="9"/>
  <c r="G20" i="9"/>
  <c r="C20" i="9"/>
  <c r="G14" i="9"/>
  <c r="C14" i="9"/>
  <c r="J36" i="8"/>
  <c r="K39" i="8" l="1"/>
  <c r="G67" i="9"/>
  <c r="G58" i="9"/>
  <c r="G35" i="9"/>
  <c r="G45" i="9"/>
  <c r="G62" i="9"/>
  <c r="G63" i="9"/>
  <c r="G28" i="9"/>
  <c r="G31" i="9"/>
  <c r="G92" i="9"/>
  <c r="G71" i="9"/>
  <c r="G49" i="9"/>
  <c r="G26" i="9"/>
  <c r="G27" i="9"/>
  <c r="G32" i="9"/>
  <c r="G47" i="9"/>
  <c r="G98" i="9"/>
  <c r="G99" i="9"/>
  <c r="G54" i="9"/>
  <c r="G44" i="9"/>
  <c r="G30" i="9"/>
  <c r="G79" i="9"/>
  <c r="G59" i="9"/>
  <c r="G46" i="9"/>
  <c r="G74" i="9"/>
  <c r="C10" i="9"/>
  <c r="G43" i="9"/>
  <c r="G56" i="9"/>
  <c r="G38" i="9"/>
  <c r="G87" i="9"/>
  <c r="G42" i="9"/>
  <c r="G90" i="9"/>
  <c r="G34" i="9"/>
  <c r="G106" i="9"/>
  <c r="G83" i="9"/>
  <c r="G33" i="9"/>
  <c r="G81" i="9"/>
  <c r="G51" i="9"/>
  <c r="I34" i="9"/>
  <c r="K30" i="9"/>
  <c r="I30" i="9" s="1"/>
  <c r="P10" i="9"/>
  <c r="L10" i="9"/>
  <c r="O11" i="9"/>
  <c r="K12" i="9" s="1"/>
  <c r="M11" i="9"/>
  <c r="G10" i="9"/>
  <c r="G9" i="9" s="1"/>
  <c r="G66" i="9"/>
  <c r="G102" i="9"/>
  <c r="G55" i="9"/>
  <c r="G91" i="9"/>
  <c r="G70" i="9"/>
  <c r="G85" i="9"/>
  <c r="G68" i="9"/>
  <c r="G104" i="9"/>
  <c r="G57" i="9"/>
  <c r="G93" i="9"/>
  <c r="G94" i="9"/>
  <c r="G95" i="9"/>
  <c r="G48" i="9"/>
  <c r="G84" i="9"/>
  <c r="G37" i="9"/>
  <c r="G97" i="9"/>
  <c r="G52" i="9"/>
  <c r="G88" i="9"/>
  <c r="G41" i="9"/>
  <c r="G77" i="9"/>
  <c r="G78" i="9"/>
  <c r="G103" i="9"/>
  <c r="G82" i="9"/>
  <c r="G80" i="9"/>
  <c r="G69" i="9"/>
  <c r="G105" i="9"/>
  <c r="G73" i="9"/>
  <c r="G60" i="9"/>
  <c r="G96" i="9"/>
  <c r="G64" i="9"/>
  <c r="G100" i="9"/>
  <c r="G53" i="9"/>
  <c r="G89" i="9"/>
  <c r="G50" i="9"/>
  <c r="G86" i="9"/>
  <c r="G39" i="9"/>
  <c r="G75" i="9"/>
  <c r="F107" i="9"/>
  <c r="G107" i="9"/>
  <c r="G36" i="9"/>
  <c r="G72" i="9"/>
  <c r="G25" i="9"/>
  <c r="G61" i="9"/>
  <c r="G40" i="9"/>
  <c r="G76" i="9"/>
  <c r="G29" i="9"/>
  <c r="G65" i="9"/>
  <c r="G101" i="9"/>
  <c r="P11" i="9" l="1"/>
  <c r="L11" i="9"/>
  <c r="M12" i="9"/>
  <c r="O12" i="9"/>
  <c r="K13" i="9" s="1"/>
  <c r="O13" i="9" l="1"/>
  <c r="K14" i="9" s="1"/>
  <c r="M13" i="9"/>
  <c r="P12" i="9"/>
  <c r="L12" i="9"/>
  <c r="P13" i="9" l="1"/>
  <c r="L13" i="9"/>
  <c r="O14" i="9"/>
  <c r="K15" i="9" s="1"/>
  <c r="M14" i="9"/>
  <c r="P14" i="9" l="1"/>
  <c r="L14" i="9"/>
  <c r="M15" i="9"/>
  <c r="O15" i="9"/>
  <c r="K16" i="9" s="1"/>
  <c r="P15" i="9" l="1"/>
  <c r="L15" i="9"/>
  <c r="O16" i="9"/>
  <c r="K17" i="9" s="1"/>
  <c r="M16" i="9"/>
  <c r="P16" i="9" l="1"/>
  <c r="L16" i="9"/>
  <c r="M17" i="9"/>
  <c r="O17" i="9"/>
  <c r="K18" i="9" s="1"/>
  <c r="O18" i="9" l="1"/>
  <c r="K19" i="9" s="1"/>
  <c r="M18" i="9"/>
  <c r="P17" i="9"/>
  <c r="L17" i="9"/>
  <c r="P18" i="9" l="1"/>
  <c r="L18" i="9"/>
  <c r="O19" i="9"/>
  <c r="K20" i="9" s="1"/>
  <c r="M19" i="9"/>
  <c r="P19" i="9" l="1"/>
  <c r="L19" i="9"/>
  <c r="M20" i="9"/>
  <c r="O20" i="9"/>
  <c r="K21" i="9" s="1"/>
  <c r="O21" i="9" l="1"/>
  <c r="K22" i="9" s="1"/>
  <c r="M21" i="9"/>
  <c r="P20" i="9"/>
  <c r="L20" i="9"/>
  <c r="P21" i="9" l="1"/>
  <c r="L21" i="9"/>
  <c r="M22" i="9"/>
  <c r="O22" i="9"/>
  <c r="K23" i="9" s="1"/>
  <c r="O23" i="9" l="1"/>
  <c r="K24" i="9" s="1"/>
  <c r="M23" i="9"/>
  <c r="P5" i="9"/>
  <c r="P22" i="9"/>
  <c r="L22" i="9"/>
  <c r="P23" i="9" l="1"/>
  <c r="L23" i="9"/>
  <c r="P4" i="9"/>
  <c r="O24" i="9"/>
  <c r="M24" i="9"/>
  <c r="P24" i="9" l="1"/>
  <c r="L24" i="9"/>
  <c r="G48" i="6" l="1"/>
  <c r="F48" i="6" s="1"/>
  <c r="D48" i="6" s="1"/>
  <c r="G47" i="6"/>
  <c r="F47" i="6" s="1"/>
  <c r="D47" i="6" s="1"/>
  <c r="G46" i="6"/>
  <c r="F46" i="6" s="1"/>
  <c r="D46" i="6" s="1"/>
  <c r="D36" i="6"/>
  <c r="R78" i="6"/>
  <c r="R79" i="6"/>
  <c r="R80" i="6"/>
  <c r="R81" i="6"/>
  <c r="R82" i="6"/>
  <c r="R83" i="6"/>
  <c r="R84" i="6"/>
  <c r="R85" i="6"/>
  <c r="R86" i="6"/>
  <c r="R87" i="6"/>
  <c r="R88" i="6"/>
  <c r="R89" i="6"/>
  <c r="R90" i="6"/>
  <c r="R91" i="6"/>
  <c r="R92" i="6"/>
  <c r="R93" i="6"/>
  <c r="R77" i="6"/>
  <c r="Q76" i="6"/>
  <c r="T76" i="6" s="1"/>
  <c r="K54" i="6"/>
  <c r="M54" i="6" s="1"/>
  <c r="K55" i="6"/>
  <c r="M55" i="6" s="1"/>
  <c r="K56" i="6"/>
  <c r="M56" i="6" s="1"/>
  <c r="K57" i="6"/>
  <c r="M57" i="6" s="1"/>
  <c r="K53" i="6"/>
  <c r="M53" i="6" s="1"/>
  <c r="S16" i="6"/>
  <c r="T16" i="6" s="1"/>
  <c r="S17" i="6"/>
  <c r="S18" i="6"/>
  <c r="T18" i="6" s="1"/>
  <c r="S19" i="6"/>
  <c r="T19" i="6" s="1"/>
  <c r="S20" i="6"/>
  <c r="T20" i="6" s="1"/>
  <c r="S21" i="6"/>
  <c r="T21" i="6" s="1"/>
  <c r="S22" i="6"/>
  <c r="T22" i="6" s="1"/>
  <c r="S23" i="6"/>
  <c r="T23" i="6" s="1"/>
  <c r="S24" i="6"/>
  <c r="T24" i="6" s="1"/>
  <c r="S25" i="6"/>
  <c r="T25" i="6" s="1"/>
  <c r="S26" i="6"/>
  <c r="T26" i="6" s="1"/>
  <c r="S27" i="6"/>
  <c r="T27" i="6" s="1"/>
  <c r="S15" i="6"/>
  <c r="T15" i="6" s="1"/>
  <c r="T17" i="6"/>
  <c r="T4" i="6"/>
  <c r="T5" i="6"/>
  <c r="T7" i="6"/>
  <c r="T3" i="6"/>
  <c r="F3" i="7"/>
  <c r="F4" i="7"/>
  <c r="F5" i="7"/>
  <c r="F6" i="7"/>
  <c r="F7" i="7"/>
  <c r="F8" i="7"/>
  <c r="F9" i="7"/>
  <c r="F10" i="7"/>
  <c r="F11" i="7"/>
  <c r="F12" i="7"/>
  <c r="F13" i="7"/>
  <c r="F14" i="7"/>
  <c r="F15" i="7"/>
  <c r="F16" i="7"/>
  <c r="F17" i="7"/>
  <c r="F18" i="7"/>
  <c r="F19" i="7"/>
  <c r="F20" i="7"/>
  <c r="F21" i="7"/>
  <c r="F22" i="7"/>
  <c r="F23" i="7"/>
  <c r="F24" i="7"/>
  <c r="F25" i="7"/>
  <c r="F26" i="7"/>
  <c r="F2" i="7"/>
  <c r="F39" i="6"/>
  <c r="D39" i="6"/>
  <c r="S76" i="6"/>
  <c r="O77" i="6" s="1"/>
  <c r="Q77" i="6" s="1"/>
  <c r="Q69" i="6"/>
  <c r="R69" i="6"/>
  <c r="Q61" i="6"/>
  <c r="R61" i="6"/>
  <c r="Q62" i="6"/>
  <c r="R62" i="6"/>
  <c r="Q63" i="6"/>
  <c r="R63" i="6"/>
  <c r="Q64" i="6"/>
  <c r="R64" i="6"/>
  <c r="Q65" i="6"/>
  <c r="R65" i="6"/>
  <c r="Q66" i="6"/>
  <c r="R66" i="6"/>
  <c r="Q67" i="6"/>
  <c r="R67" i="6"/>
  <c r="Q68" i="6"/>
  <c r="R68" i="6"/>
  <c r="Q59" i="6"/>
  <c r="R59" i="6"/>
  <c r="Q60" i="6"/>
  <c r="R60" i="6"/>
  <c r="R58" i="6"/>
  <c r="Q58" i="6"/>
  <c r="O58" i="6"/>
  <c r="N39" i="6"/>
  <c r="L39"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58" i="6"/>
  <c r="C58" i="6"/>
  <c r="E63" i="6" s="1"/>
  <c r="P61" i="6" l="1"/>
  <c r="P58" i="6"/>
  <c r="S58" i="6"/>
  <c r="O59" i="6" s="1"/>
  <c r="T59" i="6" s="1"/>
  <c r="T58" i="6"/>
  <c r="G39" i="6"/>
  <c r="Q43" i="6" s="1"/>
  <c r="Q44" i="6" s="1"/>
  <c r="E101" i="6"/>
  <c r="E142" i="6"/>
  <c r="E100" i="6"/>
  <c r="P65" i="6"/>
  <c r="E76" i="6"/>
  <c r="E66" i="6"/>
  <c r="P69" i="6"/>
  <c r="E140" i="6"/>
  <c r="E97" i="6"/>
  <c r="E122" i="6"/>
  <c r="E58" i="6"/>
  <c r="D58" i="6" s="1"/>
  <c r="E112" i="6"/>
  <c r="E150" i="6"/>
  <c r="E62" i="6"/>
  <c r="E132" i="6"/>
  <c r="E86" i="6"/>
  <c r="D45" i="6"/>
  <c r="E129" i="6"/>
  <c r="E90" i="6"/>
  <c r="E153" i="6"/>
  <c r="E121" i="6"/>
  <c r="E80" i="6"/>
  <c r="E149" i="6"/>
  <c r="E110" i="6"/>
  <c r="E68" i="6"/>
  <c r="E144" i="6"/>
  <c r="E118" i="6"/>
  <c r="E89" i="6"/>
  <c r="E133" i="6"/>
  <c r="E108" i="6"/>
  <c r="E78" i="6"/>
  <c r="P76" i="6"/>
  <c r="S77" i="6"/>
  <c r="O78" i="6" s="1"/>
  <c r="Q78" i="6" s="1"/>
  <c r="E152" i="6"/>
  <c r="E141" i="6"/>
  <c r="E130" i="6"/>
  <c r="E120" i="6"/>
  <c r="E109" i="6"/>
  <c r="E98" i="6"/>
  <c r="E88" i="6"/>
  <c r="E77" i="6"/>
  <c r="E65" i="6"/>
  <c r="E128" i="6"/>
  <c r="E117" i="6"/>
  <c r="E106" i="6"/>
  <c r="E96" i="6"/>
  <c r="E85" i="6"/>
  <c r="E74" i="6"/>
  <c r="E61" i="6"/>
  <c r="E138" i="6"/>
  <c r="E148" i="6"/>
  <c r="E137" i="6"/>
  <c r="E126" i="6"/>
  <c r="E116" i="6"/>
  <c r="E105" i="6"/>
  <c r="E94" i="6"/>
  <c r="E84" i="6"/>
  <c r="E73" i="6"/>
  <c r="E60" i="6"/>
  <c r="E146" i="6"/>
  <c r="E136" i="6"/>
  <c r="E125" i="6"/>
  <c r="E114" i="6"/>
  <c r="E104" i="6"/>
  <c r="E93" i="6"/>
  <c r="E82" i="6"/>
  <c r="E70" i="6"/>
  <c r="E145" i="6"/>
  <c r="E134" i="6"/>
  <c r="E124" i="6"/>
  <c r="E113" i="6"/>
  <c r="E102" i="6"/>
  <c r="E92" i="6"/>
  <c r="E81" i="6"/>
  <c r="E69" i="6"/>
  <c r="E147" i="6"/>
  <c r="E139" i="6"/>
  <c r="E131" i="6"/>
  <c r="E123" i="6"/>
  <c r="E115" i="6"/>
  <c r="E107" i="6"/>
  <c r="E99" i="6"/>
  <c r="E91" i="6"/>
  <c r="E83" i="6"/>
  <c r="E75" i="6"/>
  <c r="E67" i="6"/>
  <c r="E59" i="6"/>
  <c r="E72" i="6"/>
  <c r="E64" i="6"/>
  <c r="E151" i="6"/>
  <c r="E143" i="6"/>
  <c r="E135" i="6"/>
  <c r="E127" i="6"/>
  <c r="E119" i="6"/>
  <c r="E111" i="6"/>
  <c r="E103" i="6"/>
  <c r="E95" i="6"/>
  <c r="E87" i="6"/>
  <c r="E79" i="6"/>
  <c r="E71" i="6"/>
  <c r="P66" i="6"/>
  <c r="P63" i="6"/>
  <c r="P60" i="6"/>
  <c r="P68" i="6"/>
  <c r="P59" i="6"/>
  <c r="P67" i="6"/>
  <c r="P64" i="6"/>
  <c r="P62" i="6"/>
  <c r="S59" i="6"/>
  <c r="O60" i="6" s="1"/>
  <c r="S60" i="6" s="1"/>
  <c r="O61" i="6" s="1"/>
  <c r="S61" i="6" s="1"/>
  <c r="O62" i="6" s="1"/>
  <c r="S62" i="6" s="1"/>
  <c r="O63" i="6" s="1"/>
  <c r="S63" i="6" s="1"/>
  <c r="O64" i="6" s="1"/>
  <c r="G58" i="6"/>
  <c r="C59" i="6" s="1"/>
  <c r="A6" i="6"/>
  <c r="J6" i="6" s="1"/>
  <c r="A4" i="6"/>
  <c r="R8" i="6" s="1"/>
  <c r="K8" i="6" s="1"/>
  <c r="I34" i="6"/>
  <c r="I37" i="6" s="1"/>
  <c r="H34" i="6"/>
  <c r="D34" i="6"/>
  <c r="D35" i="6"/>
  <c r="S12" i="6"/>
  <c r="T12" i="6" s="1"/>
  <c r="S13" i="6"/>
  <c r="T13" i="6" s="1"/>
  <c r="S11" i="6"/>
  <c r="T11" i="6" s="1"/>
  <c r="G12" i="6"/>
  <c r="G11" i="6"/>
  <c r="G16" i="6"/>
  <c r="G17" i="6"/>
  <c r="G18" i="6"/>
  <c r="G19" i="6"/>
  <c r="G20" i="6"/>
  <c r="G21" i="6"/>
  <c r="G22" i="6"/>
  <c r="G23" i="6"/>
  <c r="G24" i="6"/>
  <c r="G25" i="6"/>
  <c r="G26" i="6"/>
  <c r="G27" i="6"/>
  <c r="G15" i="6"/>
  <c r="L16" i="6"/>
  <c r="L17" i="6"/>
  <c r="L18" i="6"/>
  <c r="L19" i="6"/>
  <c r="L20" i="6"/>
  <c r="L21" i="6"/>
  <c r="L22" i="6"/>
  <c r="L23" i="6"/>
  <c r="L24" i="6"/>
  <c r="L25" i="6"/>
  <c r="L26" i="6"/>
  <c r="L27" i="6"/>
  <c r="L15" i="6"/>
  <c r="G3" i="6"/>
  <c r="G4" i="6"/>
  <c r="G5" i="6"/>
  <c r="G7" i="6"/>
  <c r="G8" i="6"/>
  <c r="G9" i="6"/>
  <c r="G10" i="6"/>
  <c r="G13" i="6"/>
  <c r="G2" i="6"/>
  <c r="G36" i="6" s="1"/>
  <c r="R43" i="6" l="1"/>
  <c r="R44" i="6" s="1"/>
  <c r="Q39" i="6"/>
  <c r="R20" i="6"/>
  <c r="K20" i="6" s="1"/>
  <c r="H58" i="6"/>
  <c r="R15" i="6"/>
  <c r="K15" i="6" s="1"/>
  <c r="J15" i="6" s="1"/>
  <c r="R9" i="6"/>
  <c r="K9" i="6" s="1"/>
  <c r="J9" i="6" s="1"/>
  <c r="P78" i="6"/>
  <c r="T78" i="6"/>
  <c r="T77" i="6"/>
  <c r="P77" i="6"/>
  <c r="S78" i="6"/>
  <c r="O79" i="6" s="1"/>
  <c r="Q79" i="6" s="1"/>
  <c r="H59" i="6"/>
  <c r="F56" i="6"/>
  <c r="J8" i="6"/>
  <c r="T61" i="6"/>
  <c r="T63" i="6"/>
  <c r="T60" i="6"/>
  <c r="P56" i="6"/>
  <c r="S64" i="6"/>
  <c r="O65" i="6" s="1"/>
  <c r="T64" i="6"/>
  <c r="T62" i="6"/>
  <c r="T34" i="6"/>
  <c r="S34" i="6"/>
  <c r="L35" i="6"/>
  <c r="G35" i="6"/>
  <c r="L34" i="6"/>
  <c r="G34" i="6"/>
  <c r="J31" i="6"/>
  <c r="J29" i="6"/>
  <c r="J20" i="6"/>
  <c r="J30" i="6"/>
  <c r="J28" i="6"/>
  <c r="R18" i="6"/>
  <c r="K18" i="6" s="1"/>
  <c r="J18" i="6" s="1"/>
  <c r="R12" i="6"/>
  <c r="K12" i="6" s="1"/>
  <c r="J12" i="6" s="1"/>
  <c r="R10" i="6"/>
  <c r="K10" i="6" s="1"/>
  <c r="J10" i="6" s="1"/>
  <c r="R17" i="6"/>
  <c r="K17" i="6" s="1"/>
  <c r="J17" i="6" s="1"/>
  <c r="R24" i="6"/>
  <c r="K24" i="6" s="1"/>
  <c r="J24" i="6" s="1"/>
  <c r="R13" i="6"/>
  <c r="K13" i="6" s="1"/>
  <c r="J13" i="6" s="1"/>
  <c r="R2" i="6"/>
  <c r="K2" i="6" s="1"/>
  <c r="J2" i="6" s="1"/>
  <c r="R22" i="6"/>
  <c r="K22" i="6" s="1"/>
  <c r="J22" i="6" s="1"/>
  <c r="R3" i="6"/>
  <c r="K3" i="6" s="1"/>
  <c r="J3" i="6" s="1"/>
  <c r="R27" i="6"/>
  <c r="K27" i="6" s="1"/>
  <c r="J27" i="6" s="1"/>
  <c r="R19" i="6"/>
  <c r="K19" i="6" s="1"/>
  <c r="J19" i="6" s="1"/>
  <c r="R26" i="6"/>
  <c r="K26" i="6" s="1"/>
  <c r="J26" i="6" s="1"/>
  <c r="R7" i="6"/>
  <c r="K7" i="6" s="1"/>
  <c r="J7" i="6" s="1"/>
  <c r="R11" i="6"/>
  <c r="K11" i="6" s="1"/>
  <c r="J11" i="6" s="1"/>
  <c r="R25" i="6"/>
  <c r="K25" i="6" s="1"/>
  <c r="J25" i="6" s="1"/>
  <c r="R5" i="6"/>
  <c r="K5" i="6" s="1"/>
  <c r="J5" i="6" s="1"/>
  <c r="R16" i="6"/>
  <c r="K16" i="6" s="1"/>
  <c r="J16" i="6" s="1"/>
  <c r="R23" i="6"/>
  <c r="K23" i="6" s="1"/>
  <c r="J23" i="6" s="1"/>
  <c r="R4" i="6"/>
  <c r="K4" i="6" s="1"/>
  <c r="J4" i="6" s="1"/>
  <c r="R21" i="6"/>
  <c r="K21" i="6" s="1"/>
  <c r="J21" i="6" s="1"/>
  <c r="J34" i="6" l="1"/>
  <c r="S79" i="6"/>
  <c r="O80" i="6" s="1"/>
  <c r="Q80" i="6" s="1"/>
  <c r="P79" i="6"/>
  <c r="T79" i="6"/>
  <c r="S65" i="6"/>
  <c r="O66" i="6" s="1"/>
  <c r="T65" i="6"/>
  <c r="N56" i="6"/>
  <c r="P52" i="6"/>
  <c r="N52" i="6" s="1"/>
  <c r="S80" i="6" l="1"/>
  <c r="O81" i="6" s="1"/>
  <c r="Q81" i="6" s="1"/>
  <c r="P80" i="6"/>
  <c r="T80" i="6"/>
  <c r="S66" i="6"/>
  <c r="O67" i="6" s="1"/>
  <c r="T66" i="6"/>
  <c r="S81" i="6" l="1"/>
  <c r="O82" i="6" s="1"/>
  <c r="Q82" i="6" s="1"/>
  <c r="P81" i="6"/>
  <c r="T81" i="6"/>
  <c r="S67" i="6"/>
  <c r="O68" i="6" s="1"/>
  <c r="T67" i="6"/>
  <c r="S82" i="6" l="1"/>
  <c r="O83" i="6" s="1"/>
  <c r="Q83" i="6" s="1"/>
  <c r="P82" i="6"/>
  <c r="T82" i="6"/>
  <c r="S68" i="6"/>
  <c r="O69" i="6" s="1"/>
  <c r="T56" i="6" s="1"/>
  <c r="T55" i="6" s="1"/>
  <c r="T68" i="6"/>
  <c r="S83" i="6" l="1"/>
  <c r="O84" i="6" s="1"/>
  <c r="Q84" i="6" s="1"/>
  <c r="P83" i="6"/>
  <c r="T83" i="6"/>
  <c r="S69" i="6"/>
  <c r="T69" i="6"/>
  <c r="D75" i="6"/>
  <c r="D84" i="6"/>
  <c r="D87" i="6"/>
  <c r="D135" i="6"/>
  <c r="D104" i="6"/>
  <c r="D112" i="6"/>
  <c r="D136" i="6"/>
  <c r="D83" i="6"/>
  <c r="D108" i="6"/>
  <c r="D69" i="6"/>
  <c r="D99" i="6"/>
  <c r="D67" i="6"/>
  <c r="D96" i="6"/>
  <c r="D117" i="6"/>
  <c r="D64" i="6"/>
  <c r="D126" i="6"/>
  <c r="D122" i="6"/>
  <c r="D131" i="6"/>
  <c r="D65" i="6"/>
  <c r="D125" i="6"/>
  <c r="D88" i="6"/>
  <c r="D89" i="6"/>
  <c r="D129" i="6"/>
  <c r="D141" i="6"/>
  <c r="D106" i="6"/>
  <c r="D143" i="6"/>
  <c r="D101" i="6"/>
  <c r="D74" i="6"/>
  <c r="D139" i="6"/>
  <c r="D113" i="6"/>
  <c r="D78" i="6"/>
  <c r="D132" i="6"/>
  <c r="D103" i="6"/>
  <c r="D137" i="6"/>
  <c r="D100" i="6"/>
  <c r="D68" i="6"/>
  <c r="D120" i="6"/>
  <c r="D116" i="6"/>
  <c r="D77" i="6"/>
  <c r="D109" i="6"/>
  <c r="D60" i="6"/>
  <c r="D119" i="6"/>
  <c r="D149" i="6"/>
  <c r="D114" i="6"/>
  <c r="D150" i="6"/>
  <c r="D66" i="6"/>
  <c r="D152" i="6"/>
  <c r="D90" i="6"/>
  <c r="D142" i="6"/>
  <c r="D127" i="6"/>
  <c r="D70" i="6"/>
  <c r="D98" i="6"/>
  <c r="D94" i="6"/>
  <c r="D148" i="6"/>
  <c r="D147" i="6"/>
  <c r="D92" i="6"/>
  <c r="D79" i="6"/>
  <c r="D115" i="6"/>
  <c r="D72" i="6"/>
  <c r="D121" i="6"/>
  <c r="D110" i="6"/>
  <c r="D105" i="6"/>
  <c r="D95" i="6"/>
  <c r="D80" i="6"/>
  <c r="D124" i="6"/>
  <c r="D138" i="6"/>
  <c r="D146" i="6"/>
  <c r="D151" i="6"/>
  <c r="D97" i="6"/>
  <c r="D130" i="6"/>
  <c r="D128" i="6"/>
  <c r="D82" i="6"/>
  <c r="D85" i="6"/>
  <c r="D71" i="6"/>
  <c r="D134" i="6"/>
  <c r="D86" i="6"/>
  <c r="D153" i="6"/>
  <c r="D91" i="6"/>
  <c r="D145" i="6"/>
  <c r="D76" i="6"/>
  <c r="D81" i="6"/>
  <c r="D118" i="6"/>
  <c r="D61" i="6"/>
  <c r="D73" i="6"/>
  <c r="D123" i="6"/>
  <c r="D93" i="6"/>
  <c r="D102" i="6"/>
  <c r="D133" i="6"/>
  <c r="D107" i="6"/>
  <c r="D140" i="6"/>
  <c r="D111" i="6"/>
  <c r="D62" i="6"/>
  <c r="D63" i="6"/>
  <c r="D144" i="6"/>
  <c r="D59" i="6"/>
  <c r="G59" i="6"/>
  <c r="C60" i="6" s="1"/>
  <c r="S84" i="6" l="1"/>
  <c r="O85" i="6" s="1"/>
  <c r="Q85" i="6" s="1"/>
  <c r="P84" i="6"/>
  <c r="T84" i="6"/>
  <c r="D56" i="6"/>
  <c r="G60" i="6"/>
  <c r="C61" i="6" s="1"/>
  <c r="H60" i="6"/>
  <c r="S85" i="6" l="1"/>
  <c r="O86" i="6" s="1"/>
  <c r="Q86" i="6" s="1"/>
  <c r="P85" i="6"/>
  <c r="T85" i="6"/>
  <c r="G61" i="6"/>
  <c r="C62" i="6" s="1"/>
  <c r="H61" i="6"/>
  <c r="S86" i="6" l="1"/>
  <c r="O87" i="6" s="1"/>
  <c r="Q87" i="6" s="1"/>
  <c r="P86" i="6"/>
  <c r="T86" i="6"/>
  <c r="G62" i="6"/>
  <c r="C63" i="6" s="1"/>
  <c r="H62" i="6"/>
  <c r="S87" i="6" l="1"/>
  <c r="O88" i="6" s="1"/>
  <c r="Q88" i="6" s="1"/>
  <c r="P87" i="6"/>
  <c r="T87" i="6"/>
  <c r="G63" i="6"/>
  <c r="C64" i="6" s="1"/>
  <c r="H63" i="6"/>
  <c r="S88" i="6" l="1"/>
  <c r="O89" i="6" s="1"/>
  <c r="Q89" i="6" s="1"/>
  <c r="P88" i="6"/>
  <c r="T88" i="6"/>
  <c r="G64" i="6"/>
  <c r="C65" i="6" s="1"/>
  <c r="H64" i="6"/>
  <c r="S89" i="6" l="1"/>
  <c r="O90" i="6" s="1"/>
  <c r="Q90" i="6" s="1"/>
  <c r="P89" i="6"/>
  <c r="T89" i="6"/>
  <c r="G65" i="6"/>
  <c r="C66" i="6" s="1"/>
  <c r="H65" i="6"/>
  <c r="S90" i="6" l="1"/>
  <c r="O91" i="6" s="1"/>
  <c r="Q91" i="6" s="1"/>
  <c r="P90" i="6"/>
  <c r="T90" i="6"/>
  <c r="G66" i="6"/>
  <c r="C67" i="6" s="1"/>
  <c r="H66" i="6"/>
  <c r="S91" i="6" l="1"/>
  <c r="O92" i="6" s="1"/>
  <c r="Q92" i="6" s="1"/>
  <c r="P91" i="6"/>
  <c r="T91" i="6"/>
  <c r="G67" i="6"/>
  <c r="C68" i="6" s="1"/>
  <c r="H67" i="6"/>
  <c r="T74" i="6" l="1"/>
  <c r="T73" i="6" s="1"/>
  <c r="S92" i="6"/>
  <c r="O93" i="6" s="1"/>
  <c r="Q93" i="6" s="1"/>
  <c r="T92" i="6"/>
  <c r="P92" i="6"/>
  <c r="G68" i="6"/>
  <c r="C69" i="6" s="1"/>
  <c r="H68" i="6"/>
  <c r="S93" i="6" l="1"/>
  <c r="P93" i="6"/>
  <c r="T93" i="6"/>
  <c r="G69" i="6"/>
  <c r="C70" i="6" s="1"/>
  <c r="H69" i="6"/>
  <c r="G70" i="6" l="1"/>
  <c r="C71" i="6" s="1"/>
  <c r="H70" i="6"/>
  <c r="G71" i="6" l="1"/>
  <c r="C72" i="6" s="1"/>
  <c r="H71" i="6"/>
  <c r="G72" i="6" l="1"/>
  <c r="C73" i="6" s="1"/>
  <c r="H72" i="6"/>
  <c r="G73" i="6" l="1"/>
  <c r="C74" i="6" s="1"/>
  <c r="H73" i="6"/>
  <c r="G74" i="6" l="1"/>
  <c r="C75" i="6" s="1"/>
  <c r="H74" i="6"/>
  <c r="G75" i="6" l="1"/>
  <c r="C76" i="6" s="1"/>
  <c r="H75" i="6"/>
  <c r="G76" i="6" l="1"/>
  <c r="C77" i="6" s="1"/>
  <c r="H76" i="6"/>
  <c r="G77" i="6" l="1"/>
  <c r="C78" i="6" s="1"/>
  <c r="H77" i="6"/>
  <c r="G78" i="6" l="1"/>
  <c r="C79" i="6" s="1"/>
  <c r="H78" i="6"/>
  <c r="G79" i="6" l="1"/>
  <c r="C80" i="6" s="1"/>
  <c r="H79" i="6"/>
  <c r="G80" i="6" l="1"/>
  <c r="C81" i="6" s="1"/>
  <c r="H80" i="6"/>
  <c r="G81" i="6" l="1"/>
  <c r="C82" i="6" s="1"/>
  <c r="H81" i="6"/>
  <c r="G82" i="6" l="1"/>
  <c r="C83" i="6" s="1"/>
  <c r="H82" i="6"/>
  <c r="G83" i="6" l="1"/>
  <c r="C84" i="6" s="1"/>
  <c r="H83" i="6"/>
  <c r="G84" i="6" l="1"/>
  <c r="C85" i="6" s="1"/>
  <c r="H84" i="6"/>
  <c r="G85" i="6" l="1"/>
  <c r="C86" i="6" s="1"/>
  <c r="H85" i="6"/>
  <c r="G86" i="6" l="1"/>
  <c r="C87" i="6" s="1"/>
  <c r="H86" i="6"/>
  <c r="G87" i="6" l="1"/>
  <c r="C88" i="6" s="1"/>
  <c r="H87" i="6"/>
  <c r="G88" i="6" l="1"/>
  <c r="C89" i="6" s="1"/>
  <c r="H88" i="6"/>
  <c r="G89" i="6" l="1"/>
  <c r="C90" i="6" s="1"/>
  <c r="H89" i="6"/>
  <c r="G90" i="6" l="1"/>
  <c r="C91" i="6" s="1"/>
  <c r="H90" i="6"/>
  <c r="G91" i="6" l="1"/>
  <c r="C92" i="6" s="1"/>
  <c r="H91" i="6"/>
  <c r="G92" i="6" l="1"/>
  <c r="C93" i="6" s="1"/>
  <c r="H92" i="6"/>
  <c r="G93" i="6" l="1"/>
  <c r="C94" i="6" s="1"/>
  <c r="H93" i="6"/>
  <c r="G94" i="6" l="1"/>
  <c r="C95" i="6" s="1"/>
  <c r="H94" i="6"/>
  <c r="G95" i="6" l="1"/>
  <c r="C96" i="6" s="1"/>
  <c r="H95" i="6"/>
  <c r="G96" i="6" l="1"/>
  <c r="C97" i="6" s="1"/>
  <c r="H96" i="6"/>
  <c r="G97" i="6" l="1"/>
  <c r="C98" i="6" s="1"/>
  <c r="H97" i="6"/>
  <c r="G98" i="6" l="1"/>
  <c r="C99" i="6" s="1"/>
  <c r="H98" i="6"/>
  <c r="G99" i="6" l="1"/>
  <c r="C100" i="6" s="1"/>
  <c r="H99" i="6"/>
  <c r="G100" i="6" l="1"/>
  <c r="C101" i="6" s="1"/>
  <c r="H100" i="6"/>
  <c r="G101" i="6" l="1"/>
  <c r="C102" i="6" s="1"/>
  <c r="H101" i="6"/>
  <c r="G102" i="6" l="1"/>
  <c r="C103" i="6" s="1"/>
  <c r="H102" i="6"/>
  <c r="G103" i="6" l="1"/>
  <c r="C104" i="6" s="1"/>
  <c r="H103" i="6"/>
  <c r="G104" i="6" l="1"/>
  <c r="C105" i="6" s="1"/>
  <c r="H104" i="6"/>
  <c r="G105" i="6" l="1"/>
  <c r="C106" i="6" s="1"/>
  <c r="H105" i="6"/>
  <c r="G106" i="6" l="1"/>
  <c r="C107" i="6" s="1"/>
  <c r="H106" i="6"/>
  <c r="G107" i="6" l="1"/>
  <c r="C108" i="6" s="1"/>
  <c r="H107" i="6"/>
  <c r="G108" i="6" l="1"/>
  <c r="C109" i="6" s="1"/>
  <c r="H108" i="6"/>
  <c r="G109" i="6" l="1"/>
  <c r="C110" i="6" s="1"/>
  <c r="H109" i="6"/>
  <c r="G110" i="6" l="1"/>
  <c r="C111" i="6" s="1"/>
  <c r="H110" i="6"/>
  <c r="G111" i="6" l="1"/>
  <c r="C112" i="6" s="1"/>
  <c r="H111" i="6"/>
  <c r="G112" i="6" l="1"/>
  <c r="C113" i="6" s="1"/>
  <c r="H112" i="6"/>
  <c r="G113" i="6" l="1"/>
  <c r="C114" i="6" s="1"/>
  <c r="H113" i="6"/>
  <c r="G114" i="6" l="1"/>
  <c r="C115" i="6" s="1"/>
  <c r="H114" i="6"/>
  <c r="G115" i="6" l="1"/>
  <c r="C116" i="6" s="1"/>
  <c r="H115" i="6"/>
  <c r="G116" i="6" l="1"/>
  <c r="C117" i="6" s="1"/>
  <c r="H116" i="6"/>
  <c r="G117" i="6" l="1"/>
  <c r="C118" i="6" s="1"/>
  <c r="H117" i="6"/>
  <c r="G118" i="6" l="1"/>
  <c r="C119" i="6" s="1"/>
  <c r="H118" i="6"/>
  <c r="G119" i="6" l="1"/>
  <c r="C120" i="6" s="1"/>
  <c r="H119" i="6"/>
  <c r="G120" i="6" l="1"/>
  <c r="C121" i="6" s="1"/>
  <c r="H120" i="6"/>
  <c r="G121" i="6" l="1"/>
  <c r="C122" i="6" s="1"/>
  <c r="H121" i="6"/>
  <c r="G122" i="6" l="1"/>
  <c r="C123" i="6" s="1"/>
  <c r="H122" i="6"/>
  <c r="G123" i="6" l="1"/>
  <c r="C124" i="6" s="1"/>
  <c r="H123" i="6"/>
  <c r="G124" i="6" l="1"/>
  <c r="C125" i="6" s="1"/>
  <c r="H124" i="6"/>
  <c r="G125" i="6" l="1"/>
  <c r="C126" i="6" s="1"/>
  <c r="H125" i="6"/>
  <c r="G126" i="6" l="1"/>
  <c r="C127" i="6" s="1"/>
  <c r="H126" i="6"/>
  <c r="G127" i="6" l="1"/>
  <c r="C128" i="6" s="1"/>
  <c r="H127" i="6"/>
  <c r="G128" i="6" l="1"/>
  <c r="C129" i="6" s="1"/>
  <c r="H128" i="6"/>
  <c r="G129" i="6" l="1"/>
  <c r="C130" i="6" s="1"/>
  <c r="H129" i="6"/>
  <c r="G130" i="6" l="1"/>
  <c r="C131" i="6" s="1"/>
  <c r="H130" i="6"/>
  <c r="G131" i="6" l="1"/>
  <c r="C132" i="6" s="1"/>
  <c r="H131" i="6"/>
  <c r="G132" i="6" l="1"/>
  <c r="C133" i="6" s="1"/>
  <c r="H132" i="6"/>
  <c r="G133" i="6" l="1"/>
  <c r="C134" i="6" s="1"/>
  <c r="H133" i="6"/>
  <c r="G134" i="6" l="1"/>
  <c r="C135" i="6" s="1"/>
  <c r="H134" i="6"/>
  <c r="G135" i="6" l="1"/>
  <c r="C136" i="6" s="1"/>
  <c r="H135" i="6"/>
  <c r="G136" i="6" l="1"/>
  <c r="C137" i="6" s="1"/>
  <c r="H136" i="6"/>
  <c r="G137" i="6" l="1"/>
  <c r="C138" i="6" s="1"/>
  <c r="H137" i="6"/>
  <c r="G138" i="6" l="1"/>
  <c r="C139" i="6" s="1"/>
  <c r="H138" i="6"/>
  <c r="G139" i="6" l="1"/>
  <c r="C140" i="6" s="1"/>
  <c r="H139" i="6"/>
  <c r="G140" i="6" l="1"/>
  <c r="C141" i="6" s="1"/>
  <c r="H140" i="6"/>
  <c r="G141" i="6" l="1"/>
  <c r="C142" i="6" s="1"/>
  <c r="H141" i="6"/>
  <c r="G142" i="6" l="1"/>
  <c r="C143" i="6" s="1"/>
  <c r="H142" i="6"/>
  <c r="G143" i="6" l="1"/>
  <c r="C144" i="6" s="1"/>
  <c r="H143" i="6"/>
  <c r="G144" i="6" l="1"/>
  <c r="C145" i="6" s="1"/>
  <c r="H144" i="6"/>
  <c r="G145" i="6" l="1"/>
  <c r="C146" i="6" s="1"/>
  <c r="H145" i="6"/>
  <c r="G146" i="6" l="1"/>
  <c r="C147" i="6" s="1"/>
  <c r="H146" i="6"/>
  <c r="G147" i="6" l="1"/>
  <c r="C148" i="6" s="1"/>
  <c r="H147" i="6"/>
  <c r="G148" i="6" l="1"/>
  <c r="C149" i="6" s="1"/>
  <c r="H148" i="6"/>
  <c r="G149" i="6" l="1"/>
  <c r="C150" i="6" s="1"/>
  <c r="H149" i="6"/>
  <c r="G150" i="6" l="1"/>
  <c r="C151" i="6" s="1"/>
  <c r="H150" i="6"/>
  <c r="G151" i="6" l="1"/>
  <c r="C152" i="6" s="1"/>
  <c r="H151" i="6"/>
  <c r="G152" i="6" l="1"/>
  <c r="C153" i="6" s="1"/>
  <c r="H152" i="6"/>
  <c r="G153" i="6" l="1"/>
  <c r="H153" i="6"/>
  <c r="H56" i="6"/>
  <c r="H5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ThinkPad</author>
  </authors>
  <commentList>
    <comment ref="T1" authorId="0" shapeId="0" xr:uid="{9FD3D6E4-B269-4264-A022-B493B393EB73}">
      <text>
        <r>
          <rPr>
            <b/>
            <sz val="9"/>
            <color indexed="81"/>
            <rFont val="宋体"/>
            <family val="3"/>
            <charset val="134"/>
          </rPr>
          <t xml:space="preserve">ThinkPad:借4年，第四年末提前还款，加剩余本金5%手续费
</t>
        </r>
        <r>
          <rPr>
            <sz val="9"/>
            <color indexed="81"/>
            <rFont val="宋体"/>
            <family val="3"/>
            <charset val="13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ThinkPad</author>
  </authors>
  <commentList>
    <comment ref="T1" authorId="0" shapeId="0" xr:uid="{381D9FD6-CB95-4F6B-92DC-E41F5A073817}">
      <text>
        <r>
          <rPr>
            <b/>
            <sz val="9"/>
            <color indexed="81"/>
            <rFont val="宋体"/>
            <family val="3"/>
            <charset val="134"/>
          </rPr>
          <t xml:space="preserve">ThinkPad:借4年，第四年末提前还款，加剩余本金5%手续费
</t>
        </r>
        <r>
          <rPr>
            <sz val="9"/>
            <color indexed="81"/>
            <rFont val="宋体"/>
            <family val="3"/>
            <charset val="134"/>
          </rPr>
          <t xml:space="preserve">
</t>
        </r>
      </text>
    </comment>
  </commentList>
</comments>
</file>

<file path=xl/sharedStrings.xml><?xml version="1.0" encoding="utf-8"?>
<sst xmlns="http://schemas.openxmlformats.org/spreadsheetml/2006/main" count="1292" uniqueCount="495">
  <si>
    <t>收入</t>
    <phoneticPr fontId="1" type="noConversion"/>
  </si>
  <si>
    <t>合计</t>
    <phoneticPr fontId="1" type="noConversion"/>
  </si>
  <si>
    <t>理念，制度等</t>
    <phoneticPr fontId="1" type="noConversion"/>
  </si>
  <si>
    <t>基础设施：依赖的软硬件程序等</t>
    <phoneticPr fontId="1" type="noConversion"/>
  </si>
  <si>
    <t>Q1：以Wind模拟组合为模拟组合出口</t>
    <phoneticPr fontId="1" type="noConversion"/>
  </si>
  <si>
    <t>description：Wind-PMS可以很好地根据历史权重或交易记录来生成模拟组合，因此这个角度我们只需要生成目标权重或交易单即可得到模拟组合。</t>
    <phoneticPr fontId="1" type="noConversion"/>
  </si>
  <si>
    <t>Idea：根据工作分析和设计，在目前空白情况下，研究出量化工作规划、计划书和工作流程图，</t>
    <phoneticPr fontId="1" type="noConversion"/>
  </si>
  <si>
    <t>制定个人2019-2020整体工作计划</t>
    <phoneticPr fontId="1" type="noConversion"/>
  </si>
  <si>
    <t>设计市场/部门产品发展态势及背后的研究进度分析</t>
    <phoneticPr fontId="1" type="noConversion"/>
  </si>
  <si>
    <t>实时跟踪、反馈和改进</t>
    <phoneticPr fontId="1" type="noConversion"/>
  </si>
  <si>
    <t>hAdmin是一个免费的后台管理模版,该模版基于bootstrap与jQuery制作，集成了众多常用插件，基本满足日常后台需要,修改时可根据自身需求，来定制后台模版，如需深度二次开发与定制，可联系我 QQ: 497915773</t>
    <phoneticPr fontId="1" type="noConversion"/>
  </si>
  <si>
    <t>https://github.com/huangyaoxin/hAdmin</t>
  </si>
  <si>
    <t>使用vue， vue&gt;bootstrap&gt;react</t>
    <phoneticPr fontId="1" type="noConversion"/>
  </si>
  <si>
    <t>ana</t>
    <phoneticPr fontId="1" type="noConversion"/>
  </si>
  <si>
    <t>长远考虑的话, 建议使用Vue+node.js. 短期内使用的话, BootStrap是个不错的选择</t>
  </si>
  <si>
    <t>Vue的组件化开发推荐使用Element: http://element.eleme.io/#/zh-CN/component/popover</t>
  </si>
  <si>
    <t>1. 数据的双向绑定. 数据改, 页面改. 页面改, 数据也改.2. 页面的呈现据说比React还快.</t>
    <phoneticPr fontId="1" type="noConversion"/>
  </si>
  <si>
    <t>3. 组件化(实际上React也有组件化). 这和BootStrap这种组件化的概念还有点不同, Vue的组件化, 已经把作用域冲突的问题给搞定了.另外, js测试也变得更专业化了(有点类似junit).</t>
  </si>
  <si>
    <t>Django中后台+vue前端</t>
    <phoneticPr fontId="1" type="noConversion"/>
  </si>
  <si>
    <t>深入研究Django-admin和数据库管理。</t>
    <phoneticPr fontId="1" type="noConversion"/>
  </si>
  <si>
    <t>https://blog.csdn.net/css_aaa/article/details/90638983</t>
  </si>
  <si>
    <t>source</t>
    <phoneticPr fontId="1" type="noConversion"/>
  </si>
  <si>
    <t>单纯论坛的话，PHP有更成熟的体系</t>
    <phoneticPr fontId="1" type="noConversion"/>
  </si>
  <si>
    <t>做社区时你在Discuz和PHPWind之间做比较，做资讯网时你在DedeCMS、PHPCMS和Wordpress之间比较</t>
  </si>
  <si>
    <t>https://www.baidu.com/link?url=_q9eoFECzAetIik2D0Xm6rzf0DZf5dz4agh77HRzeNEPWfgNLoNE9IxzU75AlQYVkznHvQGQUdVA5dLwPqB1UD1wrIxRcgtFxSeSdvUKOGe&amp;wd=&amp;eqid=b633d23b00330c90000000035da19d95</t>
  </si>
  <si>
    <t>论坛社区：Discuz! 
特点点评：国内最著名的开源PHP论坛系统，用户人数众多，非常流行。论坛搭建非常简单易用，风格样式符合国人习惯，有完善的模板、插件、扩展、互联生态圈</t>
    <phoneticPr fontId="1" type="noConversion"/>
  </si>
  <si>
    <t>常见web模式学习资源：腾讯云</t>
    <phoneticPr fontId="1" type="noConversion"/>
  </si>
  <si>
    <t>https://cloud.tencent.com/developer/labs/lab/10123</t>
  </si>
  <si>
    <t>基于 Ubuntu 搭建 FTP 文件服务</t>
  </si>
  <si>
    <t>FTP 是一个很实用的文件传输协议，方便在客户端和服务器之间进行文件的传输。本实验带您使用 vsftpd 来搭建一个 FTP 服务，并且创建专有的 FTP 登录账户，保障服务器安全。</t>
    <phoneticPr fontId="1" type="noConversion"/>
  </si>
  <si>
    <t>LNMP是建立web应用的平台，是Linux、NGINX，MySQL（有时也指MariaDB，数据库软件） 和PHP（有时也是指Perl或Python） 的简称。</t>
    <phoneticPr fontId="1" type="noConversion"/>
  </si>
  <si>
    <t>基于 CentOS 搭建 Discuz 论坛</t>
    <phoneticPr fontId="1" type="noConversion"/>
  </si>
  <si>
    <t>Discuz 是基于PHP网页，在 Linux 和 windows 两平台均可部署的论坛工具。本实验带你基于 CentOS 快速搭建属于自己的论坛。</t>
  </si>
  <si>
    <t>课程考试：</t>
    <phoneticPr fontId="1" type="noConversion"/>
  </si>
  <si>
    <t>课程考试没必要</t>
    <phoneticPr fontId="1" type="noConversion"/>
  </si>
  <si>
    <t>50%考试试卷回家做：自己主观发挥为主。</t>
    <phoneticPr fontId="1" type="noConversion"/>
  </si>
  <si>
    <t xml:space="preserve">小组作业：红酸果.doc，下周日，最后一周做汇报，随机选一个组；  </t>
    <phoneticPr fontId="1" type="noConversion"/>
  </si>
  <si>
    <t>课上讨论：清溢案例（终稿2004[1].9.24）</t>
    <phoneticPr fontId="1" type="noConversion"/>
  </si>
  <si>
    <t>个人课程报告3k字不太长：结合课程内容和实际问题，写一个报告</t>
    <phoneticPr fontId="1" type="noConversion"/>
  </si>
  <si>
    <t>课堂出勤和考核。</t>
    <phoneticPr fontId="1" type="noConversion"/>
  </si>
  <si>
    <t>基于 CentOS 搭建微信小程序服务</t>
  </si>
  <si>
    <t>老师联系方式：13051532792</t>
    <phoneticPr fontId="1" type="noConversion"/>
  </si>
  <si>
    <t>微信：pkuwmj</t>
    <phoneticPr fontId="1" type="noConversion"/>
  </si>
  <si>
    <t>量化投研体系——用Django实现~；参考vnpk等国内外平台</t>
    <phoneticPr fontId="1" type="noConversion"/>
  </si>
  <si>
    <t>下午做网站测试，用户名和密码都是学号</t>
    <phoneticPr fontId="1" type="noConversion"/>
  </si>
  <si>
    <t>http://42.51.39.129:8080/</t>
    <phoneticPr fontId="1" type="noConversion"/>
  </si>
  <si>
    <t>知识：产品需求的模式和变化决定企业运营系统的模式和变化</t>
    <phoneticPr fontId="1" type="noConversion"/>
  </si>
  <si>
    <t>PPT定位</t>
    <phoneticPr fontId="1" type="noConversion"/>
  </si>
  <si>
    <t>p163</t>
    <phoneticPr fontId="1" type="noConversion"/>
  </si>
  <si>
    <t>产品需求的模式与变化决定企业运营系统的模式与变化</t>
    <phoneticPr fontId="1" type="noConversion"/>
  </si>
  <si>
    <t>产品需求预测的基本方法</t>
    <phoneticPr fontId="1" type="noConversion"/>
  </si>
  <si>
    <t>方法很多，比如系统动力学。</t>
    <phoneticPr fontId="1" type="noConversion"/>
  </si>
  <si>
    <t>正是由于当年Google和雅虎的几位大师把广告清晰地定义为一个优化问题，这个领域的进展才日新月异。按照某前辈的话说，管理一个工程团队，只需要做好两件事：一是定义好目标，二是建立一个评测系统，那么不论你的团队强弱，都能逐渐接近那个目标。··</t>
    <phoneticPr fontId="1" type="noConversion"/>
  </si>
  <si>
    <t>web</t>
    <phoneticPr fontId="1" type="noConversion"/>
  </si>
  <si>
    <t>https://zhuanlan.zhihu.com/p/70282110</t>
    <phoneticPr fontId="1" type="noConversion"/>
  </si>
  <si>
    <t>时间序列分解算法——简述</t>
    <phoneticPr fontId="1" type="noConversion"/>
  </si>
  <si>
    <t xml:space="preserve">对于一个时间序列{y(t)}，假设它是加性模型（an additive decomposition），则可以写成　 y(t)=S(t)+T(t)+R(t),
</t>
    <phoneticPr fontId="1" type="noConversion"/>
  </si>
  <si>
    <t>其中S(t)、T(t)、R(t)分别是周期成分（seasonal component）、趋势成分（trend-cycle component）、残差成分（remainder component）。</t>
  </si>
  <si>
    <t>类似地，一个乘性模型可以写成 　　y(t)=S(t)×T(t)×R(t)，</t>
  </si>
  <si>
    <t>一个受人欢迎的季度性数据和月度数据的分解算法是 X11分解法，它发明于美国人口普查局和加拿大统计局。</t>
  </si>
  <si>
    <t>周期成分允许随着时间变化。X11有一些 复杂的方法来处理交易日、假期、一些已知的影响因素的影响。它同时处理了加性模型和乘性模型。这个过程是全自动的，而且对于时间序列中的异常值和数据平平变动很鲁棒。X11方法的细节可以参考 Dagum, E. B., &amp; Bianconcini, S. (2016). Seasonal adjustment methods and real time trend-cycle estimation. Springer。R中有现成的程序可以使用。</t>
    <phoneticPr fontId="1" type="noConversion"/>
  </si>
  <si>
    <t>pip install simplepro -i https://pypi.mirrors.ustc.edu.cn/simple/</t>
    <phoneticPr fontId="1" type="noConversion"/>
  </si>
  <si>
    <t>simpleui的专业版 simplepro发布</t>
    <phoneticPr fontId="1" type="noConversion"/>
  </si>
  <si>
    <t>https://www.88cto.com/article/YKZqHX3b</t>
  </si>
  <si>
    <t>预测模型方法选取</t>
  </si>
  <si>
    <t>p170</t>
    <phoneticPr fontId="1" type="noConversion"/>
  </si>
  <si>
    <t>idea：使用TEV方法，看预测的偏离程度。</t>
    <phoneticPr fontId="1" type="noConversion"/>
  </si>
  <si>
    <t>动态的生产计划（管理周期）</t>
  </si>
  <si>
    <t>设置“冻结期”，期间内不改变生产计划，不接新订单</t>
    <phoneticPr fontId="1" type="noConversion"/>
  </si>
  <si>
    <t>今日计划</t>
    <phoneticPr fontId="1" type="noConversion"/>
  </si>
  <si>
    <t>1900-2200：图书馆自习结合ppt写上课个人3k字文章；写BL、行业分析——东西没带</t>
    <phoneticPr fontId="1" type="noConversion"/>
  </si>
  <si>
    <t>2240- :晚上回家：泡脚、紫外线；运动拉伸20min</t>
    <phoneticPr fontId="1" type="noConversion"/>
  </si>
  <si>
    <t>1027-1800:3k字</t>
    <phoneticPr fontId="1" type="noConversion"/>
  </si>
  <si>
    <t>足光散只是起到去角质的作用，可以去掉死皮，让杀菌药更好的接触到真菌，配上乳膏或者达克宁一起用更好。如果不去死皮，真菌躲在表皮下，药膏渗透不进去，效果也不好</t>
    <phoneticPr fontId="1" type="noConversion"/>
  </si>
  <si>
    <t>https://www.zhihu.com/search?type=content&amp;q=%E8%B6%B3%E5%85%89%E6%95%A3</t>
  </si>
  <si>
    <t>https://www.baidu.com/link?url=JMhTLBvcv5mbk_C7u_s26zyrMTrWYsI7UYPu9QJRLuaNrKWA8kYo3MHLcYGYg4XqoH67Lb-gTJdxIr620dHHRNybLGKtNiITOPjacTVvBLC&amp;wd=&amp;eqid=a7d1fb6200024032000000065daa7c6d</t>
  </si>
  <si>
    <t xml:space="preserve">美国国家质量奖评价标准（67页）.pdf </t>
    <phoneticPr fontId="1" type="noConversion"/>
  </si>
  <si>
    <t xml:space="preserve">卓越绩效指标来自于 美国国家质量奖评价标准（67页）.pdf </t>
    <phoneticPr fontId="1" type="noConversion"/>
  </si>
  <si>
    <t>质量的定义：性能、一致性、适用性、物有所值 ---》 使得顾客满意</t>
    <phoneticPr fontId="1" type="noConversion"/>
  </si>
  <si>
    <t>p91</t>
    <phoneticPr fontId="1" type="noConversion"/>
  </si>
  <si>
    <t>质量的定义</t>
    <phoneticPr fontId="1" type="noConversion"/>
  </si>
  <si>
    <t>模仿“啤酒竞赛”，做一个模拟炒股的游戏，分成几个不同的角色。</t>
    <phoneticPr fontId="1" type="noConversion"/>
  </si>
  <si>
    <t>p172</t>
    <phoneticPr fontId="1" type="noConversion"/>
  </si>
  <si>
    <t>啤酒竞赛</t>
    <phoneticPr fontId="1" type="noConversion"/>
  </si>
  <si>
    <t>系统动力学--罗马俱乐部--</t>
    <phoneticPr fontId="1" type="noConversion"/>
  </si>
  <si>
    <t>我是深受困扰的其中一个（二十多年）全好了，经一有医德的医生推介，不用吃和涂激素，很简单：到药买足光散泡脚，每天一次，连续泡十五天，把旧的死皮都换掉就ok啦，但必须舍得把所有的都换掉，这几年都没复发下。</t>
  </si>
  <si>
    <t>软件：vensim</t>
    <phoneticPr fontId="1" type="noConversion"/>
  </si>
  <si>
    <t>考试试卷：发给大家，后续上课时交</t>
    <phoneticPr fontId="1" type="noConversion"/>
  </si>
  <si>
    <t>不考知识，考主观的东西</t>
    <phoneticPr fontId="1" type="noConversion"/>
  </si>
  <si>
    <t>答题纸明天发，题目后面发；时间2周</t>
    <phoneticPr fontId="1" type="noConversion"/>
  </si>
  <si>
    <t>5W2H方法</t>
    <phoneticPr fontId="1" type="noConversion"/>
  </si>
  <si>
    <t xml:space="preserve">机器人手册: 机器人应用  
 著者  西西利亚诺 1959- (Siciliano, Bruno);   哈提卜 (Khatib, Oussama) </t>
    <phoneticPr fontId="1" type="noConversion"/>
  </si>
  <si>
    <t>p97</t>
    <phoneticPr fontId="1" type="noConversion"/>
  </si>
  <si>
    <t>全面质量管理 ？？</t>
    <phoneticPr fontId="1" type="noConversion"/>
  </si>
  <si>
    <t>全面质量管理是为达到全面顾客满足和连续制程改善的全组织的方法</t>
    <phoneticPr fontId="1" type="noConversion"/>
  </si>
  <si>
    <t>p101</t>
    <phoneticPr fontId="1" type="noConversion"/>
  </si>
  <si>
    <t>PDCA 循环   (戴明轮)</t>
  </si>
  <si>
    <t>1. 计划旨在改善的变化；2. 执行变化；3. 研究结果，看是否有效；4. 把变化制度化或放弃或重做</t>
    <phoneticPr fontId="1" type="noConversion"/>
  </si>
  <si>
    <t>plan - do - act -adjustment</t>
    <phoneticPr fontId="1" type="noConversion"/>
  </si>
  <si>
    <t>总分数</t>
  </si>
  <si>
    <t>鲍德里奇国家质量奖标准(1999，2000)</t>
  </si>
  <si>
    <t xml:space="preserve">领导(Leadership) </t>
  </si>
  <si>
    <t xml:space="preserve">战略规划(Strategic Planning) </t>
  </si>
  <si>
    <t>顾客与市场重点(Customer and Market Focus)</t>
  </si>
  <si>
    <t>信息与分析(Information and Analysis)</t>
  </si>
  <si>
    <t>人力资源重点(Human Resource Focus)</t>
  </si>
  <si>
    <t>制程管理(Process Management)</t>
  </si>
  <si>
    <t>业务结果(Business Results)</t>
  </si>
  <si>
    <t>p124</t>
    <phoneticPr fontId="1" type="noConversion"/>
  </si>
  <si>
    <t>p112</t>
    <phoneticPr fontId="1" type="noConversion"/>
  </si>
  <si>
    <t>自动诊错与防呆装置（Pokayoke）</t>
    <phoneticPr fontId="1" type="noConversion"/>
  </si>
  <si>
    <t>敏感程度：例如茅台公司产品对战略和顾客和市场不敏感</t>
    <phoneticPr fontId="1" type="noConversion"/>
  </si>
  <si>
    <t>分析指标：</t>
    <phoneticPr fontId="1" type="noConversion"/>
  </si>
  <si>
    <t>p137</t>
    <phoneticPr fontId="1" type="noConversion"/>
  </si>
  <si>
    <t>物料、采购与供应商管理</t>
  </si>
  <si>
    <t>完成3k字；家里找书--ML for Finance，深度学习和机器学习2本书</t>
    <phoneticPr fontId="1" type="noConversion"/>
  </si>
  <si>
    <t>准备下周课程：工业工程， 机器人-谢广民；——已买书</t>
    <phoneticPr fontId="1" type="noConversion"/>
  </si>
  <si>
    <t>周一如果还是上传不了OA，问IT解决；报销单子要给会计同事。</t>
    <phoneticPr fontId="1" type="noConversion"/>
  </si>
  <si>
    <t>下周：周五下午去复兴门开会，中午找guohan吃饭，开会完去西单试试鞋子尺寸。</t>
    <phoneticPr fontId="1" type="noConversion"/>
  </si>
  <si>
    <t>早睡觉：0800回家泡脚，1030前睡觉；每天要保证2300准备，2330上床睡觉。</t>
    <phoneticPr fontId="1" type="noConversion"/>
  </si>
  <si>
    <t>面试准备：</t>
    <phoneticPr fontId="1" type="noConversion"/>
  </si>
  <si>
    <t>1，科创板机会：中长期价值投资和利用短期市场溢价。</t>
    <phoneticPr fontId="1" type="noConversion"/>
  </si>
  <si>
    <t>2，面试时要提到北大导师-国家大数据工程实验室，院士希望做一个行业指数项目，有工信部和电力等行业的数据。</t>
    <phoneticPr fontId="1" type="noConversion"/>
  </si>
  <si>
    <t>gsyh</t>
    <phoneticPr fontId="1" type="noConversion"/>
  </si>
  <si>
    <t>until 20191020</t>
  </si>
  <si>
    <t>zsyh</t>
    <phoneticPr fontId="1" type="noConversion"/>
  </si>
  <si>
    <t>信用卡</t>
    <phoneticPr fontId="1" type="noConversion"/>
  </si>
  <si>
    <t>年化利息</t>
    <phoneticPr fontId="1" type="noConversion"/>
  </si>
  <si>
    <t>类型</t>
    <phoneticPr fontId="1" type="noConversion"/>
  </si>
  <si>
    <t>银行</t>
    <phoneticPr fontId="1" type="noConversion"/>
  </si>
  <si>
    <t>总额</t>
    <phoneticPr fontId="1" type="noConversion"/>
  </si>
  <si>
    <t>未来1年利息</t>
    <phoneticPr fontId="1" type="noConversion"/>
  </si>
  <si>
    <t>合计</t>
    <phoneticPr fontId="1" type="noConversion"/>
  </si>
  <si>
    <t>nbyh</t>
    <phoneticPr fontId="1" type="noConversion"/>
  </si>
  <si>
    <t>估计未来1年新增</t>
    <phoneticPr fontId="1" type="noConversion"/>
  </si>
  <si>
    <t>策略</t>
    <phoneticPr fontId="1" type="noConversion"/>
  </si>
  <si>
    <t>房贷</t>
    <phoneticPr fontId="1" type="noConversion"/>
  </si>
  <si>
    <t>融e借</t>
    <phoneticPr fontId="1" type="noConversion"/>
  </si>
  <si>
    <t>信用卡分期-5357</t>
    <phoneticPr fontId="1" type="noConversion"/>
  </si>
  <si>
    <t>下个月还款</t>
    <phoneticPr fontId="1" type="noConversion"/>
  </si>
  <si>
    <t>准备截至日</t>
    <phoneticPr fontId="1" type="noConversion"/>
  </si>
  <si>
    <t>依靠房租6000，住房公积金5700，自筹 1720=13420-11700</t>
    <phoneticPr fontId="1" type="noConversion"/>
  </si>
  <si>
    <t>避免有拖欠</t>
    <phoneticPr fontId="1" type="noConversion"/>
  </si>
  <si>
    <t>信用卡分期1</t>
    <phoneticPr fontId="1" type="noConversion"/>
  </si>
  <si>
    <t>信用卡分期2</t>
    <phoneticPr fontId="1" type="noConversion"/>
  </si>
  <si>
    <t>190820，12期，每期560</t>
    <phoneticPr fontId="1" type="noConversion"/>
  </si>
  <si>
    <t>未来1年时间</t>
    <phoneticPr fontId="1" type="noConversion"/>
  </si>
  <si>
    <t>信用卡分期3</t>
    <phoneticPr fontId="1" type="noConversion"/>
  </si>
  <si>
    <t>190724，12期，每期760</t>
    <phoneticPr fontId="1" type="noConversion"/>
  </si>
  <si>
    <t>是否使用宁波银行替代</t>
    <phoneticPr fontId="1" type="noConversion"/>
  </si>
  <si>
    <t>是</t>
    <phoneticPr fontId="1" type="noConversion"/>
  </si>
  <si>
    <t>消费贷1</t>
    <phoneticPr fontId="1" type="noConversion"/>
  </si>
  <si>
    <t>结束时间</t>
    <phoneticPr fontId="1" type="noConversion"/>
  </si>
  <si>
    <t>match</t>
    <phoneticPr fontId="1" type="noConversion"/>
  </si>
  <si>
    <t>月份=</t>
    <phoneticPr fontId="1" type="noConversion"/>
  </si>
  <si>
    <t>消费贷2</t>
  </si>
  <si>
    <t>消费贷3</t>
  </si>
  <si>
    <t>消费贷4</t>
  </si>
  <si>
    <t>消费贷5</t>
  </si>
  <si>
    <t>消费贷6</t>
  </si>
  <si>
    <t>消费贷7</t>
  </si>
  <si>
    <t>消费贷8</t>
  </si>
  <si>
    <t>消费贷9</t>
  </si>
  <si>
    <t>消费贷10</t>
  </si>
  <si>
    <t>消费贷11</t>
  </si>
  <si>
    <t>消费贷12</t>
  </si>
  <si>
    <t>消费贷13</t>
  </si>
  <si>
    <t>闪电贷1</t>
    <phoneticPr fontId="1" type="noConversion"/>
  </si>
  <si>
    <t>闪电贷2</t>
  </si>
  <si>
    <t>闪电贷3</t>
  </si>
  <si>
    <t>nbyh替代金额</t>
    <phoneticPr fontId="1" type="noConversion"/>
  </si>
  <si>
    <t>合计1</t>
    <phoneticPr fontId="1" type="noConversion"/>
  </si>
  <si>
    <t>现金分期1</t>
    <phoneticPr fontId="1" type="noConversion"/>
  </si>
  <si>
    <t>现金分期2</t>
  </si>
  <si>
    <t>现金分期3</t>
  </si>
  <si>
    <t>用nbyh滚动替代的金额</t>
    <phoneticPr fontId="1" type="noConversion"/>
  </si>
  <si>
    <t>是否已还</t>
    <phoneticPr fontId="1" type="noConversion"/>
  </si>
  <si>
    <t>1026-1102,共4个小项目，利息较低，滚动维持现状</t>
    <phoneticPr fontId="1" type="noConversion"/>
  </si>
  <si>
    <t>当月待还金额</t>
    <phoneticPr fontId="1" type="noConversion"/>
  </si>
  <si>
    <t>注意：信用卡账单是把以下分期都包括了的。</t>
    <phoneticPr fontId="1" type="noConversion"/>
  </si>
  <si>
    <t>谨慎估计每个月6800~4800之间，平均一个月需要还5800；但是应该没有这么多，1804-2304，1910还欠18.75，还剩4.5年，假设7.5%年化，用分期计算器，未来48个月月均还款4500.</t>
    <phoneticPr fontId="1" type="noConversion"/>
  </si>
  <si>
    <t>每月输入</t>
    <phoneticPr fontId="1" type="noConversion"/>
  </si>
  <si>
    <t>日期=</t>
    <phoneticPr fontId="1" type="noConversion"/>
  </si>
  <si>
    <t>工资</t>
    <phoneticPr fontId="1" type="noConversion"/>
  </si>
  <si>
    <t>房租支出</t>
    <phoneticPr fontId="1" type="noConversion"/>
  </si>
  <si>
    <t>房租收入-1130</t>
    <phoneticPr fontId="1" type="noConversion"/>
  </si>
  <si>
    <t>需要借的部分</t>
    <phoneticPr fontId="1" type="noConversion"/>
  </si>
  <si>
    <t>滚动替代对应利息-假设7年</t>
    <phoneticPr fontId="1" type="noConversion"/>
  </si>
  <si>
    <t>年限</t>
    <phoneticPr fontId="1" type="noConversion"/>
  </si>
  <si>
    <t>期数</t>
    <phoneticPr fontId="1" type="noConversion"/>
  </si>
  <si>
    <t>剩余本金</t>
    <phoneticPr fontId="1" type="noConversion"/>
  </si>
  <si>
    <t>还款金额</t>
    <phoneticPr fontId="1" type="noConversion"/>
  </si>
  <si>
    <t>利息</t>
    <phoneticPr fontId="1" type="noConversion"/>
  </si>
  <si>
    <t>本金</t>
    <phoneticPr fontId="1" type="noConversion"/>
  </si>
  <si>
    <t>期末欠款</t>
    <phoneticPr fontId="1" type="noConversion"/>
  </si>
  <si>
    <t>下月收入-befo</t>
    <phoneticPr fontId="1" type="noConversion"/>
  </si>
  <si>
    <t>住房公积金</t>
    <phoneticPr fontId="1" type="noConversion"/>
  </si>
  <si>
    <t>实际测算</t>
    <phoneticPr fontId="1" type="noConversion"/>
  </si>
  <si>
    <t>总金额</t>
    <phoneticPr fontId="1" type="noConversion"/>
  </si>
  <si>
    <t>实际利率</t>
    <phoneticPr fontId="1" type="noConversion"/>
  </si>
  <si>
    <t>名义利率</t>
    <phoneticPr fontId="1" type="noConversion"/>
  </si>
  <si>
    <t>notes:5w,12期，一次性还本，每期还750，费率1.5%每个月，年化18%</t>
    <phoneticPr fontId="1" type="noConversion"/>
  </si>
  <si>
    <t>净房贷</t>
    <phoneticPr fontId="1" type="noConversion"/>
  </si>
  <si>
    <t>物业等</t>
    <phoneticPr fontId="1" type="noConversion"/>
  </si>
  <si>
    <t>零花</t>
    <phoneticPr fontId="1" type="noConversion"/>
  </si>
  <si>
    <t>房租</t>
    <phoneticPr fontId="1" type="noConversion"/>
  </si>
  <si>
    <t>房租水电</t>
    <phoneticPr fontId="1" type="noConversion"/>
  </si>
  <si>
    <t>合计</t>
    <phoneticPr fontId="1" type="noConversion"/>
  </si>
  <si>
    <t>支出项1|月</t>
    <phoneticPr fontId="1" type="noConversion"/>
  </si>
  <si>
    <t>支出项2|月</t>
    <phoneticPr fontId="1" type="noConversion"/>
  </si>
  <si>
    <t>房贷</t>
    <phoneticPr fontId="1" type="noConversion"/>
  </si>
  <si>
    <t>住房公积金</t>
    <phoneticPr fontId="1" type="noConversion"/>
  </si>
  <si>
    <t>合计2</t>
    <phoneticPr fontId="1" type="noConversion"/>
  </si>
  <si>
    <t>累计还款金额</t>
    <phoneticPr fontId="1" type="noConversion"/>
  </si>
  <si>
    <t>当期利率</t>
    <phoneticPr fontId="1" type="noConversion"/>
  </si>
  <si>
    <t>累计利息</t>
    <phoneticPr fontId="1" type="noConversion"/>
  </si>
  <si>
    <t>notes:5w,96期，月供821，按5w每期收0.6%，实际上超过12.2%。非常高</t>
    <phoneticPr fontId="1" type="noConversion"/>
  </si>
  <si>
    <t>notes:5w,12期，月供4542，按5w每期收0.75%，实际上超过12.2%。非常高</t>
    <phoneticPr fontId="1" type="noConversion"/>
  </si>
  <si>
    <t>当期年化利率</t>
    <phoneticPr fontId="1" type="noConversion"/>
  </si>
  <si>
    <t>平均剩余借款</t>
    <phoneticPr fontId="1" type="noConversion"/>
  </si>
  <si>
    <t>平均利率</t>
    <phoneticPr fontId="1" type="noConversion"/>
  </si>
  <si>
    <t>190924，12期，每期2050，平均利息23%（2050-22000/12）*12/11000</t>
    <phoneticPr fontId="1" type="noConversion"/>
  </si>
  <si>
    <t>20201003，12期，每期1360，平均利息%=（2050-22000/12）*12/11000</t>
    <phoneticPr fontId="1" type="noConversion"/>
  </si>
  <si>
    <t>月利率</t>
    <phoneticPr fontId="1" type="noConversion"/>
  </si>
  <si>
    <t>月利息</t>
    <phoneticPr fontId="1" type="noConversion"/>
  </si>
  <si>
    <t>月本金</t>
    <phoneticPr fontId="1" type="noConversion"/>
  </si>
  <si>
    <t>月还款</t>
    <phoneticPr fontId="1" type="noConversion"/>
  </si>
  <si>
    <t>月初贷款</t>
    <phoneticPr fontId="1" type="noConversion"/>
  </si>
  <si>
    <t>20210302</t>
  </si>
  <si>
    <t>20210303</t>
  </si>
  <si>
    <t>20210305</t>
  </si>
  <si>
    <t>20210309</t>
  </si>
  <si>
    <t>20210315</t>
  </si>
  <si>
    <t>20210316</t>
  </si>
  <si>
    <t>20210318</t>
  </si>
  <si>
    <t>20210319</t>
  </si>
  <si>
    <t>20210323</t>
  </si>
  <si>
    <t>20210328</t>
  </si>
  <si>
    <t>未来1年多花利息</t>
    <phoneticPr fontId="1" type="noConversion"/>
  </si>
  <si>
    <t>白领通：</t>
    <phoneticPr fontId="1" type="noConversion"/>
  </si>
  <si>
    <t>工商银行</t>
    <phoneticPr fontId="1" type="noConversion"/>
  </si>
  <si>
    <t>招商银行</t>
    <phoneticPr fontId="1" type="noConversion"/>
  </si>
  <si>
    <t>宁波银行</t>
    <phoneticPr fontId="1" type="noConversion"/>
  </si>
  <si>
    <t>贷款支出计算|月：</t>
    <phoneticPr fontId="1" type="noConversion"/>
  </si>
  <si>
    <t>收入净额|月：</t>
    <phoneticPr fontId="1" type="noConversion"/>
  </si>
  <si>
    <t>合计支出</t>
    <phoneticPr fontId="1" type="noConversion"/>
  </si>
  <si>
    <t>合计收入</t>
    <phoneticPr fontId="1" type="noConversion"/>
  </si>
  <si>
    <t>工资</t>
    <phoneticPr fontId="1" type="noConversion"/>
  </si>
  <si>
    <t>房租水电网</t>
    <phoneticPr fontId="1" type="noConversion"/>
  </si>
  <si>
    <t>日常花费</t>
    <phoneticPr fontId="1" type="noConversion"/>
  </si>
  <si>
    <t>旅游出行</t>
    <phoneticPr fontId="1" type="noConversion"/>
  </si>
  <si>
    <t>月净负债：</t>
    <phoneticPr fontId="1" type="noConversion"/>
  </si>
  <si>
    <t>201910-202006期间8个月，需要依靠万利金部分：</t>
    <phoneticPr fontId="1" type="noConversion"/>
  </si>
  <si>
    <t>每月欠费</t>
    <phoneticPr fontId="1" type="noConversion"/>
  </si>
  <si>
    <t>202006-202012期间6个月，需要依靠万利金部分：</t>
    <phoneticPr fontId="1" type="noConversion"/>
  </si>
  <si>
    <t>奖金</t>
    <phoneticPr fontId="1" type="noConversion"/>
  </si>
  <si>
    <t>学费</t>
    <phoneticPr fontId="1" type="noConversion"/>
  </si>
  <si>
    <t>分别假设4，2个月</t>
    <phoneticPr fontId="1" type="noConversion"/>
  </si>
  <si>
    <t>notes：每个月按1~10，11~20，21~31分三个阶段回顾和观察需要借款和还款的情况。</t>
    <phoneticPr fontId="1" type="noConversion"/>
  </si>
  <si>
    <t>日期</t>
    <phoneticPr fontId="1" type="noConversion"/>
  </si>
  <si>
    <t>结束日期</t>
    <phoneticPr fontId="1" type="noConversion"/>
  </si>
  <si>
    <t>估计总收入</t>
    <phoneticPr fontId="1" type="noConversion"/>
  </si>
  <si>
    <t>估计总还款</t>
    <phoneticPr fontId="1" type="noConversion"/>
  </si>
  <si>
    <t>差额</t>
    <phoneticPr fontId="1" type="noConversion"/>
  </si>
  <si>
    <t>收入备注</t>
    <phoneticPr fontId="1" type="noConversion"/>
  </si>
  <si>
    <t>房租</t>
    <phoneticPr fontId="1" type="noConversion"/>
  </si>
  <si>
    <t>住房公积金，房租</t>
    <phoneticPr fontId="1" type="noConversion"/>
  </si>
  <si>
    <t>奖金</t>
    <phoneticPr fontId="1" type="noConversion"/>
  </si>
  <si>
    <t>住房公积金17100，房租12000</t>
    <phoneticPr fontId="1" type="noConversion"/>
  </si>
  <si>
    <t>收入18400，房租-17400：提前1m付未来3m</t>
    <phoneticPr fontId="1" type="noConversion"/>
  </si>
  <si>
    <t>收入，</t>
    <phoneticPr fontId="1" type="noConversion"/>
  </si>
  <si>
    <t>住房公积金，房租-19500-6500找新的房子-中介费</t>
    <phoneticPr fontId="1" type="noConversion"/>
  </si>
  <si>
    <t>新增借款</t>
    <phoneticPr fontId="1" type="noConversion"/>
  </si>
  <si>
    <t>余额ZSYH</t>
    <phoneticPr fontId="1" type="noConversion"/>
  </si>
  <si>
    <t>余额ICBC</t>
    <phoneticPr fontId="1" type="noConversion"/>
  </si>
  <si>
    <t>余额NBYH</t>
    <phoneticPr fontId="1" type="noConversion"/>
  </si>
  <si>
    <t>notes：若借8年，第1,2,3,4年平均利息分别为7.6%,9%,11%,12.6%</t>
    <phoneticPr fontId="1" type="noConversion"/>
  </si>
  <si>
    <t>提前还款：年</t>
    <phoneticPr fontId="1" type="noConversion"/>
  </si>
  <si>
    <t>罚息5%</t>
    <phoneticPr fontId="1" type="noConversion"/>
  </si>
  <si>
    <t>估算利率</t>
    <phoneticPr fontId="1" type="noConversion"/>
  </si>
  <si>
    <t>合计利率</t>
    <phoneticPr fontId="1" type="noConversion"/>
  </si>
  <si>
    <t>notes：白领通额度没法提高；第二年可以用白领通</t>
    <phoneticPr fontId="1" type="noConversion"/>
  </si>
  <si>
    <t>总结：</t>
    <phoneticPr fontId="1" type="noConversion"/>
  </si>
  <si>
    <t>日期</t>
    <phoneticPr fontId="1" type="noConversion"/>
  </si>
  <si>
    <t>1，先尽量用白领通，借5w，留3w额度</t>
    <phoneticPr fontId="1" type="noConversion"/>
  </si>
  <si>
    <t>3，争取在2年末还完万利金，并使用白领通。</t>
    <phoneticPr fontId="1" type="noConversion"/>
  </si>
  <si>
    <t>2，万利金初期借5w</t>
    <phoneticPr fontId="1" type="noConversion"/>
  </si>
  <si>
    <t>房贷部分</t>
    <phoneticPr fontId="1" type="noConversion"/>
  </si>
  <si>
    <t>todo：</t>
    <phoneticPr fontId="1" type="noConversion"/>
  </si>
  <si>
    <t>1，根据ppt剩余部分，匹配出3k字要写的内容，尽早搞定。</t>
    <phoneticPr fontId="1" type="noConversion"/>
  </si>
  <si>
    <t>2，周一上午要把 医疗保健弄出一个初步框架，包括主要公司的所属细分领域定性、行业内排名、产品竞争力、股东风格、管理层风格</t>
    <phoneticPr fontId="1" type="noConversion"/>
  </si>
  <si>
    <t>new-合计</t>
    <phoneticPr fontId="1" type="noConversion"/>
  </si>
  <si>
    <t>adj_NB-ICBC</t>
    <phoneticPr fontId="1" type="noConversion"/>
  </si>
  <si>
    <t>From</t>
    <phoneticPr fontId="1" type="noConversion"/>
  </si>
  <si>
    <t>adj_NB-ZS</t>
    <phoneticPr fontId="1" type="noConversion"/>
  </si>
  <si>
    <t>96期系数</t>
    <phoneticPr fontId="1" type="noConversion"/>
  </si>
  <si>
    <t>adj_NB-NB0</t>
    <phoneticPr fontId="1" type="noConversion"/>
  </si>
  <si>
    <t>To|1年换算</t>
    <phoneticPr fontId="1" type="noConversion"/>
  </si>
  <si>
    <t>每个月工商银行分期的7000用万利金替代</t>
    <phoneticPr fontId="1" type="noConversion"/>
  </si>
  <si>
    <t>每个月招商银行分期的7000用万利金替代</t>
    <phoneticPr fontId="1" type="noConversion"/>
  </si>
  <si>
    <t>每个月宁波银行分期的7000用万利金替代</t>
    <phoneticPr fontId="1" type="noConversion"/>
  </si>
  <si>
    <t>备款ICBC</t>
    <phoneticPr fontId="1" type="noConversion"/>
  </si>
  <si>
    <t>备款ZSYH</t>
    <phoneticPr fontId="1" type="noConversion"/>
  </si>
  <si>
    <t>备款NBYH</t>
    <phoneticPr fontId="1" type="noConversion"/>
  </si>
  <si>
    <t>net_NBYH</t>
    <phoneticPr fontId="1" type="noConversion"/>
  </si>
  <si>
    <t>net_ZSYH</t>
    <phoneticPr fontId="1" type="noConversion"/>
  </si>
  <si>
    <t>net_ICBC</t>
    <phoneticPr fontId="1" type="noConversion"/>
  </si>
  <si>
    <t>账户净余额</t>
    <phoneticPr fontId="1" type="noConversion"/>
  </si>
  <si>
    <t>TODO</t>
    <phoneticPr fontId="1" type="noConversion"/>
  </si>
  <si>
    <t>1101:GET 14000=18000-32000</t>
    <phoneticPr fontId="1" type="noConversion"/>
  </si>
  <si>
    <t>住房公积金-done</t>
    <phoneticPr fontId="1" type="noConversion"/>
  </si>
  <si>
    <t>代办事项</t>
    <phoneticPr fontId="1" type="noConversion"/>
  </si>
  <si>
    <t>无</t>
    <phoneticPr fontId="1" type="noConversion"/>
  </si>
  <si>
    <t>expect bonus for 5 months</t>
    <phoneticPr fontId="1" type="noConversion"/>
  </si>
  <si>
    <t>分期付款手续费</t>
  </si>
  <si>
    <t>10/60期 支付宝-上海皮小猴酒业有限公司</t>
  </si>
  <si>
    <t>2.00/RMB</t>
  </si>
  <si>
    <t>2.00/RMB(支出)</t>
  </si>
  <si>
    <t>分期付款到期扣收</t>
  </si>
  <si>
    <t>16/60期 北京实美形象设计中心</t>
  </si>
  <si>
    <t>16.00/RMB</t>
  </si>
  <si>
    <t>16.00/RMB(支出)</t>
  </si>
  <si>
    <t>13/60期 支付宝-中国国际航空股份有限公司</t>
  </si>
  <si>
    <t>18.00/RMB</t>
  </si>
  <si>
    <t>18.00/RMB(支出)</t>
  </si>
  <si>
    <t>3.00/RMB</t>
  </si>
  <si>
    <t>3.00/RMB(支出)</t>
  </si>
  <si>
    <t>13/60期 支付宝-北京神州数码科捷技术服务*</t>
  </si>
  <si>
    <t>64.00/RMB</t>
  </si>
  <si>
    <t>64.00/RMB(支出)</t>
  </si>
  <si>
    <t>11.00/RMB</t>
  </si>
  <si>
    <t>11.00/RMB(支出)</t>
  </si>
  <si>
    <t>13/60期 支付宝-酷飞在线信息科技南京有限*</t>
  </si>
  <si>
    <t>13/60期 支付宝-铂涛信息技术（广州）有限*</t>
  </si>
  <si>
    <t>透支利息</t>
  </si>
  <si>
    <t>卡清算中心</t>
  </si>
  <si>
    <t>117.47/RMB</t>
  </si>
  <si>
    <t>117.47/RMB(支出</t>
  </si>
  <si>
    <t>10/60期 支付宝-武汉攀升兄弟科技有限公司</t>
  </si>
  <si>
    <t>10.00/RMB</t>
  </si>
  <si>
    <t>10.00/RMB(支出)</t>
  </si>
  <si>
    <t>10/60期 支付宝-小米通讯技术有限公司</t>
  </si>
  <si>
    <t>61.00/RMB</t>
  </si>
  <si>
    <t>61.00/RMB(支出)</t>
  </si>
  <si>
    <t>10/60期 支付宝-中国国际航空股份有限公司</t>
  </si>
  <si>
    <t>20.00/RMB</t>
  </si>
  <si>
    <t>20.00/RMB(支出)</t>
  </si>
  <si>
    <t>10/60期 支付宝-厦门航空有限公司</t>
  </si>
  <si>
    <t>22.00/RMB</t>
  </si>
  <si>
    <t>22.00/RMB(支出)</t>
  </si>
  <si>
    <t>12.00/RMB</t>
  </si>
  <si>
    <t>12.00/RMB(支出)</t>
  </si>
  <si>
    <t>10/60期 财付通-德川家日本料理（五棵</t>
  </si>
  <si>
    <t>15.00/RMB</t>
  </si>
  <si>
    <t>15.00/RMB(支出)</t>
  </si>
  <si>
    <t>26.00/RMB</t>
  </si>
  <si>
    <t>26.00/RMB(支出)</t>
  </si>
  <si>
    <t>4.00/RMB</t>
  </si>
  <si>
    <t>4.00/RMB(支出)</t>
  </si>
  <si>
    <t>10/60期 支付宝-陆小红</t>
  </si>
  <si>
    <t>36.00/RMB</t>
  </si>
  <si>
    <t>36.00/RMB(支出)</t>
  </si>
  <si>
    <t>6.00/RMB</t>
  </si>
  <si>
    <t>6.00/RMB(支出)</t>
  </si>
  <si>
    <t>10/60期 支付宝-厦门康城健康家居产品有限*</t>
  </si>
  <si>
    <t>25.00/RMB</t>
  </si>
  <si>
    <t>25.00/RMB(支出)</t>
  </si>
  <si>
    <t>17.00/RMB</t>
  </si>
  <si>
    <t>17.00/RMB(支出)</t>
  </si>
  <si>
    <t>13.00/RMB</t>
  </si>
  <si>
    <t>13.00/RMB(支出)</t>
  </si>
  <si>
    <t>2.00/RMB(支出)</t>
    <phoneticPr fontId="1" type="noConversion"/>
  </si>
  <si>
    <t>14/60期 支付宝-王书孝</t>
  </si>
  <si>
    <t>8.00/RMB</t>
  </si>
  <si>
    <t>8.00/RMB(支出)</t>
  </si>
  <si>
    <t>12/60期 支付宝-张存银</t>
  </si>
  <si>
    <t>14.00/RMB</t>
  </si>
  <si>
    <t>14.00/RMB(支出)</t>
  </si>
  <si>
    <t>12/60期 支付宝-珠海星辉旅行社有限公司</t>
  </si>
  <si>
    <t>46.00/RMB</t>
  </si>
  <si>
    <t>46.00/RMB(支出)</t>
  </si>
  <si>
    <t>6/60期 支付宝-阿斯兰航空服务（上海）有*</t>
  </si>
  <si>
    <t>100.00/RMB</t>
  </si>
  <si>
    <t>100.00/RMB(支出)</t>
  </si>
  <si>
    <t>6/60期 财付通-友好商场</t>
  </si>
  <si>
    <t>1.00/RMB</t>
  </si>
  <si>
    <t>1.00/RMB(支出)</t>
  </si>
  <si>
    <t>6/60期 财付通-乌鲁木齐锦江国际酒店</t>
  </si>
  <si>
    <t>50.00/RMB</t>
  </si>
  <si>
    <t>50.00/RMB(支出)</t>
  </si>
  <si>
    <t>14/60期 支付宝-中国东方航空股份有限公司</t>
  </si>
  <si>
    <t>14/60期 支付宝-海南航空控股股份有限公司</t>
  </si>
  <si>
    <t>8/60期 财付通-时美财经印务北京阜成</t>
  </si>
  <si>
    <t>62.00/RMB</t>
  </si>
  <si>
    <t>62.00/RMB(支出</t>
  </si>
  <si>
    <t>12/60期 支付宝-安徽美地美电器销售有限公*</t>
  </si>
  <si>
    <t>12/60期 支付宝-大连鸿森床具有限公司</t>
  </si>
  <si>
    <t>16/60期 北京市泰盛嘉泽商贸有限公司</t>
  </si>
  <si>
    <t>14/60期 支付宝-程幸坡</t>
  </si>
  <si>
    <t>129.00/RMB</t>
  </si>
  <si>
    <t>129.00/RMB(支出)</t>
  </si>
  <si>
    <t>6/60期 （特约）CEA易宝</t>
  </si>
  <si>
    <t>13/60期 厦门浅深酒店管理有限公司</t>
  </si>
  <si>
    <t>16/60期 上海华程西南旅行社有限公司（携程</t>
  </si>
  <si>
    <t>9/60期 财付通-人人江记海鲜火锅（省</t>
  </si>
  <si>
    <t>50.00/RMB(支出</t>
  </si>
  <si>
    <t>卡号后四位</t>
  </si>
  <si>
    <t>交易日</t>
  </si>
  <si>
    <t>记账日</t>
  </si>
  <si>
    <t>交易类</t>
  </si>
  <si>
    <t>商户名称/城市</t>
  </si>
  <si>
    <t>交易金额/币种</t>
  </si>
  <si>
    <t>记账金额/币种</t>
  </si>
  <si>
    <t>11/60期 支付宝-Air</t>
  </si>
  <si>
    <t>37.00/RMB</t>
  </si>
  <si>
    <t>37.00/RMB(支出)</t>
  </si>
  <si>
    <t>10/60期 支付宝-王书孝</t>
  </si>
  <si>
    <t>10/60期 支付宝-中国铁路总公司资金清算中*</t>
  </si>
  <si>
    <t>34.00/RMB</t>
  </si>
  <si>
    <t>34.00/RMB(支出)</t>
  </si>
  <si>
    <t>5.00/RMB</t>
  </si>
  <si>
    <t>5.00/RMB(支出)</t>
  </si>
  <si>
    <t>10/60期 支付宝-广州一起飞国际旅行社有限*</t>
  </si>
  <si>
    <t>21.00/RMB</t>
  </si>
  <si>
    <t>21.00/RMB(支出)</t>
  </si>
  <si>
    <t>31.00/RMB</t>
  </si>
  <si>
    <t>31.00/RMB(支出)</t>
  </si>
  <si>
    <t>12/60期 支付宝-李进宝</t>
  </si>
  <si>
    <t>63.00/RMB</t>
  </si>
  <si>
    <t>63.00/RMB(支出)</t>
  </si>
  <si>
    <t>12/60期 支付宝-上海纽卡斯床垫有限公司</t>
  </si>
  <si>
    <t>12/60期 支付宝-苏宁易购集团股份有限公司*</t>
  </si>
  <si>
    <t>38.00/RMB</t>
  </si>
  <si>
    <t>38.00/RMB(支出)</t>
  </si>
  <si>
    <t>6.00/RMB(支出</t>
  </si>
  <si>
    <t>15/60期 中国铁路总公司资金清算中心</t>
  </si>
  <si>
    <t>12/60期 支付宝-江苏苏宁易购电子商务有限*</t>
  </si>
  <si>
    <t>12/60期 支付宝-上海文亮制冷设备工程有限*</t>
  </si>
  <si>
    <t>60.00/RMB</t>
  </si>
  <si>
    <t>60.00/RMB(支出)</t>
  </si>
  <si>
    <t>12/60期 支付宝-珠海市翁富网络科技有限公*</t>
  </si>
  <si>
    <t>12/60期 财付通-京东</t>
  </si>
  <si>
    <t>118.00/RMB</t>
  </si>
  <si>
    <t>118.00/RMB(支出)</t>
  </si>
  <si>
    <t>14/60期 支付宝-中国铁路总公司资金清算中*</t>
  </si>
  <si>
    <t>10/60期 北京大学人民医院新院</t>
  </si>
  <si>
    <t>10/60期 五棵松</t>
  </si>
  <si>
    <t>17/60期 上海市地方税务局</t>
  </si>
  <si>
    <t>651.00/RMB</t>
  </si>
  <si>
    <t>651.00/RMB(支出)</t>
  </si>
  <si>
    <t>113.00/RMB</t>
  </si>
  <si>
    <t>113.00/RMB(支出</t>
  </si>
  <si>
    <t>6/60期 财付通-LadyToday</t>
  </si>
  <si>
    <t>13/60期 支付宝-厦门航空有限公司</t>
  </si>
  <si>
    <t>8/60期 支付宝-广东驰风网络科技有限公司</t>
  </si>
  <si>
    <t>13/60期 支付宝-应武斌</t>
  </si>
  <si>
    <t>11/60期 支付宝-王海军</t>
  </si>
  <si>
    <t>11/60期 支付宝-苏宁易购集团股份有限公司*</t>
  </si>
  <si>
    <t>24.00/RMB</t>
  </si>
  <si>
    <t>24.00/RMB(支出)</t>
  </si>
  <si>
    <t>9/60期 支付宝-海天盛宴海鲜自助</t>
  </si>
  <si>
    <t>6/60期 支付宝-北京首都航空有限公司</t>
  </si>
  <si>
    <t>19.00/RMB</t>
  </si>
  <si>
    <t>19.00/RMB(支出)</t>
  </si>
  <si>
    <t>6/60期 支付宝-上海华程西南国际旅行社有*</t>
  </si>
  <si>
    <t>226.00/RMB</t>
  </si>
  <si>
    <t>226.00/RMB(支出)</t>
  </si>
  <si>
    <t>39.00/RMB</t>
  </si>
  <si>
    <t>39.00/RMB(支出)</t>
  </si>
  <si>
    <t>15/60期 上海浦东新区潍坊物业公司</t>
  </si>
  <si>
    <t>1.00/RMB(支出</t>
  </si>
  <si>
    <t>15/60期 支付宝-北京蜜蜂兄弟科技有限公司</t>
  </si>
  <si>
    <t>23.00/RMB</t>
  </si>
  <si>
    <t>23.00/RMB(支出)</t>
  </si>
  <si>
    <t>6/60期 支付宝-中国铁路总公司资金清算中*</t>
  </si>
  <si>
    <t>13/60期 支付宝-王书孝</t>
  </si>
  <si>
    <t>366.00/RMB</t>
  </si>
  <si>
    <t>366.00/RMB(支出)</t>
  </si>
  <si>
    <t>7/60期 财付通-京东商城平台商户</t>
  </si>
  <si>
    <t>6/60期 西安SKP</t>
  </si>
  <si>
    <t>42.00/RMB</t>
  </si>
  <si>
    <t>42.00/RMB(支出)</t>
  </si>
  <si>
    <t>7.00/RMB</t>
  </si>
  <si>
    <t>7.00/RMB(支出)</t>
  </si>
  <si>
    <t>5/60期 支付宝-深圳市爱乐乐器有限公司</t>
  </si>
  <si>
    <t>15/60期 支付宝-上海华程西南国际旅行社有*</t>
  </si>
  <si>
    <t>2.00/RMB(支</t>
  </si>
  <si>
    <t>月分期付款合计</t>
    <phoneticPr fontId="1" type="noConversion"/>
  </si>
  <si>
    <t>根据“ICBC分期合计”计算，平均一个月需要还3900，201910期数是13/60；</t>
    <phoneticPr fontId="1" type="noConversion"/>
  </si>
  <si>
    <t>因为下一个10天会有结余；用NBYH的短期白领通-min=1万，月20付息，1年到期还本；</t>
    <phoneticPr fontId="1" type="noConversion"/>
  </si>
  <si>
    <t>消费贷-1w-1</t>
    <phoneticPr fontId="1" type="noConversion"/>
  </si>
  <si>
    <t>消费贷-1w-2</t>
    <phoneticPr fontId="1" type="noConversion"/>
  </si>
  <si>
    <t>到期还本1w</t>
    <phoneticPr fontId="1" type="noConversion"/>
  </si>
  <si>
    <t>按月付息，到期还本1w</t>
    <phoneticPr fontId="1" type="noConversion"/>
  </si>
  <si>
    <t>notes：10-15发工资这几天只有NBYH有6100的付款，账面现金3.3k-留1k，差3.8k；财务报销1.4k+医保0.57k，还差1.9k；notes：融e借可以借5.5k；考虑到融e借实际上可以循环，对应的2w不怕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</si>
</sst>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0.0"/>
    <numFmt numFmtId="178" formatCode="0.0_ "/>
  </numFmts>
  <fonts count="12" x14ac:knownFonts="1">
    <font>
      <sz val="11"/>
      <color theme="1"/>
      <name val="宋体"/>
      <family val="2"/>
      <charset val="134"/>
      <scheme val="minor"/>
    </font>
    <font>
      <sz val="9"/>
      <name val="宋体"/>
      <family val="2"/>
      <charset val="134"/>
      <scheme val="minor"/>
    </font>
    <font>
      <sz val="11"/>
      <color rgb="FFFF0000"/>
      <name val="宋体"/>
      <family val="2"/>
      <charset val="134"/>
      <scheme val="minor"/>
    </font>
    <font>
      <sz val="10"/>
      <color rgb="FF404040"/>
      <name val="Segoe UI Symbol"/>
      <family val="2"/>
    </font>
    <font>
      <sz val="10"/>
      <color rgb="FF333333"/>
      <name val="微软雅黑"/>
      <family val="2"/>
      <charset val="134"/>
    </font>
    <font>
      <sz val="11"/>
      <color rgb="FFFF0000"/>
      <name val="宋体"/>
      <family val="3"/>
      <charset val="134"/>
      <scheme val="minor"/>
    </font>
    <font>
      <u/>
      <sz val="11"/>
      <color theme="10"/>
      <name val="宋体"/>
      <family val="2"/>
      <charset val="134"/>
      <scheme val="minor"/>
    </font>
    <font>
      <sz val="11"/>
      <color theme="1"/>
      <name val="宋体"/>
      <family val="2"/>
      <charset val="134"/>
      <scheme val="minor"/>
    </font>
    <font>
      <b/>
      <sz val="11"/>
      <color theme="1"/>
      <name val="宋体"/>
      <family val="3"/>
      <charset val="134"/>
      <scheme val="minor"/>
    </font>
    <font>
      <sz val="9"/>
      <color indexed="81"/>
      <name val="宋体"/>
      <family val="3"/>
      <charset val="134"/>
    </font>
    <font>
      <b/>
      <sz val="9"/>
      <color indexed="81"/>
      <name val="宋体"/>
      <family val="3"/>
      <charset val="134"/>
    </font>
    <font>
      <b/>
      <sz val="11"/>
      <color rgb="FFFF0000"/>
      <name val="宋体"/>
      <family val="3"/>
      <charset val="134"/>
      <scheme val="minor"/>
    </font>
  </fonts>
  <fills count="13">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4"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3" tint="0.79998168889431442"/>
        <bgColor indexed="64"/>
      </patternFill>
    </fill>
  </fills>
  <borders count="1">
    <border>
      <left/>
      <right/>
      <top/>
      <bottom/>
      <diagonal/>
    </border>
  </borders>
  <cellStyleXfs count="3">
    <xf numFmtId="0" fontId="0" fillId="0" borderId="0">
      <alignment vertical="center"/>
    </xf>
    <xf numFmtId="0" fontId="6" fillId="0" borderId="0" applyNumberFormat="0" applyFill="0" applyBorder="0" applyAlignment="0" applyProtection="0">
      <alignment vertical="center"/>
    </xf>
    <xf numFmtId="9" fontId="7" fillId="0" borderId="0" applyFont="0" applyFill="0" applyBorder="0" applyAlignment="0" applyProtection="0">
      <alignment vertical="center"/>
    </xf>
  </cellStyleXfs>
  <cellXfs count="56">
    <xf numFmtId="0" fontId="0" fillId="0" borderId="0" xfId="0">
      <alignment vertical="center"/>
    </xf>
    <xf numFmtId="0" fontId="0" fillId="2" borderId="0" xfId="0" applyFill="1">
      <alignment vertical="center"/>
    </xf>
    <xf numFmtId="0" fontId="0" fillId="3" borderId="0" xfId="0" applyFill="1">
      <alignment vertical="center"/>
    </xf>
    <xf numFmtId="0" fontId="3" fillId="0" borderId="0" xfId="0" applyFont="1">
      <alignment vertical="center"/>
    </xf>
    <xf numFmtId="0" fontId="0" fillId="0" borderId="0" xfId="0" applyAlignment="1">
      <alignment vertical="center"/>
    </xf>
    <xf numFmtId="0" fontId="4" fillId="0" borderId="0" xfId="0" applyFont="1">
      <alignment vertical="center"/>
    </xf>
    <xf numFmtId="0" fontId="2" fillId="0" borderId="0" xfId="0" applyFont="1">
      <alignment vertical="center"/>
    </xf>
    <xf numFmtId="0" fontId="5" fillId="0" borderId="0" xfId="0" applyFont="1">
      <alignment vertical="center"/>
    </xf>
    <xf numFmtId="20" fontId="0" fillId="3" borderId="0" xfId="0" applyNumberFormat="1" applyFill="1">
      <alignment vertical="center"/>
    </xf>
    <xf numFmtId="0" fontId="6" fillId="0" borderId="0" xfId="1">
      <alignment vertical="center"/>
    </xf>
    <xf numFmtId="10" fontId="0" fillId="0" borderId="0" xfId="0" applyNumberFormat="1">
      <alignment vertical="center"/>
    </xf>
    <xf numFmtId="1" fontId="0" fillId="0" borderId="0" xfId="0" applyNumberFormat="1">
      <alignment vertical="center"/>
    </xf>
    <xf numFmtId="176" fontId="0" fillId="0" borderId="0" xfId="0" applyNumberFormat="1">
      <alignment vertical="center"/>
    </xf>
    <xf numFmtId="0" fontId="0" fillId="0" borderId="0" xfId="0" applyAlignment="1">
      <alignment horizontal="center" vertical="center"/>
    </xf>
    <xf numFmtId="0" fontId="0" fillId="0" borderId="0" xfId="0" applyNumberFormat="1">
      <alignment vertical="center"/>
    </xf>
    <xf numFmtId="0" fontId="0" fillId="4" borderId="0" xfId="0" applyFill="1" applyAlignment="1">
      <alignment horizontal="left" vertical="top" wrapText="1"/>
    </xf>
    <xf numFmtId="0" fontId="0" fillId="4" borderId="0" xfId="0" applyFill="1">
      <alignment vertical="center"/>
    </xf>
    <xf numFmtId="0" fontId="0" fillId="5" borderId="0" xfId="0" applyFill="1" applyAlignment="1">
      <alignment vertical="center" wrapText="1"/>
    </xf>
    <xf numFmtId="0" fontId="0" fillId="5" borderId="0" xfId="0" applyFill="1">
      <alignment vertical="center"/>
    </xf>
    <xf numFmtId="0" fontId="0" fillId="6" borderId="0" xfId="0" applyFill="1">
      <alignment vertical="center"/>
    </xf>
    <xf numFmtId="0" fontId="0" fillId="6" borderId="0" xfId="0" applyFill="1" applyAlignment="1">
      <alignment vertical="center" wrapText="1"/>
    </xf>
    <xf numFmtId="1" fontId="0" fillId="6" borderId="0" xfId="0" applyNumberFormat="1" applyFill="1">
      <alignment vertical="center"/>
    </xf>
    <xf numFmtId="177" fontId="0" fillId="6" borderId="0" xfId="0" applyNumberFormat="1" applyFill="1">
      <alignment vertical="center"/>
    </xf>
    <xf numFmtId="0" fontId="0" fillId="7" borderId="0" xfId="0" applyFill="1">
      <alignment vertical="center"/>
    </xf>
    <xf numFmtId="2" fontId="0" fillId="0" borderId="0" xfId="0" applyNumberFormat="1">
      <alignment vertical="center"/>
    </xf>
    <xf numFmtId="177" fontId="0" fillId="0" borderId="0" xfId="0" applyNumberFormat="1">
      <alignment vertical="center"/>
    </xf>
    <xf numFmtId="178" fontId="0" fillId="0" borderId="0" xfId="0" applyNumberFormat="1">
      <alignment vertical="center"/>
    </xf>
    <xf numFmtId="10" fontId="0" fillId="2" borderId="0" xfId="0" applyNumberFormat="1" applyFill="1">
      <alignment vertical="center"/>
    </xf>
    <xf numFmtId="0" fontId="0" fillId="2" borderId="0" xfId="0" applyNumberFormat="1" applyFill="1">
      <alignment vertical="center"/>
    </xf>
    <xf numFmtId="177" fontId="0" fillId="2" borderId="0" xfId="0" applyNumberFormat="1" applyFill="1">
      <alignment vertical="center"/>
    </xf>
    <xf numFmtId="10" fontId="0" fillId="0" borderId="0" xfId="2" applyNumberFormat="1" applyFont="1">
      <alignment vertical="center"/>
    </xf>
    <xf numFmtId="0" fontId="2" fillId="2" borderId="0" xfId="0" applyFont="1" applyFill="1">
      <alignment vertical="center"/>
    </xf>
    <xf numFmtId="0" fontId="5" fillId="2" borderId="0" xfId="0" applyFont="1" applyFill="1">
      <alignment vertical="center"/>
    </xf>
    <xf numFmtId="10" fontId="5" fillId="2" borderId="0" xfId="0" applyNumberFormat="1" applyFont="1" applyFill="1">
      <alignment vertical="center"/>
    </xf>
    <xf numFmtId="0" fontId="5" fillId="2" borderId="0" xfId="0" applyNumberFormat="1" applyFont="1" applyFill="1">
      <alignment vertical="center"/>
    </xf>
    <xf numFmtId="1" fontId="0" fillId="2" borderId="0" xfId="0" applyNumberFormat="1" applyFill="1">
      <alignment vertical="center"/>
    </xf>
    <xf numFmtId="10" fontId="0" fillId="2" borderId="0" xfId="2" applyNumberFormat="1" applyFont="1" applyFill="1">
      <alignment vertical="center"/>
    </xf>
    <xf numFmtId="0" fontId="8" fillId="8" borderId="0" xfId="0" applyFont="1" applyFill="1">
      <alignment vertical="center"/>
    </xf>
    <xf numFmtId="0" fontId="2" fillId="7" borderId="0" xfId="0" applyFont="1" applyFill="1">
      <alignment vertical="center"/>
    </xf>
    <xf numFmtId="0" fontId="0" fillId="9" borderId="0" xfId="0" applyFill="1">
      <alignment vertical="center"/>
    </xf>
    <xf numFmtId="0" fontId="0" fillId="10" borderId="0" xfId="0" applyFill="1">
      <alignment vertical="center"/>
    </xf>
    <xf numFmtId="0" fontId="8" fillId="0" borderId="0" xfId="0" applyFont="1">
      <alignment vertical="center"/>
    </xf>
    <xf numFmtId="0" fontId="11" fillId="8" borderId="0" xfId="0" applyFont="1" applyFill="1">
      <alignment vertical="center"/>
    </xf>
    <xf numFmtId="0" fontId="2" fillId="4" borderId="0" xfId="0" applyFont="1" applyFill="1">
      <alignment vertical="center"/>
    </xf>
    <xf numFmtId="177" fontId="0" fillId="4" borderId="0" xfId="0" applyNumberFormat="1" applyFill="1">
      <alignment vertical="center"/>
    </xf>
    <xf numFmtId="10" fontId="0" fillId="4" borderId="0" xfId="0" applyNumberFormat="1" applyFill="1">
      <alignment vertical="center"/>
    </xf>
    <xf numFmtId="176" fontId="0" fillId="4" borderId="0" xfId="0" applyNumberFormat="1" applyFill="1">
      <alignment vertical="center"/>
    </xf>
    <xf numFmtId="14" fontId="0" fillId="0" borderId="0" xfId="0" applyNumberFormat="1">
      <alignment vertical="center"/>
    </xf>
    <xf numFmtId="14" fontId="2" fillId="0" borderId="0" xfId="0" applyNumberFormat="1" applyFont="1">
      <alignment vertical="center"/>
    </xf>
    <xf numFmtId="0" fontId="2" fillId="6" borderId="0" xfId="0" applyFont="1" applyFill="1">
      <alignment vertical="center"/>
    </xf>
    <xf numFmtId="9" fontId="0" fillId="0" borderId="0" xfId="0" applyNumberFormat="1">
      <alignment vertical="center"/>
    </xf>
    <xf numFmtId="0" fontId="0" fillId="11" borderId="0" xfId="0" applyFill="1">
      <alignment vertical="center"/>
    </xf>
    <xf numFmtId="0" fontId="0" fillId="12" borderId="0" xfId="0" applyFill="1">
      <alignment vertical="center"/>
    </xf>
    <xf numFmtId="0" fontId="0" fillId="0" borderId="0" xfId="0" applyAlignment="1">
      <alignment horizontal="left" vertical="top" wrapText="1"/>
    </xf>
    <xf numFmtId="0" fontId="0" fillId="2" borderId="0" xfId="0" applyFill="1" applyAlignment="1">
      <alignment horizontal="left" vertical="top" wrapText="1"/>
    </xf>
    <xf numFmtId="2" fontId="2" fillId="0" borderId="0" xfId="0" applyNumberFormat="1" applyFont="1">
      <alignment vertical="center"/>
    </xf>
  </cellXfs>
  <cellStyles count="3">
    <cellStyle name="百分比" xfId="2" builtinId="5"/>
    <cellStyle name="常规" xfId="0" builtinId="0"/>
    <cellStyle name="超链接" xfId="1" builtinId="8"/>
  </cellStyles>
  <dxfs count="7">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88cto.com/article/YKZqHX3b" TargetMode="External"/><Relationship Id="rId2" Type="http://schemas.openxmlformats.org/officeDocument/2006/relationships/hyperlink" Target="https://zhuanlan.zhihu.com/p/70282110" TargetMode="External"/><Relationship Id="rId1" Type="http://schemas.openxmlformats.org/officeDocument/2006/relationships/hyperlink" Target="http://42.51.39.129:8080/"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FBD96-AC18-4DF3-9E8C-8628BB519FC6}">
  <sheetPr>
    <tabColor theme="5"/>
  </sheetPr>
  <dimension ref="A1:T200"/>
  <sheetViews>
    <sheetView workbookViewId="0">
      <pane ySplit="1" topLeftCell="A2" activePane="bottomLeft" state="frozen"/>
      <selection pane="bottomLeft" activeCell="I5" sqref="I5"/>
    </sheetView>
  </sheetViews>
  <sheetFormatPr defaultRowHeight="14.4" x14ac:dyDescent="0.25"/>
  <cols>
    <col min="3" max="3" width="13.44140625" customWidth="1"/>
    <col min="4" max="4" width="9.6640625" customWidth="1"/>
    <col min="6" max="6" width="11.6640625" customWidth="1"/>
    <col min="7" max="7" width="14.33203125" customWidth="1"/>
    <col min="8" max="8" width="15.44140625" customWidth="1"/>
    <col min="9" max="9" width="14.21875" customWidth="1"/>
    <col min="10" max="10" width="9.44140625" customWidth="1"/>
    <col min="11" max="11" width="11.33203125" customWidth="1"/>
    <col min="12" max="12" width="10.44140625" customWidth="1"/>
    <col min="13" max="13" width="12.44140625" customWidth="1"/>
    <col min="17" max="17" width="10.5546875" bestFit="1" customWidth="1"/>
    <col min="19" max="19" width="13.6640625" customWidth="1"/>
    <col min="20" max="20" width="13.21875" customWidth="1"/>
  </cols>
  <sheetData>
    <row r="1" spans="1:20" ht="28.2" customHeight="1" x14ac:dyDescent="0.25">
      <c r="A1" s="17" t="s">
        <v>124</v>
      </c>
      <c r="B1" s="16" t="s">
        <v>129</v>
      </c>
      <c r="C1" s="15" t="s">
        <v>128</v>
      </c>
      <c r="D1" s="15" t="s">
        <v>130</v>
      </c>
      <c r="E1" s="15" t="s">
        <v>127</v>
      </c>
      <c r="F1" s="15" t="s">
        <v>146</v>
      </c>
      <c r="G1" s="15" t="s">
        <v>131</v>
      </c>
      <c r="H1" s="15" t="s">
        <v>149</v>
      </c>
      <c r="I1" s="15" t="s">
        <v>139</v>
      </c>
      <c r="J1" s="15" t="s">
        <v>176</v>
      </c>
      <c r="K1" s="15" t="s">
        <v>140</v>
      </c>
      <c r="L1" s="15" t="s">
        <v>134</v>
      </c>
      <c r="M1" s="15" t="s">
        <v>135</v>
      </c>
      <c r="N1" s="15"/>
      <c r="O1" s="15"/>
      <c r="P1" s="15"/>
      <c r="Q1" s="15" t="s">
        <v>152</v>
      </c>
      <c r="R1" s="15" t="s">
        <v>153</v>
      </c>
      <c r="S1" s="15" t="s">
        <v>170</v>
      </c>
      <c r="T1" s="15" t="s">
        <v>238</v>
      </c>
    </row>
    <row r="2" spans="1:20" x14ac:dyDescent="0.25">
      <c r="A2" s="18"/>
      <c r="B2" t="s">
        <v>123</v>
      </c>
      <c r="C2" t="s">
        <v>136</v>
      </c>
      <c r="D2">
        <v>-2550000</v>
      </c>
      <c r="E2" s="10">
        <v>4.6550000000000001E-2</v>
      </c>
      <c r="F2" s="11">
        <v>12</v>
      </c>
      <c r="G2" s="11">
        <f>E2*D2*(F2/12)</f>
        <v>-118702.5</v>
      </c>
      <c r="H2" s="13"/>
      <c r="I2">
        <v>13420</v>
      </c>
      <c r="J2" t="b">
        <f t="shared" ref="J2:J33" si="0">K2&gt;=$A$7</f>
        <v>0</v>
      </c>
      <c r="K2" s="14">
        <f>_xlfn.NUMBERVALUE(R2)</f>
        <v>1102</v>
      </c>
      <c r="L2">
        <v>-161040</v>
      </c>
      <c r="M2" t="s">
        <v>141</v>
      </c>
      <c r="Q2">
        <v>20280402</v>
      </c>
      <c r="R2" t="str">
        <f>$A$4&amp;RIGHT(Q2,2)</f>
        <v>1102</v>
      </c>
    </row>
    <row r="3" spans="1:20" x14ac:dyDescent="0.25">
      <c r="A3" s="18" t="s">
        <v>154</v>
      </c>
      <c r="B3" t="s">
        <v>123</v>
      </c>
      <c r="C3" t="s">
        <v>138</v>
      </c>
      <c r="D3">
        <v>-180700</v>
      </c>
      <c r="E3" s="10">
        <v>7.4999999999999997E-2</v>
      </c>
      <c r="F3" s="11">
        <v>12</v>
      </c>
      <c r="G3" s="11">
        <f t="shared" ref="G3:G11" si="1">E3*D3*(F3/12)</f>
        <v>-13552.5</v>
      </c>
      <c r="H3" s="13" t="s">
        <v>150</v>
      </c>
      <c r="I3" s="18">
        <v>3900</v>
      </c>
      <c r="J3" t="b">
        <f t="shared" si="0"/>
        <v>1</v>
      </c>
      <c r="K3" s="14">
        <f t="shared" ref="K3:K27" si="2">_xlfn.NUMBERVALUE(R3)</f>
        <v>1110</v>
      </c>
      <c r="L3" s="6">
        <v>-54000</v>
      </c>
      <c r="M3" t="s">
        <v>488</v>
      </c>
      <c r="Q3">
        <v>20230410</v>
      </c>
      <c r="R3" t="str">
        <f>$A$4&amp;RIGHT(Q3,2)</f>
        <v>1110</v>
      </c>
      <c r="S3">
        <v>54000</v>
      </c>
      <c r="T3" s="11">
        <f>S3*(E3-0.1)</f>
        <v>-1350.0000000000005</v>
      </c>
    </row>
    <row r="4" spans="1:20" x14ac:dyDescent="0.25">
      <c r="A4" s="18">
        <f>A37</f>
        <v>11</v>
      </c>
      <c r="B4" t="s">
        <v>123</v>
      </c>
      <c r="C4" t="s">
        <v>137</v>
      </c>
      <c r="D4">
        <v>-9000</v>
      </c>
      <c r="E4" s="10">
        <v>5.8000000000000003E-2</v>
      </c>
      <c r="F4" s="11">
        <v>12</v>
      </c>
      <c r="G4" s="11">
        <f t="shared" si="1"/>
        <v>-522</v>
      </c>
      <c r="H4" s="13"/>
      <c r="I4">
        <v>700</v>
      </c>
      <c r="J4" t="b">
        <f t="shared" si="0"/>
        <v>1</v>
      </c>
      <c r="K4" s="14">
        <f t="shared" si="2"/>
        <v>1120</v>
      </c>
      <c r="L4">
        <v>-15000</v>
      </c>
      <c r="M4" t="s">
        <v>177</v>
      </c>
      <c r="Q4">
        <v>20210620</v>
      </c>
      <c r="R4" t="str">
        <f>$A$4&amp;RIGHT(Q4,2)</f>
        <v>1120</v>
      </c>
      <c r="S4">
        <v>15000</v>
      </c>
      <c r="T4" s="11">
        <f t="shared" ref="T4:T27" si="3">S4*(E4-0.1)</f>
        <v>-630</v>
      </c>
    </row>
    <row r="5" spans="1:20" x14ac:dyDescent="0.25">
      <c r="A5" s="18" t="str">
        <f>A38</f>
        <v>日期=</v>
      </c>
      <c r="B5" t="s">
        <v>123</v>
      </c>
      <c r="C5" t="s">
        <v>137</v>
      </c>
      <c r="D5">
        <v>-5900</v>
      </c>
      <c r="E5" s="10">
        <v>5.8000000000000003E-2</v>
      </c>
      <c r="F5" s="11">
        <v>12</v>
      </c>
      <c r="G5" s="11">
        <f t="shared" ref="G5" si="4">E5*D5*(F5/12)</f>
        <v>-342.20000000000005</v>
      </c>
      <c r="H5" s="13"/>
      <c r="I5">
        <v>350</v>
      </c>
      <c r="J5" t="b">
        <f t="shared" ref="J5" si="5">K5&gt;=$A$7</f>
        <v>0</v>
      </c>
      <c r="K5" s="14">
        <f t="shared" ref="K5" si="6">_xlfn.NUMBERVALUE(R5)</f>
        <v>1102</v>
      </c>
      <c r="L5">
        <v>-15000</v>
      </c>
      <c r="M5" t="s">
        <v>177</v>
      </c>
      <c r="Q5">
        <v>20210602</v>
      </c>
      <c r="R5" t="str">
        <f>$A$4&amp;RIGHT(Q5,2)</f>
        <v>1102</v>
      </c>
      <c r="S5">
        <v>15000</v>
      </c>
      <c r="T5" s="11">
        <f t="shared" ref="T5" si="7">S5*(E5-0.1)</f>
        <v>-630</v>
      </c>
    </row>
    <row r="6" spans="1:20" x14ac:dyDescent="0.25">
      <c r="A6" s="18" t="s">
        <v>182</v>
      </c>
      <c r="B6" t="s">
        <v>123</v>
      </c>
      <c r="C6" t="s">
        <v>126</v>
      </c>
      <c r="D6">
        <v>-2800</v>
      </c>
      <c r="E6" s="12">
        <v>0.18</v>
      </c>
      <c r="F6" s="11">
        <v>12</v>
      </c>
      <c r="G6" s="11">
        <v>0</v>
      </c>
      <c r="H6" s="13" t="s">
        <v>150</v>
      </c>
      <c r="J6" t="b">
        <f t="shared" si="0"/>
        <v>0</v>
      </c>
      <c r="K6" s="14">
        <f t="shared" si="2"/>
        <v>1103</v>
      </c>
      <c r="L6">
        <v>0</v>
      </c>
      <c r="M6" t="s">
        <v>142</v>
      </c>
      <c r="Q6">
        <v>20301003</v>
      </c>
      <c r="R6" t="str">
        <f>$A$4&amp;RIGHT(Q6,2)</f>
        <v>1103</v>
      </c>
      <c r="S6">
        <v>2800</v>
      </c>
      <c r="T6" s="11">
        <f t="shared" si="3"/>
        <v>223.99999999999997</v>
      </c>
    </row>
    <row r="7" spans="1:20" x14ac:dyDescent="0.25">
      <c r="A7" s="18">
        <f>A39</f>
        <v>1104</v>
      </c>
      <c r="E7" s="12"/>
      <c r="G7" s="11"/>
      <c r="H7" s="13"/>
      <c r="J7" t="b">
        <f t="shared" si="0"/>
        <v>0</v>
      </c>
      <c r="T7" s="11"/>
    </row>
    <row r="8" spans="1:20" x14ac:dyDescent="0.25">
      <c r="B8" t="s">
        <v>125</v>
      </c>
      <c r="C8" t="s">
        <v>126</v>
      </c>
      <c r="D8">
        <v>-3500</v>
      </c>
      <c r="E8" s="12">
        <v>0.18</v>
      </c>
      <c r="F8" s="11">
        <v>12</v>
      </c>
      <c r="G8" s="11">
        <f t="shared" si="1"/>
        <v>-630</v>
      </c>
      <c r="H8" s="13" t="s">
        <v>150</v>
      </c>
      <c r="I8">
        <v>1000</v>
      </c>
      <c r="J8" t="b">
        <f t="shared" si="0"/>
        <v>1</v>
      </c>
      <c r="K8" s="14">
        <f t="shared" si="2"/>
        <v>1104</v>
      </c>
      <c r="M8" t="s">
        <v>179</v>
      </c>
      <c r="Q8">
        <v>20301004</v>
      </c>
      <c r="R8" t="str">
        <f t="shared" ref="R8:R11" si="8">$A$4&amp;RIGHT(Q8,2)</f>
        <v>1104</v>
      </c>
      <c r="S8">
        <v>10700</v>
      </c>
      <c r="T8" s="11">
        <f t="shared" si="3"/>
        <v>855.99999999999989</v>
      </c>
    </row>
    <row r="9" spans="1:20" x14ac:dyDescent="0.25">
      <c r="B9" t="s">
        <v>125</v>
      </c>
      <c r="C9" t="s">
        <v>143</v>
      </c>
      <c r="D9">
        <v>-22000</v>
      </c>
      <c r="E9" s="12">
        <v>0.23</v>
      </c>
      <c r="F9" s="11">
        <v>11</v>
      </c>
      <c r="G9" s="11">
        <f t="shared" si="1"/>
        <v>-4638.333333333333</v>
      </c>
      <c r="H9" s="13" t="s">
        <v>150</v>
      </c>
      <c r="I9">
        <v>2050</v>
      </c>
      <c r="J9" t="b">
        <f t="shared" si="0"/>
        <v>1</v>
      </c>
      <c r="K9" s="14">
        <f t="shared" si="2"/>
        <v>1104</v>
      </c>
      <c r="M9" t="s">
        <v>221</v>
      </c>
      <c r="Q9">
        <v>20201004</v>
      </c>
      <c r="R9" t="str">
        <f t="shared" si="8"/>
        <v>1104</v>
      </c>
      <c r="T9" s="11"/>
    </row>
    <row r="10" spans="1:20" x14ac:dyDescent="0.25">
      <c r="B10" t="s">
        <v>125</v>
      </c>
      <c r="C10" t="s">
        <v>144</v>
      </c>
      <c r="D10">
        <v>-6200</v>
      </c>
      <c r="E10" s="12">
        <v>0.23</v>
      </c>
      <c r="F10" s="11">
        <v>10</v>
      </c>
      <c r="G10" s="11">
        <f t="shared" si="1"/>
        <v>-1188.3333333333335</v>
      </c>
      <c r="H10" s="13" t="s">
        <v>150</v>
      </c>
      <c r="I10">
        <v>560</v>
      </c>
      <c r="J10" t="b">
        <f t="shared" si="0"/>
        <v>1</v>
      </c>
      <c r="K10" s="14">
        <f t="shared" si="2"/>
        <v>1104</v>
      </c>
      <c r="M10" t="s">
        <v>145</v>
      </c>
      <c r="Q10">
        <v>20201004</v>
      </c>
      <c r="R10" t="str">
        <f t="shared" si="8"/>
        <v>1104</v>
      </c>
      <c r="T10" s="11"/>
    </row>
    <row r="11" spans="1:20" x14ac:dyDescent="0.25">
      <c r="B11" t="s">
        <v>125</v>
      </c>
      <c r="C11" t="s">
        <v>147</v>
      </c>
      <c r="D11">
        <v>-8600</v>
      </c>
      <c r="E11" s="12">
        <v>0.23</v>
      </c>
      <c r="F11" s="11">
        <v>9</v>
      </c>
      <c r="G11" s="11">
        <f t="shared" si="1"/>
        <v>-1483.5</v>
      </c>
      <c r="H11" s="13" t="s">
        <v>150</v>
      </c>
      <c r="I11">
        <v>760</v>
      </c>
      <c r="J11" t="b">
        <f t="shared" si="0"/>
        <v>1</v>
      </c>
      <c r="K11" s="14">
        <f t="shared" si="2"/>
        <v>1104</v>
      </c>
      <c r="M11" t="s">
        <v>148</v>
      </c>
      <c r="Q11">
        <v>20200804</v>
      </c>
      <c r="R11" t="str">
        <f t="shared" si="8"/>
        <v>1104</v>
      </c>
      <c r="T11" s="11"/>
    </row>
    <row r="12" spans="1:20" x14ac:dyDescent="0.25">
      <c r="E12" s="12"/>
      <c r="F12" s="11"/>
      <c r="G12" s="11"/>
      <c r="H12" s="13"/>
      <c r="K12" s="14"/>
      <c r="T12" s="11"/>
    </row>
    <row r="13" spans="1:20" x14ac:dyDescent="0.25">
      <c r="K13" s="14"/>
    </row>
    <row r="14" spans="1:20" x14ac:dyDescent="0.25">
      <c r="B14" t="s">
        <v>133</v>
      </c>
      <c r="C14" t="s">
        <v>151</v>
      </c>
      <c r="D14">
        <v>-24130</v>
      </c>
      <c r="E14" s="10">
        <v>7.1999999999999995E-2</v>
      </c>
      <c r="F14" s="11">
        <v>12</v>
      </c>
      <c r="G14" s="11">
        <f>E14*D14*(F14/12)</f>
        <v>-1737.36</v>
      </c>
      <c r="H14" s="13" t="s">
        <v>150</v>
      </c>
      <c r="I14">
        <v>1418</v>
      </c>
      <c r="J14" t="b">
        <f t="shared" si="0"/>
        <v>0</v>
      </c>
      <c r="K14" s="14">
        <f t="shared" si="2"/>
        <v>1102</v>
      </c>
      <c r="L14">
        <f>I14*12*-1</f>
        <v>-17016</v>
      </c>
      <c r="M14" t="s">
        <v>222</v>
      </c>
      <c r="Q14" t="s">
        <v>228</v>
      </c>
      <c r="R14" t="str">
        <f t="shared" ref="R14:R27" si="9">$A$4&amp;RIGHT(Q14,2)</f>
        <v>1102</v>
      </c>
      <c r="S14">
        <f>D14*-1*0.8</f>
        <v>19304</v>
      </c>
      <c r="T14" s="11">
        <f t="shared" si="3"/>
        <v>-540.51200000000017</v>
      </c>
    </row>
    <row r="15" spans="1:20" x14ac:dyDescent="0.25">
      <c r="B15" t="s">
        <v>133</v>
      </c>
      <c r="C15" t="s">
        <v>155</v>
      </c>
      <c r="D15">
        <v>-19227</v>
      </c>
      <c r="E15" s="10">
        <v>7.1999999999999995E-2</v>
      </c>
      <c r="F15" s="11">
        <v>12</v>
      </c>
      <c r="G15" s="11">
        <f t="shared" ref="G15:G27" si="10">E15*D15*(F15/12)</f>
        <v>-1384.3439999999998</v>
      </c>
      <c r="H15" s="13" t="s">
        <v>150</v>
      </c>
      <c r="I15">
        <v>1131</v>
      </c>
      <c r="J15" t="b">
        <f t="shared" si="0"/>
        <v>0</v>
      </c>
      <c r="K15" s="14">
        <f t="shared" si="2"/>
        <v>1103</v>
      </c>
      <c r="L15">
        <f t="shared" ref="L15:L27" si="11">I15*12*-1</f>
        <v>-13572</v>
      </c>
      <c r="Q15" t="s">
        <v>229</v>
      </c>
      <c r="R15" t="str">
        <f t="shared" si="9"/>
        <v>1103</v>
      </c>
      <c r="S15">
        <f t="shared" ref="S15:S27" si="12">D15*-1*0.8</f>
        <v>15381.6</v>
      </c>
      <c r="T15" s="11">
        <f t="shared" si="3"/>
        <v>-430.68480000000017</v>
      </c>
    </row>
    <row r="16" spans="1:20" x14ac:dyDescent="0.25">
      <c r="B16" t="s">
        <v>133</v>
      </c>
      <c r="C16" t="s">
        <v>156</v>
      </c>
      <c r="D16">
        <v>-18641</v>
      </c>
      <c r="E16" s="10">
        <v>7.1999999999999995E-2</v>
      </c>
      <c r="F16" s="11">
        <v>12</v>
      </c>
      <c r="G16" s="11">
        <f t="shared" si="10"/>
        <v>-1342.1519999999998</v>
      </c>
      <c r="H16" s="13" t="s">
        <v>150</v>
      </c>
      <c r="I16">
        <v>1096</v>
      </c>
      <c r="J16" t="b">
        <f t="shared" si="0"/>
        <v>1</v>
      </c>
      <c r="K16" s="14">
        <f t="shared" si="2"/>
        <v>1105</v>
      </c>
      <c r="L16">
        <f t="shared" si="11"/>
        <v>-13152</v>
      </c>
      <c r="Q16" t="s">
        <v>230</v>
      </c>
      <c r="R16" t="str">
        <f t="shared" si="9"/>
        <v>1105</v>
      </c>
      <c r="S16">
        <f t="shared" si="12"/>
        <v>14912.800000000001</v>
      </c>
      <c r="T16" s="11">
        <f t="shared" si="3"/>
        <v>-417.55840000000018</v>
      </c>
    </row>
    <row r="17" spans="2:20" x14ac:dyDescent="0.25">
      <c r="B17" t="s">
        <v>133</v>
      </c>
      <c r="C17" t="s">
        <v>156</v>
      </c>
      <c r="D17">
        <v>-19000</v>
      </c>
      <c r="E17" s="10">
        <v>7.1999999999999995E-2</v>
      </c>
      <c r="F17" s="11">
        <v>12</v>
      </c>
      <c r="G17" s="11">
        <f t="shared" ref="G17" si="13">E17*D17*(F17/12)</f>
        <v>-1368</v>
      </c>
      <c r="H17" s="13" t="s">
        <v>150</v>
      </c>
      <c r="I17">
        <v>1117</v>
      </c>
      <c r="J17" t="b">
        <f t="shared" ref="J17" si="14">K17&gt;=$A$7</f>
        <v>1</v>
      </c>
      <c r="K17" s="14">
        <f t="shared" ref="K17" si="15">_xlfn.NUMBERVALUE(R17)</f>
        <v>1105</v>
      </c>
      <c r="L17">
        <f t="shared" ref="L17" si="16">I17*12*-1</f>
        <v>-13404</v>
      </c>
      <c r="Q17" t="s">
        <v>230</v>
      </c>
      <c r="R17" t="str">
        <f t="shared" ref="R17" si="17">$A$4&amp;RIGHT(Q17,2)</f>
        <v>1105</v>
      </c>
      <c r="S17">
        <f t="shared" ref="S17" si="18">D17*-1*0.8</f>
        <v>15200</v>
      </c>
      <c r="T17" s="11">
        <f t="shared" ref="T17" si="19">S17*(E17-0.1)</f>
        <v>-425.60000000000019</v>
      </c>
    </row>
    <row r="18" spans="2:20" x14ac:dyDescent="0.25">
      <c r="B18" t="s">
        <v>133</v>
      </c>
      <c r="C18" t="s">
        <v>157</v>
      </c>
      <c r="D18">
        <v>-8647</v>
      </c>
      <c r="E18" s="10">
        <v>7.1999999999999995E-2</v>
      </c>
      <c r="F18" s="11">
        <v>12</v>
      </c>
      <c r="G18" s="11">
        <f t="shared" si="10"/>
        <v>-622.58399999999995</v>
      </c>
      <c r="H18" s="13" t="s">
        <v>150</v>
      </c>
      <c r="I18">
        <v>510</v>
      </c>
      <c r="J18" t="b">
        <f t="shared" si="0"/>
        <v>1</v>
      </c>
      <c r="K18" s="14">
        <f t="shared" si="2"/>
        <v>1109</v>
      </c>
      <c r="L18">
        <f t="shared" si="11"/>
        <v>-6120</v>
      </c>
      <c r="Q18" t="s">
        <v>231</v>
      </c>
      <c r="R18" t="str">
        <f t="shared" si="9"/>
        <v>1109</v>
      </c>
      <c r="S18">
        <f t="shared" si="12"/>
        <v>6917.6</v>
      </c>
      <c r="T18" s="11">
        <f t="shared" si="3"/>
        <v>-193.69280000000009</v>
      </c>
    </row>
    <row r="19" spans="2:20" x14ac:dyDescent="0.25">
      <c r="B19" t="s">
        <v>133</v>
      </c>
      <c r="C19" t="s">
        <v>158</v>
      </c>
      <c r="D19">
        <v>-12674</v>
      </c>
      <c r="E19" s="10">
        <v>7.1999999999999995E-2</v>
      </c>
      <c r="F19" s="11">
        <v>12</v>
      </c>
      <c r="G19" s="11">
        <f t="shared" si="10"/>
        <v>-912.52799999999991</v>
      </c>
      <c r="H19" s="13" t="s">
        <v>150</v>
      </c>
      <c r="I19">
        <v>750</v>
      </c>
      <c r="J19" t="b">
        <f t="shared" si="0"/>
        <v>1</v>
      </c>
      <c r="K19" s="14">
        <f t="shared" si="2"/>
        <v>1109</v>
      </c>
      <c r="L19">
        <f t="shared" si="11"/>
        <v>-9000</v>
      </c>
      <c r="Q19" t="s">
        <v>231</v>
      </c>
      <c r="R19" t="str">
        <f t="shared" si="9"/>
        <v>1109</v>
      </c>
      <c r="S19">
        <f t="shared" si="12"/>
        <v>10139.200000000001</v>
      </c>
      <c r="T19" s="11">
        <f t="shared" si="3"/>
        <v>-283.89760000000012</v>
      </c>
    </row>
    <row r="20" spans="2:20" x14ac:dyDescent="0.25">
      <c r="B20" t="s">
        <v>133</v>
      </c>
      <c r="C20" t="s">
        <v>159</v>
      </c>
      <c r="D20">
        <v>-8190</v>
      </c>
      <c r="E20" s="10">
        <v>7.1999999999999995E-2</v>
      </c>
      <c r="F20" s="11">
        <v>12</v>
      </c>
      <c r="G20" s="11">
        <f t="shared" si="10"/>
        <v>-589.67999999999995</v>
      </c>
      <c r="H20" s="13" t="s">
        <v>150</v>
      </c>
      <c r="I20">
        <v>510</v>
      </c>
      <c r="J20" t="b">
        <f t="shared" si="0"/>
        <v>1</v>
      </c>
      <c r="K20" s="14">
        <f t="shared" si="2"/>
        <v>1115</v>
      </c>
      <c r="L20">
        <f t="shared" si="11"/>
        <v>-6120</v>
      </c>
      <c r="Q20" t="s">
        <v>232</v>
      </c>
      <c r="R20" t="str">
        <f t="shared" si="9"/>
        <v>1115</v>
      </c>
      <c r="S20">
        <f t="shared" si="12"/>
        <v>6552</v>
      </c>
      <c r="T20" s="11">
        <f t="shared" si="3"/>
        <v>-183.45600000000007</v>
      </c>
    </row>
    <row r="21" spans="2:20" x14ac:dyDescent="0.25">
      <c r="B21" t="s">
        <v>133</v>
      </c>
      <c r="C21" t="s">
        <v>160</v>
      </c>
      <c r="D21">
        <v>-12860</v>
      </c>
      <c r="E21" s="10">
        <v>7.1999999999999995E-2</v>
      </c>
      <c r="F21" s="11">
        <v>12</v>
      </c>
      <c r="G21" s="11">
        <f t="shared" si="10"/>
        <v>-925.92</v>
      </c>
      <c r="H21" s="13" t="s">
        <v>150</v>
      </c>
      <c r="I21">
        <v>790</v>
      </c>
      <c r="J21" t="b">
        <f t="shared" si="0"/>
        <v>1</v>
      </c>
      <c r="K21" s="14">
        <f t="shared" si="2"/>
        <v>1116</v>
      </c>
      <c r="L21">
        <f t="shared" si="11"/>
        <v>-9480</v>
      </c>
      <c r="Q21" t="s">
        <v>233</v>
      </c>
      <c r="R21" t="str">
        <f t="shared" si="9"/>
        <v>1116</v>
      </c>
      <c r="S21">
        <f t="shared" si="12"/>
        <v>10288</v>
      </c>
      <c r="T21" s="11">
        <f t="shared" si="3"/>
        <v>-288.06400000000014</v>
      </c>
    </row>
    <row r="22" spans="2:20" x14ac:dyDescent="0.25">
      <c r="B22" t="s">
        <v>133</v>
      </c>
      <c r="C22" t="s">
        <v>161</v>
      </c>
      <c r="D22">
        <v>-17660</v>
      </c>
      <c r="E22" s="10">
        <v>7.1999999999999995E-2</v>
      </c>
      <c r="F22" s="11">
        <v>12</v>
      </c>
      <c r="G22" s="11">
        <f t="shared" si="10"/>
        <v>-1271.52</v>
      </c>
      <c r="H22" s="13" t="s">
        <v>150</v>
      </c>
      <c r="I22">
        <v>1090</v>
      </c>
      <c r="J22" t="b">
        <f t="shared" si="0"/>
        <v>1</v>
      </c>
      <c r="K22" s="14">
        <f t="shared" si="2"/>
        <v>1118</v>
      </c>
      <c r="L22">
        <f t="shared" si="11"/>
        <v>-13080</v>
      </c>
      <c r="Q22" t="s">
        <v>234</v>
      </c>
      <c r="R22" t="str">
        <f t="shared" si="9"/>
        <v>1118</v>
      </c>
      <c r="S22">
        <f t="shared" si="12"/>
        <v>14128</v>
      </c>
      <c r="T22" s="11">
        <f t="shared" si="3"/>
        <v>-395.58400000000017</v>
      </c>
    </row>
    <row r="23" spans="2:20" x14ac:dyDescent="0.25">
      <c r="B23" t="s">
        <v>133</v>
      </c>
      <c r="C23" t="s">
        <v>162</v>
      </c>
      <c r="D23">
        <v>-19000</v>
      </c>
      <c r="E23" s="10">
        <v>7.1999999999999995E-2</v>
      </c>
      <c r="F23" s="11">
        <v>12</v>
      </c>
      <c r="G23" s="11">
        <f t="shared" si="10"/>
        <v>-1368</v>
      </c>
      <c r="H23" s="13" t="s">
        <v>150</v>
      </c>
      <c r="I23">
        <v>1071</v>
      </c>
      <c r="J23" t="b">
        <f t="shared" si="0"/>
        <v>1</v>
      </c>
      <c r="K23" s="14">
        <f t="shared" si="2"/>
        <v>1118</v>
      </c>
      <c r="L23">
        <f t="shared" si="11"/>
        <v>-12852</v>
      </c>
      <c r="Q23" t="s">
        <v>234</v>
      </c>
      <c r="R23" t="str">
        <f t="shared" si="9"/>
        <v>1118</v>
      </c>
      <c r="S23">
        <f t="shared" si="12"/>
        <v>15200</v>
      </c>
      <c r="T23" s="11">
        <f t="shared" si="3"/>
        <v>-425.60000000000019</v>
      </c>
    </row>
    <row r="24" spans="2:20" x14ac:dyDescent="0.25">
      <c r="B24" t="s">
        <v>133</v>
      </c>
      <c r="C24" t="s">
        <v>163</v>
      </c>
      <c r="D24">
        <v>-31880</v>
      </c>
      <c r="E24" s="10">
        <v>7.1999999999999995E-2</v>
      </c>
      <c r="F24" s="11">
        <v>12</v>
      </c>
      <c r="G24" s="11">
        <f t="shared" si="10"/>
        <v>-2295.3599999999997</v>
      </c>
      <c r="H24" s="13" t="s">
        <v>150</v>
      </c>
      <c r="I24">
        <v>1875</v>
      </c>
      <c r="J24" t="b">
        <f t="shared" si="0"/>
        <v>1</v>
      </c>
      <c r="K24" s="14">
        <f t="shared" si="2"/>
        <v>1119</v>
      </c>
      <c r="L24">
        <f t="shared" si="11"/>
        <v>-22500</v>
      </c>
      <c r="Q24" t="s">
        <v>235</v>
      </c>
      <c r="R24" t="str">
        <f t="shared" si="9"/>
        <v>1119</v>
      </c>
      <c r="S24">
        <f t="shared" si="12"/>
        <v>25504</v>
      </c>
      <c r="T24" s="11">
        <f t="shared" si="3"/>
        <v>-714.11200000000031</v>
      </c>
    </row>
    <row r="25" spans="2:20" x14ac:dyDescent="0.25">
      <c r="B25" t="s">
        <v>133</v>
      </c>
      <c r="C25" t="s">
        <v>164</v>
      </c>
      <c r="D25">
        <v>-18213</v>
      </c>
      <c r="E25" s="10">
        <v>7.1999999999999995E-2</v>
      </c>
      <c r="F25" s="11">
        <v>12</v>
      </c>
      <c r="G25" s="11">
        <f t="shared" si="10"/>
        <v>-1311.336</v>
      </c>
      <c r="H25" s="13" t="s">
        <v>150</v>
      </c>
      <c r="I25">
        <v>1130</v>
      </c>
      <c r="J25" t="b">
        <f t="shared" si="0"/>
        <v>1</v>
      </c>
      <c r="K25" s="14">
        <f t="shared" si="2"/>
        <v>1119</v>
      </c>
      <c r="L25">
        <f t="shared" si="11"/>
        <v>-13560</v>
      </c>
      <c r="Q25" t="s">
        <v>235</v>
      </c>
      <c r="R25" t="str">
        <f t="shared" si="9"/>
        <v>1119</v>
      </c>
      <c r="S25">
        <f t="shared" si="12"/>
        <v>14570.400000000001</v>
      </c>
      <c r="T25" s="11">
        <f t="shared" si="3"/>
        <v>-407.97120000000018</v>
      </c>
    </row>
    <row r="26" spans="2:20" x14ac:dyDescent="0.25">
      <c r="B26" t="s">
        <v>133</v>
      </c>
      <c r="C26" t="s">
        <v>165</v>
      </c>
      <c r="D26">
        <v>-10000</v>
      </c>
      <c r="E26" s="10">
        <v>7.1999999999999995E-2</v>
      </c>
      <c r="F26" s="11">
        <v>12</v>
      </c>
      <c r="G26" s="11">
        <f t="shared" si="10"/>
        <v>-720</v>
      </c>
      <c r="H26" s="13" t="s">
        <v>150</v>
      </c>
      <c r="I26">
        <v>590</v>
      </c>
      <c r="J26" t="b">
        <f t="shared" si="0"/>
        <v>1</v>
      </c>
      <c r="K26" s="14">
        <f t="shared" si="2"/>
        <v>1123</v>
      </c>
      <c r="L26">
        <f t="shared" si="11"/>
        <v>-7080</v>
      </c>
      <c r="Q26" t="s">
        <v>236</v>
      </c>
      <c r="R26" t="str">
        <f t="shared" si="9"/>
        <v>1123</v>
      </c>
      <c r="S26">
        <f t="shared" si="12"/>
        <v>8000</v>
      </c>
      <c r="T26" s="11">
        <f t="shared" si="3"/>
        <v>-224.00000000000009</v>
      </c>
    </row>
    <row r="27" spans="2:20" x14ac:dyDescent="0.25">
      <c r="B27" t="s">
        <v>133</v>
      </c>
      <c r="C27" t="s">
        <v>166</v>
      </c>
      <c r="D27">
        <v>-16556</v>
      </c>
      <c r="E27" s="10">
        <v>7.1999999999999995E-2</v>
      </c>
      <c r="F27" s="11">
        <v>12</v>
      </c>
      <c r="G27" s="11">
        <f t="shared" si="10"/>
        <v>-1192.0319999999999</v>
      </c>
      <c r="H27" s="13" t="s">
        <v>150</v>
      </c>
      <c r="I27">
        <v>975</v>
      </c>
      <c r="J27" t="b">
        <f t="shared" si="0"/>
        <v>1</v>
      </c>
      <c r="K27" s="14">
        <f t="shared" si="2"/>
        <v>1128</v>
      </c>
      <c r="L27">
        <f t="shared" si="11"/>
        <v>-11700</v>
      </c>
      <c r="Q27" t="s">
        <v>237</v>
      </c>
      <c r="R27" t="str">
        <f t="shared" si="9"/>
        <v>1128</v>
      </c>
      <c r="S27">
        <f t="shared" si="12"/>
        <v>13244.800000000001</v>
      </c>
      <c r="T27" s="11">
        <f t="shared" si="3"/>
        <v>-370.85440000000017</v>
      </c>
    </row>
    <row r="28" spans="2:20" x14ac:dyDescent="0.25">
      <c r="B28" t="s">
        <v>133</v>
      </c>
      <c r="C28" t="s">
        <v>490</v>
      </c>
      <c r="D28">
        <v>-10000</v>
      </c>
      <c r="E28" s="10">
        <v>7.1999999999999995E-2</v>
      </c>
      <c r="F28" s="11">
        <v>12</v>
      </c>
      <c r="G28" s="11">
        <f t="shared" ref="G28" si="20">E28*D28*(F28/12)</f>
        <v>-720</v>
      </c>
      <c r="H28" s="13" t="s">
        <v>150</v>
      </c>
      <c r="I28">
        <v>60</v>
      </c>
      <c r="J28" t="b">
        <f t="shared" ref="J28" si="21">K28&gt;=$A$7</f>
        <v>1</v>
      </c>
      <c r="K28" s="14">
        <f t="shared" ref="K28" si="22">_xlfn.NUMBERVALUE(R28)</f>
        <v>1120</v>
      </c>
      <c r="L28">
        <f t="shared" ref="L28" si="23">I28*12*-1</f>
        <v>-720</v>
      </c>
      <c r="M28" t="s">
        <v>493</v>
      </c>
      <c r="Q28">
        <v>20201120</v>
      </c>
      <c r="R28" t="str">
        <f t="shared" ref="R28" si="24">$A$4&amp;RIGHT(Q28,2)</f>
        <v>1120</v>
      </c>
      <c r="S28">
        <f t="shared" ref="S28" si="25">D28*-1*0.8</f>
        <v>8000</v>
      </c>
      <c r="T28" s="11">
        <f t="shared" ref="T28" si="26">S28*(E28-0.1)</f>
        <v>-224.00000000000009</v>
      </c>
    </row>
    <row r="29" spans="2:20" x14ac:dyDescent="0.25">
      <c r="B29" t="s">
        <v>133</v>
      </c>
      <c r="C29" t="s">
        <v>491</v>
      </c>
      <c r="D29">
        <v>-10000</v>
      </c>
      <c r="E29" s="10">
        <v>7.1999999999999995E-2</v>
      </c>
      <c r="F29" s="11">
        <v>12</v>
      </c>
      <c r="G29" s="11"/>
      <c r="H29" s="13" t="s">
        <v>150</v>
      </c>
      <c r="J29" t="b">
        <f t="shared" ref="J29" si="27">K29&gt;=$A$7</f>
        <v>1</v>
      </c>
      <c r="K29" s="14">
        <v>20201020</v>
      </c>
      <c r="L29">
        <f t="shared" ref="L29" si="28">I29*12*-1</f>
        <v>0</v>
      </c>
      <c r="M29" t="s">
        <v>492</v>
      </c>
      <c r="Q29">
        <v>20201120</v>
      </c>
      <c r="R29" t="str">
        <f t="shared" ref="R29" si="29">$A$4&amp;RIGHT(Q29,2)</f>
        <v>1120</v>
      </c>
      <c r="S29">
        <f t="shared" ref="S29" si="30">D29*-1*0.8</f>
        <v>8000</v>
      </c>
      <c r="T29" s="11">
        <f t="shared" ref="T29" si="31">S29*(E29-0.1)</f>
        <v>-224.00000000000009</v>
      </c>
    </row>
    <row r="30" spans="2:20" x14ac:dyDescent="0.25">
      <c r="B30" t="s">
        <v>133</v>
      </c>
      <c r="J30" t="b">
        <f t="shared" si="0"/>
        <v>0</v>
      </c>
    </row>
    <row r="31" spans="2:20" x14ac:dyDescent="0.25">
      <c r="B31" t="s">
        <v>133</v>
      </c>
      <c r="C31" t="s">
        <v>172</v>
      </c>
      <c r="D31">
        <v>-50000</v>
      </c>
      <c r="E31" s="50">
        <v>0.11</v>
      </c>
      <c r="F31" s="11">
        <v>12</v>
      </c>
      <c r="G31" s="11">
        <f t="shared" ref="G31" si="32">E31*D31*(F31/12)</f>
        <v>-5500</v>
      </c>
      <c r="I31">
        <v>820</v>
      </c>
      <c r="J31" t="b">
        <f t="shared" si="0"/>
        <v>1</v>
      </c>
      <c r="K31" s="14">
        <f t="shared" ref="K31" si="33">_xlfn.NUMBERVALUE(R31)</f>
        <v>1109</v>
      </c>
      <c r="L31">
        <f t="shared" ref="L31" si="34">I31*12*-1</f>
        <v>-9840</v>
      </c>
      <c r="Q31">
        <v>202311109</v>
      </c>
      <c r="R31" t="str">
        <f t="shared" ref="R31" si="35">$A$4&amp;RIGHT(Q31,2)</f>
        <v>1109</v>
      </c>
      <c r="T31" s="11"/>
    </row>
    <row r="32" spans="2:20" x14ac:dyDescent="0.25">
      <c r="B32" t="s">
        <v>133</v>
      </c>
      <c r="C32" t="s">
        <v>173</v>
      </c>
      <c r="J32" t="b">
        <f t="shared" si="0"/>
        <v>0</v>
      </c>
    </row>
    <row r="33" spans="1:20" x14ac:dyDescent="0.25">
      <c r="B33" t="s">
        <v>133</v>
      </c>
      <c r="C33" t="s">
        <v>174</v>
      </c>
      <c r="J33" t="b">
        <f t="shared" si="0"/>
        <v>0</v>
      </c>
    </row>
    <row r="35" spans="1:20" ht="28.8" x14ac:dyDescent="0.25">
      <c r="A35" s="18" t="s">
        <v>181</v>
      </c>
      <c r="B35" s="19"/>
      <c r="C35" s="19"/>
      <c r="D35" s="19"/>
      <c r="E35" s="19"/>
      <c r="F35" s="19"/>
      <c r="G35" s="19"/>
      <c r="H35" s="20" t="s">
        <v>175</v>
      </c>
      <c r="I35" s="19"/>
      <c r="J35" s="20" t="s">
        <v>178</v>
      </c>
      <c r="K35" s="19"/>
      <c r="L35" s="19"/>
      <c r="M35" s="19"/>
      <c r="N35" s="19"/>
      <c r="O35" s="19"/>
      <c r="P35" s="19"/>
      <c r="Q35" s="19"/>
      <c r="R35" s="19"/>
      <c r="S35" s="19"/>
      <c r="T35" s="19"/>
    </row>
    <row r="36" spans="1:20" x14ac:dyDescent="0.25">
      <c r="A36" s="18" t="s">
        <v>154</v>
      </c>
      <c r="B36" s="19" t="s">
        <v>1</v>
      </c>
      <c r="C36" s="19" t="s">
        <v>1</v>
      </c>
      <c r="D36" s="49">
        <f>SUM(D3:D33)</f>
        <v>-545378</v>
      </c>
      <c r="E36" s="19"/>
      <c r="F36" s="21"/>
      <c r="G36" s="21">
        <f>SUM(G3:G33)</f>
        <v>-45617.68266666666</v>
      </c>
      <c r="H36" s="22">
        <f>SUMIF(H2:H27,"是",I2:I27)</f>
        <v>22323</v>
      </c>
      <c r="I36" s="19">
        <f>SUM(I2:I33)</f>
        <v>37673</v>
      </c>
      <c r="J36" s="21">
        <f>SUMIF(J2:J33,"TRUE",I2:I33)</f>
        <v>21354</v>
      </c>
      <c r="K36" s="19"/>
      <c r="L36" s="19">
        <f>SUM(L3:L33)</f>
        <v>-263196</v>
      </c>
      <c r="M36" s="19"/>
      <c r="N36" s="19"/>
      <c r="O36" s="19"/>
      <c r="P36" s="19"/>
      <c r="Q36" s="19"/>
      <c r="R36" s="19" t="s">
        <v>1</v>
      </c>
      <c r="S36" s="19">
        <f>SUM(S2:S27)</f>
        <v>286842.40000000002</v>
      </c>
      <c r="T36" s="22">
        <f>SUM(T2:T27)</f>
        <v>-6831.5872000000027</v>
      </c>
    </row>
    <row r="37" spans="1:20" x14ac:dyDescent="0.25">
      <c r="A37" s="18">
        <v>11</v>
      </c>
      <c r="B37" s="19"/>
      <c r="C37" s="19" t="s">
        <v>171</v>
      </c>
      <c r="D37" s="19">
        <f>SUM(D2:D35)</f>
        <v>-3095378</v>
      </c>
      <c r="E37" s="19"/>
      <c r="F37" s="19"/>
      <c r="G37" s="21">
        <f>SUM(G2:G33)</f>
        <v>-164320.18266666669</v>
      </c>
      <c r="H37" s="19" t="s">
        <v>187</v>
      </c>
      <c r="I37" s="19"/>
      <c r="J37" s="19" t="str">
        <f>A37&amp;"09"</f>
        <v>1109</v>
      </c>
      <c r="K37" s="19">
        <f>SUMIF($K$2:$K$33,"&lt;="&amp;J37,$I$2:$I$33)</f>
        <v>24982</v>
      </c>
      <c r="L37" s="19">
        <f>SUM(L2:L33)</f>
        <v>-424236</v>
      </c>
      <c r="M37" s="19"/>
      <c r="N37" s="19"/>
      <c r="O37" s="19"/>
      <c r="P37" s="19"/>
      <c r="Q37" s="19"/>
      <c r="R37" s="19"/>
      <c r="S37" s="19"/>
      <c r="T37" s="19"/>
    </row>
    <row r="38" spans="1:20" x14ac:dyDescent="0.25">
      <c r="A38" s="18" t="s">
        <v>182</v>
      </c>
      <c r="B38" s="19"/>
      <c r="C38" s="19" t="s">
        <v>287</v>
      </c>
      <c r="D38" s="19">
        <f>D2</f>
        <v>-2550000</v>
      </c>
      <c r="E38" s="19"/>
      <c r="F38" s="19"/>
      <c r="G38" s="21">
        <f>G2</f>
        <v>-118702.5</v>
      </c>
      <c r="H38" s="19"/>
      <c r="I38" s="19"/>
      <c r="J38" s="19" t="str">
        <f>A37&amp;"19"</f>
        <v>1119</v>
      </c>
      <c r="K38" s="19">
        <f>SUMIF($K$2:$K$33,"&lt;="&amp;J38,$I$2:$I$33)-K37</f>
        <v>10366</v>
      </c>
      <c r="L38" s="19"/>
      <c r="M38" s="19"/>
      <c r="N38" s="19"/>
      <c r="O38" s="19"/>
      <c r="P38" s="19"/>
      <c r="Q38" s="19"/>
      <c r="R38" s="19"/>
      <c r="S38" s="19"/>
      <c r="T38" s="19"/>
    </row>
    <row r="39" spans="1:20" x14ac:dyDescent="0.25">
      <c r="A39" s="18">
        <v>1104</v>
      </c>
      <c r="B39" s="19"/>
      <c r="C39" s="19"/>
      <c r="D39" s="19"/>
      <c r="E39" s="19"/>
      <c r="F39" s="19"/>
      <c r="G39" s="19"/>
      <c r="H39" s="19" t="s">
        <v>186</v>
      </c>
      <c r="I39" s="19">
        <f>I41-I36</f>
        <v>-19673</v>
      </c>
      <c r="J39" s="19" t="str">
        <f>A37&amp;"31"</f>
        <v>1131</v>
      </c>
      <c r="K39" s="19">
        <f>SUMIF($K$2:$K$33,"&lt;="&amp;J39,$I$2:$I$33)-K37-K38</f>
        <v>2325</v>
      </c>
      <c r="L39" s="19"/>
      <c r="M39" s="19"/>
      <c r="N39" s="19"/>
      <c r="O39" s="19"/>
      <c r="P39" s="19"/>
      <c r="Q39" s="19"/>
      <c r="R39" s="19"/>
      <c r="S39" s="19"/>
      <c r="T39" s="19"/>
    </row>
    <row r="40" spans="1:20" x14ac:dyDescent="0.25">
      <c r="B40" s="37"/>
      <c r="C40" s="37" t="s">
        <v>243</v>
      </c>
      <c r="D40" s="37"/>
      <c r="E40" s="37" t="s">
        <v>244</v>
      </c>
      <c r="F40" s="37"/>
      <c r="G40" s="37" t="s">
        <v>251</v>
      </c>
      <c r="H40" s="23" t="s">
        <v>195</v>
      </c>
      <c r="I40" s="23">
        <v>201910</v>
      </c>
      <c r="J40" s="23"/>
      <c r="K40" s="23" t="s">
        <v>208</v>
      </c>
      <c r="L40" s="23"/>
      <c r="M40" s="23" t="s">
        <v>209</v>
      </c>
      <c r="N40" s="23"/>
      <c r="O40" s="23"/>
      <c r="P40" s="38" t="s">
        <v>252</v>
      </c>
      <c r="Q40" s="23"/>
      <c r="R40" s="23"/>
      <c r="S40" s="23"/>
      <c r="T40" s="23"/>
    </row>
    <row r="41" spans="1:20" x14ac:dyDescent="0.25">
      <c r="B41" s="37"/>
      <c r="C41" s="37" t="s">
        <v>245</v>
      </c>
      <c r="D41" s="37">
        <f>SUM(D42:D45)</f>
        <v>25170</v>
      </c>
      <c r="E41" s="37" t="s">
        <v>246</v>
      </c>
      <c r="F41" s="37">
        <f>SUM(F42:F45)</f>
        <v>9000</v>
      </c>
      <c r="G41" s="37">
        <f>F41-D41</f>
        <v>-16170</v>
      </c>
      <c r="H41" s="23" t="s">
        <v>1</v>
      </c>
      <c r="I41" s="23">
        <v>18000</v>
      </c>
      <c r="J41" s="23"/>
      <c r="K41" s="23" t="s">
        <v>1</v>
      </c>
      <c r="L41" s="23">
        <f>SUM(L42:L45)</f>
        <v>11320</v>
      </c>
      <c r="M41" s="23" t="s">
        <v>212</v>
      </c>
      <c r="N41" s="23">
        <f>SUM(N42:N45)</f>
        <v>1720</v>
      </c>
      <c r="O41" s="23"/>
      <c r="P41" s="23" t="s">
        <v>253</v>
      </c>
      <c r="Q41" s="23">
        <f>G41*8</f>
        <v>-129360</v>
      </c>
      <c r="R41" s="23"/>
      <c r="S41" s="23"/>
      <c r="T41" s="23"/>
    </row>
    <row r="42" spans="1:20" x14ac:dyDescent="0.25">
      <c r="B42" s="37"/>
      <c r="C42" s="37" t="s">
        <v>240</v>
      </c>
      <c r="D42" s="37">
        <v>6000</v>
      </c>
      <c r="E42" s="37" t="s">
        <v>183</v>
      </c>
      <c r="F42" s="37">
        <v>18500</v>
      </c>
      <c r="G42" s="37"/>
      <c r="H42" s="23" t="s">
        <v>183</v>
      </c>
      <c r="I42" s="23">
        <v>18000</v>
      </c>
      <c r="J42" s="23"/>
      <c r="K42" s="23" t="s">
        <v>202</v>
      </c>
      <c r="L42" s="23">
        <v>1720</v>
      </c>
      <c r="M42" s="23" t="s">
        <v>136</v>
      </c>
      <c r="N42" s="23">
        <v>13420</v>
      </c>
      <c r="O42" s="23"/>
      <c r="P42" s="38" t="s">
        <v>254</v>
      </c>
      <c r="Q42" s="23"/>
      <c r="R42" s="23"/>
      <c r="S42" s="23"/>
      <c r="T42" s="23"/>
    </row>
    <row r="43" spans="1:20" x14ac:dyDescent="0.25">
      <c r="B43" s="37"/>
      <c r="C43" s="37" t="s">
        <v>241</v>
      </c>
      <c r="D43" s="37">
        <v>3720</v>
      </c>
      <c r="E43" s="37" t="s">
        <v>248</v>
      </c>
      <c r="F43" s="37">
        <v>-6000</v>
      </c>
      <c r="G43" s="37"/>
      <c r="H43" s="23" t="s">
        <v>185</v>
      </c>
      <c r="I43" s="23">
        <v>12000</v>
      </c>
      <c r="J43" s="23"/>
      <c r="K43" s="23" t="s">
        <v>203</v>
      </c>
      <c r="L43" s="23">
        <v>100</v>
      </c>
      <c r="M43" s="23" t="s">
        <v>205</v>
      </c>
      <c r="N43" s="23">
        <v>-6000</v>
      </c>
      <c r="O43" s="23"/>
      <c r="P43" s="23" t="s">
        <v>255</v>
      </c>
      <c r="Q43" s="23">
        <v>40000</v>
      </c>
      <c r="R43" s="23">
        <v>23000</v>
      </c>
      <c r="S43" s="23" t="s">
        <v>257</v>
      </c>
      <c r="T43" s="23"/>
    </row>
    <row r="44" spans="1:20" x14ac:dyDescent="0.25">
      <c r="B44" s="37"/>
      <c r="C44" s="37" t="s">
        <v>242</v>
      </c>
      <c r="D44" s="37">
        <v>13700</v>
      </c>
      <c r="E44" s="42" t="s">
        <v>249</v>
      </c>
      <c r="F44" s="42">
        <v>-3000</v>
      </c>
      <c r="G44" s="37"/>
      <c r="H44" s="23" t="s">
        <v>184</v>
      </c>
      <c r="I44" s="23">
        <v>0</v>
      </c>
      <c r="J44" s="23"/>
      <c r="K44" s="23" t="s">
        <v>204</v>
      </c>
      <c r="L44" s="23">
        <v>3500</v>
      </c>
      <c r="M44" s="23" t="s">
        <v>196</v>
      </c>
      <c r="N44" s="23">
        <v>-5700</v>
      </c>
      <c r="O44" s="23"/>
      <c r="P44" s="23" t="s">
        <v>256</v>
      </c>
      <c r="Q44" s="23">
        <v>-69000</v>
      </c>
      <c r="R44" s="23">
        <v>-69000</v>
      </c>
      <c r="S44" s="23"/>
      <c r="T44" s="23"/>
    </row>
    <row r="45" spans="1:20" x14ac:dyDescent="0.25">
      <c r="B45" s="37"/>
      <c r="C45" s="37" t="s">
        <v>202</v>
      </c>
      <c r="D45" s="37">
        <v>1750</v>
      </c>
      <c r="E45" s="42" t="s">
        <v>250</v>
      </c>
      <c r="F45" s="42">
        <v>-500</v>
      </c>
      <c r="G45" s="37"/>
      <c r="H45" s="23" t="s">
        <v>196</v>
      </c>
      <c r="I45" s="23">
        <v>18000</v>
      </c>
      <c r="J45" s="23"/>
      <c r="K45" s="23" t="s">
        <v>206</v>
      </c>
      <c r="L45" s="23">
        <v>6000</v>
      </c>
      <c r="M45" s="23"/>
      <c r="N45" s="23"/>
      <c r="O45" s="23"/>
      <c r="P45" s="23" t="s">
        <v>253</v>
      </c>
      <c r="Q45" s="23">
        <f>G41*6</f>
        <v>-97020</v>
      </c>
      <c r="R45" s="23">
        <f>G41*6</f>
        <v>-97020</v>
      </c>
      <c r="S45" s="23"/>
      <c r="T45" s="23"/>
    </row>
    <row r="46" spans="1:20" x14ac:dyDescent="0.25">
      <c r="B46" s="37" t="s">
        <v>258</v>
      </c>
      <c r="C46" s="37"/>
      <c r="D46" s="37"/>
      <c r="E46" s="37"/>
      <c r="F46" s="37"/>
      <c r="G46" s="37"/>
      <c r="H46" s="23"/>
      <c r="I46" s="23"/>
      <c r="J46" s="23"/>
      <c r="K46" s="23"/>
      <c r="L46" s="23"/>
      <c r="M46" s="23"/>
      <c r="N46" s="23"/>
      <c r="O46" s="23"/>
      <c r="P46" s="23" t="s">
        <v>1</v>
      </c>
      <c r="Q46" s="23">
        <f>SUM(Q43:Q45)</f>
        <v>-126020</v>
      </c>
      <c r="R46" s="23">
        <f>SUM(R43:R45)</f>
        <v>-143020</v>
      </c>
      <c r="S46" s="23"/>
      <c r="T46" s="23"/>
    </row>
    <row r="47" spans="1:20" x14ac:dyDescent="0.25">
      <c r="B47" s="37"/>
      <c r="C47" s="37" t="s">
        <v>291</v>
      </c>
      <c r="D47" s="37">
        <f>SUM(D48:D50)+D41</f>
        <v>7901.2000000000007</v>
      </c>
      <c r="E47" s="37" t="s">
        <v>293</v>
      </c>
      <c r="F47" s="37" t="s">
        <v>297</v>
      </c>
      <c r="G47" s="37" t="s">
        <v>295</v>
      </c>
      <c r="H47" s="23"/>
      <c r="I47" s="23"/>
      <c r="J47" s="23"/>
      <c r="K47" s="23"/>
      <c r="L47" s="23"/>
      <c r="M47" s="23"/>
      <c r="N47" s="23"/>
      <c r="O47" s="23"/>
      <c r="P47" s="23"/>
      <c r="Q47" s="23"/>
      <c r="R47" s="23"/>
      <c r="S47" s="23"/>
      <c r="T47" s="23"/>
    </row>
    <row r="48" spans="1:20" x14ac:dyDescent="0.25">
      <c r="B48" s="37"/>
      <c r="C48" s="37" t="s">
        <v>292</v>
      </c>
      <c r="D48" s="37">
        <f>F48-E48</f>
        <v>-5622.4</v>
      </c>
      <c r="E48" s="37">
        <v>7000</v>
      </c>
      <c r="F48" s="37">
        <f>E48*12*G48</f>
        <v>1377.6000000000001</v>
      </c>
      <c r="G48" s="37">
        <f>820/50000</f>
        <v>1.6400000000000001E-2</v>
      </c>
      <c r="H48" s="23" t="s">
        <v>298</v>
      </c>
      <c r="I48" s="23"/>
      <c r="J48" s="23"/>
      <c r="K48" s="23"/>
      <c r="L48" s="23"/>
      <c r="M48" s="23"/>
      <c r="N48" s="23"/>
      <c r="O48" s="23"/>
      <c r="P48" s="23"/>
      <c r="Q48" s="23"/>
      <c r="R48" s="23"/>
      <c r="S48" s="23"/>
      <c r="T48" s="23"/>
    </row>
    <row r="49" spans="2:20" x14ac:dyDescent="0.25">
      <c r="B49" s="37"/>
      <c r="C49" s="37" t="s">
        <v>294</v>
      </c>
      <c r="D49" s="37">
        <f>F49-E49</f>
        <v>-4417.6000000000004</v>
      </c>
      <c r="E49" s="37">
        <v>5500</v>
      </c>
      <c r="F49" s="37">
        <f>E49*12*G49</f>
        <v>1082.4000000000001</v>
      </c>
      <c r="G49" s="37">
        <f>820/50000</f>
        <v>1.6400000000000001E-2</v>
      </c>
      <c r="H49" s="23" t="s">
        <v>299</v>
      </c>
      <c r="I49" s="23"/>
      <c r="J49" s="23"/>
      <c r="K49" s="23"/>
      <c r="L49" s="23"/>
      <c r="M49" s="23"/>
      <c r="N49" s="23"/>
      <c r="O49" s="23"/>
      <c r="P49" s="23"/>
      <c r="Q49" s="23"/>
      <c r="R49" s="23"/>
      <c r="S49" s="23"/>
      <c r="T49" s="23"/>
    </row>
    <row r="50" spans="2:20" x14ac:dyDescent="0.25">
      <c r="B50" s="37"/>
      <c r="C50" s="37" t="s">
        <v>296</v>
      </c>
      <c r="D50" s="37">
        <f>F50-E50</f>
        <v>-7228.8</v>
      </c>
      <c r="E50" s="37">
        <v>9000</v>
      </c>
      <c r="F50" s="37">
        <f>E50*12*G50</f>
        <v>1771.2</v>
      </c>
      <c r="G50" s="37">
        <f>820/50000</f>
        <v>1.6400000000000001E-2</v>
      </c>
      <c r="H50" s="23" t="s">
        <v>300</v>
      </c>
      <c r="I50" s="23"/>
      <c r="J50" s="23"/>
      <c r="K50" s="23"/>
      <c r="L50" s="23"/>
      <c r="M50" s="23"/>
      <c r="N50" s="23"/>
      <c r="O50" s="23"/>
      <c r="P50" s="23"/>
      <c r="Q50" s="23"/>
      <c r="R50" s="23"/>
      <c r="S50" s="23"/>
      <c r="T50" s="23"/>
    </row>
    <row r="52" spans="2:20" x14ac:dyDescent="0.25">
      <c r="B52" s="43" t="s">
        <v>281</v>
      </c>
      <c r="C52" s="16"/>
      <c r="D52" s="16"/>
      <c r="E52" s="16"/>
      <c r="F52" s="16"/>
    </row>
    <row r="53" spans="2:20" x14ac:dyDescent="0.25">
      <c r="B53" s="43" t="s">
        <v>276</v>
      </c>
      <c r="C53" s="16"/>
      <c r="D53" s="16"/>
      <c r="E53" s="16"/>
      <c r="F53" s="16"/>
    </row>
    <row r="54" spans="2:20" x14ac:dyDescent="0.25">
      <c r="B54" s="16" t="s">
        <v>277</v>
      </c>
      <c r="C54" s="16" t="s">
        <v>190</v>
      </c>
      <c r="D54" s="16" t="s">
        <v>278</v>
      </c>
      <c r="E54" s="16" t="s">
        <v>279</v>
      </c>
      <c r="F54" s="16" t="s">
        <v>280</v>
      </c>
    </row>
    <row r="55" spans="2:20" x14ac:dyDescent="0.25">
      <c r="B55" s="16">
        <v>0</v>
      </c>
      <c r="C55" s="16">
        <v>50000</v>
      </c>
      <c r="D55" s="44">
        <f>C55*0.05</f>
        <v>2500</v>
      </c>
      <c r="E55" s="46"/>
      <c r="F55" s="45">
        <f>D55/C55+E55</f>
        <v>0.05</v>
      </c>
    </row>
    <row r="56" spans="2:20" x14ac:dyDescent="0.25">
      <c r="B56" s="16">
        <v>1</v>
      </c>
      <c r="C56" s="16">
        <v>43749.999999999971</v>
      </c>
      <c r="D56" s="44">
        <f>C56*0.05</f>
        <v>2187.4999999999986</v>
      </c>
      <c r="E56" s="46">
        <v>7.5999999999999998E-2</v>
      </c>
      <c r="F56" s="45">
        <f>D56/C56/B56+E56</f>
        <v>0.126</v>
      </c>
    </row>
    <row r="57" spans="2:20" x14ac:dyDescent="0.25">
      <c r="B57" s="16">
        <v>2</v>
      </c>
      <c r="C57" s="16">
        <v>37499.999999999942</v>
      </c>
      <c r="D57" s="44">
        <f t="shared" ref="D57:D59" si="36">C57*0.05</f>
        <v>1874.9999999999973</v>
      </c>
      <c r="E57" s="46">
        <v>0.09</v>
      </c>
      <c r="F57" s="45">
        <f t="shared" ref="F57:F59" si="37">D57/C57/B57+E57</f>
        <v>0.11499999999999999</v>
      </c>
    </row>
    <row r="58" spans="2:20" x14ac:dyDescent="0.25">
      <c r="B58" s="16">
        <v>3</v>
      </c>
      <c r="C58" s="16">
        <v>31249.999999999924</v>
      </c>
      <c r="D58" s="44">
        <f t="shared" si="36"/>
        <v>1562.4999999999964</v>
      </c>
      <c r="E58" s="46">
        <v>0.11</v>
      </c>
      <c r="F58" s="45">
        <f t="shared" si="37"/>
        <v>0.12666666666666668</v>
      </c>
    </row>
    <row r="59" spans="2:20" x14ac:dyDescent="0.25">
      <c r="B59" s="16">
        <v>4</v>
      </c>
      <c r="C59" s="16">
        <v>24999.999999999938</v>
      </c>
      <c r="D59" s="44">
        <f t="shared" si="36"/>
        <v>1249.999999999997</v>
      </c>
      <c r="E59" s="46">
        <v>0.126</v>
      </c>
      <c r="F59" s="45">
        <f t="shared" si="37"/>
        <v>0.13850000000000001</v>
      </c>
    </row>
    <row r="60" spans="2:20" x14ac:dyDescent="0.25">
      <c r="B60" s="40" t="s">
        <v>282</v>
      </c>
      <c r="C60" s="40"/>
      <c r="D60" s="40"/>
      <c r="E60" s="40"/>
      <c r="F60" s="40"/>
    </row>
    <row r="61" spans="2:20" x14ac:dyDescent="0.25">
      <c r="B61" s="40" t="s">
        <v>284</v>
      </c>
      <c r="C61" s="40"/>
      <c r="D61" s="40"/>
      <c r="E61" s="40"/>
      <c r="F61" s="40"/>
    </row>
    <row r="62" spans="2:20" x14ac:dyDescent="0.25">
      <c r="B62" s="40" t="s">
        <v>286</v>
      </c>
      <c r="C62" s="40"/>
      <c r="D62" s="40"/>
      <c r="E62" s="40"/>
      <c r="F62" s="40"/>
    </row>
    <row r="63" spans="2:20" x14ac:dyDescent="0.25">
      <c r="B63" s="40" t="s">
        <v>285</v>
      </c>
      <c r="C63" s="40"/>
      <c r="D63" s="40"/>
      <c r="E63" s="40"/>
      <c r="F63" s="40"/>
    </row>
    <row r="64" spans="2:20" x14ac:dyDescent="0.25">
      <c r="B64" s="40" t="s">
        <v>308</v>
      </c>
      <c r="C64" s="40"/>
      <c r="D64" s="40"/>
      <c r="E64" s="40"/>
      <c r="F64" s="40"/>
    </row>
    <row r="65" spans="2:6" x14ac:dyDescent="0.25">
      <c r="B65" s="40" t="s">
        <v>309</v>
      </c>
      <c r="C65" s="40"/>
      <c r="D65" s="40"/>
      <c r="E65" s="40"/>
      <c r="F65" s="40"/>
    </row>
    <row r="66" spans="2:6" x14ac:dyDescent="0.25">
      <c r="B66" s="40"/>
      <c r="C66" s="40"/>
      <c r="D66" s="40"/>
      <c r="E66" s="40"/>
      <c r="F66" s="40"/>
    </row>
    <row r="67" spans="2:6" x14ac:dyDescent="0.25">
      <c r="B67" s="40"/>
      <c r="C67" s="40"/>
      <c r="D67" s="40"/>
      <c r="E67" s="40"/>
      <c r="F67" s="40"/>
    </row>
    <row r="68" spans="2:6" x14ac:dyDescent="0.25">
      <c r="B68" s="40"/>
      <c r="C68" s="40"/>
      <c r="D68" s="40"/>
      <c r="E68" s="40"/>
      <c r="F68" s="40"/>
    </row>
    <row r="69" spans="2:6" x14ac:dyDescent="0.25">
      <c r="B69" s="40"/>
      <c r="C69" s="40"/>
      <c r="D69" s="40"/>
      <c r="E69" s="40"/>
      <c r="F69" s="40"/>
    </row>
    <row r="70" spans="2:6" x14ac:dyDescent="0.25">
      <c r="B70" s="40"/>
      <c r="C70" s="40"/>
      <c r="D70" s="40"/>
      <c r="E70" s="40"/>
      <c r="F70" s="40"/>
    </row>
    <row r="71" spans="2:6" x14ac:dyDescent="0.25">
      <c r="B71" s="40"/>
      <c r="C71" s="40"/>
      <c r="D71" s="40"/>
      <c r="E71" s="40"/>
      <c r="F71" s="40"/>
    </row>
    <row r="96" spans="20:20" x14ac:dyDescent="0.25">
      <c r="T96" s="30"/>
    </row>
    <row r="97" spans="20:20" x14ac:dyDescent="0.25">
      <c r="T97" s="30"/>
    </row>
    <row r="98" spans="20:20" x14ac:dyDescent="0.25">
      <c r="T98" s="30"/>
    </row>
    <row r="99" spans="20:20" x14ac:dyDescent="0.25">
      <c r="T99" s="30"/>
    </row>
    <row r="100" spans="20:20" x14ac:dyDescent="0.25">
      <c r="T100" s="30"/>
    </row>
    <row r="101" spans="20:20" x14ac:dyDescent="0.25">
      <c r="T101" s="30"/>
    </row>
    <row r="102" spans="20:20" x14ac:dyDescent="0.25">
      <c r="T102" s="30"/>
    </row>
    <row r="103" spans="20:20" x14ac:dyDescent="0.25">
      <c r="T103" s="30"/>
    </row>
    <row r="104" spans="20:20" x14ac:dyDescent="0.25">
      <c r="T104" s="30"/>
    </row>
    <row r="105" spans="20:20" x14ac:dyDescent="0.25">
      <c r="T105" s="30"/>
    </row>
    <row r="106" spans="20:20" x14ac:dyDescent="0.25">
      <c r="T106" s="30"/>
    </row>
    <row r="156" spans="3:7" x14ac:dyDescent="0.25">
      <c r="C156" s="26"/>
      <c r="D156" s="25"/>
      <c r="E156" s="24"/>
      <c r="F156" s="25"/>
      <c r="G156" s="26"/>
    </row>
    <row r="157" spans="3:7" x14ac:dyDescent="0.25">
      <c r="C157" s="26"/>
      <c r="D157" s="25"/>
      <c r="E157" s="24"/>
      <c r="F157" s="25"/>
      <c r="G157" s="26"/>
    </row>
    <row r="158" spans="3:7" x14ac:dyDescent="0.25">
      <c r="C158" s="26"/>
      <c r="D158" s="25"/>
      <c r="E158" s="24"/>
      <c r="F158" s="25"/>
      <c r="G158" s="26"/>
    </row>
    <row r="159" spans="3:7" x14ac:dyDescent="0.25">
      <c r="C159" s="26"/>
      <c r="D159" s="25"/>
      <c r="E159" s="24"/>
      <c r="F159" s="25"/>
      <c r="G159" s="26"/>
    </row>
    <row r="160" spans="3:7" x14ac:dyDescent="0.25">
      <c r="C160" s="26"/>
      <c r="D160" s="25"/>
      <c r="E160" s="24"/>
      <c r="F160" s="25"/>
      <c r="G160" s="26"/>
    </row>
    <row r="161" spans="3:7" x14ac:dyDescent="0.25">
      <c r="C161" s="26"/>
      <c r="D161" s="25"/>
      <c r="E161" s="24"/>
      <c r="F161" s="25"/>
      <c r="G161" s="26"/>
    </row>
    <row r="162" spans="3:7" x14ac:dyDescent="0.25">
      <c r="C162" s="26"/>
      <c r="D162" s="25"/>
      <c r="E162" s="24"/>
      <c r="F162" s="25"/>
      <c r="G162" s="26"/>
    </row>
    <row r="163" spans="3:7" x14ac:dyDescent="0.25">
      <c r="C163" s="26"/>
      <c r="D163" s="25"/>
      <c r="E163" s="24"/>
      <c r="F163" s="25"/>
      <c r="G163" s="26"/>
    </row>
    <row r="164" spans="3:7" x14ac:dyDescent="0.25">
      <c r="C164" s="26"/>
      <c r="D164" s="25"/>
      <c r="E164" s="24"/>
      <c r="F164" s="25"/>
      <c r="G164" s="26"/>
    </row>
    <row r="165" spans="3:7" x14ac:dyDescent="0.25">
      <c r="C165" s="26"/>
      <c r="D165" s="25"/>
      <c r="E165" s="24"/>
      <c r="F165" s="25"/>
      <c r="G165" s="26"/>
    </row>
    <row r="166" spans="3:7" x14ac:dyDescent="0.25">
      <c r="C166" s="26"/>
      <c r="D166" s="25"/>
      <c r="E166" s="24"/>
      <c r="F166" s="25"/>
      <c r="G166" s="26"/>
    </row>
    <row r="167" spans="3:7" x14ac:dyDescent="0.25">
      <c r="C167" s="26"/>
      <c r="D167" s="25"/>
      <c r="E167" s="24"/>
      <c r="F167" s="25"/>
      <c r="G167" s="26"/>
    </row>
    <row r="168" spans="3:7" x14ac:dyDescent="0.25">
      <c r="C168" s="26"/>
      <c r="D168" s="25"/>
      <c r="E168" s="24"/>
      <c r="F168" s="25"/>
      <c r="G168" s="26"/>
    </row>
    <row r="169" spans="3:7" x14ac:dyDescent="0.25">
      <c r="C169" s="26"/>
      <c r="D169" s="25"/>
      <c r="E169" s="24"/>
      <c r="F169" s="25"/>
      <c r="G169" s="26"/>
    </row>
    <row r="170" spans="3:7" x14ac:dyDescent="0.25">
      <c r="C170" s="26"/>
      <c r="D170" s="25"/>
      <c r="E170" s="24"/>
      <c r="F170" s="25"/>
      <c r="G170" s="26"/>
    </row>
    <row r="171" spans="3:7" x14ac:dyDescent="0.25">
      <c r="C171" s="26"/>
      <c r="D171" s="25"/>
      <c r="E171" s="24"/>
      <c r="F171" s="25"/>
      <c r="G171" s="26"/>
    </row>
    <row r="172" spans="3:7" x14ac:dyDescent="0.25">
      <c r="C172" s="26"/>
      <c r="D172" s="25"/>
      <c r="E172" s="24"/>
      <c r="F172" s="25"/>
      <c r="G172" s="26"/>
    </row>
    <row r="173" spans="3:7" x14ac:dyDescent="0.25">
      <c r="C173" s="26"/>
      <c r="D173" s="25"/>
      <c r="E173" s="24"/>
      <c r="F173" s="25"/>
      <c r="G173" s="26"/>
    </row>
    <row r="174" spans="3:7" x14ac:dyDescent="0.25">
      <c r="C174" s="26"/>
      <c r="D174" s="25"/>
      <c r="E174" s="24"/>
      <c r="F174" s="25"/>
      <c r="G174" s="26"/>
    </row>
    <row r="175" spans="3:7" x14ac:dyDescent="0.25">
      <c r="C175" s="26"/>
      <c r="D175" s="25"/>
      <c r="E175" s="24"/>
      <c r="F175" s="25"/>
      <c r="G175" s="26"/>
    </row>
    <row r="176" spans="3:7" x14ac:dyDescent="0.25">
      <c r="C176" s="26"/>
      <c r="D176" s="25"/>
      <c r="E176" s="24"/>
      <c r="F176" s="25"/>
      <c r="G176" s="26"/>
    </row>
    <row r="177" spans="3:7" x14ac:dyDescent="0.25">
      <c r="C177" s="26"/>
      <c r="D177" s="25"/>
      <c r="E177" s="24"/>
      <c r="F177" s="25"/>
      <c r="G177" s="26"/>
    </row>
    <row r="178" spans="3:7" x14ac:dyDescent="0.25">
      <c r="C178" s="26"/>
      <c r="D178" s="25"/>
      <c r="E178" s="24"/>
      <c r="F178" s="25"/>
      <c r="G178" s="26"/>
    </row>
    <row r="179" spans="3:7" x14ac:dyDescent="0.25">
      <c r="C179" s="26"/>
      <c r="D179" s="25"/>
      <c r="E179" s="24"/>
      <c r="F179" s="25"/>
      <c r="G179" s="26"/>
    </row>
    <row r="180" spans="3:7" x14ac:dyDescent="0.25">
      <c r="C180" s="26"/>
      <c r="D180" s="25"/>
      <c r="E180" s="24"/>
      <c r="F180" s="25"/>
      <c r="G180" s="26"/>
    </row>
    <row r="181" spans="3:7" x14ac:dyDescent="0.25">
      <c r="C181" s="26"/>
      <c r="D181" s="25"/>
      <c r="E181" s="24"/>
      <c r="F181" s="25"/>
      <c r="G181" s="26"/>
    </row>
    <row r="182" spans="3:7" x14ac:dyDescent="0.25">
      <c r="C182" s="26"/>
      <c r="D182" s="25"/>
      <c r="E182" s="24"/>
      <c r="F182" s="25"/>
      <c r="G182" s="26"/>
    </row>
    <row r="183" spans="3:7" x14ac:dyDescent="0.25">
      <c r="C183" s="26"/>
      <c r="D183" s="25"/>
      <c r="E183" s="24"/>
      <c r="F183" s="25"/>
      <c r="G183" s="26"/>
    </row>
    <row r="184" spans="3:7" x14ac:dyDescent="0.25">
      <c r="C184" s="26"/>
      <c r="D184" s="25"/>
      <c r="E184" s="24"/>
      <c r="F184" s="25"/>
      <c r="G184" s="26"/>
    </row>
    <row r="185" spans="3:7" x14ac:dyDescent="0.25">
      <c r="C185" s="26"/>
      <c r="D185" s="25"/>
      <c r="E185" s="24"/>
      <c r="F185" s="25"/>
      <c r="G185" s="26"/>
    </row>
    <row r="186" spans="3:7" x14ac:dyDescent="0.25">
      <c r="C186" s="26"/>
      <c r="D186" s="25"/>
      <c r="E186" s="24"/>
      <c r="F186" s="25"/>
      <c r="G186" s="26"/>
    </row>
    <row r="187" spans="3:7" x14ac:dyDescent="0.25">
      <c r="C187" s="26"/>
      <c r="D187" s="25"/>
      <c r="E187" s="24"/>
      <c r="F187" s="25"/>
      <c r="G187" s="26"/>
    </row>
    <row r="188" spans="3:7" x14ac:dyDescent="0.25">
      <c r="C188" s="26"/>
      <c r="D188" s="25"/>
      <c r="E188" s="24"/>
      <c r="F188" s="25"/>
      <c r="G188" s="26"/>
    </row>
    <row r="189" spans="3:7" x14ac:dyDescent="0.25">
      <c r="C189" s="26"/>
      <c r="D189" s="25"/>
      <c r="E189" s="24"/>
      <c r="F189" s="25"/>
      <c r="G189" s="26"/>
    </row>
    <row r="190" spans="3:7" x14ac:dyDescent="0.25">
      <c r="C190" s="26"/>
      <c r="D190" s="25"/>
      <c r="E190" s="24"/>
      <c r="F190" s="25"/>
      <c r="G190" s="26"/>
    </row>
    <row r="191" spans="3:7" x14ac:dyDescent="0.25">
      <c r="C191" s="26"/>
      <c r="D191" s="25"/>
      <c r="E191" s="24"/>
      <c r="F191" s="25"/>
      <c r="G191" s="26"/>
    </row>
    <row r="192" spans="3:7" x14ac:dyDescent="0.25">
      <c r="C192" s="26"/>
      <c r="D192" s="25"/>
      <c r="E192" s="24"/>
      <c r="F192" s="25"/>
      <c r="G192" s="26"/>
    </row>
    <row r="193" spans="3:7" x14ac:dyDescent="0.25">
      <c r="C193" s="26"/>
      <c r="D193" s="25"/>
      <c r="E193" s="24"/>
      <c r="F193" s="25"/>
      <c r="G193" s="26"/>
    </row>
    <row r="194" spans="3:7" x14ac:dyDescent="0.25">
      <c r="C194" s="26"/>
      <c r="D194" s="25"/>
      <c r="E194" s="24"/>
      <c r="F194" s="25"/>
      <c r="G194" s="26"/>
    </row>
    <row r="195" spans="3:7" x14ac:dyDescent="0.25">
      <c r="C195" s="26"/>
      <c r="D195" s="25"/>
      <c r="E195" s="24"/>
      <c r="F195" s="25"/>
      <c r="G195" s="26"/>
    </row>
    <row r="196" spans="3:7" x14ac:dyDescent="0.25">
      <c r="C196" s="26"/>
      <c r="D196" s="25"/>
      <c r="E196" s="24"/>
      <c r="F196" s="25"/>
      <c r="G196" s="26"/>
    </row>
    <row r="197" spans="3:7" x14ac:dyDescent="0.25">
      <c r="C197" s="26"/>
      <c r="D197" s="25"/>
      <c r="E197" s="24"/>
      <c r="F197" s="25"/>
      <c r="G197" s="26"/>
    </row>
    <row r="198" spans="3:7" x14ac:dyDescent="0.25">
      <c r="C198" s="26"/>
      <c r="D198" s="25"/>
      <c r="E198" s="24"/>
      <c r="F198" s="25"/>
      <c r="G198" s="26"/>
    </row>
    <row r="199" spans="3:7" x14ac:dyDescent="0.25">
      <c r="C199" s="26"/>
      <c r="D199" s="25"/>
      <c r="E199" s="24"/>
      <c r="F199" s="25"/>
      <c r="G199" s="26"/>
    </row>
    <row r="200" spans="3:7" x14ac:dyDescent="0.25">
      <c r="C200" s="26"/>
      <c r="D200" s="25"/>
      <c r="E200" s="24"/>
      <c r="F200" s="25"/>
      <c r="G200" s="26"/>
    </row>
  </sheetData>
  <phoneticPr fontId="1" type="noConversion"/>
  <conditionalFormatting sqref="K32:K33 K2:K4 K6:K16 K18:K27 K30">
    <cfRule type="cellIs" dxfId="6" priority="6" operator="greaterThan">
      <formula>$A$7</formula>
    </cfRule>
  </conditionalFormatting>
  <conditionalFormatting sqref="K31">
    <cfRule type="cellIs" dxfId="5" priority="5" operator="greaterThan">
      <formula>$A$7</formula>
    </cfRule>
  </conditionalFormatting>
  <conditionalFormatting sqref="K5">
    <cfRule type="cellIs" dxfId="4" priority="4" operator="greaterThan">
      <formula>$A$7</formula>
    </cfRule>
  </conditionalFormatting>
  <conditionalFormatting sqref="K17">
    <cfRule type="cellIs" dxfId="3" priority="3" operator="greaterThan">
      <formula>$A$7</formula>
    </cfRule>
  </conditionalFormatting>
  <conditionalFormatting sqref="K28">
    <cfRule type="cellIs" dxfId="2" priority="2" operator="greaterThan">
      <formula>$A$7</formula>
    </cfRule>
  </conditionalFormatting>
  <conditionalFormatting sqref="K29">
    <cfRule type="cellIs" dxfId="1" priority="1" operator="greaterThan">
      <formula>$A$7</formula>
    </cfRule>
  </conditionalFormatting>
  <pageMargins left="0.7" right="0.7" top="0.75" bottom="0.75" header="0.3" footer="0.3"/>
  <pageSetup paperSize="9"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5DC8E-D5EF-4F7F-9DFA-5AA42C8AE1EB}">
  <sheetPr>
    <tabColor theme="7"/>
  </sheetPr>
  <dimension ref="A1:U29"/>
  <sheetViews>
    <sheetView tabSelected="1" workbookViewId="0">
      <selection activeCell="J3" sqref="J3"/>
    </sheetView>
  </sheetViews>
  <sheetFormatPr defaultRowHeight="14.4" x14ac:dyDescent="0.25"/>
  <cols>
    <col min="1" max="2" width="9.44140625" bestFit="1" customWidth="1"/>
    <col min="3" max="5" width="12.44140625" customWidth="1"/>
    <col min="6" max="6" width="10" customWidth="1"/>
    <col min="8" max="8" width="42.88671875" customWidth="1"/>
    <col min="18" max="18" width="47" customWidth="1"/>
  </cols>
  <sheetData>
    <row r="1" spans="1:21" x14ac:dyDescent="0.25">
      <c r="A1" s="39" t="s">
        <v>259</v>
      </c>
      <c r="B1" s="39" t="s">
        <v>260</v>
      </c>
      <c r="C1" s="39" t="s">
        <v>261</v>
      </c>
      <c r="D1" s="39" t="s">
        <v>262</v>
      </c>
      <c r="E1" s="39" t="s">
        <v>307</v>
      </c>
      <c r="F1" s="39" t="s">
        <v>263</v>
      </c>
      <c r="G1" s="39" t="s">
        <v>272</v>
      </c>
      <c r="H1" s="19" t="s">
        <v>311</v>
      </c>
      <c r="I1" s="51" t="s">
        <v>304</v>
      </c>
      <c r="J1" s="51" t="s">
        <v>306</v>
      </c>
      <c r="K1" s="51" t="s">
        <v>305</v>
      </c>
      <c r="L1" s="40" t="s">
        <v>275</v>
      </c>
      <c r="M1" s="40" t="s">
        <v>303</v>
      </c>
      <c r="N1" s="16" t="s">
        <v>274</v>
      </c>
      <c r="O1" s="16" t="s">
        <v>301</v>
      </c>
      <c r="P1" s="52" t="s">
        <v>273</v>
      </c>
      <c r="Q1" s="52" t="s">
        <v>302</v>
      </c>
      <c r="R1" s="39" t="s">
        <v>264</v>
      </c>
      <c r="S1" s="41"/>
      <c r="T1" s="41"/>
      <c r="U1" s="41"/>
    </row>
    <row r="2" spans="1:21" x14ac:dyDescent="0.25">
      <c r="A2" s="40">
        <v>20191020</v>
      </c>
      <c r="B2" s="40">
        <v>20191031</v>
      </c>
      <c r="C2" s="40">
        <v>0</v>
      </c>
      <c r="D2" s="40">
        <v>-2075</v>
      </c>
      <c r="E2" s="40">
        <f>L2+N2+P2</f>
        <v>21635</v>
      </c>
      <c r="F2" s="40">
        <f>C2+D2+E2</f>
        <v>19560</v>
      </c>
      <c r="G2" s="40">
        <v>50000</v>
      </c>
      <c r="H2" s="19" t="s">
        <v>312</v>
      </c>
      <c r="I2" s="51">
        <f>L2+M2</f>
        <v>2185</v>
      </c>
      <c r="J2" s="51">
        <f>N2+O2</f>
        <v>13575</v>
      </c>
      <c r="K2" s="51">
        <f>P2+Q2</f>
        <v>3800</v>
      </c>
      <c r="L2" s="40">
        <v>3160</v>
      </c>
      <c r="M2" s="40">
        <v>-975</v>
      </c>
      <c r="N2" s="16">
        <v>14675</v>
      </c>
      <c r="O2" s="16">
        <v>-1100</v>
      </c>
      <c r="P2" s="52">
        <v>3800</v>
      </c>
      <c r="Q2" s="52">
        <v>0</v>
      </c>
      <c r="R2" s="40" t="s">
        <v>310</v>
      </c>
    </row>
    <row r="3" spans="1:21" ht="28.8" x14ac:dyDescent="0.25">
      <c r="A3" s="16">
        <v>20191101</v>
      </c>
      <c r="B3" s="16">
        <v>20191110</v>
      </c>
      <c r="C3" s="16">
        <v>0</v>
      </c>
      <c r="D3" s="16">
        <v>-28000</v>
      </c>
      <c r="E3" s="16">
        <f>E2+C3+D3</f>
        <v>-6365</v>
      </c>
      <c r="F3" s="40">
        <f t="shared" ref="F3:F26" si="0">C3+D3+E3</f>
        <v>-34365</v>
      </c>
      <c r="G3" s="16">
        <v>10000</v>
      </c>
      <c r="H3" s="20" t="s">
        <v>489</v>
      </c>
      <c r="I3" s="51">
        <f t="shared" ref="I3:I26" si="1">L3+M3</f>
        <v>1139</v>
      </c>
      <c r="J3" s="51">
        <f t="shared" ref="J3:J26" si="2">N3+O3</f>
        <v>2220</v>
      </c>
      <c r="K3" s="51">
        <f t="shared" ref="K3:K26" si="3">P3+Q3</f>
        <v>348</v>
      </c>
      <c r="L3" s="40">
        <v>7189</v>
      </c>
      <c r="M3" s="40">
        <v>-6050</v>
      </c>
      <c r="N3" s="16">
        <v>15590</v>
      </c>
      <c r="O3" s="16">
        <v>-13370</v>
      </c>
      <c r="P3" s="52">
        <v>4748</v>
      </c>
      <c r="Q3" s="52">
        <v>-4400</v>
      </c>
      <c r="R3" s="16"/>
    </row>
    <row r="4" spans="1:21" ht="72" x14ac:dyDescent="0.25">
      <c r="A4" s="16">
        <v>20191111</v>
      </c>
      <c r="B4" s="16">
        <v>20191120</v>
      </c>
      <c r="C4" s="16">
        <v>18400</v>
      </c>
      <c r="D4" s="16">
        <v>-6500</v>
      </c>
      <c r="E4" s="16">
        <f t="shared" ref="E4:E26" si="4">E3+C4+D4</f>
        <v>5535</v>
      </c>
      <c r="F4" s="40">
        <f t="shared" si="0"/>
        <v>17435</v>
      </c>
      <c r="G4" s="16"/>
      <c r="H4" s="20" t="s">
        <v>494</v>
      </c>
      <c r="I4" s="51">
        <f t="shared" si="1"/>
        <v>0</v>
      </c>
      <c r="J4" s="51">
        <f t="shared" si="2"/>
        <v>0</v>
      </c>
      <c r="K4" s="51">
        <f t="shared" si="3"/>
        <v>0</v>
      </c>
      <c r="L4" s="40"/>
      <c r="M4" s="40"/>
      <c r="N4" s="16"/>
      <c r="O4" s="16"/>
      <c r="P4" s="52"/>
      <c r="Q4" s="52"/>
      <c r="R4" s="16" t="s">
        <v>0</v>
      </c>
    </row>
    <row r="5" spans="1:21" x14ac:dyDescent="0.25">
      <c r="A5" s="16">
        <v>20191121</v>
      </c>
      <c r="B5" s="16">
        <v>20191130</v>
      </c>
      <c r="C5" s="16">
        <v>12000</v>
      </c>
      <c r="D5" s="16">
        <v>-2700</v>
      </c>
      <c r="E5" s="16">
        <f t="shared" si="4"/>
        <v>14835</v>
      </c>
      <c r="F5" s="40">
        <f t="shared" si="0"/>
        <v>24135</v>
      </c>
      <c r="G5" s="16"/>
      <c r="H5" s="19"/>
      <c r="I5" s="51">
        <f t="shared" si="1"/>
        <v>0</v>
      </c>
      <c r="J5" s="51">
        <f t="shared" si="2"/>
        <v>0</v>
      </c>
      <c r="K5" s="51">
        <f t="shared" si="3"/>
        <v>0</v>
      </c>
      <c r="L5" s="40"/>
      <c r="M5" s="40"/>
      <c r="N5" s="16"/>
      <c r="O5" s="16"/>
      <c r="P5" s="52"/>
      <c r="Q5" s="52"/>
      <c r="R5" s="16" t="s">
        <v>265</v>
      </c>
    </row>
    <row r="6" spans="1:21" x14ac:dyDescent="0.25">
      <c r="A6" s="40">
        <v>20191201</v>
      </c>
      <c r="B6" s="40">
        <v>20191210</v>
      </c>
      <c r="C6" s="40"/>
      <c r="D6" s="40">
        <v>-32000</v>
      </c>
      <c r="E6" s="16">
        <f t="shared" si="4"/>
        <v>-17165</v>
      </c>
      <c r="F6" s="40">
        <f t="shared" si="0"/>
        <v>-49165</v>
      </c>
      <c r="G6" s="40"/>
      <c r="H6" s="19"/>
      <c r="I6" s="51">
        <f t="shared" si="1"/>
        <v>0</v>
      </c>
      <c r="J6" s="51">
        <f t="shared" si="2"/>
        <v>0</v>
      </c>
      <c r="K6" s="51">
        <f t="shared" si="3"/>
        <v>0</v>
      </c>
      <c r="L6" s="40"/>
      <c r="M6" s="40"/>
      <c r="N6" s="16"/>
      <c r="O6" s="16"/>
      <c r="P6" s="52"/>
      <c r="Q6" s="52"/>
      <c r="R6" s="40"/>
    </row>
    <row r="7" spans="1:21" x14ac:dyDescent="0.25">
      <c r="A7" s="40">
        <v>20191211</v>
      </c>
      <c r="B7" s="40">
        <v>20191220</v>
      </c>
      <c r="C7" s="40">
        <v>18400</v>
      </c>
      <c r="D7" s="40">
        <v>-6500</v>
      </c>
      <c r="E7" s="16">
        <f t="shared" si="4"/>
        <v>-5265</v>
      </c>
      <c r="F7" s="40">
        <f t="shared" si="0"/>
        <v>6635</v>
      </c>
      <c r="G7" s="40"/>
      <c r="H7" s="19"/>
      <c r="I7" s="51">
        <f t="shared" si="1"/>
        <v>0</v>
      </c>
      <c r="J7" s="51">
        <f t="shared" si="2"/>
        <v>0</v>
      </c>
      <c r="K7" s="51">
        <f t="shared" si="3"/>
        <v>0</v>
      </c>
      <c r="L7" s="40"/>
      <c r="M7" s="40"/>
      <c r="N7" s="16"/>
      <c r="O7" s="16"/>
      <c r="P7" s="52"/>
      <c r="Q7" s="52"/>
      <c r="R7" s="40" t="s">
        <v>0</v>
      </c>
    </row>
    <row r="8" spans="1:21" x14ac:dyDescent="0.25">
      <c r="A8" s="40">
        <v>20191221</v>
      </c>
      <c r="B8" s="40">
        <v>20191231</v>
      </c>
      <c r="C8" s="40"/>
      <c r="D8" s="40">
        <v>-2700</v>
      </c>
      <c r="E8" s="16">
        <f t="shared" si="4"/>
        <v>-7965</v>
      </c>
      <c r="F8" s="40">
        <f t="shared" si="0"/>
        <v>-10665</v>
      </c>
      <c r="G8" s="40"/>
      <c r="H8" s="19"/>
      <c r="I8" s="51">
        <f t="shared" si="1"/>
        <v>0</v>
      </c>
      <c r="J8" s="51">
        <f t="shared" si="2"/>
        <v>0</v>
      </c>
      <c r="K8" s="51">
        <f t="shared" si="3"/>
        <v>0</v>
      </c>
      <c r="L8" s="40"/>
      <c r="M8" s="40"/>
      <c r="N8" s="16"/>
      <c r="O8" s="16"/>
      <c r="P8" s="52"/>
      <c r="Q8" s="52"/>
      <c r="R8" s="40"/>
    </row>
    <row r="9" spans="1:21" x14ac:dyDescent="0.25">
      <c r="A9" s="16">
        <v>20200101</v>
      </c>
      <c r="B9" s="16">
        <v>20200110</v>
      </c>
      <c r="C9" s="16"/>
      <c r="D9" s="40">
        <v>-32000</v>
      </c>
      <c r="E9" s="16">
        <f t="shared" si="4"/>
        <v>-39965</v>
      </c>
      <c r="F9" s="40">
        <f t="shared" si="0"/>
        <v>-71965</v>
      </c>
      <c r="G9" s="16"/>
      <c r="H9" s="19"/>
      <c r="I9" s="51">
        <f t="shared" si="1"/>
        <v>0</v>
      </c>
      <c r="J9" s="51">
        <f t="shared" si="2"/>
        <v>0</v>
      </c>
      <c r="K9" s="51">
        <f t="shared" si="3"/>
        <v>0</v>
      </c>
      <c r="L9" s="40"/>
      <c r="M9" s="40"/>
      <c r="N9" s="16"/>
      <c r="O9" s="16"/>
      <c r="P9" s="52"/>
      <c r="Q9" s="52"/>
      <c r="R9" s="16"/>
    </row>
    <row r="10" spans="1:21" x14ac:dyDescent="0.25">
      <c r="A10" s="16">
        <v>20200111</v>
      </c>
      <c r="B10" s="16">
        <v>20200120</v>
      </c>
      <c r="C10" s="16">
        <v>700</v>
      </c>
      <c r="D10" s="40">
        <v>-6500</v>
      </c>
      <c r="E10" s="16">
        <f t="shared" si="4"/>
        <v>-45765</v>
      </c>
      <c r="F10" s="40">
        <f t="shared" si="0"/>
        <v>-51565</v>
      </c>
      <c r="G10" s="16"/>
      <c r="H10" s="19"/>
      <c r="I10" s="51">
        <f t="shared" si="1"/>
        <v>0</v>
      </c>
      <c r="J10" s="51">
        <f t="shared" si="2"/>
        <v>0</v>
      </c>
      <c r="K10" s="51">
        <f t="shared" si="3"/>
        <v>0</v>
      </c>
      <c r="L10" s="40"/>
      <c r="M10" s="40"/>
      <c r="N10" s="16"/>
      <c r="O10" s="16"/>
      <c r="P10" s="52"/>
      <c r="Q10" s="52"/>
      <c r="R10" s="16" t="s">
        <v>269</v>
      </c>
    </row>
    <row r="11" spans="1:21" x14ac:dyDescent="0.25">
      <c r="A11" s="16">
        <v>20200121</v>
      </c>
      <c r="B11" s="16">
        <v>20200131</v>
      </c>
      <c r="C11" s="16">
        <v>29100</v>
      </c>
      <c r="D11" s="40">
        <v>-2700</v>
      </c>
      <c r="E11" s="16">
        <f t="shared" si="4"/>
        <v>-19365</v>
      </c>
      <c r="F11" s="40">
        <f t="shared" si="0"/>
        <v>7035</v>
      </c>
      <c r="G11" s="16"/>
      <c r="H11" s="19"/>
      <c r="I11" s="51">
        <f t="shared" si="1"/>
        <v>0</v>
      </c>
      <c r="J11" s="51">
        <f t="shared" si="2"/>
        <v>0</v>
      </c>
      <c r="K11" s="51">
        <f t="shared" si="3"/>
        <v>0</v>
      </c>
      <c r="L11" s="40"/>
      <c r="M11" s="40"/>
      <c r="N11" s="16"/>
      <c r="O11" s="16"/>
      <c r="P11" s="52"/>
      <c r="Q11" s="52"/>
      <c r="R11" s="16" t="s">
        <v>268</v>
      </c>
    </row>
    <row r="12" spans="1:21" x14ac:dyDescent="0.25">
      <c r="A12" s="40">
        <v>20200201</v>
      </c>
      <c r="B12" s="40">
        <v>20200210</v>
      </c>
      <c r="C12" s="40"/>
      <c r="D12" s="40">
        <v>-32000</v>
      </c>
      <c r="E12" s="16">
        <f t="shared" si="4"/>
        <v>-51365</v>
      </c>
      <c r="F12" s="40">
        <f t="shared" si="0"/>
        <v>-83365</v>
      </c>
      <c r="G12" s="40"/>
      <c r="H12" s="19"/>
      <c r="I12" s="51">
        <f t="shared" si="1"/>
        <v>0</v>
      </c>
      <c r="J12" s="51">
        <f t="shared" si="2"/>
        <v>0</v>
      </c>
      <c r="K12" s="51">
        <f t="shared" si="3"/>
        <v>0</v>
      </c>
      <c r="L12" s="40"/>
      <c r="M12" s="40"/>
      <c r="N12" s="16"/>
      <c r="O12" s="16"/>
      <c r="P12" s="52"/>
      <c r="Q12" s="52"/>
      <c r="R12" s="40"/>
    </row>
    <row r="13" spans="1:21" x14ac:dyDescent="0.25">
      <c r="A13" s="40">
        <v>20200211</v>
      </c>
      <c r="B13" s="40">
        <v>20200220</v>
      </c>
      <c r="C13" s="40">
        <v>18400</v>
      </c>
      <c r="D13" s="40">
        <v>-6500</v>
      </c>
      <c r="E13" s="16">
        <f t="shared" si="4"/>
        <v>-39465</v>
      </c>
      <c r="F13" s="40">
        <f t="shared" si="0"/>
        <v>-27565</v>
      </c>
      <c r="G13" s="40"/>
      <c r="H13" s="19"/>
      <c r="I13" s="51">
        <f t="shared" si="1"/>
        <v>0</v>
      </c>
      <c r="J13" s="51">
        <f t="shared" si="2"/>
        <v>0</v>
      </c>
      <c r="K13" s="51">
        <f t="shared" si="3"/>
        <v>0</v>
      </c>
      <c r="L13" s="40"/>
      <c r="M13" s="40"/>
      <c r="N13" s="16"/>
      <c r="O13" s="16"/>
      <c r="P13" s="52"/>
      <c r="Q13" s="52"/>
      <c r="R13" s="40" t="s">
        <v>0</v>
      </c>
    </row>
    <row r="14" spans="1:21" x14ac:dyDescent="0.25">
      <c r="A14" s="40">
        <v>20200221</v>
      </c>
      <c r="B14" s="40">
        <v>20200229</v>
      </c>
      <c r="C14" s="40"/>
      <c r="D14" s="40">
        <v>-2700</v>
      </c>
      <c r="E14" s="16">
        <f t="shared" si="4"/>
        <v>-42165</v>
      </c>
      <c r="F14" s="40">
        <f t="shared" si="0"/>
        <v>-44865</v>
      </c>
      <c r="G14" s="40"/>
      <c r="H14" s="19"/>
      <c r="I14" s="51">
        <f t="shared" si="1"/>
        <v>0</v>
      </c>
      <c r="J14" s="51">
        <f t="shared" si="2"/>
        <v>0</v>
      </c>
      <c r="K14" s="51">
        <f t="shared" si="3"/>
        <v>0</v>
      </c>
      <c r="L14" s="40"/>
      <c r="M14" s="40"/>
      <c r="N14" s="16"/>
      <c r="O14" s="16"/>
      <c r="P14" s="52"/>
      <c r="Q14" s="52"/>
      <c r="R14" s="40"/>
    </row>
    <row r="15" spans="1:21" x14ac:dyDescent="0.25">
      <c r="A15" s="16">
        <v>20200301</v>
      </c>
      <c r="B15" s="16">
        <v>20200310</v>
      </c>
      <c r="C15" s="16"/>
      <c r="D15" s="40">
        <v>-32000</v>
      </c>
      <c r="E15" s="16">
        <f t="shared" si="4"/>
        <v>-74165</v>
      </c>
      <c r="F15" s="40">
        <f t="shared" si="0"/>
        <v>-106165</v>
      </c>
      <c r="G15" s="16"/>
      <c r="H15" s="19"/>
      <c r="I15" s="51">
        <f t="shared" si="1"/>
        <v>0</v>
      </c>
      <c r="J15" s="51">
        <f t="shared" si="2"/>
        <v>0</v>
      </c>
      <c r="K15" s="51">
        <f t="shared" si="3"/>
        <v>0</v>
      </c>
      <c r="L15" s="40"/>
      <c r="M15" s="40"/>
      <c r="N15" s="16"/>
      <c r="O15" s="16"/>
      <c r="P15" s="52"/>
      <c r="Q15" s="52"/>
      <c r="R15" s="16"/>
    </row>
    <row r="16" spans="1:21" x14ac:dyDescent="0.25">
      <c r="A16" s="16">
        <v>20200311</v>
      </c>
      <c r="B16" s="16">
        <v>20200320</v>
      </c>
      <c r="C16" s="16">
        <v>18400</v>
      </c>
      <c r="D16" s="40">
        <v>-6500</v>
      </c>
      <c r="E16" s="16">
        <f t="shared" si="4"/>
        <v>-62265</v>
      </c>
      <c r="F16" s="40">
        <f t="shared" si="0"/>
        <v>-50365</v>
      </c>
      <c r="G16" s="16"/>
      <c r="H16" s="19"/>
      <c r="I16" s="51">
        <f t="shared" si="1"/>
        <v>0</v>
      </c>
      <c r="J16" s="51">
        <f t="shared" si="2"/>
        <v>0</v>
      </c>
      <c r="K16" s="51">
        <f t="shared" si="3"/>
        <v>0</v>
      </c>
      <c r="L16" s="40"/>
      <c r="M16" s="40"/>
      <c r="N16" s="16"/>
      <c r="O16" s="16"/>
      <c r="P16" s="52"/>
      <c r="Q16" s="52"/>
      <c r="R16" s="16" t="s">
        <v>0</v>
      </c>
    </row>
    <row r="17" spans="1:18" x14ac:dyDescent="0.25">
      <c r="A17" s="16">
        <v>20200321</v>
      </c>
      <c r="B17" s="16">
        <v>20200331</v>
      </c>
      <c r="C17" s="16">
        <v>12000</v>
      </c>
      <c r="D17" s="40">
        <v>-2700</v>
      </c>
      <c r="E17" s="16">
        <f t="shared" si="4"/>
        <v>-52965</v>
      </c>
      <c r="F17" s="40">
        <f t="shared" si="0"/>
        <v>-43665</v>
      </c>
      <c r="G17" s="16"/>
      <c r="H17" s="19"/>
      <c r="I17" s="51">
        <f t="shared" si="1"/>
        <v>0</v>
      </c>
      <c r="J17" s="51">
        <f t="shared" si="2"/>
        <v>0</v>
      </c>
      <c r="K17" s="51">
        <f t="shared" si="3"/>
        <v>0</v>
      </c>
      <c r="L17" s="40"/>
      <c r="M17" s="40"/>
      <c r="N17" s="16"/>
      <c r="O17" s="16"/>
      <c r="P17" s="52"/>
      <c r="Q17" s="52"/>
      <c r="R17" s="16" t="s">
        <v>265</v>
      </c>
    </row>
    <row r="18" spans="1:18" x14ac:dyDescent="0.25">
      <c r="A18" s="40">
        <v>20200401</v>
      </c>
      <c r="B18" s="40">
        <v>20200410</v>
      </c>
      <c r="C18" s="40"/>
      <c r="D18" s="40">
        <v>-32000</v>
      </c>
      <c r="E18" s="16">
        <f t="shared" si="4"/>
        <v>-84965</v>
      </c>
      <c r="F18" s="40">
        <f t="shared" si="0"/>
        <v>-116965</v>
      </c>
      <c r="G18" s="40"/>
      <c r="H18" s="19"/>
      <c r="I18" s="51">
        <f t="shared" si="1"/>
        <v>0</v>
      </c>
      <c r="J18" s="51">
        <f t="shared" si="2"/>
        <v>0</v>
      </c>
      <c r="K18" s="51">
        <f t="shared" si="3"/>
        <v>0</v>
      </c>
      <c r="L18" s="40"/>
      <c r="M18" s="40"/>
      <c r="N18" s="16"/>
      <c r="O18" s="16"/>
      <c r="P18" s="52"/>
      <c r="Q18" s="52"/>
      <c r="R18" s="40"/>
    </row>
    <row r="19" spans="1:18" x14ac:dyDescent="0.25">
      <c r="A19" s="40">
        <v>20200411</v>
      </c>
      <c r="B19" s="40">
        <v>20200420</v>
      </c>
      <c r="C19" s="40">
        <v>18400</v>
      </c>
      <c r="D19" s="40">
        <v>-6500</v>
      </c>
      <c r="E19" s="16">
        <f t="shared" si="4"/>
        <v>-73065</v>
      </c>
      <c r="F19" s="40">
        <f t="shared" si="0"/>
        <v>-61165</v>
      </c>
      <c r="G19" s="40"/>
      <c r="H19" s="19"/>
      <c r="I19" s="51">
        <f t="shared" si="1"/>
        <v>0</v>
      </c>
      <c r="J19" s="51">
        <f t="shared" si="2"/>
        <v>0</v>
      </c>
      <c r="K19" s="51">
        <f t="shared" si="3"/>
        <v>0</v>
      </c>
      <c r="L19" s="40"/>
      <c r="M19" s="40"/>
      <c r="N19" s="16"/>
      <c r="O19" s="16"/>
      <c r="P19" s="52"/>
      <c r="Q19" s="52"/>
      <c r="R19" s="40" t="s">
        <v>270</v>
      </c>
    </row>
    <row r="20" spans="1:18" x14ac:dyDescent="0.25">
      <c r="A20" s="40">
        <v>20200421</v>
      </c>
      <c r="B20" s="40">
        <v>20200431</v>
      </c>
      <c r="C20" s="40">
        <v>-9000</v>
      </c>
      <c r="D20" s="40">
        <v>-2700</v>
      </c>
      <c r="E20" s="16">
        <f t="shared" si="4"/>
        <v>-84765</v>
      </c>
      <c r="F20" s="40">
        <f t="shared" si="0"/>
        <v>-96465</v>
      </c>
      <c r="G20" s="40"/>
      <c r="H20" s="19"/>
      <c r="I20" s="51">
        <f t="shared" si="1"/>
        <v>0</v>
      </c>
      <c r="J20" s="51">
        <f t="shared" si="2"/>
        <v>0</v>
      </c>
      <c r="K20" s="51">
        <f t="shared" si="3"/>
        <v>0</v>
      </c>
      <c r="L20" s="40"/>
      <c r="M20" s="40"/>
      <c r="N20" s="16"/>
      <c r="O20" s="16"/>
      <c r="P20" s="52"/>
      <c r="Q20" s="52"/>
      <c r="R20" s="40" t="s">
        <v>271</v>
      </c>
    </row>
    <row r="21" spans="1:18" x14ac:dyDescent="0.25">
      <c r="A21" s="16">
        <v>20200501</v>
      </c>
      <c r="B21" s="16">
        <v>20200510</v>
      </c>
      <c r="C21" s="16"/>
      <c r="D21" s="40">
        <v>-32000</v>
      </c>
      <c r="E21" s="16">
        <f t="shared" si="4"/>
        <v>-116765</v>
      </c>
      <c r="F21" s="40">
        <f t="shared" si="0"/>
        <v>-148765</v>
      </c>
      <c r="G21" s="16"/>
      <c r="H21" s="19"/>
      <c r="I21" s="51">
        <f t="shared" si="1"/>
        <v>0</v>
      </c>
      <c r="J21" s="51">
        <f t="shared" si="2"/>
        <v>0</v>
      </c>
      <c r="K21" s="51">
        <f t="shared" si="3"/>
        <v>0</v>
      </c>
      <c r="L21" s="40"/>
      <c r="M21" s="40"/>
      <c r="N21" s="16"/>
      <c r="O21" s="16"/>
      <c r="P21" s="52"/>
      <c r="Q21" s="52"/>
      <c r="R21" s="16"/>
    </row>
    <row r="22" spans="1:18" x14ac:dyDescent="0.25">
      <c r="A22" s="16">
        <v>20200511</v>
      </c>
      <c r="B22" s="16">
        <v>20200520</v>
      </c>
      <c r="C22" s="16">
        <v>18400</v>
      </c>
      <c r="D22" s="40">
        <v>-6500</v>
      </c>
      <c r="E22" s="16">
        <f t="shared" si="4"/>
        <v>-104865</v>
      </c>
      <c r="F22" s="40">
        <f t="shared" si="0"/>
        <v>-92965</v>
      </c>
      <c r="G22" s="16"/>
      <c r="H22" s="19"/>
      <c r="I22" s="51">
        <f t="shared" si="1"/>
        <v>0</v>
      </c>
      <c r="J22" s="51">
        <f t="shared" si="2"/>
        <v>0</v>
      </c>
      <c r="K22" s="51">
        <f t="shared" si="3"/>
        <v>0</v>
      </c>
      <c r="L22" s="40"/>
      <c r="M22" s="40"/>
      <c r="N22" s="16"/>
      <c r="O22" s="16"/>
      <c r="P22" s="52"/>
      <c r="Q22" s="52"/>
      <c r="R22" s="16" t="s">
        <v>0</v>
      </c>
    </row>
    <row r="23" spans="1:18" x14ac:dyDescent="0.25">
      <c r="A23" s="16">
        <v>20200521</v>
      </c>
      <c r="B23" s="16">
        <v>20200531</v>
      </c>
      <c r="C23" s="16">
        <v>12000</v>
      </c>
      <c r="D23" s="40">
        <v>-2700</v>
      </c>
      <c r="E23" s="16">
        <f t="shared" si="4"/>
        <v>-95565</v>
      </c>
      <c r="F23" s="40">
        <f t="shared" si="0"/>
        <v>-86265</v>
      </c>
      <c r="G23" s="16"/>
      <c r="H23" s="19" t="s">
        <v>313</v>
      </c>
      <c r="I23" s="51">
        <f t="shared" si="1"/>
        <v>0</v>
      </c>
      <c r="J23" s="51">
        <f t="shared" si="2"/>
        <v>0</v>
      </c>
      <c r="K23" s="51">
        <f t="shared" si="3"/>
        <v>0</v>
      </c>
      <c r="L23" s="40"/>
      <c r="M23" s="40"/>
      <c r="N23" s="16"/>
      <c r="O23" s="16"/>
      <c r="P23" s="52"/>
      <c r="Q23" s="52"/>
      <c r="R23" s="16" t="s">
        <v>265</v>
      </c>
    </row>
    <row r="24" spans="1:18" x14ac:dyDescent="0.25">
      <c r="A24" s="40">
        <v>20200601</v>
      </c>
      <c r="B24" s="40">
        <v>20200610</v>
      </c>
      <c r="C24" s="40"/>
      <c r="D24" s="40">
        <v>-32000</v>
      </c>
      <c r="E24" s="16">
        <f t="shared" si="4"/>
        <v>-127565</v>
      </c>
      <c r="F24" s="40">
        <f t="shared" si="0"/>
        <v>-159565</v>
      </c>
      <c r="G24" s="40"/>
      <c r="H24" s="19"/>
      <c r="I24" s="51">
        <f t="shared" si="1"/>
        <v>0</v>
      </c>
      <c r="J24" s="51">
        <f t="shared" si="2"/>
        <v>0</v>
      </c>
      <c r="K24" s="51">
        <f t="shared" si="3"/>
        <v>0</v>
      </c>
      <c r="L24" s="40"/>
      <c r="M24" s="40"/>
      <c r="N24" s="16"/>
      <c r="O24" s="16"/>
      <c r="P24" s="52"/>
      <c r="Q24" s="52"/>
      <c r="R24" s="40"/>
    </row>
    <row r="25" spans="1:18" x14ac:dyDescent="0.25">
      <c r="A25" s="40">
        <v>20200611</v>
      </c>
      <c r="B25" s="40">
        <v>20200620</v>
      </c>
      <c r="C25" s="40">
        <v>18400</v>
      </c>
      <c r="D25" s="40">
        <v>-6500</v>
      </c>
      <c r="E25" s="16">
        <f t="shared" si="4"/>
        <v>-115665</v>
      </c>
      <c r="F25" s="40">
        <f t="shared" si="0"/>
        <v>-103765</v>
      </c>
      <c r="G25" s="40"/>
      <c r="H25" s="19"/>
      <c r="I25" s="51">
        <f t="shared" si="1"/>
        <v>0</v>
      </c>
      <c r="J25" s="51">
        <f t="shared" si="2"/>
        <v>0</v>
      </c>
      <c r="K25" s="51">
        <f t="shared" si="3"/>
        <v>0</v>
      </c>
      <c r="L25" s="40"/>
      <c r="M25" s="40"/>
      <c r="N25" s="16"/>
      <c r="O25" s="16"/>
      <c r="P25" s="52"/>
      <c r="Q25" s="52"/>
      <c r="R25" s="40" t="s">
        <v>0</v>
      </c>
    </row>
    <row r="26" spans="1:18" x14ac:dyDescent="0.25">
      <c r="A26" s="40">
        <v>20200621</v>
      </c>
      <c r="B26" s="40">
        <v>20200631</v>
      </c>
      <c r="C26" s="40">
        <v>23000</v>
      </c>
      <c r="D26" s="40">
        <v>-2700</v>
      </c>
      <c r="E26" s="16">
        <f t="shared" si="4"/>
        <v>-95365</v>
      </c>
      <c r="F26" s="40">
        <f t="shared" si="0"/>
        <v>-75065</v>
      </c>
      <c r="G26" s="40"/>
      <c r="H26" s="19"/>
      <c r="I26" s="51">
        <f t="shared" si="1"/>
        <v>0</v>
      </c>
      <c r="J26" s="51">
        <f t="shared" si="2"/>
        <v>0</v>
      </c>
      <c r="K26" s="51">
        <f t="shared" si="3"/>
        <v>0</v>
      </c>
      <c r="L26" s="40"/>
      <c r="M26" s="40"/>
      <c r="N26" s="16"/>
      <c r="O26" s="16"/>
      <c r="P26" s="52"/>
      <c r="Q26" s="52"/>
      <c r="R26" s="40" t="s">
        <v>267</v>
      </c>
    </row>
    <row r="27" spans="1:18" x14ac:dyDescent="0.25">
      <c r="A27" s="16"/>
      <c r="B27" s="16"/>
      <c r="C27" s="16"/>
      <c r="D27" s="16"/>
      <c r="E27" s="16"/>
      <c r="F27" s="16"/>
      <c r="G27" s="16"/>
      <c r="H27" s="19"/>
      <c r="I27" s="51"/>
      <c r="J27" s="51"/>
      <c r="K27" s="51"/>
      <c r="L27" s="40"/>
      <c r="M27" s="40"/>
      <c r="N27" s="16"/>
      <c r="O27" s="16"/>
      <c r="P27" s="52"/>
      <c r="Q27" s="52"/>
      <c r="R27" s="16"/>
    </row>
    <row r="28" spans="1:18" x14ac:dyDescent="0.25">
      <c r="A28" s="16"/>
      <c r="B28" s="16"/>
      <c r="C28" s="16"/>
      <c r="D28" s="16"/>
      <c r="E28" s="16"/>
      <c r="F28" s="16"/>
      <c r="G28" s="16"/>
      <c r="H28" s="19"/>
      <c r="I28" s="51"/>
      <c r="J28" s="51"/>
      <c r="K28" s="51"/>
      <c r="L28" s="40"/>
      <c r="M28" s="40"/>
      <c r="N28" s="16"/>
      <c r="O28" s="16"/>
      <c r="P28" s="52"/>
      <c r="Q28" s="52"/>
      <c r="R28" s="16" t="s">
        <v>0</v>
      </c>
    </row>
    <row r="29" spans="1:18" x14ac:dyDescent="0.25">
      <c r="A29" s="16"/>
      <c r="B29" s="16"/>
      <c r="C29" s="16"/>
      <c r="D29" s="16"/>
      <c r="E29" s="16"/>
      <c r="F29" s="16"/>
      <c r="G29" s="16"/>
      <c r="H29" s="19"/>
      <c r="I29" s="51"/>
      <c r="J29" s="51"/>
      <c r="K29" s="51"/>
      <c r="L29" s="40"/>
      <c r="M29" s="40"/>
      <c r="N29" s="16"/>
      <c r="O29" s="16"/>
      <c r="P29" s="52"/>
      <c r="Q29" s="52"/>
      <c r="R29" s="16" t="s">
        <v>266</v>
      </c>
    </row>
  </sheetData>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77A40-9AE4-4D47-AAD9-E5FA7DB52180}">
  <dimension ref="A1:J153"/>
  <sheetViews>
    <sheetView topLeftCell="A106" workbookViewId="0">
      <selection activeCell="E112" sqref="E112:G113"/>
    </sheetView>
  </sheetViews>
  <sheetFormatPr defaultRowHeight="14.4" x14ac:dyDescent="0.25"/>
  <cols>
    <col min="2" max="3" width="13.5546875" customWidth="1"/>
    <col min="4" max="4" width="20.21875" customWidth="1"/>
    <col min="5" max="5" width="32" customWidth="1"/>
    <col min="6" max="6" width="15" customWidth="1"/>
    <col min="7" max="7" width="19.77734375" customWidth="1"/>
  </cols>
  <sheetData>
    <row r="1" spans="1:10" ht="28.8" x14ac:dyDescent="0.25">
      <c r="A1" s="53" t="s">
        <v>406</v>
      </c>
      <c r="B1" s="53" t="s">
        <v>407</v>
      </c>
      <c r="C1" s="53" t="s">
        <v>408</v>
      </c>
      <c r="D1" s="53" t="s">
        <v>409</v>
      </c>
      <c r="E1" s="53" t="s">
        <v>410</v>
      </c>
      <c r="F1" s="53" t="s">
        <v>411</v>
      </c>
      <c r="G1" s="53" t="s">
        <v>412</v>
      </c>
      <c r="I1" s="54" t="s">
        <v>487</v>
      </c>
      <c r="J1" s="1">
        <f>SUM(H:H)</f>
        <v>3888.4700000000003</v>
      </c>
    </row>
    <row r="2" spans="1:10" x14ac:dyDescent="0.25">
      <c r="A2">
        <v>5357</v>
      </c>
      <c r="B2" s="47">
        <v>43753</v>
      </c>
      <c r="C2" s="47">
        <v>43753</v>
      </c>
      <c r="D2" t="s">
        <v>314</v>
      </c>
      <c r="E2" t="s">
        <v>315</v>
      </c>
      <c r="F2" t="s">
        <v>316</v>
      </c>
      <c r="G2" t="s">
        <v>371</v>
      </c>
      <c r="H2" s="24">
        <f t="shared" ref="H2:H65" si="0">-LOOKUP(,-MIDB(G2,SEARCHB("?",G2),ROW($1:$15)))</f>
        <v>2</v>
      </c>
    </row>
    <row r="3" spans="1:10" x14ac:dyDescent="0.25">
      <c r="A3">
        <v>5357</v>
      </c>
      <c r="B3" s="47">
        <v>43754</v>
      </c>
      <c r="C3" s="47">
        <v>43754</v>
      </c>
      <c r="D3" t="s">
        <v>318</v>
      </c>
      <c r="E3" t="s">
        <v>319</v>
      </c>
      <c r="F3" t="s">
        <v>320</v>
      </c>
      <c r="G3" t="s">
        <v>321</v>
      </c>
      <c r="H3" s="24">
        <f t="shared" si="0"/>
        <v>16</v>
      </c>
    </row>
    <row r="4" spans="1:10" x14ac:dyDescent="0.25">
      <c r="A4">
        <v>5357</v>
      </c>
      <c r="B4" s="47">
        <v>43754</v>
      </c>
      <c r="C4" s="47">
        <v>43754</v>
      </c>
      <c r="D4" t="s">
        <v>314</v>
      </c>
      <c r="E4" t="s">
        <v>319</v>
      </c>
      <c r="F4" t="s">
        <v>316</v>
      </c>
      <c r="G4" t="s">
        <v>317</v>
      </c>
      <c r="H4" s="24">
        <f t="shared" si="0"/>
        <v>2</v>
      </c>
    </row>
    <row r="5" spans="1:10" x14ac:dyDescent="0.25">
      <c r="A5">
        <v>5357</v>
      </c>
      <c r="B5" s="47">
        <v>43754</v>
      </c>
      <c r="C5" s="47">
        <v>43754</v>
      </c>
      <c r="D5" t="s">
        <v>318</v>
      </c>
      <c r="E5" t="s">
        <v>322</v>
      </c>
      <c r="F5" t="s">
        <v>323</v>
      </c>
      <c r="G5" t="s">
        <v>324</v>
      </c>
      <c r="H5" s="24">
        <f t="shared" si="0"/>
        <v>18</v>
      </c>
    </row>
    <row r="6" spans="1:10" x14ac:dyDescent="0.25">
      <c r="A6">
        <v>5357</v>
      </c>
      <c r="B6" s="47">
        <v>43754</v>
      </c>
      <c r="C6" s="47">
        <v>43754</v>
      </c>
      <c r="D6" t="s">
        <v>314</v>
      </c>
      <c r="E6" t="s">
        <v>322</v>
      </c>
      <c r="F6" t="s">
        <v>325</v>
      </c>
      <c r="G6" t="s">
        <v>326</v>
      </c>
      <c r="H6" s="24">
        <f t="shared" si="0"/>
        <v>3</v>
      </c>
    </row>
    <row r="7" spans="1:10" x14ac:dyDescent="0.25">
      <c r="A7">
        <v>5357</v>
      </c>
      <c r="B7" s="47">
        <v>43754</v>
      </c>
      <c r="C7" s="47">
        <v>43754</v>
      </c>
      <c r="D7" t="s">
        <v>318</v>
      </c>
      <c r="E7" t="s">
        <v>327</v>
      </c>
      <c r="F7" t="s">
        <v>328</v>
      </c>
      <c r="G7" t="s">
        <v>329</v>
      </c>
      <c r="H7" s="24">
        <f t="shared" si="0"/>
        <v>64</v>
      </c>
    </row>
    <row r="8" spans="1:10" x14ac:dyDescent="0.25">
      <c r="A8">
        <v>5357</v>
      </c>
      <c r="B8" s="47">
        <v>43754</v>
      </c>
      <c r="C8" s="47">
        <v>43754</v>
      </c>
      <c r="D8" t="s">
        <v>314</v>
      </c>
      <c r="E8" t="s">
        <v>327</v>
      </c>
      <c r="F8" t="s">
        <v>330</v>
      </c>
      <c r="G8" t="s">
        <v>331</v>
      </c>
      <c r="H8" s="24">
        <f t="shared" si="0"/>
        <v>11</v>
      </c>
    </row>
    <row r="9" spans="1:10" x14ac:dyDescent="0.25">
      <c r="A9">
        <v>5357</v>
      </c>
      <c r="B9" s="47">
        <v>43754</v>
      </c>
      <c r="C9" s="47">
        <v>43754</v>
      </c>
      <c r="D9" t="s">
        <v>318</v>
      </c>
      <c r="E9" t="s">
        <v>332</v>
      </c>
      <c r="F9" t="s">
        <v>320</v>
      </c>
      <c r="G9" t="s">
        <v>321</v>
      </c>
      <c r="H9" s="24">
        <f t="shared" si="0"/>
        <v>16</v>
      </c>
    </row>
    <row r="10" spans="1:10" x14ac:dyDescent="0.25">
      <c r="A10">
        <v>5357</v>
      </c>
      <c r="B10" s="47">
        <v>43754</v>
      </c>
      <c r="C10" s="47">
        <v>43754</v>
      </c>
      <c r="D10" t="s">
        <v>314</v>
      </c>
      <c r="E10" t="s">
        <v>332</v>
      </c>
      <c r="F10" t="s">
        <v>316</v>
      </c>
      <c r="G10" t="s">
        <v>317</v>
      </c>
      <c r="H10" s="24">
        <f t="shared" si="0"/>
        <v>2</v>
      </c>
    </row>
    <row r="11" spans="1:10" x14ac:dyDescent="0.25">
      <c r="A11">
        <v>5357</v>
      </c>
      <c r="B11" s="47">
        <v>43754</v>
      </c>
      <c r="C11" s="47">
        <v>43754</v>
      </c>
      <c r="D11" t="s">
        <v>318</v>
      </c>
      <c r="E11" t="s">
        <v>333</v>
      </c>
      <c r="F11" t="s">
        <v>320</v>
      </c>
      <c r="G11" t="s">
        <v>321</v>
      </c>
      <c r="H11" s="24">
        <f t="shared" si="0"/>
        <v>16</v>
      </c>
    </row>
    <row r="12" spans="1:10" x14ac:dyDescent="0.25">
      <c r="A12">
        <v>5357</v>
      </c>
      <c r="B12" s="47">
        <v>43754</v>
      </c>
      <c r="C12" s="47">
        <v>43754</v>
      </c>
      <c r="D12" t="s">
        <v>314</v>
      </c>
      <c r="E12" t="s">
        <v>333</v>
      </c>
      <c r="F12" t="s">
        <v>316</v>
      </c>
      <c r="G12" t="s">
        <v>317</v>
      </c>
      <c r="H12" s="24">
        <f t="shared" si="0"/>
        <v>2</v>
      </c>
    </row>
    <row r="13" spans="1:10" x14ac:dyDescent="0.25">
      <c r="A13">
        <v>5357</v>
      </c>
      <c r="B13" s="47">
        <v>43755</v>
      </c>
      <c r="C13" s="47">
        <v>43755</v>
      </c>
      <c r="D13" t="s">
        <v>334</v>
      </c>
      <c r="E13" t="s">
        <v>335</v>
      </c>
      <c r="F13" t="s">
        <v>336</v>
      </c>
      <c r="G13" t="s">
        <v>337</v>
      </c>
      <c r="H13" s="24">
        <f t="shared" si="0"/>
        <v>117.47</v>
      </c>
    </row>
    <row r="14" spans="1:10" x14ac:dyDescent="0.25">
      <c r="A14">
        <v>5357</v>
      </c>
      <c r="B14" s="47">
        <v>43753</v>
      </c>
      <c r="C14" s="47">
        <v>43753</v>
      </c>
      <c r="D14" t="s">
        <v>314</v>
      </c>
      <c r="E14" t="s">
        <v>338</v>
      </c>
      <c r="F14" t="s">
        <v>339</v>
      </c>
      <c r="G14" t="s">
        <v>340</v>
      </c>
      <c r="H14" s="24">
        <f t="shared" si="0"/>
        <v>10</v>
      </c>
    </row>
    <row r="15" spans="1:10" x14ac:dyDescent="0.25">
      <c r="A15">
        <v>5357</v>
      </c>
      <c r="B15" s="47">
        <v>43753</v>
      </c>
      <c r="C15" s="47">
        <v>43753</v>
      </c>
      <c r="D15" t="s">
        <v>318</v>
      </c>
      <c r="E15" t="s">
        <v>341</v>
      </c>
      <c r="F15" t="s">
        <v>342</v>
      </c>
      <c r="G15" t="s">
        <v>343</v>
      </c>
      <c r="H15" s="24">
        <f t="shared" si="0"/>
        <v>61</v>
      </c>
    </row>
    <row r="16" spans="1:10" x14ac:dyDescent="0.25">
      <c r="A16">
        <v>5357</v>
      </c>
      <c r="B16" s="47">
        <v>43753</v>
      </c>
      <c r="C16" s="47">
        <v>43753</v>
      </c>
      <c r="D16" t="s">
        <v>314</v>
      </c>
      <c r="E16" t="s">
        <v>341</v>
      </c>
      <c r="F16" t="s">
        <v>339</v>
      </c>
      <c r="G16" t="s">
        <v>340</v>
      </c>
      <c r="H16" s="24">
        <f t="shared" si="0"/>
        <v>10</v>
      </c>
    </row>
    <row r="17" spans="1:8" x14ac:dyDescent="0.25">
      <c r="A17">
        <v>5357</v>
      </c>
      <c r="B17" s="47">
        <v>43753</v>
      </c>
      <c r="C17" s="47">
        <v>43753</v>
      </c>
      <c r="D17" t="s">
        <v>318</v>
      </c>
      <c r="E17" t="s">
        <v>344</v>
      </c>
      <c r="F17" t="s">
        <v>345</v>
      </c>
      <c r="G17" t="s">
        <v>346</v>
      </c>
      <c r="H17" s="24">
        <f t="shared" si="0"/>
        <v>20</v>
      </c>
    </row>
    <row r="18" spans="1:8" x14ac:dyDescent="0.25">
      <c r="A18">
        <v>5357</v>
      </c>
      <c r="B18" s="47">
        <v>43753</v>
      </c>
      <c r="C18" s="47">
        <v>43753</v>
      </c>
      <c r="D18" t="s">
        <v>314</v>
      </c>
      <c r="E18" t="s">
        <v>344</v>
      </c>
      <c r="F18" t="s">
        <v>325</v>
      </c>
      <c r="G18" t="s">
        <v>326</v>
      </c>
      <c r="H18" s="24">
        <f t="shared" si="0"/>
        <v>3</v>
      </c>
    </row>
    <row r="19" spans="1:8" x14ac:dyDescent="0.25">
      <c r="A19">
        <v>5357</v>
      </c>
      <c r="B19" s="47">
        <v>43753</v>
      </c>
      <c r="C19" s="47">
        <v>43753</v>
      </c>
      <c r="D19" t="s">
        <v>318</v>
      </c>
      <c r="E19" t="s">
        <v>347</v>
      </c>
      <c r="F19" t="s">
        <v>348</v>
      </c>
      <c r="G19" t="s">
        <v>349</v>
      </c>
      <c r="H19" s="24">
        <f t="shared" si="0"/>
        <v>22</v>
      </c>
    </row>
    <row r="20" spans="1:8" x14ac:dyDescent="0.25">
      <c r="A20">
        <v>5357</v>
      </c>
      <c r="B20" s="47">
        <v>43753</v>
      </c>
      <c r="C20" s="47">
        <v>43753</v>
      </c>
      <c r="D20" t="s">
        <v>314</v>
      </c>
      <c r="E20" t="s">
        <v>347</v>
      </c>
      <c r="F20" t="s">
        <v>325</v>
      </c>
      <c r="G20" t="s">
        <v>326</v>
      </c>
      <c r="H20" s="24">
        <f t="shared" si="0"/>
        <v>3</v>
      </c>
    </row>
    <row r="21" spans="1:8" x14ac:dyDescent="0.25">
      <c r="A21">
        <v>5357</v>
      </c>
      <c r="B21" s="47">
        <v>43753</v>
      </c>
      <c r="C21" s="47">
        <v>43753</v>
      </c>
      <c r="D21" t="s">
        <v>318</v>
      </c>
      <c r="E21" t="s">
        <v>315</v>
      </c>
      <c r="F21" t="s">
        <v>350</v>
      </c>
      <c r="G21" t="s">
        <v>351</v>
      </c>
      <c r="H21" s="24">
        <f t="shared" si="0"/>
        <v>12</v>
      </c>
    </row>
    <row r="22" spans="1:8" x14ac:dyDescent="0.25">
      <c r="A22">
        <v>5357</v>
      </c>
      <c r="B22" s="47">
        <v>43753</v>
      </c>
      <c r="C22" s="47">
        <v>43753</v>
      </c>
      <c r="D22" t="s">
        <v>314</v>
      </c>
      <c r="E22" t="s">
        <v>315</v>
      </c>
      <c r="F22" t="s">
        <v>316</v>
      </c>
      <c r="G22" t="s">
        <v>317</v>
      </c>
      <c r="H22" s="24">
        <f t="shared" si="0"/>
        <v>2</v>
      </c>
    </row>
    <row r="23" spans="1:8" x14ac:dyDescent="0.25">
      <c r="A23">
        <v>5357</v>
      </c>
      <c r="B23" s="47">
        <v>43753</v>
      </c>
      <c r="C23" s="47">
        <v>43753</v>
      </c>
      <c r="D23" t="s">
        <v>318</v>
      </c>
      <c r="E23" t="s">
        <v>352</v>
      </c>
      <c r="F23" t="s">
        <v>353</v>
      </c>
      <c r="G23" t="s">
        <v>354</v>
      </c>
      <c r="H23" s="24">
        <f t="shared" si="0"/>
        <v>15</v>
      </c>
    </row>
    <row r="24" spans="1:8" x14ac:dyDescent="0.25">
      <c r="A24">
        <v>5357</v>
      </c>
      <c r="B24" s="47">
        <v>43753</v>
      </c>
      <c r="C24" s="47">
        <v>43753</v>
      </c>
      <c r="D24" t="s">
        <v>314</v>
      </c>
      <c r="E24" t="s">
        <v>352</v>
      </c>
      <c r="F24" t="s">
        <v>316</v>
      </c>
      <c r="G24" t="s">
        <v>317</v>
      </c>
      <c r="H24" s="24">
        <f t="shared" si="0"/>
        <v>2</v>
      </c>
    </row>
    <row r="25" spans="1:8" x14ac:dyDescent="0.25">
      <c r="A25">
        <v>5357</v>
      </c>
      <c r="B25" s="47">
        <v>43753</v>
      </c>
      <c r="C25" s="47">
        <v>43753</v>
      </c>
      <c r="D25" t="s">
        <v>318</v>
      </c>
      <c r="E25" t="s">
        <v>341</v>
      </c>
      <c r="F25" t="s">
        <v>355</v>
      </c>
      <c r="G25" t="s">
        <v>356</v>
      </c>
      <c r="H25" s="24">
        <f t="shared" si="0"/>
        <v>26</v>
      </c>
    </row>
    <row r="26" spans="1:8" x14ac:dyDescent="0.25">
      <c r="A26">
        <v>5357</v>
      </c>
      <c r="B26" s="47">
        <v>43753</v>
      </c>
      <c r="C26" s="47">
        <v>43753</v>
      </c>
      <c r="D26" t="s">
        <v>314</v>
      </c>
      <c r="E26" t="s">
        <v>341</v>
      </c>
      <c r="F26" t="s">
        <v>357</v>
      </c>
      <c r="G26" t="s">
        <v>358</v>
      </c>
      <c r="H26" s="24">
        <f t="shared" si="0"/>
        <v>4</v>
      </c>
    </row>
    <row r="27" spans="1:8" x14ac:dyDescent="0.25">
      <c r="A27">
        <v>5357</v>
      </c>
      <c r="B27" s="47">
        <v>43753</v>
      </c>
      <c r="C27" s="47">
        <v>43753</v>
      </c>
      <c r="D27" t="s">
        <v>318</v>
      </c>
      <c r="E27" t="s">
        <v>359</v>
      </c>
      <c r="F27" t="s">
        <v>360</v>
      </c>
      <c r="G27" t="s">
        <v>361</v>
      </c>
      <c r="H27" s="24">
        <f t="shared" si="0"/>
        <v>36</v>
      </c>
    </row>
    <row r="28" spans="1:8" x14ac:dyDescent="0.25">
      <c r="A28">
        <v>5357</v>
      </c>
      <c r="B28" s="47">
        <v>43753</v>
      </c>
      <c r="C28" s="47">
        <v>43753</v>
      </c>
      <c r="D28" t="s">
        <v>314</v>
      </c>
      <c r="E28" t="s">
        <v>359</v>
      </c>
      <c r="F28" t="s">
        <v>362</v>
      </c>
      <c r="G28" t="s">
        <v>363</v>
      </c>
      <c r="H28" s="24">
        <f t="shared" si="0"/>
        <v>6</v>
      </c>
    </row>
    <row r="29" spans="1:8" x14ac:dyDescent="0.25">
      <c r="A29">
        <v>5357</v>
      </c>
      <c r="B29" s="47">
        <v>43753</v>
      </c>
      <c r="C29" s="47">
        <v>43753</v>
      </c>
      <c r="D29" t="s">
        <v>318</v>
      </c>
      <c r="E29" t="s">
        <v>364</v>
      </c>
      <c r="F29" t="s">
        <v>365</v>
      </c>
      <c r="G29" t="s">
        <v>366</v>
      </c>
      <c r="H29" s="24">
        <f t="shared" si="0"/>
        <v>25</v>
      </c>
    </row>
    <row r="30" spans="1:8" x14ac:dyDescent="0.25">
      <c r="A30">
        <v>5357</v>
      </c>
      <c r="B30" s="47">
        <v>43753</v>
      </c>
      <c r="C30" s="47">
        <v>43753</v>
      </c>
      <c r="D30" t="s">
        <v>314</v>
      </c>
      <c r="E30" t="s">
        <v>364</v>
      </c>
      <c r="F30" t="s">
        <v>357</v>
      </c>
      <c r="G30" t="s">
        <v>358</v>
      </c>
      <c r="H30" s="24">
        <f t="shared" si="0"/>
        <v>4</v>
      </c>
    </row>
    <row r="31" spans="1:8" x14ac:dyDescent="0.25">
      <c r="A31">
        <v>5357</v>
      </c>
      <c r="B31" s="47">
        <v>43753</v>
      </c>
      <c r="C31" s="47">
        <v>43753</v>
      </c>
      <c r="D31" t="s">
        <v>318</v>
      </c>
      <c r="E31" t="s">
        <v>344</v>
      </c>
      <c r="F31" t="s">
        <v>367</v>
      </c>
      <c r="G31" t="s">
        <v>368</v>
      </c>
      <c r="H31" s="24">
        <f t="shared" si="0"/>
        <v>17</v>
      </c>
    </row>
    <row r="32" spans="1:8" x14ac:dyDescent="0.25">
      <c r="A32">
        <v>5357</v>
      </c>
      <c r="B32" s="47">
        <v>43753</v>
      </c>
      <c r="C32" s="47">
        <v>43753</v>
      </c>
      <c r="D32" t="s">
        <v>314</v>
      </c>
      <c r="E32" t="s">
        <v>344</v>
      </c>
      <c r="F32" t="s">
        <v>316</v>
      </c>
      <c r="G32" t="s">
        <v>317</v>
      </c>
      <c r="H32" s="24">
        <f t="shared" si="0"/>
        <v>2</v>
      </c>
    </row>
    <row r="33" spans="1:8" x14ac:dyDescent="0.25">
      <c r="A33">
        <v>5357</v>
      </c>
      <c r="B33" s="47">
        <v>43753</v>
      </c>
      <c r="C33" s="47">
        <v>43753</v>
      </c>
      <c r="D33" t="s">
        <v>318</v>
      </c>
      <c r="E33" t="s">
        <v>315</v>
      </c>
      <c r="F33" t="s">
        <v>369</v>
      </c>
      <c r="G33" t="s">
        <v>370</v>
      </c>
      <c r="H33" s="24">
        <f t="shared" si="0"/>
        <v>13</v>
      </c>
    </row>
    <row r="34" spans="1:8" x14ac:dyDescent="0.25">
      <c r="A34">
        <v>5357</v>
      </c>
      <c r="B34" s="47">
        <v>43750</v>
      </c>
      <c r="C34" s="47">
        <v>43750</v>
      </c>
      <c r="D34" t="s">
        <v>314</v>
      </c>
      <c r="E34" t="s">
        <v>372</v>
      </c>
      <c r="F34" t="s">
        <v>373</v>
      </c>
      <c r="G34" t="s">
        <v>374</v>
      </c>
      <c r="H34" s="24">
        <f t="shared" si="0"/>
        <v>8</v>
      </c>
    </row>
    <row r="35" spans="1:8" x14ac:dyDescent="0.25">
      <c r="A35">
        <v>5357</v>
      </c>
      <c r="B35" s="47">
        <v>43751</v>
      </c>
      <c r="C35" s="47">
        <v>43751</v>
      </c>
      <c r="D35" t="s">
        <v>318</v>
      </c>
      <c r="E35" t="s">
        <v>375</v>
      </c>
      <c r="F35" t="s">
        <v>376</v>
      </c>
      <c r="G35" t="s">
        <v>377</v>
      </c>
      <c r="H35" s="24">
        <f t="shared" si="0"/>
        <v>14</v>
      </c>
    </row>
    <row r="36" spans="1:8" x14ac:dyDescent="0.25">
      <c r="A36">
        <v>5357</v>
      </c>
      <c r="B36" s="47">
        <v>43751</v>
      </c>
      <c r="C36" s="47">
        <v>43751</v>
      </c>
      <c r="D36" t="s">
        <v>314</v>
      </c>
      <c r="E36" t="s">
        <v>375</v>
      </c>
      <c r="F36" t="s">
        <v>316</v>
      </c>
      <c r="G36" t="s">
        <v>317</v>
      </c>
      <c r="H36" s="24">
        <f t="shared" si="0"/>
        <v>2</v>
      </c>
    </row>
    <row r="37" spans="1:8" x14ac:dyDescent="0.25">
      <c r="A37">
        <v>5357</v>
      </c>
      <c r="B37" s="47">
        <v>43751</v>
      </c>
      <c r="C37" s="47">
        <v>43751</v>
      </c>
      <c r="D37" t="s">
        <v>318</v>
      </c>
      <c r="E37" t="s">
        <v>375</v>
      </c>
      <c r="F37" t="s">
        <v>320</v>
      </c>
      <c r="G37" t="s">
        <v>321</v>
      </c>
      <c r="H37" s="24">
        <f t="shared" si="0"/>
        <v>16</v>
      </c>
    </row>
    <row r="38" spans="1:8" x14ac:dyDescent="0.25">
      <c r="A38">
        <v>5357</v>
      </c>
      <c r="B38" s="47">
        <v>43751</v>
      </c>
      <c r="C38" s="47">
        <v>43751</v>
      </c>
      <c r="D38" t="s">
        <v>314</v>
      </c>
      <c r="E38" t="s">
        <v>375</v>
      </c>
      <c r="F38" t="s">
        <v>316</v>
      </c>
      <c r="G38" t="s">
        <v>317</v>
      </c>
      <c r="H38" s="24">
        <f t="shared" si="0"/>
        <v>2</v>
      </c>
    </row>
    <row r="39" spans="1:8" x14ac:dyDescent="0.25">
      <c r="A39">
        <v>5357</v>
      </c>
      <c r="B39" s="47">
        <v>43751</v>
      </c>
      <c r="C39" s="47">
        <v>43751</v>
      </c>
      <c r="D39" t="s">
        <v>318</v>
      </c>
      <c r="E39" t="s">
        <v>378</v>
      </c>
      <c r="F39" t="s">
        <v>379</v>
      </c>
      <c r="G39" t="s">
        <v>380</v>
      </c>
      <c r="H39" s="24">
        <f t="shared" si="0"/>
        <v>46</v>
      </c>
    </row>
    <row r="40" spans="1:8" x14ac:dyDescent="0.25">
      <c r="A40">
        <v>5357</v>
      </c>
      <c r="B40" s="47">
        <v>43751</v>
      </c>
      <c r="C40" s="47">
        <v>43751</v>
      </c>
      <c r="D40" t="s">
        <v>314</v>
      </c>
      <c r="E40" t="s">
        <v>378</v>
      </c>
      <c r="F40" t="s">
        <v>373</v>
      </c>
      <c r="G40" t="s">
        <v>374</v>
      </c>
      <c r="H40" s="24">
        <f t="shared" si="0"/>
        <v>8</v>
      </c>
    </row>
    <row r="41" spans="1:8" x14ac:dyDescent="0.25">
      <c r="A41">
        <v>5357</v>
      </c>
      <c r="B41" s="47">
        <v>43752</v>
      </c>
      <c r="C41" s="47">
        <v>43752</v>
      </c>
      <c r="D41" t="s">
        <v>318</v>
      </c>
      <c r="E41" t="s">
        <v>381</v>
      </c>
      <c r="F41" t="s">
        <v>382</v>
      </c>
      <c r="G41" t="s">
        <v>383</v>
      </c>
      <c r="H41" s="24">
        <f t="shared" si="0"/>
        <v>100</v>
      </c>
    </row>
    <row r="42" spans="1:8" x14ac:dyDescent="0.25">
      <c r="A42">
        <v>5357</v>
      </c>
      <c r="B42" s="47">
        <v>43752</v>
      </c>
      <c r="C42" s="47">
        <v>43752</v>
      </c>
      <c r="D42" t="s">
        <v>314</v>
      </c>
      <c r="E42" t="s">
        <v>381</v>
      </c>
      <c r="F42" t="s">
        <v>367</v>
      </c>
      <c r="G42" t="s">
        <v>368</v>
      </c>
      <c r="H42" s="24">
        <f t="shared" si="0"/>
        <v>17</v>
      </c>
    </row>
    <row r="43" spans="1:8" x14ac:dyDescent="0.25">
      <c r="A43">
        <v>5357</v>
      </c>
      <c r="B43" s="47">
        <v>43752</v>
      </c>
      <c r="C43" s="47">
        <v>43752</v>
      </c>
      <c r="D43" t="s">
        <v>318</v>
      </c>
      <c r="E43" t="s">
        <v>384</v>
      </c>
      <c r="F43" t="s">
        <v>339</v>
      </c>
      <c r="G43" t="s">
        <v>340</v>
      </c>
      <c r="H43" s="24">
        <f t="shared" si="0"/>
        <v>10</v>
      </c>
    </row>
    <row r="44" spans="1:8" x14ac:dyDescent="0.25">
      <c r="A44">
        <v>5357</v>
      </c>
      <c r="B44" s="47">
        <v>43752</v>
      </c>
      <c r="C44" s="47">
        <v>43752</v>
      </c>
      <c r="D44" t="s">
        <v>314</v>
      </c>
      <c r="E44" t="s">
        <v>384</v>
      </c>
      <c r="F44" t="s">
        <v>385</v>
      </c>
      <c r="G44" t="s">
        <v>386</v>
      </c>
      <c r="H44" s="24">
        <f t="shared" si="0"/>
        <v>1</v>
      </c>
    </row>
    <row r="45" spans="1:8" x14ac:dyDescent="0.25">
      <c r="A45">
        <v>5357</v>
      </c>
      <c r="B45" s="47">
        <v>43752</v>
      </c>
      <c r="C45" s="47">
        <v>43752</v>
      </c>
      <c r="D45" t="s">
        <v>318</v>
      </c>
      <c r="E45" t="s">
        <v>387</v>
      </c>
      <c r="F45" t="s">
        <v>388</v>
      </c>
      <c r="G45" t="s">
        <v>389</v>
      </c>
      <c r="H45" s="24">
        <f t="shared" si="0"/>
        <v>50</v>
      </c>
    </row>
    <row r="46" spans="1:8" x14ac:dyDescent="0.25">
      <c r="A46">
        <v>5357</v>
      </c>
      <c r="B46" s="47">
        <v>43752</v>
      </c>
      <c r="C46" s="47">
        <v>43752</v>
      </c>
      <c r="D46" t="s">
        <v>314</v>
      </c>
      <c r="E46" t="s">
        <v>387</v>
      </c>
      <c r="F46" t="s">
        <v>373</v>
      </c>
      <c r="G46" t="s">
        <v>374</v>
      </c>
      <c r="H46" s="24">
        <f t="shared" si="0"/>
        <v>8</v>
      </c>
    </row>
    <row r="47" spans="1:8" x14ac:dyDescent="0.25">
      <c r="A47">
        <v>5357</v>
      </c>
      <c r="B47" s="47">
        <v>43752</v>
      </c>
      <c r="C47" s="47">
        <v>43752</v>
      </c>
      <c r="D47" t="s">
        <v>318</v>
      </c>
      <c r="E47" t="s">
        <v>390</v>
      </c>
      <c r="F47" t="s">
        <v>339</v>
      </c>
      <c r="G47" t="s">
        <v>340</v>
      </c>
      <c r="H47" s="24">
        <f t="shared" si="0"/>
        <v>10</v>
      </c>
    </row>
    <row r="48" spans="1:8" x14ac:dyDescent="0.25">
      <c r="A48">
        <v>5357</v>
      </c>
      <c r="B48" s="47">
        <v>43752</v>
      </c>
      <c r="C48" s="47">
        <v>43752</v>
      </c>
      <c r="D48" t="s">
        <v>314</v>
      </c>
      <c r="E48" t="s">
        <v>390</v>
      </c>
      <c r="F48" t="s">
        <v>385</v>
      </c>
      <c r="G48" t="s">
        <v>386</v>
      </c>
      <c r="H48" s="24">
        <f t="shared" si="0"/>
        <v>1</v>
      </c>
    </row>
    <row r="49" spans="1:8" x14ac:dyDescent="0.25">
      <c r="A49">
        <v>5357</v>
      </c>
      <c r="B49" s="47">
        <v>43752</v>
      </c>
      <c r="C49" s="47">
        <v>43752</v>
      </c>
      <c r="D49" t="s">
        <v>318</v>
      </c>
      <c r="E49" t="s">
        <v>391</v>
      </c>
      <c r="F49" t="s">
        <v>320</v>
      </c>
      <c r="G49" t="s">
        <v>321</v>
      </c>
      <c r="H49" s="24">
        <f t="shared" si="0"/>
        <v>16</v>
      </c>
    </row>
    <row r="50" spans="1:8" x14ac:dyDescent="0.25">
      <c r="A50">
        <v>5357</v>
      </c>
      <c r="B50" s="47">
        <v>43752</v>
      </c>
      <c r="C50" s="47">
        <v>43752</v>
      </c>
      <c r="D50" t="s">
        <v>314</v>
      </c>
      <c r="E50" t="s">
        <v>391</v>
      </c>
      <c r="F50" t="s">
        <v>316</v>
      </c>
      <c r="G50" t="s">
        <v>317</v>
      </c>
      <c r="H50" s="24">
        <f t="shared" si="0"/>
        <v>2</v>
      </c>
    </row>
    <row r="51" spans="1:8" x14ac:dyDescent="0.25">
      <c r="A51">
        <v>5357</v>
      </c>
      <c r="B51" s="47">
        <v>43752</v>
      </c>
      <c r="C51" s="47">
        <v>43752</v>
      </c>
      <c r="D51" t="s">
        <v>318</v>
      </c>
      <c r="E51" t="s">
        <v>392</v>
      </c>
      <c r="F51" t="s">
        <v>376</v>
      </c>
      <c r="G51" t="s">
        <v>377</v>
      </c>
      <c r="H51" s="24">
        <f t="shared" si="0"/>
        <v>14</v>
      </c>
    </row>
    <row r="52" spans="1:8" x14ac:dyDescent="0.25">
      <c r="A52">
        <v>5357</v>
      </c>
      <c r="B52" s="47">
        <v>43752</v>
      </c>
      <c r="C52" s="47">
        <v>43752</v>
      </c>
      <c r="D52" t="s">
        <v>314</v>
      </c>
      <c r="E52" t="s">
        <v>392</v>
      </c>
      <c r="F52" t="s">
        <v>316</v>
      </c>
      <c r="G52" t="s">
        <v>317</v>
      </c>
      <c r="H52" s="24">
        <f t="shared" si="0"/>
        <v>2</v>
      </c>
    </row>
    <row r="53" spans="1:8" x14ac:dyDescent="0.25">
      <c r="A53">
        <v>5357</v>
      </c>
      <c r="B53" s="47">
        <v>43753</v>
      </c>
      <c r="C53" s="47">
        <v>43753</v>
      </c>
      <c r="D53" t="s">
        <v>318</v>
      </c>
      <c r="E53" t="s">
        <v>338</v>
      </c>
      <c r="F53" t="s">
        <v>393</v>
      </c>
      <c r="G53" t="s">
        <v>394</v>
      </c>
      <c r="H53" s="24">
        <f t="shared" si="0"/>
        <v>62</v>
      </c>
    </row>
    <row r="54" spans="1:8" x14ac:dyDescent="0.25">
      <c r="A54">
        <v>5357</v>
      </c>
      <c r="B54" s="47">
        <v>43743</v>
      </c>
      <c r="C54" s="47">
        <v>43743</v>
      </c>
      <c r="D54" t="s">
        <v>318</v>
      </c>
      <c r="E54" t="s">
        <v>395</v>
      </c>
      <c r="F54" t="s">
        <v>367</v>
      </c>
      <c r="G54" t="s">
        <v>368</v>
      </c>
      <c r="H54" s="24">
        <f t="shared" si="0"/>
        <v>17</v>
      </c>
    </row>
    <row r="55" spans="1:8" x14ac:dyDescent="0.25">
      <c r="A55">
        <v>5357</v>
      </c>
      <c r="B55" s="47">
        <v>43743</v>
      </c>
      <c r="C55" s="47">
        <v>43743</v>
      </c>
      <c r="D55" t="s">
        <v>314</v>
      </c>
      <c r="E55" t="s">
        <v>395</v>
      </c>
      <c r="F55" t="s">
        <v>325</v>
      </c>
      <c r="G55" t="s">
        <v>326</v>
      </c>
      <c r="H55" s="24">
        <f t="shared" si="0"/>
        <v>3</v>
      </c>
    </row>
    <row r="56" spans="1:8" x14ac:dyDescent="0.25">
      <c r="A56">
        <v>5357</v>
      </c>
      <c r="B56" s="47">
        <v>43743</v>
      </c>
      <c r="C56" s="47">
        <v>43743</v>
      </c>
      <c r="D56" t="s">
        <v>318</v>
      </c>
      <c r="E56" t="s">
        <v>396</v>
      </c>
      <c r="F56" t="s">
        <v>339</v>
      </c>
      <c r="G56" t="s">
        <v>340</v>
      </c>
      <c r="H56" s="24">
        <f t="shared" si="0"/>
        <v>10</v>
      </c>
    </row>
    <row r="57" spans="1:8" x14ac:dyDescent="0.25">
      <c r="A57">
        <v>5357</v>
      </c>
      <c r="B57" s="47">
        <v>43743</v>
      </c>
      <c r="C57" s="47">
        <v>43743</v>
      </c>
      <c r="D57" t="s">
        <v>314</v>
      </c>
      <c r="E57" t="s">
        <v>396</v>
      </c>
      <c r="F57" t="s">
        <v>385</v>
      </c>
      <c r="G57" t="s">
        <v>386</v>
      </c>
      <c r="H57" s="24">
        <f t="shared" si="0"/>
        <v>1</v>
      </c>
    </row>
    <row r="58" spans="1:8" x14ac:dyDescent="0.25">
      <c r="A58">
        <v>5357</v>
      </c>
      <c r="B58" s="47">
        <v>43744</v>
      </c>
      <c r="C58" s="47">
        <v>43744</v>
      </c>
      <c r="D58" t="s">
        <v>318</v>
      </c>
      <c r="E58" t="s">
        <v>397</v>
      </c>
      <c r="F58" t="s">
        <v>367</v>
      </c>
      <c r="G58" t="s">
        <v>368</v>
      </c>
      <c r="H58" s="24">
        <f t="shared" si="0"/>
        <v>17</v>
      </c>
    </row>
    <row r="59" spans="1:8" x14ac:dyDescent="0.25">
      <c r="A59">
        <v>5357</v>
      </c>
      <c r="B59" s="47">
        <v>43744</v>
      </c>
      <c r="C59" s="47">
        <v>43744</v>
      </c>
      <c r="D59" t="s">
        <v>314</v>
      </c>
      <c r="E59" t="s">
        <v>397</v>
      </c>
      <c r="F59" t="s">
        <v>316</v>
      </c>
      <c r="G59" t="s">
        <v>317</v>
      </c>
      <c r="H59" s="24">
        <f t="shared" si="0"/>
        <v>2</v>
      </c>
    </row>
    <row r="60" spans="1:8" x14ac:dyDescent="0.25">
      <c r="A60">
        <v>5357</v>
      </c>
      <c r="B60" s="47">
        <v>43744</v>
      </c>
      <c r="C60" s="47">
        <v>43744</v>
      </c>
      <c r="D60" t="s">
        <v>318</v>
      </c>
      <c r="E60" t="s">
        <v>398</v>
      </c>
      <c r="F60" t="s">
        <v>399</v>
      </c>
      <c r="G60" t="s">
        <v>400</v>
      </c>
      <c r="H60" s="24">
        <f t="shared" si="0"/>
        <v>129</v>
      </c>
    </row>
    <row r="61" spans="1:8" x14ac:dyDescent="0.25">
      <c r="A61">
        <v>5357</v>
      </c>
      <c r="B61" s="47">
        <v>43744</v>
      </c>
      <c r="C61" s="47">
        <v>43744</v>
      </c>
      <c r="D61" t="s">
        <v>314</v>
      </c>
      <c r="E61" t="s">
        <v>398</v>
      </c>
      <c r="F61" t="s">
        <v>348</v>
      </c>
      <c r="G61" t="s">
        <v>349</v>
      </c>
      <c r="H61" s="24">
        <f t="shared" si="0"/>
        <v>22</v>
      </c>
    </row>
    <row r="62" spans="1:8" x14ac:dyDescent="0.25">
      <c r="A62">
        <v>5357</v>
      </c>
      <c r="B62" s="47">
        <v>43745</v>
      </c>
      <c r="C62" s="47">
        <v>43745</v>
      </c>
      <c r="D62" t="s">
        <v>318</v>
      </c>
      <c r="E62" t="s">
        <v>401</v>
      </c>
      <c r="F62" t="s">
        <v>323</v>
      </c>
      <c r="G62" t="s">
        <v>324</v>
      </c>
      <c r="H62" s="24">
        <f t="shared" si="0"/>
        <v>18</v>
      </c>
    </row>
    <row r="63" spans="1:8" x14ac:dyDescent="0.25">
      <c r="A63">
        <v>5357</v>
      </c>
      <c r="B63" s="47">
        <v>43745</v>
      </c>
      <c r="C63" s="47">
        <v>43745</v>
      </c>
      <c r="D63" t="s">
        <v>314</v>
      </c>
      <c r="E63" t="s">
        <v>401</v>
      </c>
      <c r="F63" t="s">
        <v>325</v>
      </c>
      <c r="G63" t="s">
        <v>326</v>
      </c>
      <c r="H63" s="24">
        <f t="shared" si="0"/>
        <v>3</v>
      </c>
    </row>
    <row r="64" spans="1:8" x14ac:dyDescent="0.25">
      <c r="A64">
        <v>5357</v>
      </c>
      <c r="B64" s="47">
        <v>43746</v>
      </c>
      <c r="C64" s="47">
        <v>43746</v>
      </c>
      <c r="D64" t="s">
        <v>318</v>
      </c>
      <c r="E64" t="s">
        <v>402</v>
      </c>
      <c r="F64" t="s">
        <v>367</v>
      </c>
      <c r="G64" t="s">
        <v>368</v>
      </c>
      <c r="H64" s="24">
        <f t="shared" si="0"/>
        <v>17</v>
      </c>
    </row>
    <row r="65" spans="1:8" x14ac:dyDescent="0.25">
      <c r="A65">
        <v>5357</v>
      </c>
      <c r="B65" s="47">
        <v>43746</v>
      </c>
      <c r="C65" s="47">
        <v>43746</v>
      </c>
      <c r="D65" t="s">
        <v>314</v>
      </c>
      <c r="E65" t="s">
        <v>402</v>
      </c>
      <c r="F65" t="s">
        <v>325</v>
      </c>
      <c r="G65" t="s">
        <v>326</v>
      </c>
      <c r="H65" s="24">
        <f t="shared" si="0"/>
        <v>3</v>
      </c>
    </row>
    <row r="66" spans="1:8" x14ac:dyDescent="0.25">
      <c r="A66">
        <v>5357</v>
      </c>
      <c r="B66" s="47">
        <v>43746</v>
      </c>
      <c r="C66" s="47">
        <v>43746</v>
      </c>
      <c r="D66" t="s">
        <v>318</v>
      </c>
      <c r="E66" t="s">
        <v>322</v>
      </c>
      <c r="F66" t="s">
        <v>369</v>
      </c>
      <c r="G66" t="s">
        <v>370</v>
      </c>
      <c r="H66" s="24">
        <f t="shared" ref="H66:H129" si="1">-LOOKUP(,-MIDB(G66,SEARCHB("?",G66),ROW($1:$15)))</f>
        <v>13</v>
      </c>
    </row>
    <row r="67" spans="1:8" x14ac:dyDescent="0.25">
      <c r="A67">
        <v>5357</v>
      </c>
      <c r="B67" s="47">
        <v>43746</v>
      </c>
      <c r="C67" s="47">
        <v>43746</v>
      </c>
      <c r="D67" t="s">
        <v>314</v>
      </c>
      <c r="E67" t="s">
        <v>322</v>
      </c>
      <c r="F67" t="s">
        <v>316</v>
      </c>
      <c r="G67" t="s">
        <v>317</v>
      </c>
      <c r="H67" s="24">
        <f t="shared" si="1"/>
        <v>2</v>
      </c>
    </row>
    <row r="68" spans="1:8" x14ac:dyDescent="0.25">
      <c r="A68">
        <v>5357</v>
      </c>
      <c r="B68" s="47">
        <v>43748</v>
      </c>
      <c r="C68" s="47">
        <v>43748</v>
      </c>
      <c r="D68" t="s">
        <v>318</v>
      </c>
      <c r="E68" t="s">
        <v>403</v>
      </c>
      <c r="F68" t="s">
        <v>345</v>
      </c>
      <c r="G68" t="s">
        <v>346</v>
      </c>
      <c r="H68" s="24">
        <f t="shared" si="1"/>
        <v>20</v>
      </c>
    </row>
    <row r="69" spans="1:8" x14ac:dyDescent="0.25">
      <c r="A69">
        <v>5357</v>
      </c>
      <c r="B69" s="47">
        <v>43748</v>
      </c>
      <c r="C69" s="47">
        <v>43748</v>
      </c>
      <c r="D69" t="s">
        <v>314</v>
      </c>
      <c r="E69" t="s">
        <v>403</v>
      </c>
      <c r="F69" t="s">
        <v>325</v>
      </c>
      <c r="G69" t="s">
        <v>326</v>
      </c>
      <c r="H69" s="24">
        <f t="shared" si="1"/>
        <v>3</v>
      </c>
    </row>
    <row r="70" spans="1:8" x14ac:dyDescent="0.25">
      <c r="B70" s="47"/>
      <c r="C70" s="47"/>
      <c r="H70" s="24"/>
    </row>
    <row r="71" spans="1:8" x14ac:dyDescent="0.25">
      <c r="A71">
        <v>5357</v>
      </c>
      <c r="B71" s="47">
        <v>43749</v>
      </c>
      <c r="C71" s="47">
        <v>43749</v>
      </c>
      <c r="D71" t="s">
        <v>318</v>
      </c>
      <c r="E71" t="s">
        <v>404</v>
      </c>
      <c r="F71" t="s">
        <v>350</v>
      </c>
      <c r="G71" t="s">
        <v>351</v>
      </c>
      <c r="H71" s="24">
        <f t="shared" si="1"/>
        <v>12</v>
      </c>
    </row>
    <row r="72" spans="1:8" x14ac:dyDescent="0.25">
      <c r="A72">
        <v>5357</v>
      </c>
      <c r="B72" s="47">
        <v>43749</v>
      </c>
      <c r="C72" s="47">
        <v>43749</v>
      </c>
      <c r="D72" t="s">
        <v>314</v>
      </c>
      <c r="E72" t="s">
        <v>404</v>
      </c>
      <c r="F72" t="s">
        <v>316</v>
      </c>
      <c r="G72" t="s">
        <v>317</v>
      </c>
      <c r="H72" s="24">
        <f t="shared" si="1"/>
        <v>2</v>
      </c>
    </row>
    <row r="73" spans="1:8" x14ac:dyDescent="0.25">
      <c r="A73">
        <v>5357</v>
      </c>
      <c r="B73" s="47">
        <v>43750</v>
      </c>
      <c r="C73" s="47">
        <v>43750</v>
      </c>
      <c r="D73" t="s">
        <v>318</v>
      </c>
      <c r="E73" t="s">
        <v>372</v>
      </c>
      <c r="F73" t="s">
        <v>388</v>
      </c>
      <c r="G73" t="s">
        <v>405</v>
      </c>
      <c r="H73" s="24">
        <f t="shared" si="1"/>
        <v>50</v>
      </c>
    </row>
    <row r="74" spans="1:8" x14ac:dyDescent="0.25">
      <c r="A74">
        <v>5357</v>
      </c>
      <c r="B74" s="47">
        <v>43742</v>
      </c>
      <c r="C74" s="47">
        <v>43742</v>
      </c>
      <c r="D74" t="s">
        <v>318</v>
      </c>
      <c r="E74" t="s">
        <v>413</v>
      </c>
      <c r="F74" t="s">
        <v>414</v>
      </c>
      <c r="G74" t="s">
        <v>415</v>
      </c>
      <c r="H74" s="24">
        <f t="shared" si="1"/>
        <v>37</v>
      </c>
    </row>
    <row r="75" spans="1:8" x14ac:dyDescent="0.25">
      <c r="A75">
        <v>5357</v>
      </c>
      <c r="B75" s="47">
        <v>43742</v>
      </c>
      <c r="C75" s="47">
        <v>43742</v>
      </c>
      <c r="D75" t="s">
        <v>314</v>
      </c>
      <c r="E75" t="s">
        <v>413</v>
      </c>
      <c r="F75" t="s">
        <v>362</v>
      </c>
      <c r="G75" t="s">
        <v>363</v>
      </c>
      <c r="H75" s="24">
        <f t="shared" si="1"/>
        <v>6</v>
      </c>
    </row>
    <row r="76" spans="1:8" x14ac:dyDescent="0.25">
      <c r="A76">
        <v>5357</v>
      </c>
      <c r="B76" s="47">
        <v>43742</v>
      </c>
      <c r="C76" s="47">
        <v>43742</v>
      </c>
      <c r="D76" t="s">
        <v>318</v>
      </c>
      <c r="E76" t="s">
        <v>416</v>
      </c>
      <c r="F76" t="s">
        <v>320</v>
      </c>
      <c r="G76" t="s">
        <v>321</v>
      </c>
      <c r="H76" s="24">
        <f t="shared" si="1"/>
        <v>16</v>
      </c>
    </row>
    <row r="77" spans="1:8" x14ac:dyDescent="0.25">
      <c r="A77">
        <v>5357</v>
      </c>
      <c r="B77" s="47">
        <v>43742</v>
      </c>
      <c r="C77" s="47">
        <v>43742</v>
      </c>
      <c r="D77" t="s">
        <v>314</v>
      </c>
      <c r="E77" t="s">
        <v>416</v>
      </c>
      <c r="F77" t="s">
        <v>316</v>
      </c>
      <c r="G77" t="s">
        <v>317</v>
      </c>
      <c r="H77" s="24">
        <f t="shared" si="1"/>
        <v>2</v>
      </c>
    </row>
    <row r="78" spans="1:8" x14ac:dyDescent="0.25">
      <c r="A78">
        <v>5357</v>
      </c>
      <c r="B78" s="47">
        <v>43742</v>
      </c>
      <c r="C78" s="47">
        <v>43742</v>
      </c>
      <c r="D78" t="s">
        <v>318</v>
      </c>
      <c r="E78" t="s">
        <v>417</v>
      </c>
      <c r="F78" t="s">
        <v>323</v>
      </c>
      <c r="G78" t="s">
        <v>324</v>
      </c>
      <c r="H78" s="24">
        <f t="shared" si="1"/>
        <v>18</v>
      </c>
    </row>
    <row r="79" spans="1:8" x14ac:dyDescent="0.25">
      <c r="A79">
        <v>5357</v>
      </c>
      <c r="B79" s="47">
        <v>43742</v>
      </c>
      <c r="C79" s="47">
        <v>43742</v>
      </c>
      <c r="D79" t="s">
        <v>314</v>
      </c>
      <c r="E79" t="s">
        <v>417</v>
      </c>
      <c r="F79" t="s">
        <v>325</v>
      </c>
      <c r="G79" t="s">
        <v>326</v>
      </c>
      <c r="H79" s="24">
        <f t="shared" si="1"/>
        <v>3</v>
      </c>
    </row>
    <row r="80" spans="1:8" x14ac:dyDescent="0.25">
      <c r="A80">
        <v>5357</v>
      </c>
      <c r="B80" s="47">
        <v>43742</v>
      </c>
      <c r="C80" s="47">
        <v>43742</v>
      </c>
      <c r="D80" t="s">
        <v>318</v>
      </c>
      <c r="E80" t="s">
        <v>347</v>
      </c>
      <c r="F80" t="s">
        <v>418</v>
      </c>
      <c r="G80" t="s">
        <v>419</v>
      </c>
      <c r="H80" s="24">
        <f t="shared" si="1"/>
        <v>34</v>
      </c>
    </row>
    <row r="81" spans="1:8" x14ac:dyDescent="0.25">
      <c r="A81">
        <v>5357</v>
      </c>
      <c r="B81" s="47">
        <v>43742</v>
      </c>
      <c r="C81" s="47">
        <v>43742</v>
      </c>
      <c r="D81" t="s">
        <v>314</v>
      </c>
      <c r="E81" t="s">
        <v>347</v>
      </c>
      <c r="F81" t="s">
        <v>420</v>
      </c>
      <c r="G81" t="s">
        <v>421</v>
      </c>
      <c r="H81" s="24">
        <f t="shared" si="1"/>
        <v>5</v>
      </c>
    </row>
    <row r="82" spans="1:8" x14ac:dyDescent="0.25">
      <c r="A82">
        <v>5357</v>
      </c>
      <c r="B82" s="47">
        <v>43742</v>
      </c>
      <c r="C82" s="47">
        <v>43742</v>
      </c>
      <c r="D82" t="s">
        <v>318</v>
      </c>
      <c r="E82" t="s">
        <v>422</v>
      </c>
      <c r="F82" t="s">
        <v>423</v>
      </c>
      <c r="G82" t="s">
        <v>424</v>
      </c>
      <c r="H82" s="24">
        <f t="shared" si="1"/>
        <v>21</v>
      </c>
    </row>
    <row r="83" spans="1:8" x14ac:dyDescent="0.25">
      <c r="A83">
        <v>5357</v>
      </c>
      <c r="B83" s="47">
        <v>43742</v>
      </c>
      <c r="C83" s="47">
        <v>43742</v>
      </c>
      <c r="D83" t="s">
        <v>314</v>
      </c>
      <c r="E83" t="s">
        <v>422</v>
      </c>
      <c r="F83" t="s">
        <v>325</v>
      </c>
      <c r="G83" t="s">
        <v>326</v>
      </c>
      <c r="H83" s="24">
        <f t="shared" si="1"/>
        <v>3</v>
      </c>
    </row>
    <row r="84" spans="1:8" x14ac:dyDescent="0.25">
      <c r="A84">
        <v>5357</v>
      </c>
      <c r="B84" s="47">
        <v>43742</v>
      </c>
      <c r="C84" s="47">
        <v>43742</v>
      </c>
      <c r="D84" t="s">
        <v>318</v>
      </c>
      <c r="E84" t="s">
        <v>344</v>
      </c>
      <c r="F84" t="s">
        <v>345</v>
      </c>
      <c r="G84" t="s">
        <v>346</v>
      </c>
      <c r="H84" s="24">
        <f t="shared" si="1"/>
        <v>20</v>
      </c>
    </row>
    <row r="85" spans="1:8" x14ac:dyDescent="0.25">
      <c r="A85">
        <v>5357</v>
      </c>
      <c r="B85" s="47">
        <v>43742</v>
      </c>
      <c r="C85" s="47">
        <v>43742</v>
      </c>
      <c r="D85" t="s">
        <v>314</v>
      </c>
      <c r="E85" t="s">
        <v>344</v>
      </c>
      <c r="F85" t="s">
        <v>325</v>
      </c>
      <c r="G85" t="s">
        <v>326</v>
      </c>
      <c r="H85" s="24">
        <f t="shared" si="1"/>
        <v>3</v>
      </c>
    </row>
    <row r="86" spans="1:8" x14ac:dyDescent="0.25">
      <c r="A86">
        <v>5357</v>
      </c>
      <c r="B86" s="47">
        <v>43742</v>
      </c>
      <c r="C86" s="47">
        <v>43742</v>
      </c>
      <c r="D86" t="s">
        <v>318</v>
      </c>
      <c r="E86" t="s">
        <v>347</v>
      </c>
      <c r="F86" t="s">
        <v>425</v>
      </c>
      <c r="G86" t="s">
        <v>426</v>
      </c>
      <c r="H86" s="24">
        <f t="shared" si="1"/>
        <v>31</v>
      </c>
    </row>
    <row r="87" spans="1:8" x14ac:dyDescent="0.25">
      <c r="A87">
        <v>5357</v>
      </c>
      <c r="B87" s="47">
        <v>43742</v>
      </c>
      <c r="C87" s="47">
        <v>43742</v>
      </c>
      <c r="D87" t="s">
        <v>314</v>
      </c>
      <c r="E87" t="s">
        <v>347</v>
      </c>
      <c r="F87" t="s">
        <v>420</v>
      </c>
      <c r="G87" t="s">
        <v>421</v>
      </c>
      <c r="H87" s="24">
        <f t="shared" si="1"/>
        <v>5</v>
      </c>
    </row>
    <row r="88" spans="1:8" x14ac:dyDescent="0.25">
      <c r="A88">
        <v>5357</v>
      </c>
      <c r="B88" s="47">
        <v>43743</v>
      </c>
      <c r="C88" s="47">
        <v>43743</v>
      </c>
      <c r="D88" t="s">
        <v>318</v>
      </c>
      <c r="E88" t="s">
        <v>427</v>
      </c>
      <c r="F88" t="s">
        <v>428</v>
      </c>
      <c r="G88" t="s">
        <v>429</v>
      </c>
      <c r="H88" s="24">
        <f t="shared" si="1"/>
        <v>63</v>
      </c>
    </row>
    <row r="89" spans="1:8" x14ac:dyDescent="0.25">
      <c r="A89">
        <v>5357</v>
      </c>
      <c r="B89" s="47">
        <v>43743</v>
      </c>
      <c r="C89" s="47">
        <v>43743</v>
      </c>
      <c r="D89" t="s">
        <v>314</v>
      </c>
      <c r="E89" t="s">
        <v>427</v>
      </c>
      <c r="F89" t="s">
        <v>330</v>
      </c>
      <c r="G89" t="s">
        <v>331</v>
      </c>
      <c r="H89" s="24">
        <f t="shared" si="1"/>
        <v>11</v>
      </c>
    </row>
    <row r="90" spans="1:8" x14ac:dyDescent="0.25">
      <c r="A90">
        <v>5357</v>
      </c>
      <c r="B90" s="47">
        <v>43743</v>
      </c>
      <c r="C90" s="47">
        <v>43743</v>
      </c>
      <c r="D90" t="s">
        <v>318</v>
      </c>
      <c r="E90" t="s">
        <v>430</v>
      </c>
      <c r="F90" t="s">
        <v>423</v>
      </c>
      <c r="G90" t="s">
        <v>424</v>
      </c>
      <c r="H90" s="24">
        <f t="shared" si="1"/>
        <v>21</v>
      </c>
    </row>
    <row r="91" spans="1:8" x14ac:dyDescent="0.25">
      <c r="A91">
        <v>5357</v>
      </c>
      <c r="B91" s="47">
        <v>43743</v>
      </c>
      <c r="C91" s="47">
        <v>43743</v>
      </c>
      <c r="D91" t="s">
        <v>314</v>
      </c>
      <c r="E91" t="s">
        <v>430</v>
      </c>
      <c r="F91" t="s">
        <v>325</v>
      </c>
      <c r="G91" t="s">
        <v>326</v>
      </c>
      <c r="H91" s="24">
        <f t="shared" si="1"/>
        <v>3</v>
      </c>
    </row>
    <row r="92" spans="1:8" x14ac:dyDescent="0.25">
      <c r="A92">
        <v>5357</v>
      </c>
      <c r="B92" s="47">
        <v>43743</v>
      </c>
      <c r="C92" s="47">
        <v>43743</v>
      </c>
      <c r="D92" t="s">
        <v>318</v>
      </c>
      <c r="E92" t="s">
        <v>431</v>
      </c>
      <c r="F92" t="s">
        <v>432</v>
      </c>
      <c r="G92" t="s">
        <v>433</v>
      </c>
      <c r="H92" s="24">
        <f t="shared" si="1"/>
        <v>38</v>
      </c>
    </row>
    <row r="93" spans="1:8" x14ac:dyDescent="0.25">
      <c r="A93">
        <v>5357</v>
      </c>
      <c r="B93" s="47">
        <v>43743</v>
      </c>
      <c r="C93" s="47">
        <v>43743</v>
      </c>
      <c r="D93" t="s">
        <v>314</v>
      </c>
      <c r="E93" t="s">
        <v>431</v>
      </c>
      <c r="F93" t="s">
        <v>362</v>
      </c>
      <c r="G93" t="s">
        <v>434</v>
      </c>
      <c r="H93" s="24">
        <f t="shared" si="1"/>
        <v>6</v>
      </c>
    </row>
    <row r="94" spans="1:8" x14ac:dyDescent="0.25">
      <c r="A94">
        <v>5357</v>
      </c>
      <c r="B94" s="47">
        <v>43738</v>
      </c>
      <c r="C94" s="47">
        <v>43738</v>
      </c>
      <c r="D94" t="s">
        <v>318</v>
      </c>
      <c r="E94" t="s">
        <v>435</v>
      </c>
      <c r="F94" t="s">
        <v>353</v>
      </c>
      <c r="G94" t="s">
        <v>354</v>
      </c>
      <c r="H94" s="24">
        <f t="shared" si="1"/>
        <v>15</v>
      </c>
    </row>
    <row r="95" spans="1:8" x14ac:dyDescent="0.25">
      <c r="A95">
        <v>5357</v>
      </c>
      <c r="B95" s="47">
        <v>43738</v>
      </c>
      <c r="C95" s="47">
        <v>43738</v>
      </c>
      <c r="D95" t="s">
        <v>314</v>
      </c>
      <c r="E95" t="s">
        <v>435</v>
      </c>
      <c r="F95" t="s">
        <v>316</v>
      </c>
      <c r="G95" t="s">
        <v>317</v>
      </c>
      <c r="H95" s="24">
        <f t="shared" si="1"/>
        <v>2</v>
      </c>
    </row>
    <row r="96" spans="1:8" x14ac:dyDescent="0.25">
      <c r="A96">
        <v>5357</v>
      </c>
      <c r="B96" s="47">
        <v>43738</v>
      </c>
      <c r="C96" s="47">
        <v>43738</v>
      </c>
      <c r="D96" t="s">
        <v>318</v>
      </c>
      <c r="E96" t="s">
        <v>436</v>
      </c>
      <c r="F96" t="s">
        <v>367</v>
      </c>
      <c r="G96" t="s">
        <v>368</v>
      </c>
      <c r="H96" s="24">
        <f t="shared" si="1"/>
        <v>17</v>
      </c>
    </row>
    <row r="97" spans="1:8" x14ac:dyDescent="0.25">
      <c r="A97">
        <v>5357</v>
      </c>
      <c r="B97" s="47">
        <v>43738</v>
      </c>
      <c r="C97" s="47">
        <v>43738</v>
      </c>
      <c r="D97" t="s">
        <v>314</v>
      </c>
      <c r="E97" t="s">
        <v>436</v>
      </c>
      <c r="F97" t="s">
        <v>325</v>
      </c>
      <c r="G97" t="s">
        <v>326</v>
      </c>
      <c r="H97" s="24">
        <f t="shared" si="1"/>
        <v>3</v>
      </c>
    </row>
    <row r="98" spans="1:8" x14ac:dyDescent="0.25">
      <c r="A98">
        <v>5357</v>
      </c>
      <c r="B98" s="47">
        <v>43738</v>
      </c>
      <c r="C98" s="47">
        <v>43738</v>
      </c>
      <c r="D98" t="s">
        <v>318</v>
      </c>
      <c r="E98" t="s">
        <v>437</v>
      </c>
      <c r="F98" t="s">
        <v>438</v>
      </c>
      <c r="G98" t="s">
        <v>439</v>
      </c>
      <c r="H98" s="24">
        <f t="shared" si="1"/>
        <v>60</v>
      </c>
    </row>
    <row r="99" spans="1:8" x14ac:dyDescent="0.25">
      <c r="A99">
        <v>5357</v>
      </c>
      <c r="B99" s="47">
        <v>43738</v>
      </c>
      <c r="C99" s="47">
        <v>43738</v>
      </c>
      <c r="D99" t="s">
        <v>314</v>
      </c>
      <c r="E99" t="s">
        <v>437</v>
      </c>
      <c r="F99" t="s">
        <v>339</v>
      </c>
      <c r="G99" t="s">
        <v>340</v>
      </c>
      <c r="H99" s="24">
        <f t="shared" si="1"/>
        <v>10</v>
      </c>
    </row>
    <row r="100" spans="1:8" x14ac:dyDescent="0.25">
      <c r="A100">
        <v>5357</v>
      </c>
      <c r="B100" s="47">
        <v>43738</v>
      </c>
      <c r="C100" s="47">
        <v>43738</v>
      </c>
      <c r="D100" t="s">
        <v>318</v>
      </c>
      <c r="E100" t="s">
        <v>440</v>
      </c>
      <c r="F100" t="s">
        <v>345</v>
      </c>
      <c r="G100" t="s">
        <v>346</v>
      </c>
      <c r="H100" s="24">
        <f t="shared" si="1"/>
        <v>20</v>
      </c>
    </row>
    <row r="101" spans="1:8" x14ac:dyDescent="0.25">
      <c r="A101">
        <v>5357</v>
      </c>
      <c r="B101" s="47">
        <v>43738</v>
      </c>
      <c r="C101" s="47">
        <v>43738</v>
      </c>
      <c r="D101" t="s">
        <v>314</v>
      </c>
      <c r="E101" t="s">
        <v>440</v>
      </c>
      <c r="F101" t="s">
        <v>325</v>
      </c>
      <c r="G101" t="s">
        <v>326</v>
      </c>
      <c r="H101" s="24">
        <f t="shared" si="1"/>
        <v>3</v>
      </c>
    </row>
    <row r="102" spans="1:8" x14ac:dyDescent="0.25">
      <c r="A102">
        <v>5357</v>
      </c>
      <c r="B102" s="47">
        <v>43738</v>
      </c>
      <c r="C102" s="47">
        <v>43738</v>
      </c>
      <c r="D102" t="s">
        <v>318</v>
      </c>
      <c r="E102" t="s">
        <v>441</v>
      </c>
      <c r="F102" t="s">
        <v>442</v>
      </c>
      <c r="G102" t="s">
        <v>443</v>
      </c>
      <c r="H102" s="24">
        <f t="shared" si="1"/>
        <v>118</v>
      </c>
    </row>
    <row r="103" spans="1:8" x14ac:dyDescent="0.25">
      <c r="A103">
        <v>5357</v>
      </c>
      <c r="B103" s="47">
        <v>43738</v>
      </c>
      <c r="C103" s="47">
        <v>43738</v>
      </c>
      <c r="D103" t="s">
        <v>314</v>
      </c>
      <c r="E103" t="s">
        <v>441</v>
      </c>
      <c r="F103" t="s">
        <v>345</v>
      </c>
      <c r="G103" t="s">
        <v>346</v>
      </c>
      <c r="H103" s="24">
        <f t="shared" si="1"/>
        <v>20</v>
      </c>
    </row>
    <row r="104" spans="1:8" x14ac:dyDescent="0.25">
      <c r="A104">
        <v>5357</v>
      </c>
      <c r="B104" s="47">
        <v>43741</v>
      </c>
      <c r="C104" s="47">
        <v>43741</v>
      </c>
      <c r="D104" t="s">
        <v>318</v>
      </c>
      <c r="E104" t="s">
        <v>390</v>
      </c>
      <c r="F104" t="s">
        <v>369</v>
      </c>
      <c r="G104" t="s">
        <v>370</v>
      </c>
      <c r="H104" s="24">
        <f t="shared" si="1"/>
        <v>13</v>
      </c>
    </row>
    <row r="105" spans="1:8" x14ac:dyDescent="0.25">
      <c r="A105">
        <v>5357</v>
      </c>
      <c r="B105" s="47">
        <v>43741</v>
      </c>
      <c r="C105" s="47">
        <v>43741</v>
      </c>
      <c r="D105" t="s">
        <v>314</v>
      </c>
      <c r="E105" t="s">
        <v>390</v>
      </c>
      <c r="F105" t="s">
        <v>316</v>
      </c>
      <c r="G105" t="s">
        <v>317</v>
      </c>
      <c r="H105" s="24">
        <f t="shared" si="1"/>
        <v>2</v>
      </c>
    </row>
    <row r="106" spans="1:8" x14ac:dyDescent="0.25">
      <c r="A106">
        <v>5357</v>
      </c>
      <c r="B106" s="47">
        <v>43741</v>
      </c>
      <c r="C106" s="47">
        <v>43741</v>
      </c>
      <c r="D106" t="s">
        <v>318</v>
      </c>
      <c r="E106" t="s">
        <v>444</v>
      </c>
      <c r="F106" t="s">
        <v>353</v>
      </c>
      <c r="G106" t="s">
        <v>354</v>
      </c>
      <c r="H106" s="24">
        <f t="shared" si="1"/>
        <v>15</v>
      </c>
    </row>
    <row r="107" spans="1:8" x14ac:dyDescent="0.25">
      <c r="A107">
        <v>5357</v>
      </c>
      <c r="B107" s="47">
        <v>43741</v>
      </c>
      <c r="C107" s="47">
        <v>43741</v>
      </c>
      <c r="D107" t="s">
        <v>314</v>
      </c>
      <c r="E107" t="s">
        <v>444</v>
      </c>
      <c r="F107" t="s">
        <v>316</v>
      </c>
      <c r="G107" t="s">
        <v>317</v>
      </c>
      <c r="H107" s="24">
        <f t="shared" si="1"/>
        <v>2</v>
      </c>
    </row>
    <row r="108" spans="1:8" x14ac:dyDescent="0.25">
      <c r="A108">
        <v>5357</v>
      </c>
      <c r="B108" s="47">
        <v>43741</v>
      </c>
      <c r="C108" s="47">
        <v>43741</v>
      </c>
      <c r="D108" t="s">
        <v>318</v>
      </c>
      <c r="E108" t="s">
        <v>445</v>
      </c>
      <c r="F108" t="s">
        <v>376</v>
      </c>
      <c r="G108" t="s">
        <v>377</v>
      </c>
      <c r="H108" s="24">
        <f t="shared" si="1"/>
        <v>14</v>
      </c>
    </row>
    <row r="109" spans="1:8" x14ac:dyDescent="0.25">
      <c r="A109">
        <v>5357</v>
      </c>
      <c r="B109" s="47">
        <v>43741</v>
      </c>
      <c r="C109" s="47">
        <v>43741</v>
      </c>
      <c r="D109" t="s">
        <v>314</v>
      </c>
      <c r="E109" t="s">
        <v>445</v>
      </c>
      <c r="F109" t="s">
        <v>316</v>
      </c>
      <c r="G109" t="s">
        <v>317</v>
      </c>
      <c r="H109" s="24">
        <f t="shared" si="1"/>
        <v>2</v>
      </c>
    </row>
    <row r="110" spans="1:8" x14ac:dyDescent="0.25">
      <c r="A110">
        <v>5357</v>
      </c>
      <c r="B110" s="47">
        <v>43741</v>
      </c>
      <c r="C110" s="47">
        <v>43741</v>
      </c>
      <c r="D110" t="s">
        <v>318</v>
      </c>
      <c r="E110" t="s">
        <v>446</v>
      </c>
      <c r="F110" t="s">
        <v>369</v>
      </c>
      <c r="G110" t="s">
        <v>370</v>
      </c>
      <c r="H110" s="24">
        <f t="shared" si="1"/>
        <v>13</v>
      </c>
    </row>
    <row r="111" spans="1:8" x14ac:dyDescent="0.25">
      <c r="A111">
        <v>5357</v>
      </c>
      <c r="B111" s="47">
        <v>43741</v>
      </c>
      <c r="C111" s="47">
        <v>43741</v>
      </c>
      <c r="D111" t="s">
        <v>314</v>
      </c>
      <c r="E111" t="s">
        <v>446</v>
      </c>
      <c r="F111" t="s">
        <v>316</v>
      </c>
      <c r="G111" t="s">
        <v>317</v>
      </c>
      <c r="H111" s="24">
        <f t="shared" si="1"/>
        <v>2</v>
      </c>
    </row>
    <row r="112" spans="1:8" x14ac:dyDescent="0.25">
      <c r="A112">
        <v>5357</v>
      </c>
      <c r="B112" s="47">
        <v>43742</v>
      </c>
      <c r="C112" s="47">
        <v>43742</v>
      </c>
      <c r="D112" t="s">
        <v>318</v>
      </c>
      <c r="E112" s="6" t="s">
        <v>447</v>
      </c>
      <c r="F112" s="7" t="s">
        <v>448</v>
      </c>
      <c r="G112" s="7" t="s">
        <v>449</v>
      </c>
      <c r="H112" s="55">
        <f t="shared" si="1"/>
        <v>651</v>
      </c>
    </row>
    <row r="113" spans="1:8" x14ac:dyDescent="0.25">
      <c r="A113">
        <v>5357</v>
      </c>
      <c r="B113" s="47">
        <v>43742</v>
      </c>
      <c r="C113" s="47">
        <v>43742</v>
      </c>
      <c r="D113" t="s">
        <v>314</v>
      </c>
      <c r="E113" s="7" t="s">
        <v>447</v>
      </c>
      <c r="F113" s="7" t="s">
        <v>450</v>
      </c>
      <c r="G113" s="7" t="s">
        <v>451</v>
      </c>
      <c r="H113" s="55">
        <f t="shared" si="1"/>
        <v>113</v>
      </c>
    </row>
    <row r="114" spans="1:8" x14ac:dyDescent="0.25">
      <c r="A114">
        <v>5357</v>
      </c>
      <c r="B114" s="47">
        <v>43733</v>
      </c>
      <c r="C114" s="47">
        <v>43733</v>
      </c>
      <c r="D114" t="s">
        <v>318</v>
      </c>
      <c r="E114" t="s">
        <v>452</v>
      </c>
      <c r="F114" t="s">
        <v>432</v>
      </c>
      <c r="G114" t="s">
        <v>433</v>
      </c>
      <c r="H114" s="24">
        <f t="shared" si="1"/>
        <v>38</v>
      </c>
    </row>
    <row r="115" spans="1:8" x14ac:dyDescent="0.25">
      <c r="A115">
        <v>5357</v>
      </c>
      <c r="B115" s="47">
        <v>43733</v>
      </c>
      <c r="C115" s="47">
        <v>43733</v>
      </c>
      <c r="D115" t="s">
        <v>314</v>
      </c>
      <c r="E115" t="s">
        <v>452</v>
      </c>
      <c r="F115" t="s">
        <v>362</v>
      </c>
      <c r="G115" t="s">
        <v>363</v>
      </c>
      <c r="H115" s="24">
        <f t="shared" si="1"/>
        <v>6</v>
      </c>
    </row>
    <row r="116" spans="1:8" x14ac:dyDescent="0.25">
      <c r="A116">
        <v>5357</v>
      </c>
      <c r="B116" s="47">
        <v>43734</v>
      </c>
      <c r="C116" s="47">
        <v>43734</v>
      </c>
      <c r="D116" t="s">
        <v>318</v>
      </c>
      <c r="E116" t="s">
        <v>453</v>
      </c>
      <c r="F116" t="s">
        <v>423</v>
      </c>
      <c r="G116" t="s">
        <v>424</v>
      </c>
      <c r="H116" s="24">
        <f t="shared" si="1"/>
        <v>21</v>
      </c>
    </row>
    <row r="117" spans="1:8" x14ac:dyDescent="0.25">
      <c r="A117">
        <v>5357</v>
      </c>
      <c r="B117" s="47">
        <v>43734</v>
      </c>
      <c r="C117" s="47">
        <v>43734</v>
      </c>
      <c r="D117" t="s">
        <v>314</v>
      </c>
      <c r="E117" t="s">
        <v>453</v>
      </c>
      <c r="F117" t="s">
        <v>325</v>
      </c>
      <c r="G117" t="s">
        <v>326</v>
      </c>
      <c r="H117" s="24">
        <f t="shared" si="1"/>
        <v>3</v>
      </c>
    </row>
    <row r="118" spans="1:8" x14ac:dyDescent="0.25">
      <c r="A118">
        <v>5357</v>
      </c>
      <c r="B118" s="47">
        <v>43734</v>
      </c>
      <c r="C118" s="47">
        <v>43734</v>
      </c>
      <c r="D118" t="s">
        <v>318</v>
      </c>
      <c r="E118" t="s">
        <v>454</v>
      </c>
      <c r="F118" t="s">
        <v>360</v>
      </c>
      <c r="G118" t="s">
        <v>361</v>
      </c>
      <c r="H118" s="24">
        <f t="shared" si="1"/>
        <v>36</v>
      </c>
    </row>
    <row r="119" spans="1:8" x14ac:dyDescent="0.25">
      <c r="A119">
        <v>5357</v>
      </c>
      <c r="B119" s="47">
        <v>43734</v>
      </c>
      <c r="C119" s="47">
        <v>43734</v>
      </c>
      <c r="D119" t="s">
        <v>314</v>
      </c>
      <c r="E119" t="s">
        <v>454</v>
      </c>
      <c r="F119" t="s">
        <v>362</v>
      </c>
      <c r="G119" t="s">
        <v>363</v>
      </c>
      <c r="H119" s="24">
        <f t="shared" si="1"/>
        <v>6</v>
      </c>
    </row>
    <row r="120" spans="1:8" x14ac:dyDescent="0.25">
      <c r="A120">
        <v>5357</v>
      </c>
      <c r="B120" s="47">
        <v>43735</v>
      </c>
      <c r="C120" s="47">
        <v>43735</v>
      </c>
      <c r="D120" t="s">
        <v>318</v>
      </c>
      <c r="E120" t="s">
        <v>455</v>
      </c>
      <c r="F120" t="s">
        <v>339</v>
      </c>
      <c r="G120" t="s">
        <v>340</v>
      </c>
      <c r="H120" s="24">
        <f t="shared" si="1"/>
        <v>10</v>
      </c>
    </row>
    <row r="121" spans="1:8" x14ac:dyDescent="0.25">
      <c r="A121">
        <v>5357</v>
      </c>
      <c r="B121" s="47">
        <v>43735</v>
      </c>
      <c r="C121" s="47">
        <v>43735</v>
      </c>
      <c r="D121" t="s">
        <v>314</v>
      </c>
      <c r="E121" t="s">
        <v>455</v>
      </c>
      <c r="F121" t="s">
        <v>385</v>
      </c>
      <c r="G121" t="s">
        <v>386</v>
      </c>
      <c r="H121" s="24">
        <f t="shared" si="1"/>
        <v>1</v>
      </c>
    </row>
    <row r="122" spans="1:8" x14ac:dyDescent="0.25">
      <c r="A122">
        <v>5357</v>
      </c>
      <c r="B122" s="47">
        <v>43735</v>
      </c>
      <c r="C122" s="47">
        <v>43735</v>
      </c>
      <c r="D122" t="s">
        <v>318</v>
      </c>
      <c r="E122" t="s">
        <v>456</v>
      </c>
      <c r="F122" t="s">
        <v>350</v>
      </c>
      <c r="G122" t="s">
        <v>351</v>
      </c>
      <c r="H122" s="24">
        <f t="shared" si="1"/>
        <v>12</v>
      </c>
    </row>
    <row r="123" spans="1:8" x14ac:dyDescent="0.25">
      <c r="A123">
        <v>5357</v>
      </c>
      <c r="B123" s="47">
        <v>43735</v>
      </c>
      <c r="C123" s="47">
        <v>43735</v>
      </c>
      <c r="D123" t="s">
        <v>314</v>
      </c>
      <c r="E123" t="s">
        <v>456</v>
      </c>
      <c r="F123" t="s">
        <v>316</v>
      </c>
      <c r="G123" t="s">
        <v>317</v>
      </c>
      <c r="H123" s="24">
        <f t="shared" si="1"/>
        <v>2</v>
      </c>
    </row>
    <row r="124" spans="1:8" x14ac:dyDescent="0.25">
      <c r="A124">
        <v>5357</v>
      </c>
      <c r="B124" s="47">
        <v>43735</v>
      </c>
      <c r="C124" s="47">
        <v>43735</v>
      </c>
      <c r="D124" t="s">
        <v>318</v>
      </c>
      <c r="E124" t="s">
        <v>457</v>
      </c>
      <c r="F124" t="s">
        <v>458</v>
      </c>
      <c r="G124" t="s">
        <v>459</v>
      </c>
      <c r="H124" s="24">
        <f t="shared" si="1"/>
        <v>24</v>
      </c>
    </row>
    <row r="125" spans="1:8" x14ac:dyDescent="0.25">
      <c r="A125">
        <v>5357</v>
      </c>
      <c r="B125" s="47">
        <v>43735</v>
      </c>
      <c r="C125" s="47">
        <v>43735</v>
      </c>
      <c r="D125" t="s">
        <v>314</v>
      </c>
      <c r="E125" t="s">
        <v>457</v>
      </c>
      <c r="F125" t="s">
        <v>357</v>
      </c>
      <c r="G125" t="s">
        <v>358</v>
      </c>
      <c r="H125" s="24">
        <f t="shared" si="1"/>
        <v>4</v>
      </c>
    </row>
    <row r="126" spans="1:8" x14ac:dyDescent="0.25">
      <c r="A126">
        <v>5357</v>
      </c>
      <c r="B126" s="47">
        <v>43736</v>
      </c>
      <c r="C126" s="47">
        <v>43736</v>
      </c>
      <c r="D126" t="s">
        <v>318</v>
      </c>
      <c r="E126" t="s">
        <v>460</v>
      </c>
      <c r="F126" t="s">
        <v>350</v>
      </c>
      <c r="G126" t="s">
        <v>351</v>
      </c>
      <c r="H126" s="24">
        <f t="shared" si="1"/>
        <v>12</v>
      </c>
    </row>
    <row r="127" spans="1:8" x14ac:dyDescent="0.25">
      <c r="A127">
        <v>5357</v>
      </c>
      <c r="B127" s="47">
        <v>43736</v>
      </c>
      <c r="C127" s="47">
        <v>43736</v>
      </c>
      <c r="D127" t="s">
        <v>314</v>
      </c>
      <c r="E127" t="s">
        <v>460</v>
      </c>
      <c r="F127" t="s">
        <v>316</v>
      </c>
      <c r="G127" t="s">
        <v>317</v>
      </c>
      <c r="H127" s="24">
        <f t="shared" si="1"/>
        <v>2</v>
      </c>
    </row>
    <row r="128" spans="1:8" x14ac:dyDescent="0.25">
      <c r="A128">
        <v>5357</v>
      </c>
      <c r="B128" s="47">
        <v>43737</v>
      </c>
      <c r="C128" s="47">
        <v>43737</v>
      </c>
      <c r="D128" t="s">
        <v>318</v>
      </c>
      <c r="E128" t="s">
        <v>461</v>
      </c>
      <c r="F128" t="s">
        <v>462</v>
      </c>
      <c r="G128" t="s">
        <v>463</v>
      </c>
      <c r="H128" s="24">
        <f t="shared" si="1"/>
        <v>19</v>
      </c>
    </row>
    <row r="129" spans="1:8" x14ac:dyDescent="0.25">
      <c r="A129">
        <v>5357</v>
      </c>
      <c r="B129" s="47">
        <v>43737</v>
      </c>
      <c r="C129" s="47">
        <v>43737</v>
      </c>
      <c r="D129" t="s">
        <v>314</v>
      </c>
      <c r="E129" t="s">
        <v>461</v>
      </c>
      <c r="F129" t="s">
        <v>325</v>
      </c>
      <c r="G129" t="s">
        <v>326</v>
      </c>
      <c r="H129" s="24">
        <f t="shared" si="1"/>
        <v>3</v>
      </c>
    </row>
    <row r="130" spans="1:8" x14ac:dyDescent="0.25">
      <c r="A130">
        <v>5357</v>
      </c>
      <c r="B130" s="47">
        <v>43737</v>
      </c>
      <c r="C130" s="47">
        <v>43737</v>
      </c>
      <c r="D130" t="s">
        <v>318</v>
      </c>
      <c r="E130" t="s">
        <v>464</v>
      </c>
      <c r="F130" t="s">
        <v>465</v>
      </c>
      <c r="G130" t="s">
        <v>466</v>
      </c>
      <c r="H130" s="24">
        <f t="shared" ref="H130:H153" si="2">-LOOKUP(,-MIDB(G130,SEARCHB("?",G130),ROW($1:$15)))</f>
        <v>226</v>
      </c>
    </row>
    <row r="131" spans="1:8" x14ac:dyDescent="0.25">
      <c r="A131">
        <v>5357</v>
      </c>
      <c r="B131" s="47">
        <v>43737</v>
      </c>
      <c r="C131" s="47">
        <v>43737</v>
      </c>
      <c r="D131" t="s">
        <v>314</v>
      </c>
      <c r="E131" t="s">
        <v>464</v>
      </c>
      <c r="F131" t="s">
        <v>467</v>
      </c>
      <c r="G131" t="s">
        <v>468</v>
      </c>
      <c r="H131" s="24">
        <f t="shared" si="2"/>
        <v>39</v>
      </c>
    </row>
    <row r="132" spans="1:8" x14ac:dyDescent="0.25">
      <c r="A132">
        <v>5357</v>
      </c>
      <c r="B132" s="47">
        <v>43738</v>
      </c>
      <c r="C132" s="47">
        <v>43738</v>
      </c>
      <c r="D132" t="s">
        <v>318</v>
      </c>
      <c r="E132" t="s">
        <v>469</v>
      </c>
      <c r="F132" t="s">
        <v>339</v>
      </c>
      <c r="G132" t="s">
        <v>340</v>
      </c>
      <c r="H132" s="24">
        <f t="shared" si="2"/>
        <v>10</v>
      </c>
    </row>
    <row r="133" spans="1:8" x14ac:dyDescent="0.25">
      <c r="A133">
        <v>5357</v>
      </c>
      <c r="B133" s="47">
        <v>43738</v>
      </c>
      <c r="C133" s="47">
        <v>43738</v>
      </c>
      <c r="D133" t="s">
        <v>314</v>
      </c>
      <c r="E133" t="s">
        <v>469</v>
      </c>
      <c r="F133" t="s">
        <v>385</v>
      </c>
      <c r="G133" t="s">
        <v>470</v>
      </c>
      <c r="H133" s="24">
        <f t="shared" si="2"/>
        <v>1</v>
      </c>
    </row>
    <row r="134" spans="1:8" x14ac:dyDescent="0.25">
      <c r="A134">
        <v>5357</v>
      </c>
      <c r="B134" s="47">
        <v>43725</v>
      </c>
      <c r="C134" s="47">
        <v>43725</v>
      </c>
      <c r="D134" t="s">
        <v>318</v>
      </c>
      <c r="E134" t="s">
        <v>471</v>
      </c>
      <c r="F134" t="s">
        <v>472</v>
      </c>
      <c r="G134" t="s">
        <v>473</v>
      </c>
      <c r="H134" s="24">
        <f t="shared" si="2"/>
        <v>23</v>
      </c>
    </row>
    <row r="135" spans="1:8" x14ac:dyDescent="0.25">
      <c r="A135">
        <v>5357</v>
      </c>
      <c r="B135" s="47">
        <v>43725</v>
      </c>
      <c r="C135" s="47">
        <v>43725</v>
      </c>
      <c r="D135" t="s">
        <v>314</v>
      </c>
      <c r="E135" t="s">
        <v>471</v>
      </c>
      <c r="F135" t="s">
        <v>357</v>
      </c>
      <c r="G135" t="s">
        <v>358</v>
      </c>
      <c r="H135" s="24">
        <f t="shared" si="2"/>
        <v>4</v>
      </c>
    </row>
    <row r="136" spans="1:8" x14ac:dyDescent="0.25">
      <c r="A136">
        <v>5357</v>
      </c>
      <c r="B136" s="47">
        <v>43726</v>
      </c>
      <c r="C136" s="47">
        <v>43726</v>
      </c>
      <c r="D136" t="s">
        <v>318</v>
      </c>
      <c r="E136" t="s">
        <v>474</v>
      </c>
      <c r="F136" t="s">
        <v>369</v>
      </c>
      <c r="G136" t="s">
        <v>370</v>
      </c>
      <c r="H136" s="24">
        <f t="shared" si="2"/>
        <v>13</v>
      </c>
    </row>
    <row r="137" spans="1:8" x14ac:dyDescent="0.25">
      <c r="A137">
        <v>5357</v>
      </c>
      <c r="B137" s="47">
        <v>43726</v>
      </c>
      <c r="C137" s="47">
        <v>43726</v>
      </c>
      <c r="D137" t="s">
        <v>314</v>
      </c>
      <c r="E137" t="s">
        <v>474</v>
      </c>
      <c r="F137" t="s">
        <v>316</v>
      </c>
      <c r="G137" t="s">
        <v>317</v>
      </c>
      <c r="H137" s="24">
        <f t="shared" si="2"/>
        <v>2</v>
      </c>
    </row>
    <row r="138" spans="1:8" x14ac:dyDescent="0.25">
      <c r="A138">
        <v>5357</v>
      </c>
      <c r="B138" s="47">
        <v>43727</v>
      </c>
      <c r="C138" s="47">
        <v>43727</v>
      </c>
      <c r="D138" t="s">
        <v>318</v>
      </c>
      <c r="E138" t="s">
        <v>475</v>
      </c>
      <c r="F138" t="s">
        <v>476</v>
      </c>
      <c r="G138" t="s">
        <v>477</v>
      </c>
      <c r="H138" s="24">
        <f t="shared" si="2"/>
        <v>366</v>
      </c>
    </row>
    <row r="139" spans="1:8" x14ac:dyDescent="0.25">
      <c r="A139">
        <v>5357</v>
      </c>
      <c r="B139" s="47">
        <v>43727</v>
      </c>
      <c r="C139" s="47">
        <v>43727</v>
      </c>
      <c r="D139" t="s">
        <v>314</v>
      </c>
      <c r="E139" t="s">
        <v>475</v>
      </c>
      <c r="F139" t="s">
        <v>428</v>
      </c>
      <c r="G139" t="s">
        <v>429</v>
      </c>
      <c r="H139" s="24">
        <f t="shared" si="2"/>
        <v>63</v>
      </c>
    </row>
    <row r="140" spans="1:8" x14ac:dyDescent="0.25">
      <c r="A140">
        <v>5357</v>
      </c>
      <c r="B140" s="47">
        <v>43728</v>
      </c>
      <c r="C140" s="47">
        <v>43728</v>
      </c>
      <c r="D140" t="s">
        <v>318</v>
      </c>
      <c r="E140" t="s">
        <v>478</v>
      </c>
      <c r="F140" t="s">
        <v>369</v>
      </c>
      <c r="G140" t="s">
        <v>370</v>
      </c>
      <c r="H140" s="24">
        <f t="shared" si="2"/>
        <v>13</v>
      </c>
    </row>
    <row r="141" spans="1:8" x14ac:dyDescent="0.25">
      <c r="A141">
        <v>5357</v>
      </c>
      <c r="B141" s="47">
        <v>43728</v>
      </c>
      <c r="C141" s="47">
        <v>43728</v>
      </c>
      <c r="D141" t="s">
        <v>314</v>
      </c>
      <c r="E141" t="s">
        <v>478</v>
      </c>
      <c r="F141" t="s">
        <v>316</v>
      </c>
      <c r="G141" t="s">
        <v>317</v>
      </c>
      <c r="H141" s="24">
        <f t="shared" si="2"/>
        <v>2</v>
      </c>
    </row>
    <row r="142" spans="1:8" x14ac:dyDescent="0.25">
      <c r="A142">
        <v>5357</v>
      </c>
      <c r="B142" s="47">
        <v>43730</v>
      </c>
      <c r="C142" s="47">
        <v>43730</v>
      </c>
      <c r="D142" t="s">
        <v>318</v>
      </c>
      <c r="E142" t="s">
        <v>479</v>
      </c>
      <c r="F142" t="s">
        <v>480</v>
      </c>
      <c r="G142" t="s">
        <v>481</v>
      </c>
      <c r="H142" s="24">
        <f t="shared" si="2"/>
        <v>42</v>
      </c>
    </row>
    <row r="143" spans="1:8" x14ac:dyDescent="0.25">
      <c r="A143">
        <v>5357</v>
      </c>
      <c r="B143" s="47">
        <v>43730</v>
      </c>
      <c r="C143" s="47">
        <v>43730</v>
      </c>
      <c r="D143" t="s">
        <v>314</v>
      </c>
      <c r="E143" t="s">
        <v>479</v>
      </c>
      <c r="F143" t="s">
        <v>482</v>
      </c>
      <c r="G143" t="s">
        <v>483</v>
      </c>
      <c r="H143" s="24">
        <f t="shared" si="2"/>
        <v>7</v>
      </c>
    </row>
    <row r="144" spans="1:8" x14ac:dyDescent="0.25">
      <c r="A144">
        <v>5357</v>
      </c>
      <c r="B144" s="47">
        <v>43731</v>
      </c>
      <c r="C144" s="47">
        <v>43731</v>
      </c>
      <c r="D144" t="s">
        <v>318</v>
      </c>
      <c r="E144" t="s">
        <v>484</v>
      </c>
      <c r="F144" t="s">
        <v>438</v>
      </c>
      <c r="G144" t="s">
        <v>439</v>
      </c>
      <c r="H144" s="24">
        <f t="shared" si="2"/>
        <v>60</v>
      </c>
    </row>
    <row r="145" spans="1:8" x14ac:dyDescent="0.25">
      <c r="A145">
        <v>5357</v>
      </c>
      <c r="B145" s="47">
        <v>43731</v>
      </c>
      <c r="C145" s="47">
        <v>43731</v>
      </c>
      <c r="D145" t="s">
        <v>314</v>
      </c>
      <c r="E145" t="s">
        <v>484</v>
      </c>
      <c r="F145" t="s">
        <v>339</v>
      </c>
      <c r="G145" t="s">
        <v>340</v>
      </c>
      <c r="H145" s="24">
        <f t="shared" si="2"/>
        <v>10</v>
      </c>
    </row>
    <row r="146" spans="1:8" x14ac:dyDescent="0.25">
      <c r="A146">
        <v>5357</v>
      </c>
      <c r="B146" s="47">
        <v>43732</v>
      </c>
      <c r="C146" s="47">
        <v>43732</v>
      </c>
      <c r="D146" t="s">
        <v>318</v>
      </c>
      <c r="E146" t="s">
        <v>485</v>
      </c>
      <c r="F146" t="s">
        <v>339</v>
      </c>
      <c r="G146" t="s">
        <v>340</v>
      </c>
      <c r="H146" s="24">
        <f t="shared" si="2"/>
        <v>10</v>
      </c>
    </row>
    <row r="147" spans="1:8" x14ac:dyDescent="0.25">
      <c r="A147">
        <v>5357</v>
      </c>
      <c r="B147" s="47">
        <v>43732</v>
      </c>
      <c r="C147" s="47">
        <v>43732</v>
      </c>
      <c r="D147" t="s">
        <v>314</v>
      </c>
      <c r="E147" t="s">
        <v>485</v>
      </c>
      <c r="F147" t="s">
        <v>385</v>
      </c>
      <c r="G147" t="s">
        <v>386</v>
      </c>
      <c r="H147" s="24">
        <f t="shared" si="2"/>
        <v>1</v>
      </c>
    </row>
    <row r="148" spans="1:8" x14ac:dyDescent="0.25">
      <c r="A148">
        <v>5357</v>
      </c>
      <c r="B148" s="47">
        <v>43733</v>
      </c>
      <c r="C148" s="47">
        <v>43733</v>
      </c>
      <c r="D148" t="s">
        <v>318</v>
      </c>
      <c r="E148" t="s">
        <v>455</v>
      </c>
      <c r="F148" t="s">
        <v>458</v>
      </c>
      <c r="G148" t="s">
        <v>459</v>
      </c>
      <c r="H148" s="24">
        <f t="shared" si="2"/>
        <v>24</v>
      </c>
    </row>
    <row r="149" spans="1:8" x14ac:dyDescent="0.25">
      <c r="A149">
        <v>5357</v>
      </c>
      <c r="B149" s="47">
        <v>43733</v>
      </c>
      <c r="C149" s="47">
        <v>43733</v>
      </c>
      <c r="D149" t="s">
        <v>314</v>
      </c>
      <c r="E149" t="s">
        <v>455</v>
      </c>
      <c r="F149" t="s">
        <v>357</v>
      </c>
      <c r="G149" t="s">
        <v>358</v>
      </c>
      <c r="H149" s="24">
        <f t="shared" si="2"/>
        <v>4</v>
      </c>
    </row>
    <row r="150" spans="1:8" x14ac:dyDescent="0.25">
      <c r="A150">
        <v>5357</v>
      </c>
      <c r="B150" s="47">
        <v>43733</v>
      </c>
      <c r="C150" s="47">
        <v>43733</v>
      </c>
      <c r="D150" t="s">
        <v>318</v>
      </c>
      <c r="E150" t="s">
        <v>455</v>
      </c>
      <c r="F150" t="s">
        <v>320</v>
      </c>
      <c r="G150" t="s">
        <v>321</v>
      </c>
      <c r="H150" s="24">
        <f t="shared" si="2"/>
        <v>16</v>
      </c>
    </row>
    <row r="151" spans="1:8" x14ac:dyDescent="0.25">
      <c r="A151">
        <v>5357</v>
      </c>
      <c r="B151" s="47">
        <v>43733</v>
      </c>
      <c r="C151" s="47">
        <v>43733</v>
      </c>
      <c r="D151" t="s">
        <v>314</v>
      </c>
      <c r="E151" t="s">
        <v>455</v>
      </c>
      <c r="F151" t="s">
        <v>316</v>
      </c>
      <c r="G151" t="s">
        <v>317</v>
      </c>
      <c r="H151" s="24">
        <f t="shared" si="2"/>
        <v>2</v>
      </c>
    </row>
    <row r="152" spans="1:8" x14ac:dyDescent="0.25">
      <c r="A152">
        <v>5357</v>
      </c>
      <c r="B152" s="47">
        <v>43733</v>
      </c>
      <c r="C152" s="47">
        <v>43733</v>
      </c>
      <c r="D152" t="s">
        <v>318</v>
      </c>
      <c r="E152" t="s">
        <v>474</v>
      </c>
      <c r="F152" t="s">
        <v>369</v>
      </c>
      <c r="G152" t="s">
        <v>370</v>
      </c>
      <c r="H152" s="24">
        <f t="shared" si="2"/>
        <v>13</v>
      </c>
    </row>
    <row r="153" spans="1:8" x14ac:dyDescent="0.25">
      <c r="A153">
        <v>5357</v>
      </c>
      <c r="B153" s="47">
        <v>43733</v>
      </c>
      <c r="C153" s="47">
        <v>43733</v>
      </c>
      <c r="D153" t="s">
        <v>314</v>
      </c>
      <c r="E153" t="s">
        <v>474</v>
      </c>
      <c r="F153" t="s">
        <v>316</v>
      </c>
      <c r="G153" t="s">
        <v>486</v>
      </c>
      <c r="H153" s="24">
        <f t="shared" si="2"/>
        <v>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2104F-91D2-4E18-9867-A3224FD39105}">
  <dimension ref="A4:P107"/>
  <sheetViews>
    <sheetView workbookViewId="0">
      <selection activeCell="I28" sqref="I28:O47"/>
    </sheetView>
  </sheetViews>
  <sheetFormatPr defaultRowHeight="14.4" x14ac:dyDescent="0.25"/>
  <cols>
    <col min="9" max="9" width="11.21875" customWidth="1"/>
    <col min="10" max="10" width="12.21875" customWidth="1"/>
    <col min="11" max="11" width="10.88671875" customWidth="1"/>
    <col min="14" max="14" width="13.77734375" customWidth="1"/>
    <col min="15" max="15" width="14.6640625" customWidth="1"/>
    <col min="16" max="16" width="11.21875" customWidth="1"/>
  </cols>
  <sheetData>
    <row r="4" spans="1:16" x14ac:dyDescent="0.25">
      <c r="A4" s="1" t="s">
        <v>200</v>
      </c>
      <c r="B4" s="31" t="s">
        <v>197</v>
      </c>
      <c r="C4" s="32"/>
      <c r="D4" s="1"/>
      <c r="E4" s="1"/>
      <c r="F4" s="1"/>
      <c r="G4" s="1"/>
      <c r="I4" s="1" t="s">
        <v>239</v>
      </c>
      <c r="J4" s="1" t="s">
        <v>239</v>
      </c>
      <c r="K4" s="1"/>
      <c r="L4" s="1"/>
      <c r="M4" s="1"/>
      <c r="N4" s="1"/>
      <c r="O4" s="1" t="s">
        <v>220</v>
      </c>
      <c r="P4" s="36">
        <f>AVERAGE(M7:M23)*12/P5</f>
        <v>7.2000000000000008E-2</v>
      </c>
    </row>
    <row r="5" spans="1:16" x14ac:dyDescent="0.25">
      <c r="A5" s="27">
        <v>7.1999999999999995E-2</v>
      </c>
      <c r="B5" s="32" t="s">
        <v>216</v>
      </c>
      <c r="C5" s="33"/>
      <c r="D5" s="1"/>
      <c r="E5" s="1"/>
      <c r="F5" s="1"/>
      <c r="G5" s="1"/>
      <c r="I5" s="1" t="s">
        <v>223</v>
      </c>
      <c r="J5" s="1" t="s">
        <v>223</v>
      </c>
      <c r="K5" s="27">
        <v>6.0000000000000001E-3</v>
      </c>
      <c r="L5" s="1"/>
      <c r="M5" s="1"/>
      <c r="N5" s="1"/>
      <c r="O5" s="1" t="s">
        <v>219</v>
      </c>
      <c r="P5" s="35">
        <f>AVERAGE(K7:K23)</f>
        <v>45520</v>
      </c>
    </row>
    <row r="6" spans="1:16" x14ac:dyDescent="0.25">
      <c r="A6" s="27"/>
      <c r="B6" s="32" t="s">
        <v>217</v>
      </c>
      <c r="C6" s="34"/>
      <c r="D6" s="1"/>
      <c r="E6" s="28"/>
      <c r="F6" s="1"/>
      <c r="G6" s="1"/>
      <c r="I6" s="1" t="s">
        <v>259</v>
      </c>
      <c r="J6" s="1"/>
      <c r="K6" s="1" t="s">
        <v>227</v>
      </c>
      <c r="L6" s="1" t="s">
        <v>226</v>
      </c>
      <c r="M6" s="1" t="s">
        <v>224</v>
      </c>
      <c r="N6" s="1" t="s">
        <v>225</v>
      </c>
      <c r="O6" s="1" t="s">
        <v>190</v>
      </c>
      <c r="P6" s="1" t="s">
        <v>218</v>
      </c>
    </row>
    <row r="7" spans="1:16" x14ac:dyDescent="0.25">
      <c r="A7" s="1" t="s">
        <v>189</v>
      </c>
      <c r="B7" s="32" t="s">
        <v>201</v>
      </c>
      <c r="C7" s="32"/>
      <c r="D7" s="1"/>
      <c r="E7" s="1"/>
      <c r="F7" s="1"/>
      <c r="G7" s="1"/>
      <c r="I7" s="47">
        <v>43758</v>
      </c>
      <c r="J7">
        <v>1</v>
      </c>
      <c r="K7">
        <v>82000</v>
      </c>
      <c r="L7" s="11">
        <f t="shared" ref="L7:L24" si="0">M7+N7</f>
        <v>5052</v>
      </c>
      <c r="M7">
        <f t="shared" ref="M7:M24" si="1">$K$5*K7</f>
        <v>492</v>
      </c>
      <c r="N7">
        <v>4560</v>
      </c>
      <c r="O7">
        <f t="shared" ref="O7:O24" si="2">K7-N7</f>
        <v>77440</v>
      </c>
      <c r="P7" s="30">
        <f t="shared" ref="P7:P24" si="3">M7/K7*12</f>
        <v>7.2000000000000008E-2</v>
      </c>
    </row>
    <row r="8" spans="1:16" x14ac:dyDescent="0.25">
      <c r="A8" s="1" t="s">
        <v>200</v>
      </c>
      <c r="B8" s="1" t="s">
        <v>198</v>
      </c>
      <c r="C8" s="1">
        <v>50000</v>
      </c>
      <c r="D8" s="1" t="s">
        <v>188</v>
      </c>
      <c r="E8" s="1">
        <v>8</v>
      </c>
      <c r="F8" s="1"/>
      <c r="G8" s="1"/>
      <c r="I8" s="47">
        <v>43789</v>
      </c>
      <c r="J8">
        <v>2</v>
      </c>
      <c r="K8">
        <f t="shared" ref="K8:K24" si="4">O7</f>
        <v>77440</v>
      </c>
      <c r="L8" s="11">
        <f t="shared" si="0"/>
        <v>5024.6400000000003</v>
      </c>
      <c r="M8">
        <f t="shared" si="1"/>
        <v>464.64</v>
      </c>
      <c r="N8">
        <f t="shared" ref="N8:N24" si="5">$N$7</f>
        <v>4560</v>
      </c>
      <c r="O8">
        <f t="shared" si="2"/>
        <v>72880</v>
      </c>
      <c r="P8" s="30">
        <f t="shared" si="3"/>
        <v>7.2000000000000008E-2</v>
      </c>
    </row>
    <row r="9" spans="1:16" x14ac:dyDescent="0.25">
      <c r="A9" s="27">
        <v>7.1999999999999995E-2</v>
      </c>
      <c r="B9" s="27" t="s">
        <v>199</v>
      </c>
      <c r="C9" s="27">
        <v>7.1999999999999995E-2</v>
      </c>
      <c r="D9" s="1" t="s">
        <v>189</v>
      </c>
      <c r="E9" s="1">
        <v>96</v>
      </c>
      <c r="F9" s="1" t="s">
        <v>220</v>
      </c>
      <c r="G9" s="36">
        <f>D12*12/G10</f>
        <v>0.14251546391752593</v>
      </c>
      <c r="I9" s="47">
        <v>43819</v>
      </c>
      <c r="J9">
        <v>3</v>
      </c>
      <c r="K9">
        <f t="shared" si="4"/>
        <v>72880</v>
      </c>
      <c r="L9" s="11">
        <f t="shared" si="0"/>
        <v>4997.28</v>
      </c>
      <c r="M9">
        <f t="shared" si="1"/>
        <v>437.28000000000003</v>
      </c>
      <c r="N9">
        <f t="shared" si="5"/>
        <v>4560</v>
      </c>
      <c r="O9">
        <f t="shared" si="2"/>
        <v>68320</v>
      </c>
      <c r="P9" s="30">
        <f t="shared" si="3"/>
        <v>7.2000000000000008E-2</v>
      </c>
    </row>
    <row r="10" spans="1:16" x14ac:dyDescent="0.25">
      <c r="A10" s="27"/>
      <c r="B10" s="27" t="s">
        <v>213</v>
      </c>
      <c r="C10" s="28">
        <f>SUM(C12:C107)</f>
        <v>78800</v>
      </c>
      <c r="D10" s="1" t="s">
        <v>215</v>
      </c>
      <c r="E10" s="28">
        <f>SUM(D12:D107)</f>
        <v>28799.999999999996</v>
      </c>
      <c r="F10" s="1" t="s">
        <v>219</v>
      </c>
      <c r="G10" s="35">
        <f>AVERAGE(B12:B107)</f>
        <v>25260.416666666631</v>
      </c>
      <c r="I10" s="47">
        <v>43850</v>
      </c>
      <c r="J10">
        <v>4</v>
      </c>
      <c r="K10">
        <f t="shared" si="4"/>
        <v>68320</v>
      </c>
      <c r="L10" s="11">
        <f t="shared" si="0"/>
        <v>4969.92</v>
      </c>
      <c r="M10">
        <f t="shared" si="1"/>
        <v>409.92</v>
      </c>
      <c r="N10">
        <f t="shared" si="5"/>
        <v>4560</v>
      </c>
      <c r="O10">
        <f t="shared" si="2"/>
        <v>63760</v>
      </c>
      <c r="P10" s="30">
        <f t="shared" si="3"/>
        <v>7.2000000000000008E-2</v>
      </c>
    </row>
    <row r="11" spans="1:16" x14ac:dyDescent="0.25">
      <c r="A11" s="1" t="s">
        <v>189</v>
      </c>
      <c r="B11" s="1" t="s">
        <v>190</v>
      </c>
      <c r="C11" s="1" t="s">
        <v>191</v>
      </c>
      <c r="D11" s="1" t="s">
        <v>192</v>
      </c>
      <c r="E11" s="1" t="s">
        <v>193</v>
      </c>
      <c r="F11" s="1" t="s">
        <v>194</v>
      </c>
      <c r="G11" s="1" t="s">
        <v>218</v>
      </c>
      <c r="I11" s="47">
        <v>43881</v>
      </c>
      <c r="J11">
        <v>5</v>
      </c>
      <c r="K11">
        <f t="shared" si="4"/>
        <v>63760</v>
      </c>
      <c r="L11" s="11">
        <f t="shared" si="0"/>
        <v>4942.5600000000004</v>
      </c>
      <c r="M11">
        <f t="shared" si="1"/>
        <v>382.56</v>
      </c>
      <c r="N11">
        <f t="shared" si="5"/>
        <v>4560</v>
      </c>
      <c r="O11">
        <f t="shared" si="2"/>
        <v>59200</v>
      </c>
      <c r="P11" s="30">
        <f t="shared" si="3"/>
        <v>7.2000000000000008E-2</v>
      </c>
    </row>
    <row r="12" spans="1:16" x14ac:dyDescent="0.25">
      <c r="A12">
        <v>1</v>
      </c>
      <c r="B12">
        <f>C8</f>
        <v>50000</v>
      </c>
      <c r="C12" s="25">
        <f t="shared" ref="C12:C43" si="6">D12+E12</f>
        <v>820.83333333333326</v>
      </c>
      <c r="D12">
        <f t="shared" ref="D12:D43" si="7">$C$9/12*$B$12</f>
        <v>299.99999999999994</v>
      </c>
      <c r="E12" s="25">
        <f t="shared" ref="E12:E43" si="8">$C$8/$E$9</f>
        <v>520.83333333333337</v>
      </c>
      <c r="F12" s="26">
        <f t="shared" ref="F12:F43" si="9">B12-E12</f>
        <v>49479.166666666664</v>
      </c>
      <c r="G12" s="30">
        <f t="shared" ref="G12:G43" si="10">D12/B12*12</f>
        <v>7.1999999999999995E-2</v>
      </c>
      <c r="I12" s="47">
        <v>43910</v>
      </c>
      <c r="J12">
        <v>6</v>
      </c>
      <c r="K12">
        <f t="shared" si="4"/>
        <v>59200</v>
      </c>
      <c r="L12" s="11">
        <f t="shared" si="0"/>
        <v>4915.2</v>
      </c>
      <c r="M12">
        <f t="shared" si="1"/>
        <v>355.2</v>
      </c>
      <c r="N12">
        <f t="shared" si="5"/>
        <v>4560</v>
      </c>
      <c r="O12">
        <f t="shared" si="2"/>
        <v>54640</v>
      </c>
      <c r="P12" s="30">
        <f t="shared" si="3"/>
        <v>7.2000000000000008E-2</v>
      </c>
    </row>
    <row r="13" spans="1:16" x14ac:dyDescent="0.25">
      <c r="A13">
        <v>2</v>
      </c>
      <c r="B13" s="26">
        <f t="shared" ref="B13:B44" si="11">F12</f>
        <v>49479.166666666664</v>
      </c>
      <c r="C13" s="25">
        <f t="shared" si="6"/>
        <v>820.83333333333326</v>
      </c>
      <c r="D13">
        <f t="shared" si="7"/>
        <v>299.99999999999994</v>
      </c>
      <c r="E13" s="25">
        <f t="shared" si="8"/>
        <v>520.83333333333337</v>
      </c>
      <c r="F13" s="26">
        <f t="shared" si="9"/>
        <v>48958.333333333328</v>
      </c>
      <c r="G13" s="30">
        <f t="shared" si="10"/>
        <v>7.2757894736842105E-2</v>
      </c>
      <c r="I13" s="47">
        <v>43941</v>
      </c>
      <c r="J13">
        <v>7</v>
      </c>
      <c r="K13">
        <f t="shared" si="4"/>
        <v>54640</v>
      </c>
      <c r="L13" s="11">
        <f t="shared" si="0"/>
        <v>4887.84</v>
      </c>
      <c r="M13">
        <f t="shared" si="1"/>
        <v>327.84000000000003</v>
      </c>
      <c r="N13">
        <f t="shared" si="5"/>
        <v>4560</v>
      </c>
      <c r="O13">
        <f t="shared" si="2"/>
        <v>50080</v>
      </c>
      <c r="P13" s="30">
        <f t="shared" si="3"/>
        <v>7.2000000000000008E-2</v>
      </c>
    </row>
    <row r="14" spans="1:16" x14ac:dyDescent="0.25">
      <c r="A14">
        <v>3</v>
      </c>
      <c r="B14" s="26">
        <f t="shared" si="11"/>
        <v>48958.333333333328</v>
      </c>
      <c r="C14" s="25">
        <f t="shared" si="6"/>
        <v>820.83333333333326</v>
      </c>
      <c r="D14">
        <f t="shared" si="7"/>
        <v>299.99999999999994</v>
      </c>
      <c r="E14" s="25">
        <f t="shared" si="8"/>
        <v>520.83333333333337</v>
      </c>
      <c r="F14" s="26">
        <f t="shared" si="9"/>
        <v>48437.499999999993</v>
      </c>
      <c r="G14" s="30">
        <f t="shared" si="10"/>
        <v>7.3531914893617017E-2</v>
      </c>
      <c r="I14" s="47">
        <v>43971</v>
      </c>
      <c r="J14">
        <v>8</v>
      </c>
      <c r="K14">
        <f t="shared" si="4"/>
        <v>50080</v>
      </c>
      <c r="L14" s="11">
        <f t="shared" si="0"/>
        <v>4860.4799999999996</v>
      </c>
      <c r="M14">
        <f t="shared" si="1"/>
        <v>300.48</v>
      </c>
      <c r="N14">
        <f t="shared" si="5"/>
        <v>4560</v>
      </c>
      <c r="O14">
        <f t="shared" si="2"/>
        <v>45520</v>
      </c>
      <c r="P14" s="30">
        <f t="shared" si="3"/>
        <v>7.2000000000000008E-2</v>
      </c>
    </row>
    <row r="15" spans="1:16" x14ac:dyDescent="0.25">
      <c r="A15">
        <v>4</v>
      </c>
      <c r="B15" s="26">
        <f t="shared" si="11"/>
        <v>48437.499999999993</v>
      </c>
      <c r="C15" s="25">
        <f t="shared" si="6"/>
        <v>820.83333333333326</v>
      </c>
      <c r="D15">
        <f t="shared" si="7"/>
        <v>299.99999999999994</v>
      </c>
      <c r="E15" s="25">
        <f t="shared" si="8"/>
        <v>520.83333333333337</v>
      </c>
      <c r="F15" s="26">
        <f t="shared" si="9"/>
        <v>47916.666666666657</v>
      </c>
      <c r="G15" s="30">
        <f t="shared" si="10"/>
        <v>7.4322580645161285E-2</v>
      </c>
      <c r="I15" s="47">
        <v>44002</v>
      </c>
      <c r="J15">
        <v>9</v>
      </c>
      <c r="K15">
        <f t="shared" si="4"/>
        <v>45520</v>
      </c>
      <c r="L15" s="11">
        <f t="shared" si="0"/>
        <v>4833.12</v>
      </c>
      <c r="M15">
        <f t="shared" si="1"/>
        <v>273.12</v>
      </c>
      <c r="N15">
        <f t="shared" si="5"/>
        <v>4560</v>
      </c>
      <c r="O15">
        <f t="shared" si="2"/>
        <v>40960</v>
      </c>
      <c r="P15" s="30">
        <f t="shared" si="3"/>
        <v>7.2000000000000008E-2</v>
      </c>
    </row>
    <row r="16" spans="1:16" x14ac:dyDescent="0.25">
      <c r="A16">
        <v>5</v>
      </c>
      <c r="B16" s="26">
        <f t="shared" si="11"/>
        <v>47916.666666666657</v>
      </c>
      <c r="C16" s="25">
        <f t="shared" si="6"/>
        <v>820.83333333333326</v>
      </c>
      <c r="D16">
        <f t="shared" si="7"/>
        <v>299.99999999999994</v>
      </c>
      <c r="E16" s="25">
        <f t="shared" si="8"/>
        <v>520.83333333333337</v>
      </c>
      <c r="F16" s="26">
        <f t="shared" si="9"/>
        <v>47395.833333333321</v>
      </c>
      <c r="G16" s="30">
        <f t="shared" si="10"/>
        <v>7.5130434782608696E-2</v>
      </c>
      <c r="I16" s="47">
        <v>44032</v>
      </c>
      <c r="J16">
        <v>10</v>
      </c>
      <c r="K16">
        <f t="shared" si="4"/>
        <v>40960</v>
      </c>
      <c r="L16" s="11">
        <f t="shared" si="0"/>
        <v>4805.76</v>
      </c>
      <c r="M16">
        <f t="shared" si="1"/>
        <v>245.76</v>
      </c>
      <c r="N16">
        <f t="shared" si="5"/>
        <v>4560</v>
      </c>
      <c r="O16">
        <f t="shared" si="2"/>
        <v>36400</v>
      </c>
      <c r="P16" s="30">
        <f t="shared" si="3"/>
        <v>7.2000000000000008E-2</v>
      </c>
    </row>
    <row r="17" spans="1:16" x14ac:dyDescent="0.25">
      <c r="A17">
        <v>6</v>
      </c>
      <c r="B17" s="26">
        <f t="shared" si="11"/>
        <v>47395.833333333321</v>
      </c>
      <c r="C17" s="25">
        <f t="shared" si="6"/>
        <v>820.83333333333326</v>
      </c>
      <c r="D17">
        <f t="shared" si="7"/>
        <v>299.99999999999994</v>
      </c>
      <c r="E17" s="25">
        <f t="shared" si="8"/>
        <v>520.83333333333337</v>
      </c>
      <c r="F17" s="26">
        <f t="shared" si="9"/>
        <v>46874.999999999985</v>
      </c>
      <c r="G17" s="30">
        <f t="shared" si="10"/>
        <v>7.5956043956043967E-2</v>
      </c>
      <c r="I17" s="47">
        <v>44063</v>
      </c>
      <c r="J17">
        <v>11</v>
      </c>
      <c r="K17">
        <f t="shared" si="4"/>
        <v>36400</v>
      </c>
      <c r="L17" s="11">
        <f t="shared" si="0"/>
        <v>4778.3999999999996</v>
      </c>
      <c r="M17">
        <f t="shared" si="1"/>
        <v>218.4</v>
      </c>
      <c r="N17">
        <f t="shared" si="5"/>
        <v>4560</v>
      </c>
      <c r="O17">
        <f t="shared" si="2"/>
        <v>31840</v>
      </c>
      <c r="P17" s="30">
        <f t="shared" si="3"/>
        <v>7.2000000000000008E-2</v>
      </c>
    </row>
    <row r="18" spans="1:16" x14ac:dyDescent="0.25">
      <c r="A18">
        <v>7</v>
      </c>
      <c r="B18" s="26">
        <f t="shared" si="11"/>
        <v>46874.999999999985</v>
      </c>
      <c r="C18" s="25">
        <f t="shared" si="6"/>
        <v>820.83333333333326</v>
      </c>
      <c r="D18">
        <f t="shared" si="7"/>
        <v>299.99999999999994</v>
      </c>
      <c r="E18" s="25">
        <f t="shared" si="8"/>
        <v>520.83333333333337</v>
      </c>
      <c r="F18" s="26">
        <f t="shared" si="9"/>
        <v>46354.16666666665</v>
      </c>
      <c r="G18" s="30">
        <f t="shared" si="10"/>
        <v>7.6800000000000007E-2</v>
      </c>
      <c r="I18" s="47">
        <v>44094</v>
      </c>
      <c r="J18">
        <v>12</v>
      </c>
      <c r="K18">
        <f t="shared" si="4"/>
        <v>31840</v>
      </c>
      <c r="L18" s="11">
        <f t="shared" si="0"/>
        <v>4751.04</v>
      </c>
      <c r="M18">
        <f t="shared" si="1"/>
        <v>191.04</v>
      </c>
      <c r="N18">
        <f t="shared" si="5"/>
        <v>4560</v>
      </c>
      <c r="O18">
        <f t="shared" si="2"/>
        <v>27280</v>
      </c>
      <c r="P18" s="30">
        <f t="shared" si="3"/>
        <v>7.2000000000000008E-2</v>
      </c>
    </row>
    <row r="19" spans="1:16" x14ac:dyDescent="0.25">
      <c r="A19">
        <v>8</v>
      </c>
      <c r="B19" s="26">
        <f t="shared" si="11"/>
        <v>46354.16666666665</v>
      </c>
      <c r="C19" s="25">
        <f t="shared" si="6"/>
        <v>820.83333333333326</v>
      </c>
      <c r="D19">
        <f t="shared" si="7"/>
        <v>299.99999999999994</v>
      </c>
      <c r="E19" s="25">
        <f t="shared" si="8"/>
        <v>520.83333333333337</v>
      </c>
      <c r="F19" s="26">
        <f t="shared" si="9"/>
        <v>45833.333333333314</v>
      </c>
      <c r="G19" s="30">
        <f t="shared" si="10"/>
        <v>7.7662921348314623E-2</v>
      </c>
      <c r="I19" s="47">
        <v>44124</v>
      </c>
      <c r="J19">
        <v>13</v>
      </c>
      <c r="K19">
        <f t="shared" si="4"/>
        <v>27280</v>
      </c>
      <c r="L19" s="11">
        <f t="shared" si="0"/>
        <v>4723.68</v>
      </c>
      <c r="M19">
        <f t="shared" si="1"/>
        <v>163.68</v>
      </c>
      <c r="N19">
        <f t="shared" si="5"/>
        <v>4560</v>
      </c>
      <c r="O19">
        <f t="shared" si="2"/>
        <v>22720</v>
      </c>
      <c r="P19" s="30">
        <f t="shared" si="3"/>
        <v>7.2000000000000008E-2</v>
      </c>
    </row>
    <row r="20" spans="1:16" x14ac:dyDescent="0.25">
      <c r="A20">
        <v>9</v>
      </c>
      <c r="B20" s="26">
        <f t="shared" si="11"/>
        <v>45833.333333333314</v>
      </c>
      <c r="C20" s="25">
        <f t="shared" si="6"/>
        <v>820.83333333333326</v>
      </c>
      <c r="D20">
        <f t="shared" si="7"/>
        <v>299.99999999999994</v>
      </c>
      <c r="E20" s="25">
        <f t="shared" si="8"/>
        <v>520.83333333333337</v>
      </c>
      <c r="F20" s="26">
        <f t="shared" si="9"/>
        <v>45312.499999999978</v>
      </c>
      <c r="G20" s="30">
        <f t="shared" si="10"/>
        <v>7.8545454545454557E-2</v>
      </c>
      <c r="I20" s="47">
        <v>44155</v>
      </c>
      <c r="J20">
        <v>14</v>
      </c>
      <c r="K20">
        <f t="shared" si="4"/>
        <v>22720</v>
      </c>
      <c r="L20" s="11">
        <f t="shared" si="0"/>
        <v>4696.32</v>
      </c>
      <c r="M20">
        <f t="shared" si="1"/>
        <v>136.32</v>
      </c>
      <c r="N20">
        <f t="shared" si="5"/>
        <v>4560</v>
      </c>
      <c r="O20">
        <f t="shared" si="2"/>
        <v>18160</v>
      </c>
      <c r="P20" s="30">
        <f t="shared" si="3"/>
        <v>7.2000000000000008E-2</v>
      </c>
    </row>
    <row r="21" spans="1:16" x14ac:dyDescent="0.25">
      <c r="A21">
        <v>10</v>
      </c>
      <c r="B21" s="26">
        <f t="shared" si="11"/>
        <v>45312.499999999978</v>
      </c>
      <c r="C21" s="25">
        <f t="shared" si="6"/>
        <v>820.83333333333326</v>
      </c>
      <c r="D21">
        <f t="shared" si="7"/>
        <v>299.99999999999994</v>
      </c>
      <c r="E21" s="25">
        <f t="shared" si="8"/>
        <v>520.83333333333337</v>
      </c>
      <c r="F21" s="26">
        <f t="shared" si="9"/>
        <v>44791.666666666642</v>
      </c>
      <c r="G21" s="30">
        <f t="shared" si="10"/>
        <v>7.9448275862068984E-2</v>
      </c>
      <c r="I21" s="47">
        <v>44185</v>
      </c>
      <c r="J21">
        <v>15</v>
      </c>
      <c r="K21">
        <f t="shared" si="4"/>
        <v>18160</v>
      </c>
      <c r="L21" s="11">
        <f t="shared" si="0"/>
        <v>4668.96</v>
      </c>
      <c r="M21">
        <f t="shared" si="1"/>
        <v>108.96000000000001</v>
      </c>
      <c r="N21">
        <f t="shared" si="5"/>
        <v>4560</v>
      </c>
      <c r="O21">
        <f t="shared" si="2"/>
        <v>13600</v>
      </c>
      <c r="P21" s="30">
        <f t="shared" si="3"/>
        <v>7.2000000000000008E-2</v>
      </c>
    </row>
    <row r="22" spans="1:16" x14ac:dyDescent="0.25">
      <c r="A22">
        <v>11</v>
      </c>
      <c r="B22" s="26">
        <f t="shared" si="11"/>
        <v>44791.666666666642</v>
      </c>
      <c r="C22" s="25">
        <f t="shared" si="6"/>
        <v>820.83333333333326</v>
      </c>
      <c r="D22">
        <f t="shared" si="7"/>
        <v>299.99999999999994</v>
      </c>
      <c r="E22" s="25">
        <f t="shared" si="8"/>
        <v>520.83333333333337</v>
      </c>
      <c r="F22" s="26">
        <f t="shared" si="9"/>
        <v>44270.833333333307</v>
      </c>
      <c r="G22" s="30">
        <f t="shared" si="10"/>
        <v>8.0372093023255847E-2</v>
      </c>
      <c r="I22" s="47">
        <v>44216</v>
      </c>
      <c r="J22">
        <v>16</v>
      </c>
      <c r="K22">
        <f t="shared" si="4"/>
        <v>13600</v>
      </c>
      <c r="L22" s="11">
        <f t="shared" si="0"/>
        <v>4641.6000000000004</v>
      </c>
      <c r="M22">
        <f t="shared" si="1"/>
        <v>81.600000000000009</v>
      </c>
      <c r="N22">
        <f t="shared" si="5"/>
        <v>4560</v>
      </c>
      <c r="O22">
        <f t="shared" si="2"/>
        <v>9040</v>
      </c>
      <c r="P22" s="30">
        <f t="shared" si="3"/>
        <v>7.2000000000000008E-2</v>
      </c>
    </row>
    <row r="23" spans="1:16" x14ac:dyDescent="0.25">
      <c r="A23">
        <v>12</v>
      </c>
      <c r="B23" s="26">
        <f t="shared" si="11"/>
        <v>44270.833333333307</v>
      </c>
      <c r="C23" s="25">
        <f t="shared" si="6"/>
        <v>820.83333333333326</v>
      </c>
      <c r="D23">
        <f t="shared" si="7"/>
        <v>299.99999999999994</v>
      </c>
      <c r="E23" s="25">
        <f t="shared" si="8"/>
        <v>520.83333333333337</v>
      </c>
      <c r="F23" s="26">
        <f t="shared" si="9"/>
        <v>43749.999999999971</v>
      </c>
      <c r="G23" s="30">
        <f t="shared" si="10"/>
        <v>8.1317647058823564E-2</v>
      </c>
      <c r="I23" s="47">
        <v>44247</v>
      </c>
      <c r="J23">
        <v>17</v>
      </c>
      <c r="K23">
        <f t="shared" si="4"/>
        <v>9040</v>
      </c>
      <c r="L23" s="11">
        <f t="shared" si="0"/>
        <v>4614.24</v>
      </c>
      <c r="M23">
        <f t="shared" si="1"/>
        <v>54.24</v>
      </c>
      <c r="N23">
        <f t="shared" si="5"/>
        <v>4560</v>
      </c>
      <c r="O23">
        <f t="shared" si="2"/>
        <v>4480</v>
      </c>
      <c r="P23" s="30">
        <f t="shared" si="3"/>
        <v>7.2000000000000008E-2</v>
      </c>
    </row>
    <row r="24" spans="1:16" x14ac:dyDescent="0.25">
      <c r="A24">
        <v>13</v>
      </c>
      <c r="B24" s="26">
        <f t="shared" si="11"/>
        <v>43749.999999999971</v>
      </c>
      <c r="C24" s="25">
        <f t="shared" si="6"/>
        <v>820.83333333333326</v>
      </c>
      <c r="D24">
        <f t="shared" si="7"/>
        <v>299.99999999999994</v>
      </c>
      <c r="E24" s="25">
        <f t="shared" si="8"/>
        <v>520.83333333333337</v>
      </c>
      <c r="F24" s="26">
        <f t="shared" si="9"/>
        <v>43229.166666666635</v>
      </c>
      <c r="G24" s="30">
        <f t="shared" si="10"/>
        <v>8.2285714285714323E-2</v>
      </c>
      <c r="I24" s="48">
        <v>44275</v>
      </c>
      <c r="J24">
        <v>18</v>
      </c>
      <c r="K24">
        <f t="shared" si="4"/>
        <v>4480</v>
      </c>
      <c r="L24" s="11">
        <f t="shared" si="0"/>
        <v>4586.88</v>
      </c>
      <c r="M24">
        <f t="shared" si="1"/>
        <v>26.88</v>
      </c>
      <c r="N24">
        <f t="shared" si="5"/>
        <v>4560</v>
      </c>
      <c r="O24">
        <f t="shared" si="2"/>
        <v>-80</v>
      </c>
      <c r="P24" s="30">
        <f t="shared" si="3"/>
        <v>7.2000000000000008E-2</v>
      </c>
    </row>
    <row r="25" spans="1:16" x14ac:dyDescent="0.25">
      <c r="A25">
        <v>14</v>
      </c>
      <c r="B25" s="26">
        <f t="shared" si="11"/>
        <v>43229.166666666635</v>
      </c>
      <c r="C25" s="25">
        <f t="shared" si="6"/>
        <v>820.83333333333326</v>
      </c>
      <c r="D25">
        <f t="shared" si="7"/>
        <v>299.99999999999994</v>
      </c>
      <c r="E25" s="25">
        <f t="shared" si="8"/>
        <v>520.83333333333337</v>
      </c>
      <c r="F25" s="26">
        <f t="shared" si="9"/>
        <v>42708.333333333299</v>
      </c>
      <c r="G25" s="30">
        <f t="shared" si="10"/>
        <v>8.3277108433734981E-2</v>
      </c>
    </row>
    <row r="26" spans="1:16" x14ac:dyDescent="0.25">
      <c r="A26">
        <v>15</v>
      </c>
      <c r="B26" s="26">
        <f t="shared" si="11"/>
        <v>42708.333333333299</v>
      </c>
      <c r="C26" s="25">
        <f t="shared" si="6"/>
        <v>820.83333333333326</v>
      </c>
      <c r="D26">
        <f t="shared" si="7"/>
        <v>299.99999999999994</v>
      </c>
      <c r="E26" s="25">
        <f t="shared" si="8"/>
        <v>520.83333333333337</v>
      </c>
      <c r="F26" s="26">
        <f t="shared" si="9"/>
        <v>42187.499999999964</v>
      </c>
      <c r="G26" s="30">
        <f t="shared" si="10"/>
        <v>8.4292682926829315E-2</v>
      </c>
    </row>
    <row r="27" spans="1:16" x14ac:dyDescent="0.25">
      <c r="A27">
        <v>16</v>
      </c>
      <c r="B27" s="26">
        <f t="shared" si="11"/>
        <v>42187.499999999964</v>
      </c>
      <c r="C27" s="25">
        <f t="shared" si="6"/>
        <v>820.83333333333326</v>
      </c>
      <c r="D27">
        <f t="shared" si="7"/>
        <v>299.99999999999994</v>
      </c>
      <c r="E27" s="25">
        <f t="shared" si="8"/>
        <v>520.83333333333337</v>
      </c>
      <c r="F27" s="26">
        <f t="shared" si="9"/>
        <v>41666.666666666628</v>
      </c>
      <c r="G27" s="30">
        <f t="shared" si="10"/>
        <v>8.5333333333333386E-2</v>
      </c>
    </row>
    <row r="28" spans="1:16" x14ac:dyDescent="0.25">
      <c r="A28">
        <v>17</v>
      </c>
      <c r="B28" s="26">
        <f t="shared" si="11"/>
        <v>41666.666666666628</v>
      </c>
      <c r="C28" s="25">
        <f t="shared" si="6"/>
        <v>820.83333333333326</v>
      </c>
      <c r="D28">
        <f t="shared" si="7"/>
        <v>299.99999999999994</v>
      </c>
      <c r="E28" s="25">
        <f t="shared" si="8"/>
        <v>520.83333333333337</v>
      </c>
      <c r="F28" s="26">
        <f t="shared" si="9"/>
        <v>41145.833333333292</v>
      </c>
      <c r="G28" s="30">
        <f t="shared" si="10"/>
        <v>8.640000000000006E-2</v>
      </c>
      <c r="I28" s="1" t="s">
        <v>200</v>
      </c>
      <c r="J28" s="1" t="s">
        <v>198</v>
      </c>
      <c r="K28" s="1">
        <v>50000</v>
      </c>
      <c r="L28" s="1" t="s">
        <v>188</v>
      </c>
      <c r="M28" s="1">
        <v>1</v>
      </c>
      <c r="N28" s="1"/>
      <c r="O28" s="1"/>
    </row>
    <row r="29" spans="1:16" x14ac:dyDescent="0.25">
      <c r="A29">
        <v>18</v>
      </c>
      <c r="B29" s="26">
        <f t="shared" si="11"/>
        <v>41145.833333333292</v>
      </c>
      <c r="C29" s="25">
        <f t="shared" si="6"/>
        <v>820.83333333333326</v>
      </c>
      <c r="D29">
        <f t="shared" si="7"/>
        <v>299.99999999999994</v>
      </c>
      <c r="E29" s="25">
        <f t="shared" si="8"/>
        <v>520.83333333333337</v>
      </c>
      <c r="F29" s="26">
        <f t="shared" si="9"/>
        <v>40624.999999999956</v>
      </c>
      <c r="G29" s="30">
        <f t="shared" si="10"/>
        <v>8.7493670886076014E-2</v>
      </c>
      <c r="I29" s="27">
        <v>7.1999999999999995E-2</v>
      </c>
      <c r="J29" s="27" t="s">
        <v>199</v>
      </c>
      <c r="K29" s="27">
        <v>7.4999999999999997E-2</v>
      </c>
      <c r="L29" s="1" t="s">
        <v>189</v>
      </c>
      <c r="M29" s="1">
        <v>12</v>
      </c>
      <c r="N29" s="1"/>
      <c r="O29" s="1"/>
    </row>
    <row r="30" spans="1:16" x14ac:dyDescent="0.25">
      <c r="A30">
        <v>19</v>
      </c>
      <c r="B30" s="26">
        <f t="shared" si="11"/>
        <v>40624.999999999956</v>
      </c>
      <c r="C30" s="25">
        <f t="shared" si="6"/>
        <v>820.83333333333326</v>
      </c>
      <c r="D30">
        <f t="shared" si="7"/>
        <v>299.99999999999994</v>
      </c>
      <c r="E30" s="25">
        <f t="shared" si="8"/>
        <v>520.83333333333337</v>
      </c>
      <c r="F30" s="26">
        <f t="shared" si="9"/>
        <v>40104.166666666621</v>
      </c>
      <c r="G30" s="30">
        <f t="shared" si="10"/>
        <v>8.8615384615384693E-2</v>
      </c>
      <c r="I30" s="27">
        <f>K30/K28-1</f>
        <v>1.7916681666666667</v>
      </c>
      <c r="J30" s="27" t="s">
        <v>213</v>
      </c>
      <c r="K30" s="29">
        <f>SUM(K32:K43)</f>
        <v>139583.40833333333</v>
      </c>
      <c r="L30" s="1"/>
      <c r="M30" s="1"/>
      <c r="N30" s="1"/>
      <c r="O30" s="1"/>
    </row>
    <row r="31" spans="1:16" x14ac:dyDescent="0.25">
      <c r="A31">
        <v>20</v>
      </c>
      <c r="B31" s="26">
        <f t="shared" si="11"/>
        <v>40104.166666666621</v>
      </c>
      <c r="C31" s="25">
        <f t="shared" si="6"/>
        <v>820.83333333333326</v>
      </c>
      <c r="D31">
        <f t="shared" si="7"/>
        <v>299.99999999999994</v>
      </c>
      <c r="E31" s="25">
        <f t="shared" si="8"/>
        <v>520.83333333333337</v>
      </c>
      <c r="F31" s="26">
        <f t="shared" si="9"/>
        <v>39583.333333333285</v>
      </c>
      <c r="G31" s="30">
        <f t="shared" si="10"/>
        <v>8.9766233766233855E-2</v>
      </c>
      <c r="I31" s="1" t="s">
        <v>189</v>
      </c>
      <c r="J31" s="1" t="s">
        <v>190</v>
      </c>
      <c r="K31" s="1" t="s">
        <v>191</v>
      </c>
      <c r="L31" s="1" t="s">
        <v>192</v>
      </c>
      <c r="M31" s="1" t="s">
        <v>193</v>
      </c>
      <c r="N31" s="1" t="s">
        <v>194</v>
      </c>
      <c r="O31" s="1" t="s">
        <v>214</v>
      </c>
    </row>
    <row r="32" spans="1:16" x14ac:dyDescent="0.25">
      <c r="A32">
        <v>21</v>
      </c>
      <c r="B32" s="26">
        <f t="shared" si="11"/>
        <v>39583.333333333285</v>
      </c>
      <c r="C32" s="25">
        <f t="shared" si="6"/>
        <v>820.83333333333326</v>
      </c>
      <c r="D32">
        <f t="shared" si="7"/>
        <v>299.99999999999994</v>
      </c>
      <c r="E32" s="25">
        <f t="shared" si="8"/>
        <v>520.83333333333337</v>
      </c>
      <c r="F32" s="26">
        <f t="shared" si="9"/>
        <v>39062.499999999949</v>
      </c>
      <c r="G32" s="30">
        <f t="shared" si="10"/>
        <v>9.0947368421052721E-2</v>
      </c>
      <c r="I32" s="1" t="s">
        <v>200</v>
      </c>
      <c r="J32" s="1" t="s">
        <v>198</v>
      </c>
      <c r="K32" s="1">
        <v>50000</v>
      </c>
      <c r="L32" s="1" t="s">
        <v>188</v>
      </c>
      <c r="M32" s="1">
        <v>1</v>
      </c>
      <c r="N32" s="1"/>
      <c r="O32" s="1"/>
    </row>
    <row r="33" spans="1:15" x14ac:dyDescent="0.25">
      <c r="A33">
        <v>22</v>
      </c>
      <c r="B33" s="26">
        <f t="shared" si="11"/>
        <v>39062.499999999949</v>
      </c>
      <c r="C33" s="25">
        <f t="shared" si="6"/>
        <v>820.83333333333326</v>
      </c>
      <c r="D33">
        <f t="shared" si="7"/>
        <v>299.99999999999994</v>
      </c>
      <c r="E33" s="25">
        <f t="shared" si="8"/>
        <v>520.83333333333337</v>
      </c>
      <c r="F33" s="26">
        <f t="shared" si="9"/>
        <v>38541.666666666613</v>
      </c>
      <c r="G33" s="30">
        <f t="shared" si="10"/>
        <v>9.2160000000000103E-2</v>
      </c>
      <c r="I33" s="27">
        <v>7.1999999999999995E-2</v>
      </c>
      <c r="J33" s="27" t="s">
        <v>199</v>
      </c>
      <c r="K33" s="27">
        <v>7.4999999999999997E-2</v>
      </c>
      <c r="L33" s="1" t="s">
        <v>189</v>
      </c>
      <c r="M33" s="1">
        <v>12</v>
      </c>
      <c r="N33" s="1" t="s">
        <v>220</v>
      </c>
      <c r="O33" s="36">
        <f>L36*12/O34</f>
        <v>0.13846153846153844</v>
      </c>
    </row>
    <row r="34" spans="1:15" x14ac:dyDescent="0.25">
      <c r="A34">
        <v>23</v>
      </c>
      <c r="B34" s="26">
        <f t="shared" si="11"/>
        <v>38541.666666666613</v>
      </c>
      <c r="C34" s="25">
        <f t="shared" si="6"/>
        <v>820.83333333333326</v>
      </c>
      <c r="D34">
        <f t="shared" si="7"/>
        <v>299.99999999999994</v>
      </c>
      <c r="E34" s="25">
        <f t="shared" si="8"/>
        <v>520.83333333333337</v>
      </c>
      <c r="F34" s="26">
        <f t="shared" si="9"/>
        <v>38020.833333333278</v>
      </c>
      <c r="G34" s="30">
        <f t="shared" si="10"/>
        <v>9.3405405405405512E-2</v>
      </c>
      <c r="I34" s="27">
        <f>K34/K32-1</f>
        <v>7.4999999999999956E-2</v>
      </c>
      <c r="J34" s="27" t="s">
        <v>213</v>
      </c>
      <c r="K34" s="29">
        <f>SUM(K36:K47)</f>
        <v>53749.999999999993</v>
      </c>
      <c r="L34" s="1"/>
      <c r="M34" s="1"/>
      <c r="N34" s="1" t="s">
        <v>219</v>
      </c>
      <c r="O34" s="35">
        <f>AVERAGE(J36:J47)</f>
        <v>27083.333333333339</v>
      </c>
    </row>
    <row r="35" spans="1:15" x14ac:dyDescent="0.25">
      <c r="A35">
        <v>24</v>
      </c>
      <c r="B35" s="26">
        <f t="shared" si="11"/>
        <v>38020.833333333278</v>
      </c>
      <c r="C35" s="25">
        <f t="shared" si="6"/>
        <v>820.83333333333326</v>
      </c>
      <c r="D35">
        <f t="shared" si="7"/>
        <v>299.99999999999994</v>
      </c>
      <c r="E35" s="25">
        <f t="shared" si="8"/>
        <v>520.83333333333337</v>
      </c>
      <c r="F35" s="26">
        <f t="shared" si="9"/>
        <v>37499.999999999942</v>
      </c>
      <c r="G35" s="30">
        <f t="shared" si="10"/>
        <v>9.4684931506849437E-2</v>
      </c>
      <c r="I35" s="1" t="s">
        <v>189</v>
      </c>
      <c r="J35" s="1" t="s">
        <v>190</v>
      </c>
      <c r="K35" s="1" t="s">
        <v>191</v>
      </c>
      <c r="L35" s="1" t="s">
        <v>192</v>
      </c>
      <c r="M35" s="1" t="s">
        <v>193</v>
      </c>
      <c r="N35" s="1" t="s">
        <v>194</v>
      </c>
      <c r="O35" s="1" t="s">
        <v>218</v>
      </c>
    </row>
    <row r="36" spans="1:15" x14ac:dyDescent="0.25">
      <c r="A36">
        <v>25</v>
      </c>
      <c r="B36" s="26">
        <f t="shared" si="11"/>
        <v>37499.999999999942</v>
      </c>
      <c r="C36" s="25">
        <f t="shared" si="6"/>
        <v>820.83333333333326</v>
      </c>
      <c r="D36">
        <f t="shared" si="7"/>
        <v>299.99999999999994</v>
      </c>
      <c r="E36" s="25">
        <f t="shared" si="8"/>
        <v>520.83333333333337</v>
      </c>
      <c r="F36" s="26">
        <f t="shared" si="9"/>
        <v>36979.166666666606</v>
      </c>
      <c r="G36" s="30">
        <f t="shared" si="10"/>
        <v>9.6000000000000127E-2</v>
      </c>
      <c r="I36">
        <v>1</v>
      </c>
      <c r="J36">
        <f>K32</f>
        <v>50000</v>
      </c>
      <c r="K36" s="25">
        <f t="shared" ref="K36:K47" si="12">L36+M36</f>
        <v>4479.166666666667</v>
      </c>
      <c r="L36">
        <f t="shared" ref="L36:L47" si="13">$K$33/12*$K$32</f>
        <v>312.5</v>
      </c>
      <c r="M36" s="25">
        <f t="shared" ref="M36:M47" si="14">$K$32/$M$33</f>
        <v>4166.666666666667</v>
      </c>
      <c r="N36" s="26">
        <f t="shared" ref="N36:N47" si="15">J36-M36</f>
        <v>45833.333333333336</v>
      </c>
      <c r="O36" s="30">
        <f t="shared" ref="O36:O47" si="16">L36/J36*12</f>
        <v>7.5000000000000011E-2</v>
      </c>
    </row>
    <row r="37" spans="1:15" x14ac:dyDescent="0.25">
      <c r="A37">
        <v>26</v>
      </c>
      <c r="B37" s="26">
        <f t="shared" si="11"/>
        <v>36979.166666666606</v>
      </c>
      <c r="C37" s="25">
        <f t="shared" si="6"/>
        <v>820.83333333333326</v>
      </c>
      <c r="D37">
        <f t="shared" si="7"/>
        <v>299.99999999999994</v>
      </c>
      <c r="E37" s="25">
        <f t="shared" si="8"/>
        <v>520.83333333333337</v>
      </c>
      <c r="F37" s="26">
        <f t="shared" si="9"/>
        <v>36458.33333333327</v>
      </c>
      <c r="G37" s="30">
        <f t="shared" si="10"/>
        <v>9.7352112676056479E-2</v>
      </c>
      <c r="I37">
        <v>2</v>
      </c>
      <c r="J37" s="26">
        <f t="shared" ref="J37:J47" si="17">N36</f>
        <v>45833.333333333336</v>
      </c>
      <c r="K37" s="25">
        <f t="shared" si="12"/>
        <v>4479.166666666667</v>
      </c>
      <c r="L37">
        <f t="shared" si="13"/>
        <v>312.5</v>
      </c>
      <c r="M37" s="25">
        <f t="shared" si="14"/>
        <v>4166.666666666667</v>
      </c>
      <c r="N37" s="26">
        <f t="shared" si="15"/>
        <v>41666.666666666672</v>
      </c>
      <c r="O37" s="30">
        <f t="shared" si="16"/>
        <v>8.1818181818181818E-2</v>
      </c>
    </row>
    <row r="38" spans="1:15" x14ac:dyDescent="0.25">
      <c r="A38">
        <v>27</v>
      </c>
      <c r="B38" s="26">
        <f t="shared" si="11"/>
        <v>36458.33333333327</v>
      </c>
      <c r="C38" s="25">
        <f t="shared" si="6"/>
        <v>820.83333333333326</v>
      </c>
      <c r="D38">
        <f t="shared" si="7"/>
        <v>299.99999999999994</v>
      </c>
      <c r="E38" s="25">
        <f t="shared" si="8"/>
        <v>520.83333333333337</v>
      </c>
      <c r="F38" s="26">
        <f t="shared" si="9"/>
        <v>35937.499999999935</v>
      </c>
      <c r="G38" s="30">
        <f t="shared" si="10"/>
        <v>9.8742857142857299E-2</v>
      </c>
      <c r="I38">
        <v>3</v>
      </c>
      <c r="J38" s="26">
        <f t="shared" si="17"/>
        <v>41666.666666666672</v>
      </c>
      <c r="K38" s="25">
        <f t="shared" si="12"/>
        <v>4479.166666666667</v>
      </c>
      <c r="L38">
        <f t="shared" si="13"/>
        <v>312.5</v>
      </c>
      <c r="M38" s="25">
        <f t="shared" si="14"/>
        <v>4166.666666666667</v>
      </c>
      <c r="N38" s="26">
        <f t="shared" si="15"/>
        <v>37500.000000000007</v>
      </c>
      <c r="O38" s="30">
        <f t="shared" si="16"/>
        <v>8.9999999999999983E-2</v>
      </c>
    </row>
    <row r="39" spans="1:15" x14ac:dyDescent="0.25">
      <c r="A39">
        <v>28</v>
      </c>
      <c r="B39" s="26">
        <f t="shared" si="11"/>
        <v>35937.499999999935</v>
      </c>
      <c r="C39" s="25">
        <f t="shared" si="6"/>
        <v>820.83333333333326</v>
      </c>
      <c r="D39">
        <f t="shared" si="7"/>
        <v>299.99999999999994</v>
      </c>
      <c r="E39" s="25">
        <f t="shared" si="8"/>
        <v>520.83333333333337</v>
      </c>
      <c r="F39" s="26">
        <f t="shared" si="9"/>
        <v>35416.666666666599</v>
      </c>
      <c r="G39" s="30">
        <f t="shared" si="10"/>
        <v>0.10017391304347842</v>
      </c>
      <c r="I39">
        <v>4</v>
      </c>
      <c r="J39" s="26">
        <f t="shared" si="17"/>
        <v>37500.000000000007</v>
      </c>
      <c r="K39" s="25">
        <f t="shared" si="12"/>
        <v>4479.166666666667</v>
      </c>
      <c r="L39">
        <f t="shared" si="13"/>
        <v>312.5</v>
      </c>
      <c r="M39" s="25">
        <f t="shared" si="14"/>
        <v>4166.666666666667</v>
      </c>
      <c r="N39" s="26">
        <f t="shared" si="15"/>
        <v>33333.333333333343</v>
      </c>
      <c r="O39" s="30">
        <f t="shared" si="16"/>
        <v>9.9999999999999978E-2</v>
      </c>
    </row>
    <row r="40" spans="1:15" x14ac:dyDescent="0.25">
      <c r="A40">
        <v>29</v>
      </c>
      <c r="B40" s="26">
        <f t="shared" si="11"/>
        <v>35416.666666666599</v>
      </c>
      <c r="C40" s="25">
        <f t="shared" si="6"/>
        <v>820.83333333333326</v>
      </c>
      <c r="D40">
        <f t="shared" si="7"/>
        <v>299.99999999999994</v>
      </c>
      <c r="E40" s="25">
        <f t="shared" si="8"/>
        <v>520.83333333333337</v>
      </c>
      <c r="F40" s="26">
        <f t="shared" si="9"/>
        <v>34895.833333333263</v>
      </c>
      <c r="G40" s="30">
        <f t="shared" si="10"/>
        <v>0.10164705882352959</v>
      </c>
      <c r="I40">
        <v>5</v>
      </c>
      <c r="J40" s="26">
        <f t="shared" si="17"/>
        <v>33333.333333333343</v>
      </c>
      <c r="K40" s="25">
        <f t="shared" si="12"/>
        <v>4479.166666666667</v>
      </c>
      <c r="L40">
        <f t="shared" si="13"/>
        <v>312.5</v>
      </c>
      <c r="M40" s="25">
        <f t="shared" si="14"/>
        <v>4166.666666666667</v>
      </c>
      <c r="N40" s="26">
        <f t="shared" si="15"/>
        <v>29166.666666666675</v>
      </c>
      <c r="O40" s="30">
        <f t="shared" si="16"/>
        <v>0.11249999999999998</v>
      </c>
    </row>
    <row r="41" spans="1:15" x14ac:dyDescent="0.25">
      <c r="A41">
        <v>30</v>
      </c>
      <c r="B41" s="26">
        <f t="shared" si="11"/>
        <v>34895.833333333263</v>
      </c>
      <c r="C41" s="25">
        <f t="shared" si="6"/>
        <v>820.83333333333326</v>
      </c>
      <c r="D41">
        <f t="shared" si="7"/>
        <v>299.99999999999994</v>
      </c>
      <c r="E41" s="25">
        <f t="shared" si="8"/>
        <v>520.83333333333337</v>
      </c>
      <c r="F41" s="26">
        <f t="shared" si="9"/>
        <v>34374.999999999927</v>
      </c>
      <c r="G41" s="30">
        <f t="shared" si="10"/>
        <v>0.1031641791044778</v>
      </c>
      <c r="I41">
        <v>6</v>
      </c>
      <c r="J41" s="26">
        <f t="shared" si="17"/>
        <v>29166.666666666675</v>
      </c>
      <c r="K41" s="25">
        <f t="shared" si="12"/>
        <v>4479.166666666667</v>
      </c>
      <c r="L41">
        <f t="shared" si="13"/>
        <v>312.5</v>
      </c>
      <c r="M41" s="25">
        <f t="shared" si="14"/>
        <v>4166.666666666667</v>
      </c>
      <c r="N41" s="26">
        <f t="shared" si="15"/>
        <v>25000.000000000007</v>
      </c>
      <c r="O41" s="30">
        <f t="shared" si="16"/>
        <v>0.12857142857142853</v>
      </c>
    </row>
    <row r="42" spans="1:15" x14ac:dyDescent="0.25">
      <c r="A42">
        <v>31</v>
      </c>
      <c r="B42" s="26">
        <f t="shared" si="11"/>
        <v>34374.999999999927</v>
      </c>
      <c r="C42" s="25">
        <f t="shared" si="6"/>
        <v>820.83333333333326</v>
      </c>
      <c r="D42">
        <f t="shared" si="7"/>
        <v>299.99999999999994</v>
      </c>
      <c r="E42" s="25">
        <f t="shared" si="8"/>
        <v>520.83333333333337</v>
      </c>
      <c r="F42" s="26">
        <f t="shared" si="9"/>
        <v>33854.166666666591</v>
      </c>
      <c r="G42" s="30">
        <f t="shared" si="10"/>
        <v>0.10472727272727292</v>
      </c>
      <c r="I42">
        <v>7</v>
      </c>
      <c r="J42" s="26">
        <f t="shared" si="17"/>
        <v>25000.000000000007</v>
      </c>
      <c r="K42" s="25">
        <f t="shared" si="12"/>
        <v>4479.166666666667</v>
      </c>
      <c r="L42">
        <f t="shared" si="13"/>
        <v>312.5</v>
      </c>
      <c r="M42" s="25">
        <f t="shared" si="14"/>
        <v>4166.666666666667</v>
      </c>
      <c r="N42" s="26">
        <f t="shared" si="15"/>
        <v>20833.333333333339</v>
      </c>
      <c r="O42" s="30">
        <f t="shared" si="16"/>
        <v>0.14999999999999997</v>
      </c>
    </row>
    <row r="43" spans="1:15" x14ac:dyDescent="0.25">
      <c r="A43">
        <v>32</v>
      </c>
      <c r="B43" s="26">
        <f t="shared" si="11"/>
        <v>33854.166666666591</v>
      </c>
      <c r="C43" s="25">
        <f t="shared" si="6"/>
        <v>820.83333333333326</v>
      </c>
      <c r="D43">
        <f t="shared" si="7"/>
        <v>299.99999999999994</v>
      </c>
      <c r="E43" s="25">
        <f t="shared" si="8"/>
        <v>520.83333333333337</v>
      </c>
      <c r="F43" s="26">
        <f t="shared" si="9"/>
        <v>33333.333333333256</v>
      </c>
      <c r="G43" s="30">
        <f t="shared" si="10"/>
        <v>0.10633846153846176</v>
      </c>
      <c r="I43">
        <v>8</v>
      </c>
      <c r="J43" s="26">
        <f t="shared" si="17"/>
        <v>20833.333333333339</v>
      </c>
      <c r="K43" s="25">
        <f t="shared" si="12"/>
        <v>4479.166666666667</v>
      </c>
      <c r="L43">
        <f t="shared" si="13"/>
        <v>312.5</v>
      </c>
      <c r="M43" s="25">
        <f t="shared" si="14"/>
        <v>4166.666666666667</v>
      </c>
      <c r="N43" s="26">
        <f t="shared" si="15"/>
        <v>16666.666666666672</v>
      </c>
      <c r="O43" s="30">
        <f t="shared" si="16"/>
        <v>0.17999999999999994</v>
      </c>
    </row>
    <row r="44" spans="1:15" x14ac:dyDescent="0.25">
      <c r="A44">
        <v>33</v>
      </c>
      <c r="B44" s="26">
        <f t="shared" si="11"/>
        <v>33333.333333333256</v>
      </c>
      <c r="C44" s="25">
        <f t="shared" ref="C44:C75" si="18">D44+E44</f>
        <v>820.83333333333326</v>
      </c>
      <c r="D44">
        <f t="shared" ref="D44:D75" si="19">$C$9/12*$B$12</f>
        <v>299.99999999999994</v>
      </c>
      <c r="E44" s="25">
        <f t="shared" ref="E44:E75" si="20">$C$8/$E$9</f>
        <v>520.83333333333337</v>
      </c>
      <c r="F44" s="26">
        <f t="shared" ref="F44:F75" si="21">B44-E44</f>
        <v>32812.49999999992</v>
      </c>
      <c r="G44" s="30">
        <f t="shared" ref="G44:G75" si="22">D44/B44*12</f>
        <v>0.10800000000000022</v>
      </c>
      <c r="I44">
        <v>9</v>
      </c>
      <c r="J44" s="26">
        <f t="shared" si="17"/>
        <v>16666.666666666672</v>
      </c>
      <c r="K44" s="25">
        <f t="shared" si="12"/>
        <v>4479.166666666667</v>
      </c>
      <c r="L44">
        <f t="shared" si="13"/>
        <v>312.5</v>
      </c>
      <c r="M44" s="25">
        <f t="shared" si="14"/>
        <v>4166.666666666667</v>
      </c>
      <c r="N44" s="26">
        <f t="shared" si="15"/>
        <v>12500.000000000004</v>
      </c>
      <c r="O44" s="30">
        <f t="shared" si="16"/>
        <v>0.22499999999999995</v>
      </c>
    </row>
    <row r="45" spans="1:15" x14ac:dyDescent="0.25">
      <c r="A45">
        <v>34</v>
      </c>
      <c r="B45" s="26">
        <f t="shared" ref="B45:B76" si="23">F44</f>
        <v>32812.49999999992</v>
      </c>
      <c r="C45" s="25">
        <f t="shared" si="18"/>
        <v>820.83333333333326</v>
      </c>
      <c r="D45">
        <f t="shared" si="19"/>
        <v>299.99999999999994</v>
      </c>
      <c r="E45" s="25">
        <f t="shared" si="20"/>
        <v>520.83333333333337</v>
      </c>
      <c r="F45" s="26">
        <f t="shared" si="21"/>
        <v>32291.666666666588</v>
      </c>
      <c r="G45" s="30">
        <f t="shared" si="22"/>
        <v>0.10971428571428596</v>
      </c>
      <c r="I45">
        <v>10</v>
      </c>
      <c r="J45" s="26">
        <f t="shared" si="17"/>
        <v>12500.000000000004</v>
      </c>
      <c r="K45" s="25">
        <f t="shared" si="12"/>
        <v>4479.166666666667</v>
      </c>
      <c r="L45">
        <f t="shared" si="13"/>
        <v>312.5</v>
      </c>
      <c r="M45" s="25">
        <f t="shared" si="14"/>
        <v>4166.666666666667</v>
      </c>
      <c r="N45" s="26">
        <f t="shared" si="15"/>
        <v>8333.3333333333358</v>
      </c>
      <c r="O45" s="30">
        <f t="shared" si="16"/>
        <v>0.29999999999999993</v>
      </c>
    </row>
    <row r="46" spans="1:15" x14ac:dyDescent="0.25">
      <c r="A46">
        <v>35</v>
      </c>
      <c r="B46" s="26">
        <f t="shared" si="23"/>
        <v>32291.666666666588</v>
      </c>
      <c r="C46" s="25">
        <f t="shared" si="18"/>
        <v>820.83333333333326</v>
      </c>
      <c r="D46">
        <f t="shared" si="19"/>
        <v>299.99999999999994</v>
      </c>
      <c r="E46" s="25">
        <f t="shared" si="20"/>
        <v>520.83333333333337</v>
      </c>
      <c r="F46" s="26">
        <f t="shared" si="21"/>
        <v>31770.833333333256</v>
      </c>
      <c r="G46" s="30">
        <f t="shared" si="22"/>
        <v>0.11148387096774218</v>
      </c>
      <c r="I46">
        <v>11</v>
      </c>
      <c r="J46" s="26">
        <f t="shared" si="17"/>
        <v>8333.3333333333358</v>
      </c>
      <c r="K46" s="25">
        <f t="shared" si="12"/>
        <v>4479.166666666667</v>
      </c>
      <c r="L46">
        <f t="shared" si="13"/>
        <v>312.5</v>
      </c>
      <c r="M46" s="25">
        <f t="shared" si="14"/>
        <v>4166.666666666667</v>
      </c>
      <c r="N46" s="26">
        <f t="shared" si="15"/>
        <v>4166.6666666666688</v>
      </c>
      <c r="O46" s="30">
        <f t="shared" si="16"/>
        <v>0.4499999999999999</v>
      </c>
    </row>
    <row r="47" spans="1:15" x14ac:dyDescent="0.25">
      <c r="A47">
        <v>36</v>
      </c>
      <c r="B47" s="26">
        <f t="shared" si="23"/>
        <v>31770.833333333256</v>
      </c>
      <c r="C47" s="25">
        <f t="shared" si="18"/>
        <v>820.83333333333326</v>
      </c>
      <c r="D47">
        <f t="shared" si="19"/>
        <v>299.99999999999994</v>
      </c>
      <c r="E47" s="25">
        <f t="shared" si="20"/>
        <v>520.83333333333337</v>
      </c>
      <c r="F47" s="26">
        <f t="shared" si="21"/>
        <v>31249.999999999924</v>
      </c>
      <c r="G47" s="30">
        <f t="shared" si="22"/>
        <v>0.11331147540983633</v>
      </c>
      <c r="I47">
        <v>12</v>
      </c>
      <c r="J47" s="26">
        <f t="shared" si="17"/>
        <v>4166.6666666666688</v>
      </c>
      <c r="K47" s="25">
        <f t="shared" si="12"/>
        <v>4479.166666666667</v>
      </c>
      <c r="L47">
        <f t="shared" si="13"/>
        <v>312.5</v>
      </c>
      <c r="M47" s="25">
        <f t="shared" si="14"/>
        <v>4166.666666666667</v>
      </c>
      <c r="N47" s="26">
        <f t="shared" si="15"/>
        <v>0</v>
      </c>
      <c r="O47" s="30">
        <f t="shared" si="16"/>
        <v>0.89999999999999947</v>
      </c>
    </row>
    <row r="48" spans="1:15" x14ac:dyDescent="0.25">
      <c r="A48">
        <v>37</v>
      </c>
      <c r="B48" s="26">
        <f t="shared" si="23"/>
        <v>31249.999999999924</v>
      </c>
      <c r="C48" s="25">
        <f t="shared" si="18"/>
        <v>820.83333333333326</v>
      </c>
      <c r="D48">
        <f t="shared" si="19"/>
        <v>299.99999999999994</v>
      </c>
      <c r="E48" s="25">
        <f t="shared" si="20"/>
        <v>520.83333333333337</v>
      </c>
      <c r="F48" s="26">
        <f t="shared" si="21"/>
        <v>30729.166666666591</v>
      </c>
      <c r="G48" s="30">
        <f t="shared" si="22"/>
        <v>0.11520000000000026</v>
      </c>
    </row>
    <row r="49" spans="1:7" x14ac:dyDescent="0.25">
      <c r="A49">
        <v>38</v>
      </c>
      <c r="B49" s="26">
        <f t="shared" si="23"/>
        <v>30729.166666666591</v>
      </c>
      <c r="C49" s="25">
        <f t="shared" si="18"/>
        <v>820.83333333333326</v>
      </c>
      <c r="D49">
        <f t="shared" si="19"/>
        <v>299.99999999999994</v>
      </c>
      <c r="E49" s="25">
        <f t="shared" si="20"/>
        <v>520.83333333333337</v>
      </c>
      <c r="F49" s="26">
        <f t="shared" si="21"/>
        <v>30208.333333333259</v>
      </c>
      <c r="G49" s="30">
        <f t="shared" si="22"/>
        <v>0.11715254237288161</v>
      </c>
    </row>
    <row r="50" spans="1:7" x14ac:dyDescent="0.25">
      <c r="A50">
        <v>39</v>
      </c>
      <c r="B50" s="26">
        <f t="shared" si="23"/>
        <v>30208.333333333259</v>
      </c>
      <c r="C50" s="25">
        <f t="shared" si="18"/>
        <v>820.83333333333326</v>
      </c>
      <c r="D50">
        <f t="shared" si="19"/>
        <v>299.99999999999994</v>
      </c>
      <c r="E50" s="25">
        <f t="shared" si="20"/>
        <v>520.83333333333337</v>
      </c>
      <c r="F50" s="26">
        <f t="shared" si="21"/>
        <v>29687.499999999927</v>
      </c>
      <c r="G50" s="30">
        <f t="shared" si="22"/>
        <v>0.11917241379310373</v>
      </c>
    </row>
    <row r="51" spans="1:7" x14ac:dyDescent="0.25">
      <c r="A51">
        <v>40</v>
      </c>
      <c r="B51" s="26">
        <f t="shared" si="23"/>
        <v>29687.499999999927</v>
      </c>
      <c r="C51" s="25">
        <f t="shared" si="18"/>
        <v>820.83333333333326</v>
      </c>
      <c r="D51">
        <f t="shared" si="19"/>
        <v>299.99999999999994</v>
      </c>
      <c r="E51" s="25">
        <f t="shared" si="20"/>
        <v>520.83333333333337</v>
      </c>
      <c r="F51" s="26">
        <f t="shared" si="21"/>
        <v>29166.666666666595</v>
      </c>
      <c r="G51" s="30">
        <f t="shared" si="22"/>
        <v>0.12126315789473711</v>
      </c>
    </row>
    <row r="52" spans="1:7" x14ac:dyDescent="0.25">
      <c r="A52">
        <v>41</v>
      </c>
      <c r="B52" s="26">
        <f t="shared" si="23"/>
        <v>29166.666666666595</v>
      </c>
      <c r="C52" s="25">
        <f t="shared" si="18"/>
        <v>820.83333333333326</v>
      </c>
      <c r="D52">
        <f t="shared" si="19"/>
        <v>299.99999999999994</v>
      </c>
      <c r="E52" s="25">
        <f t="shared" si="20"/>
        <v>520.83333333333337</v>
      </c>
      <c r="F52" s="26">
        <f t="shared" si="21"/>
        <v>28645.833333333263</v>
      </c>
      <c r="G52" s="30">
        <f t="shared" si="22"/>
        <v>0.12342857142857172</v>
      </c>
    </row>
    <row r="53" spans="1:7" x14ac:dyDescent="0.25">
      <c r="A53">
        <v>42</v>
      </c>
      <c r="B53" s="26">
        <f t="shared" si="23"/>
        <v>28645.833333333263</v>
      </c>
      <c r="C53" s="25">
        <f t="shared" si="18"/>
        <v>820.83333333333326</v>
      </c>
      <c r="D53">
        <f t="shared" si="19"/>
        <v>299.99999999999994</v>
      </c>
      <c r="E53" s="25">
        <f t="shared" si="20"/>
        <v>520.83333333333337</v>
      </c>
      <c r="F53" s="26">
        <f t="shared" si="21"/>
        <v>28124.999999999931</v>
      </c>
      <c r="G53" s="30">
        <f t="shared" si="22"/>
        <v>0.12567272727272755</v>
      </c>
    </row>
    <row r="54" spans="1:7" x14ac:dyDescent="0.25">
      <c r="A54">
        <v>43</v>
      </c>
      <c r="B54" s="26">
        <f t="shared" si="23"/>
        <v>28124.999999999931</v>
      </c>
      <c r="C54" s="25">
        <f t="shared" si="18"/>
        <v>820.83333333333326</v>
      </c>
      <c r="D54">
        <f t="shared" si="19"/>
        <v>299.99999999999994</v>
      </c>
      <c r="E54" s="25">
        <f t="shared" si="20"/>
        <v>520.83333333333337</v>
      </c>
      <c r="F54" s="26">
        <f t="shared" si="21"/>
        <v>27604.166666666599</v>
      </c>
      <c r="G54" s="30">
        <f t="shared" si="22"/>
        <v>0.12800000000000028</v>
      </c>
    </row>
    <row r="55" spans="1:7" x14ac:dyDescent="0.25">
      <c r="A55">
        <v>44</v>
      </c>
      <c r="B55" s="26">
        <f t="shared" si="23"/>
        <v>27604.166666666599</v>
      </c>
      <c r="C55" s="25">
        <f t="shared" si="18"/>
        <v>820.83333333333326</v>
      </c>
      <c r="D55">
        <f t="shared" si="19"/>
        <v>299.99999999999994</v>
      </c>
      <c r="E55" s="25">
        <f t="shared" si="20"/>
        <v>520.83333333333337</v>
      </c>
      <c r="F55" s="26">
        <f t="shared" si="21"/>
        <v>27083.333333333267</v>
      </c>
      <c r="G55" s="30">
        <f t="shared" si="22"/>
        <v>0.13041509433962295</v>
      </c>
    </row>
    <row r="56" spans="1:7" x14ac:dyDescent="0.25">
      <c r="A56">
        <v>45</v>
      </c>
      <c r="B56" s="26">
        <f t="shared" si="23"/>
        <v>27083.333333333267</v>
      </c>
      <c r="C56" s="25">
        <f t="shared" si="18"/>
        <v>820.83333333333326</v>
      </c>
      <c r="D56">
        <f t="shared" si="19"/>
        <v>299.99999999999994</v>
      </c>
      <c r="E56" s="25">
        <f t="shared" si="20"/>
        <v>520.83333333333337</v>
      </c>
      <c r="F56" s="26">
        <f t="shared" si="21"/>
        <v>26562.499999999935</v>
      </c>
      <c r="G56" s="30">
        <f t="shared" si="22"/>
        <v>0.13292307692307723</v>
      </c>
    </row>
    <row r="57" spans="1:7" x14ac:dyDescent="0.25">
      <c r="A57">
        <v>46</v>
      </c>
      <c r="B57" s="26">
        <f t="shared" si="23"/>
        <v>26562.499999999935</v>
      </c>
      <c r="C57" s="25">
        <f t="shared" si="18"/>
        <v>820.83333333333326</v>
      </c>
      <c r="D57">
        <f t="shared" si="19"/>
        <v>299.99999999999994</v>
      </c>
      <c r="E57" s="25">
        <f t="shared" si="20"/>
        <v>520.83333333333337</v>
      </c>
      <c r="F57" s="26">
        <f t="shared" si="21"/>
        <v>26041.666666666602</v>
      </c>
      <c r="G57" s="30">
        <f t="shared" si="22"/>
        <v>0.13552941176470618</v>
      </c>
    </row>
    <row r="58" spans="1:7" x14ac:dyDescent="0.25">
      <c r="A58">
        <v>47</v>
      </c>
      <c r="B58" s="26">
        <f t="shared" si="23"/>
        <v>26041.666666666602</v>
      </c>
      <c r="C58" s="25">
        <f t="shared" si="18"/>
        <v>820.83333333333326</v>
      </c>
      <c r="D58">
        <f t="shared" si="19"/>
        <v>299.99999999999994</v>
      </c>
      <c r="E58" s="25">
        <f t="shared" si="20"/>
        <v>520.83333333333337</v>
      </c>
      <c r="F58" s="26">
        <f t="shared" si="21"/>
        <v>25520.83333333327</v>
      </c>
      <c r="G58" s="30">
        <f t="shared" si="22"/>
        <v>0.13824000000000031</v>
      </c>
    </row>
    <row r="59" spans="1:7" x14ac:dyDescent="0.25">
      <c r="A59">
        <v>48</v>
      </c>
      <c r="B59" s="26">
        <f t="shared" si="23"/>
        <v>25520.83333333327</v>
      </c>
      <c r="C59" s="25">
        <f t="shared" si="18"/>
        <v>820.83333333333326</v>
      </c>
      <c r="D59">
        <f t="shared" si="19"/>
        <v>299.99999999999994</v>
      </c>
      <c r="E59" s="25">
        <f t="shared" si="20"/>
        <v>520.83333333333337</v>
      </c>
      <c r="F59" s="26">
        <f t="shared" si="21"/>
        <v>24999.999999999938</v>
      </c>
      <c r="G59" s="30">
        <f t="shared" si="22"/>
        <v>0.14106122448979624</v>
      </c>
    </row>
    <row r="60" spans="1:7" x14ac:dyDescent="0.25">
      <c r="A60">
        <v>49</v>
      </c>
      <c r="B60" s="26">
        <f t="shared" si="23"/>
        <v>24999.999999999938</v>
      </c>
      <c r="C60" s="25">
        <f t="shared" si="18"/>
        <v>820.83333333333326</v>
      </c>
      <c r="D60">
        <f t="shared" si="19"/>
        <v>299.99999999999994</v>
      </c>
      <c r="E60" s="25">
        <f t="shared" si="20"/>
        <v>520.83333333333337</v>
      </c>
      <c r="F60" s="26">
        <f t="shared" si="21"/>
        <v>24479.166666666606</v>
      </c>
      <c r="G60" s="30">
        <f t="shared" si="22"/>
        <v>0.14400000000000035</v>
      </c>
    </row>
    <row r="61" spans="1:7" x14ac:dyDescent="0.25">
      <c r="A61">
        <v>50</v>
      </c>
      <c r="B61" s="26">
        <f t="shared" si="23"/>
        <v>24479.166666666606</v>
      </c>
      <c r="C61" s="25">
        <f t="shared" si="18"/>
        <v>820.83333333333326</v>
      </c>
      <c r="D61">
        <f t="shared" si="19"/>
        <v>299.99999999999994</v>
      </c>
      <c r="E61" s="25">
        <f t="shared" si="20"/>
        <v>520.83333333333337</v>
      </c>
      <c r="F61" s="26">
        <f t="shared" si="21"/>
        <v>23958.333333333274</v>
      </c>
      <c r="G61" s="30">
        <f t="shared" si="22"/>
        <v>0.1470638297872344</v>
      </c>
    </row>
    <row r="62" spans="1:7" x14ac:dyDescent="0.25">
      <c r="A62">
        <v>51</v>
      </c>
      <c r="B62" s="26">
        <f t="shared" si="23"/>
        <v>23958.333333333274</v>
      </c>
      <c r="C62" s="25">
        <f t="shared" si="18"/>
        <v>820.83333333333326</v>
      </c>
      <c r="D62">
        <f t="shared" si="19"/>
        <v>299.99999999999994</v>
      </c>
      <c r="E62" s="25">
        <f t="shared" si="20"/>
        <v>520.83333333333337</v>
      </c>
      <c r="F62" s="26">
        <f t="shared" si="21"/>
        <v>23437.499999999942</v>
      </c>
      <c r="G62" s="30">
        <f t="shared" si="22"/>
        <v>0.15026086956521773</v>
      </c>
    </row>
    <row r="63" spans="1:7" x14ac:dyDescent="0.25">
      <c r="A63">
        <v>52</v>
      </c>
      <c r="B63" s="26">
        <f t="shared" si="23"/>
        <v>23437.499999999942</v>
      </c>
      <c r="C63" s="25">
        <f t="shared" si="18"/>
        <v>820.83333333333326</v>
      </c>
      <c r="D63">
        <f t="shared" si="19"/>
        <v>299.99999999999994</v>
      </c>
      <c r="E63" s="25">
        <f t="shared" si="20"/>
        <v>520.83333333333337</v>
      </c>
      <c r="F63" s="26">
        <f t="shared" si="21"/>
        <v>22916.66666666661</v>
      </c>
      <c r="G63" s="30">
        <f t="shared" si="22"/>
        <v>0.15360000000000035</v>
      </c>
    </row>
    <row r="64" spans="1:7" x14ac:dyDescent="0.25">
      <c r="A64">
        <v>53</v>
      </c>
      <c r="B64" s="26">
        <f t="shared" si="23"/>
        <v>22916.66666666661</v>
      </c>
      <c r="C64" s="25">
        <f t="shared" si="18"/>
        <v>820.83333333333326</v>
      </c>
      <c r="D64">
        <f t="shared" si="19"/>
        <v>299.99999999999994</v>
      </c>
      <c r="E64" s="25">
        <f t="shared" si="20"/>
        <v>520.83333333333337</v>
      </c>
      <c r="F64" s="26">
        <f t="shared" si="21"/>
        <v>22395.833333333278</v>
      </c>
      <c r="G64" s="30">
        <f t="shared" si="22"/>
        <v>0.15709090909090945</v>
      </c>
    </row>
    <row r="65" spans="1:7" x14ac:dyDescent="0.25">
      <c r="A65">
        <v>54</v>
      </c>
      <c r="B65" s="26">
        <f t="shared" si="23"/>
        <v>22395.833333333278</v>
      </c>
      <c r="C65" s="25">
        <f t="shared" si="18"/>
        <v>820.83333333333326</v>
      </c>
      <c r="D65">
        <f t="shared" si="19"/>
        <v>299.99999999999994</v>
      </c>
      <c r="E65" s="25">
        <f t="shared" si="20"/>
        <v>520.83333333333337</v>
      </c>
      <c r="F65" s="26">
        <f t="shared" si="21"/>
        <v>21874.999999999945</v>
      </c>
      <c r="G65" s="30">
        <f t="shared" si="22"/>
        <v>0.160744186046512</v>
      </c>
    </row>
    <row r="66" spans="1:7" x14ac:dyDescent="0.25">
      <c r="A66">
        <v>55</v>
      </c>
      <c r="B66" s="26">
        <f t="shared" si="23"/>
        <v>21874.999999999945</v>
      </c>
      <c r="C66" s="25">
        <f t="shared" si="18"/>
        <v>820.83333333333326</v>
      </c>
      <c r="D66">
        <f t="shared" si="19"/>
        <v>299.99999999999994</v>
      </c>
      <c r="E66" s="25">
        <f t="shared" si="20"/>
        <v>520.83333333333337</v>
      </c>
      <c r="F66" s="26">
        <f t="shared" si="21"/>
        <v>21354.166666666613</v>
      </c>
      <c r="G66" s="30">
        <f t="shared" si="22"/>
        <v>0.16457142857142895</v>
      </c>
    </row>
    <row r="67" spans="1:7" x14ac:dyDescent="0.25">
      <c r="A67">
        <v>56</v>
      </c>
      <c r="B67" s="26">
        <f t="shared" si="23"/>
        <v>21354.166666666613</v>
      </c>
      <c r="C67" s="25">
        <f t="shared" si="18"/>
        <v>820.83333333333326</v>
      </c>
      <c r="D67">
        <f t="shared" si="19"/>
        <v>299.99999999999994</v>
      </c>
      <c r="E67" s="25">
        <f t="shared" si="20"/>
        <v>520.83333333333337</v>
      </c>
      <c r="F67" s="26">
        <f t="shared" si="21"/>
        <v>20833.333333333281</v>
      </c>
      <c r="G67" s="30">
        <f t="shared" si="22"/>
        <v>0.16858536585365894</v>
      </c>
    </row>
    <row r="68" spans="1:7" x14ac:dyDescent="0.25">
      <c r="A68">
        <v>57</v>
      </c>
      <c r="B68" s="26">
        <f t="shared" si="23"/>
        <v>20833.333333333281</v>
      </c>
      <c r="C68" s="25">
        <f t="shared" si="18"/>
        <v>820.83333333333326</v>
      </c>
      <c r="D68">
        <f t="shared" si="19"/>
        <v>299.99999999999994</v>
      </c>
      <c r="E68" s="25">
        <f t="shared" si="20"/>
        <v>520.83333333333337</v>
      </c>
      <c r="F68" s="26">
        <f t="shared" si="21"/>
        <v>20312.499999999949</v>
      </c>
      <c r="G68" s="30">
        <f t="shared" si="22"/>
        <v>0.1728000000000004</v>
      </c>
    </row>
    <row r="69" spans="1:7" x14ac:dyDescent="0.25">
      <c r="A69">
        <v>58</v>
      </c>
      <c r="B69" s="26">
        <f t="shared" si="23"/>
        <v>20312.499999999949</v>
      </c>
      <c r="C69" s="25">
        <f t="shared" si="18"/>
        <v>820.83333333333326</v>
      </c>
      <c r="D69">
        <f t="shared" si="19"/>
        <v>299.99999999999994</v>
      </c>
      <c r="E69" s="25">
        <f t="shared" si="20"/>
        <v>520.83333333333337</v>
      </c>
      <c r="F69" s="26">
        <f t="shared" si="21"/>
        <v>19791.666666666617</v>
      </c>
      <c r="G69" s="30">
        <f t="shared" si="22"/>
        <v>0.17723076923076964</v>
      </c>
    </row>
    <row r="70" spans="1:7" x14ac:dyDescent="0.25">
      <c r="A70">
        <v>59</v>
      </c>
      <c r="B70" s="26">
        <f t="shared" si="23"/>
        <v>19791.666666666617</v>
      </c>
      <c r="C70" s="25">
        <f t="shared" si="18"/>
        <v>820.83333333333326</v>
      </c>
      <c r="D70">
        <f t="shared" si="19"/>
        <v>299.99999999999994</v>
      </c>
      <c r="E70" s="25">
        <f t="shared" si="20"/>
        <v>520.83333333333337</v>
      </c>
      <c r="F70" s="26">
        <f t="shared" si="21"/>
        <v>19270.833333333285</v>
      </c>
      <c r="G70" s="30">
        <f t="shared" si="22"/>
        <v>0.18189473684210569</v>
      </c>
    </row>
    <row r="71" spans="1:7" x14ac:dyDescent="0.25">
      <c r="A71">
        <v>60</v>
      </c>
      <c r="B71" s="26">
        <f t="shared" si="23"/>
        <v>19270.833333333285</v>
      </c>
      <c r="C71" s="25">
        <f t="shared" si="18"/>
        <v>820.83333333333326</v>
      </c>
      <c r="D71">
        <f t="shared" si="19"/>
        <v>299.99999999999994</v>
      </c>
      <c r="E71" s="25">
        <f t="shared" si="20"/>
        <v>520.83333333333337</v>
      </c>
      <c r="F71" s="26">
        <f t="shared" si="21"/>
        <v>18749.999999999953</v>
      </c>
      <c r="G71" s="30">
        <f t="shared" si="22"/>
        <v>0.18681081081081125</v>
      </c>
    </row>
    <row r="72" spans="1:7" x14ac:dyDescent="0.25">
      <c r="A72">
        <v>61</v>
      </c>
      <c r="B72" s="26">
        <f t="shared" si="23"/>
        <v>18749.999999999953</v>
      </c>
      <c r="C72" s="25">
        <f t="shared" si="18"/>
        <v>820.83333333333326</v>
      </c>
      <c r="D72">
        <f t="shared" si="19"/>
        <v>299.99999999999994</v>
      </c>
      <c r="E72" s="25">
        <f t="shared" si="20"/>
        <v>520.83333333333337</v>
      </c>
      <c r="F72" s="26">
        <f t="shared" si="21"/>
        <v>18229.166666666621</v>
      </c>
      <c r="G72" s="30">
        <f t="shared" si="22"/>
        <v>0.19200000000000045</v>
      </c>
    </row>
    <row r="73" spans="1:7" x14ac:dyDescent="0.25">
      <c r="A73">
        <v>62</v>
      </c>
      <c r="B73" s="26">
        <f t="shared" si="23"/>
        <v>18229.166666666621</v>
      </c>
      <c r="C73" s="25">
        <f t="shared" si="18"/>
        <v>820.83333333333326</v>
      </c>
      <c r="D73">
        <f t="shared" si="19"/>
        <v>299.99999999999994</v>
      </c>
      <c r="E73" s="25">
        <f t="shared" si="20"/>
        <v>520.83333333333337</v>
      </c>
      <c r="F73" s="26">
        <f t="shared" si="21"/>
        <v>17708.333333333288</v>
      </c>
      <c r="G73" s="30">
        <f t="shared" si="22"/>
        <v>0.19748571428571476</v>
      </c>
    </row>
    <row r="74" spans="1:7" x14ac:dyDescent="0.25">
      <c r="A74">
        <v>63</v>
      </c>
      <c r="B74" s="26">
        <f t="shared" si="23"/>
        <v>17708.333333333288</v>
      </c>
      <c r="C74" s="25">
        <f t="shared" si="18"/>
        <v>820.83333333333326</v>
      </c>
      <c r="D74">
        <f t="shared" si="19"/>
        <v>299.99999999999994</v>
      </c>
      <c r="E74" s="25">
        <f t="shared" si="20"/>
        <v>520.83333333333337</v>
      </c>
      <c r="F74" s="26">
        <f t="shared" si="21"/>
        <v>17187.499999999956</v>
      </c>
      <c r="G74" s="30">
        <f t="shared" si="22"/>
        <v>0.20329411764705929</v>
      </c>
    </row>
    <row r="75" spans="1:7" x14ac:dyDescent="0.25">
      <c r="A75">
        <v>64</v>
      </c>
      <c r="B75" s="26">
        <f t="shared" si="23"/>
        <v>17187.499999999956</v>
      </c>
      <c r="C75" s="25">
        <f t="shared" si="18"/>
        <v>820.83333333333326</v>
      </c>
      <c r="D75">
        <f t="shared" si="19"/>
        <v>299.99999999999994</v>
      </c>
      <c r="E75" s="25">
        <f t="shared" si="20"/>
        <v>520.83333333333337</v>
      </c>
      <c r="F75" s="26">
        <f t="shared" si="21"/>
        <v>16666.666666666624</v>
      </c>
      <c r="G75" s="30">
        <f t="shared" si="22"/>
        <v>0.20945454545454595</v>
      </c>
    </row>
    <row r="76" spans="1:7" x14ac:dyDescent="0.25">
      <c r="A76">
        <v>65</v>
      </c>
      <c r="B76" s="26">
        <f t="shared" si="23"/>
        <v>16666.666666666624</v>
      </c>
      <c r="C76" s="25">
        <f t="shared" ref="C76:C107" si="24">D76+E76</f>
        <v>820.83333333333326</v>
      </c>
      <c r="D76">
        <f t="shared" ref="D76:D107" si="25">$C$9/12*$B$12</f>
        <v>299.99999999999994</v>
      </c>
      <c r="E76" s="25">
        <f t="shared" ref="E76:E107" si="26">$C$8/$E$9</f>
        <v>520.83333333333337</v>
      </c>
      <c r="F76" s="26">
        <f t="shared" ref="F76:F107" si="27">B76-E76</f>
        <v>16145.83333333329</v>
      </c>
      <c r="G76" s="30">
        <f t="shared" ref="G76:G107" si="28">D76/B76*12</f>
        <v>0.21600000000000052</v>
      </c>
    </row>
    <row r="77" spans="1:7" x14ac:dyDescent="0.25">
      <c r="A77">
        <v>66</v>
      </c>
      <c r="B77" s="26">
        <f t="shared" ref="B77:B107" si="29">F76</f>
        <v>16145.83333333329</v>
      </c>
      <c r="C77" s="25">
        <f t="shared" si="24"/>
        <v>820.83333333333326</v>
      </c>
      <c r="D77">
        <f t="shared" si="25"/>
        <v>299.99999999999994</v>
      </c>
      <c r="E77" s="25">
        <f t="shared" si="26"/>
        <v>520.83333333333337</v>
      </c>
      <c r="F77" s="26">
        <f t="shared" si="27"/>
        <v>15624.999999999956</v>
      </c>
      <c r="G77" s="30">
        <f t="shared" si="28"/>
        <v>0.22296774193548444</v>
      </c>
    </row>
    <row r="78" spans="1:7" x14ac:dyDescent="0.25">
      <c r="A78">
        <v>67</v>
      </c>
      <c r="B78" s="26">
        <f t="shared" si="29"/>
        <v>15624.999999999956</v>
      </c>
      <c r="C78" s="25">
        <f t="shared" si="24"/>
        <v>820.83333333333326</v>
      </c>
      <c r="D78">
        <f t="shared" si="25"/>
        <v>299.99999999999994</v>
      </c>
      <c r="E78" s="25">
        <f t="shared" si="26"/>
        <v>520.83333333333337</v>
      </c>
      <c r="F78" s="26">
        <f t="shared" si="27"/>
        <v>15104.166666666622</v>
      </c>
      <c r="G78" s="30">
        <f t="shared" si="28"/>
        <v>0.2304000000000006</v>
      </c>
    </row>
    <row r="79" spans="1:7" x14ac:dyDescent="0.25">
      <c r="A79">
        <v>68</v>
      </c>
      <c r="B79" s="26">
        <f t="shared" si="29"/>
        <v>15104.166666666622</v>
      </c>
      <c r="C79" s="25">
        <f t="shared" si="24"/>
        <v>820.83333333333326</v>
      </c>
      <c r="D79">
        <f t="shared" si="25"/>
        <v>299.99999999999994</v>
      </c>
      <c r="E79" s="25">
        <f t="shared" si="26"/>
        <v>520.83333333333337</v>
      </c>
      <c r="F79" s="26">
        <f t="shared" si="27"/>
        <v>14583.333333333288</v>
      </c>
      <c r="G79" s="30">
        <f t="shared" si="28"/>
        <v>0.23834482758620754</v>
      </c>
    </row>
    <row r="80" spans="1:7" x14ac:dyDescent="0.25">
      <c r="A80">
        <v>69</v>
      </c>
      <c r="B80" s="26">
        <f t="shared" si="29"/>
        <v>14583.333333333288</v>
      </c>
      <c r="C80" s="25">
        <f t="shared" si="24"/>
        <v>820.83333333333326</v>
      </c>
      <c r="D80">
        <f t="shared" si="25"/>
        <v>299.99999999999994</v>
      </c>
      <c r="E80" s="25">
        <f t="shared" si="26"/>
        <v>520.83333333333337</v>
      </c>
      <c r="F80" s="26">
        <f t="shared" si="27"/>
        <v>14062.499999999955</v>
      </c>
      <c r="G80" s="30">
        <f t="shared" si="28"/>
        <v>0.24685714285714355</v>
      </c>
    </row>
    <row r="81" spans="1:7" x14ac:dyDescent="0.25">
      <c r="A81">
        <v>70</v>
      </c>
      <c r="B81" s="26">
        <f t="shared" si="29"/>
        <v>14062.499999999955</v>
      </c>
      <c r="C81" s="25">
        <f t="shared" si="24"/>
        <v>820.83333333333326</v>
      </c>
      <c r="D81">
        <f t="shared" si="25"/>
        <v>299.99999999999994</v>
      </c>
      <c r="E81" s="25">
        <f t="shared" si="26"/>
        <v>520.83333333333337</v>
      </c>
      <c r="F81" s="26">
        <f t="shared" si="27"/>
        <v>13541.666666666621</v>
      </c>
      <c r="G81" s="30">
        <f t="shared" si="28"/>
        <v>0.25600000000000078</v>
      </c>
    </row>
    <row r="82" spans="1:7" x14ac:dyDescent="0.25">
      <c r="A82">
        <v>71</v>
      </c>
      <c r="B82" s="26">
        <f t="shared" si="29"/>
        <v>13541.666666666621</v>
      </c>
      <c r="C82" s="25">
        <f t="shared" si="24"/>
        <v>820.83333333333326</v>
      </c>
      <c r="D82">
        <f t="shared" si="25"/>
        <v>299.99999999999994</v>
      </c>
      <c r="E82" s="25">
        <f t="shared" si="26"/>
        <v>520.83333333333337</v>
      </c>
      <c r="F82" s="26">
        <f t="shared" si="27"/>
        <v>13020.833333333287</v>
      </c>
      <c r="G82" s="30">
        <f t="shared" si="28"/>
        <v>0.26584615384615473</v>
      </c>
    </row>
    <row r="83" spans="1:7" x14ac:dyDescent="0.25">
      <c r="A83">
        <v>72</v>
      </c>
      <c r="B83" s="26">
        <f t="shared" si="29"/>
        <v>13020.833333333287</v>
      </c>
      <c r="C83" s="25">
        <f t="shared" si="24"/>
        <v>820.83333333333326</v>
      </c>
      <c r="D83">
        <f t="shared" si="25"/>
        <v>299.99999999999994</v>
      </c>
      <c r="E83" s="25">
        <f t="shared" si="26"/>
        <v>520.83333333333337</v>
      </c>
      <c r="F83" s="26">
        <f t="shared" si="27"/>
        <v>12499.999999999953</v>
      </c>
      <c r="G83" s="30">
        <f t="shared" si="28"/>
        <v>0.27648000000000095</v>
      </c>
    </row>
    <row r="84" spans="1:7" x14ac:dyDescent="0.25">
      <c r="A84">
        <v>73</v>
      </c>
      <c r="B84" s="26">
        <f t="shared" si="29"/>
        <v>12499.999999999953</v>
      </c>
      <c r="C84" s="25">
        <f t="shared" si="24"/>
        <v>820.83333333333326</v>
      </c>
      <c r="D84">
        <f t="shared" si="25"/>
        <v>299.99999999999994</v>
      </c>
      <c r="E84" s="25">
        <f t="shared" si="26"/>
        <v>520.83333333333337</v>
      </c>
      <c r="F84" s="26">
        <f t="shared" si="27"/>
        <v>11979.166666666619</v>
      </c>
      <c r="G84" s="30">
        <f t="shared" si="28"/>
        <v>0.28800000000000103</v>
      </c>
    </row>
    <row r="85" spans="1:7" x14ac:dyDescent="0.25">
      <c r="A85">
        <v>74</v>
      </c>
      <c r="B85" s="26">
        <f t="shared" si="29"/>
        <v>11979.166666666619</v>
      </c>
      <c r="C85" s="25">
        <f t="shared" si="24"/>
        <v>820.83333333333326</v>
      </c>
      <c r="D85">
        <f t="shared" si="25"/>
        <v>299.99999999999994</v>
      </c>
      <c r="E85" s="25">
        <f t="shared" si="26"/>
        <v>520.83333333333337</v>
      </c>
      <c r="F85" s="26">
        <f t="shared" si="27"/>
        <v>11458.333333333285</v>
      </c>
      <c r="G85" s="30">
        <f t="shared" si="28"/>
        <v>0.30052173913043589</v>
      </c>
    </row>
    <row r="86" spans="1:7" x14ac:dyDescent="0.25">
      <c r="A86">
        <v>75</v>
      </c>
      <c r="B86" s="26">
        <f t="shared" si="29"/>
        <v>11458.333333333285</v>
      </c>
      <c r="C86" s="25">
        <f t="shared" si="24"/>
        <v>820.83333333333326</v>
      </c>
      <c r="D86">
        <f t="shared" si="25"/>
        <v>299.99999999999994</v>
      </c>
      <c r="E86" s="25">
        <f t="shared" si="26"/>
        <v>520.83333333333337</v>
      </c>
      <c r="F86" s="26">
        <f t="shared" si="27"/>
        <v>10937.499999999951</v>
      </c>
      <c r="G86" s="30">
        <f t="shared" si="28"/>
        <v>0.31418181818181945</v>
      </c>
    </row>
    <row r="87" spans="1:7" x14ac:dyDescent="0.25">
      <c r="A87">
        <v>76</v>
      </c>
      <c r="B87" s="26">
        <f t="shared" si="29"/>
        <v>10937.499999999951</v>
      </c>
      <c r="C87" s="25">
        <f t="shared" si="24"/>
        <v>820.83333333333326</v>
      </c>
      <c r="D87">
        <f t="shared" si="25"/>
        <v>299.99999999999994</v>
      </c>
      <c r="E87" s="25">
        <f t="shared" si="26"/>
        <v>520.83333333333337</v>
      </c>
      <c r="F87" s="26">
        <f t="shared" si="27"/>
        <v>10416.666666666617</v>
      </c>
      <c r="G87" s="30">
        <f t="shared" si="28"/>
        <v>0.32914285714285851</v>
      </c>
    </row>
    <row r="88" spans="1:7" x14ac:dyDescent="0.25">
      <c r="A88">
        <v>77</v>
      </c>
      <c r="B88" s="26">
        <f t="shared" si="29"/>
        <v>10416.666666666617</v>
      </c>
      <c r="C88" s="25">
        <f t="shared" si="24"/>
        <v>820.83333333333326</v>
      </c>
      <c r="D88">
        <f t="shared" si="25"/>
        <v>299.99999999999994</v>
      </c>
      <c r="E88" s="25">
        <f t="shared" si="26"/>
        <v>520.83333333333337</v>
      </c>
      <c r="F88" s="26">
        <f t="shared" si="27"/>
        <v>9895.833333333283</v>
      </c>
      <c r="G88" s="30">
        <f t="shared" si="28"/>
        <v>0.34560000000000157</v>
      </c>
    </row>
    <row r="89" spans="1:7" x14ac:dyDescent="0.25">
      <c r="A89">
        <v>78</v>
      </c>
      <c r="B89" s="26">
        <f t="shared" si="29"/>
        <v>9895.833333333283</v>
      </c>
      <c r="C89" s="25">
        <f t="shared" si="24"/>
        <v>820.83333333333326</v>
      </c>
      <c r="D89">
        <f t="shared" si="25"/>
        <v>299.99999999999994</v>
      </c>
      <c r="E89" s="25">
        <f t="shared" si="26"/>
        <v>520.83333333333337</v>
      </c>
      <c r="F89" s="26">
        <f t="shared" si="27"/>
        <v>9374.9999999999491</v>
      </c>
      <c r="G89" s="30">
        <f t="shared" si="28"/>
        <v>0.36378947368421233</v>
      </c>
    </row>
    <row r="90" spans="1:7" x14ac:dyDescent="0.25">
      <c r="A90">
        <v>79</v>
      </c>
      <c r="B90" s="26">
        <f t="shared" si="29"/>
        <v>9374.9999999999491</v>
      </c>
      <c r="C90" s="25">
        <f t="shared" si="24"/>
        <v>820.83333333333326</v>
      </c>
      <c r="D90">
        <f t="shared" si="25"/>
        <v>299.99999999999994</v>
      </c>
      <c r="E90" s="25">
        <f t="shared" si="26"/>
        <v>520.83333333333337</v>
      </c>
      <c r="F90" s="26">
        <f t="shared" si="27"/>
        <v>8854.1666666666151</v>
      </c>
      <c r="G90" s="30">
        <f t="shared" si="28"/>
        <v>0.38400000000000201</v>
      </c>
    </row>
    <row r="91" spans="1:7" x14ac:dyDescent="0.25">
      <c r="A91">
        <v>80</v>
      </c>
      <c r="B91" s="26">
        <f t="shared" si="29"/>
        <v>8854.1666666666151</v>
      </c>
      <c r="C91" s="25">
        <f t="shared" si="24"/>
        <v>820.83333333333326</v>
      </c>
      <c r="D91">
        <f t="shared" si="25"/>
        <v>299.99999999999994</v>
      </c>
      <c r="E91" s="25">
        <f t="shared" si="26"/>
        <v>520.83333333333337</v>
      </c>
      <c r="F91" s="26">
        <f t="shared" si="27"/>
        <v>8333.3333333332812</v>
      </c>
      <c r="G91" s="30">
        <f t="shared" si="28"/>
        <v>0.40658823529411992</v>
      </c>
    </row>
    <row r="92" spans="1:7" x14ac:dyDescent="0.25">
      <c r="A92">
        <v>81</v>
      </c>
      <c r="B92" s="26">
        <f t="shared" si="29"/>
        <v>8333.3333333332812</v>
      </c>
      <c r="C92" s="25">
        <f t="shared" si="24"/>
        <v>820.83333333333326</v>
      </c>
      <c r="D92">
        <f t="shared" si="25"/>
        <v>299.99999999999994</v>
      </c>
      <c r="E92" s="25">
        <f t="shared" si="26"/>
        <v>520.83333333333337</v>
      </c>
      <c r="F92" s="26">
        <f t="shared" si="27"/>
        <v>7812.4999999999482</v>
      </c>
      <c r="G92" s="30">
        <f t="shared" si="28"/>
        <v>0.4320000000000026</v>
      </c>
    </row>
    <row r="93" spans="1:7" x14ac:dyDescent="0.25">
      <c r="A93">
        <v>82</v>
      </c>
      <c r="B93" s="26">
        <f t="shared" si="29"/>
        <v>7812.4999999999482</v>
      </c>
      <c r="C93" s="25">
        <f t="shared" si="24"/>
        <v>820.83333333333326</v>
      </c>
      <c r="D93">
        <f t="shared" si="25"/>
        <v>299.99999999999994</v>
      </c>
      <c r="E93" s="25">
        <f t="shared" si="26"/>
        <v>520.83333333333337</v>
      </c>
      <c r="F93" s="26">
        <f t="shared" si="27"/>
        <v>7291.6666666666151</v>
      </c>
      <c r="G93" s="30">
        <f t="shared" si="28"/>
        <v>0.46080000000000298</v>
      </c>
    </row>
    <row r="94" spans="1:7" x14ac:dyDescent="0.25">
      <c r="A94">
        <v>83</v>
      </c>
      <c r="B94" s="26">
        <f t="shared" si="29"/>
        <v>7291.6666666666151</v>
      </c>
      <c r="C94" s="25">
        <f t="shared" si="24"/>
        <v>820.83333333333326</v>
      </c>
      <c r="D94">
        <f t="shared" si="25"/>
        <v>299.99999999999994</v>
      </c>
      <c r="E94" s="25">
        <f t="shared" si="26"/>
        <v>520.83333333333337</v>
      </c>
      <c r="F94" s="26">
        <f t="shared" si="27"/>
        <v>6770.8333333332821</v>
      </c>
      <c r="G94" s="30">
        <f t="shared" si="28"/>
        <v>0.4937142857142891</v>
      </c>
    </row>
    <row r="95" spans="1:7" x14ac:dyDescent="0.25">
      <c r="A95">
        <v>84</v>
      </c>
      <c r="B95" s="26">
        <f t="shared" si="29"/>
        <v>6770.8333333332821</v>
      </c>
      <c r="C95" s="25">
        <f t="shared" si="24"/>
        <v>820.83333333333326</v>
      </c>
      <c r="D95">
        <f t="shared" si="25"/>
        <v>299.99999999999994</v>
      </c>
      <c r="E95" s="25">
        <f t="shared" si="26"/>
        <v>520.83333333333337</v>
      </c>
      <c r="F95" s="26">
        <f t="shared" si="27"/>
        <v>6249.9999999999491</v>
      </c>
      <c r="G95" s="30">
        <f t="shared" si="28"/>
        <v>0.53169230769231168</v>
      </c>
    </row>
    <row r="96" spans="1:7" x14ac:dyDescent="0.25">
      <c r="A96">
        <v>85</v>
      </c>
      <c r="B96" s="26">
        <f t="shared" si="29"/>
        <v>6249.9999999999491</v>
      </c>
      <c r="C96" s="25">
        <f t="shared" si="24"/>
        <v>820.83333333333326</v>
      </c>
      <c r="D96">
        <f t="shared" si="25"/>
        <v>299.99999999999994</v>
      </c>
      <c r="E96" s="25">
        <f t="shared" si="26"/>
        <v>520.83333333333337</v>
      </c>
      <c r="F96" s="26">
        <f t="shared" si="27"/>
        <v>5729.166666666616</v>
      </c>
      <c r="G96" s="30">
        <f t="shared" si="28"/>
        <v>0.57600000000000462</v>
      </c>
    </row>
    <row r="97" spans="1:7" x14ac:dyDescent="0.25">
      <c r="A97">
        <v>86</v>
      </c>
      <c r="B97" s="26">
        <f t="shared" si="29"/>
        <v>5729.166666666616</v>
      </c>
      <c r="C97" s="25">
        <f t="shared" si="24"/>
        <v>820.83333333333326</v>
      </c>
      <c r="D97">
        <f t="shared" si="25"/>
        <v>299.99999999999994</v>
      </c>
      <c r="E97" s="25">
        <f t="shared" si="26"/>
        <v>520.83333333333337</v>
      </c>
      <c r="F97" s="26">
        <f t="shared" si="27"/>
        <v>5208.333333333283</v>
      </c>
      <c r="G97" s="30">
        <f t="shared" si="28"/>
        <v>0.62836363636364179</v>
      </c>
    </row>
    <row r="98" spans="1:7" x14ac:dyDescent="0.25">
      <c r="A98">
        <v>87</v>
      </c>
      <c r="B98" s="26">
        <f t="shared" si="29"/>
        <v>5208.333333333283</v>
      </c>
      <c r="C98" s="25">
        <f t="shared" si="24"/>
        <v>820.83333333333326</v>
      </c>
      <c r="D98">
        <f t="shared" si="25"/>
        <v>299.99999999999994</v>
      </c>
      <c r="E98" s="25">
        <f t="shared" si="26"/>
        <v>520.83333333333337</v>
      </c>
      <c r="F98" s="26">
        <f t="shared" si="27"/>
        <v>4687.49999999995</v>
      </c>
      <c r="G98" s="30">
        <f t="shared" si="28"/>
        <v>0.69120000000000659</v>
      </c>
    </row>
    <row r="99" spans="1:7" x14ac:dyDescent="0.25">
      <c r="A99">
        <v>88</v>
      </c>
      <c r="B99" s="26">
        <f t="shared" si="29"/>
        <v>4687.49999999995</v>
      </c>
      <c r="C99" s="25">
        <f t="shared" si="24"/>
        <v>820.83333333333326</v>
      </c>
      <c r="D99">
        <f t="shared" si="25"/>
        <v>299.99999999999994</v>
      </c>
      <c r="E99" s="25">
        <f t="shared" si="26"/>
        <v>520.83333333333337</v>
      </c>
      <c r="F99" s="26">
        <f t="shared" si="27"/>
        <v>4166.6666666666169</v>
      </c>
      <c r="G99" s="30">
        <f t="shared" si="28"/>
        <v>0.76800000000000801</v>
      </c>
    </row>
    <row r="100" spans="1:7" x14ac:dyDescent="0.25">
      <c r="A100">
        <v>89</v>
      </c>
      <c r="B100" s="26">
        <f t="shared" si="29"/>
        <v>4166.6666666666169</v>
      </c>
      <c r="C100" s="25">
        <f t="shared" si="24"/>
        <v>820.83333333333326</v>
      </c>
      <c r="D100">
        <f t="shared" si="25"/>
        <v>299.99999999999994</v>
      </c>
      <c r="E100" s="25">
        <f t="shared" si="26"/>
        <v>520.83333333333337</v>
      </c>
      <c r="F100" s="26">
        <f t="shared" si="27"/>
        <v>3645.8333333332835</v>
      </c>
      <c r="G100" s="30">
        <f t="shared" si="28"/>
        <v>0.86400000000001009</v>
      </c>
    </row>
    <row r="101" spans="1:7" x14ac:dyDescent="0.25">
      <c r="A101">
        <v>90</v>
      </c>
      <c r="B101" s="26">
        <f t="shared" si="29"/>
        <v>3645.8333333332835</v>
      </c>
      <c r="C101" s="25">
        <f t="shared" si="24"/>
        <v>820.83333333333326</v>
      </c>
      <c r="D101">
        <f t="shared" si="25"/>
        <v>299.99999999999994</v>
      </c>
      <c r="E101" s="25">
        <f t="shared" si="26"/>
        <v>520.83333333333337</v>
      </c>
      <c r="F101" s="26">
        <f t="shared" si="27"/>
        <v>3124.99999999995</v>
      </c>
      <c r="G101" s="30">
        <f t="shared" si="28"/>
        <v>0.98742857142858464</v>
      </c>
    </row>
    <row r="102" spans="1:7" x14ac:dyDescent="0.25">
      <c r="A102">
        <v>91</v>
      </c>
      <c r="B102" s="26">
        <f t="shared" si="29"/>
        <v>3124.99999999995</v>
      </c>
      <c r="C102" s="25">
        <f t="shared" si="24"/>
        <v>820.83333333333326</v>
      </c>
      <c r="D102">
        <f t="shared" si="25"/>
        <v>299.99999999999994</v>
      </c>
      <c r="E102" s="25">
        <f t="shared" si="26"/>
        <v>520.83333333333337</v>
      </c>
      <c r="F102" s="26">
        <f t="shared" si="27"/>
        <v>2604.1666666666165</v>
      </c>
      <c r="G102" s="30">
        <f t="shared" si="28"/>
        <v>1.1520000000000181</v>
      </c>
    </row>
    <row r="103" spans="1:7" x14ac:dyDescent="0.25">
      <c r="A103">
        <v>92</v>
      </c>
      <c r="B103" s="26">
        <f t="shared" si="29"/>
        <v>2604.1666666666165</v>
      </c>
      <c r="C103" s="25">
        <f t="shared" si="24"/>
        <v>820.83333333333326</v>
      </c>
      <c r="D103">
        <f t="shared" si="25"/>
        <v>299.99999999999994</v>
      </c>
      <c r="E103" s="25">
        <f t="shared" si="26"/>
        <v>520.83333333333337</v>
      </c>
      <c r="F103" s="26">
        <f t="shared" si="27"/>
        <v>2083.333333333283</v>
      </c>
      <c r="G103" s="30">
        <f t="shared" si="28"/>
        <v>1.3824000000000265</v>
      </c>
    </row>
    <row r="104" spans="1:7" x14ac:dyDescent="0.25">
      <c r="A104">
        <v>93</v>
      </c>
      <c r="B104" s="26">
        <f t="shared" si="29"/>
        <v>2083.333333333283</v>
      </c>
      <c r="C104" s="25">
        <f t="shared" si="24"/>
        <v>820.83333333333326</v>
      </c>
      <c r="D104">
        <f t="shared" si="25"/>
        <v>299.99999999999994</v>
      </c>
      <c r="E104" s="25">
        <f t="shared" si="26"/>
        <v>520.83333333333337</v>
      </c>
      <c r="F104" s="26">
        <f t="shared" si="27"/>
        <v>1562.4999999999495</v>
      </c>
      <c r="G104" s="30">
        <f t="shared" si="28"/>
        <v>1.7280000000000415</v>
      </c>
    </row>
    <row r="105" spans="1:7" x14ac:dyDescent="0.25">
      <c r="A105">
        <v>94</v>
      </c>
      <c r="B105" s="26">
        <f t="shared" si="29"/>
        <v>1562.4999999999495</v>
      </c>
      <c r="C105" s="25">
        <f t="shared" si="24"/>
        <v>820.83333333333326</v>
      </c>
      <c r="D105">
        <f t="shared" si="25"/>
        <v>299.99999999999994</v>
      </c>
      <c r="E105" s="25">
        <f t="shared" si="26"/>
        <v>520.83333333333337</v>
      </c>
      <c r="F105" s="26">
        <f t="shared" si="27"/>
        <v>1041.666666666616</v>
      </c>
      <c r="G105" s="30">
        <f t="shared" si="28"/>
        <v>2.304000000000074</v>
      </c>
    </row>
    <row r="106" spans="1:7" x14ac:dyDescent="0.25">
      <c r="A106">
        <v>95</v>
      </c>
      <c r="B106" s="26">
        <f t="shared" si="29"/>
        <v>1041.666666666616</v>
      </c>
      <c r="C106" s="25">
        <f t="shared" si="24"/>
        <v>820.83333333333326</v>
      </c>
      <c r="D106">
        <f t="shared" si="25"/>
        <v>299.99999999999994</v>
      </c>
      <c r="E106" s="25">
        <f t="shared" si="26"/>
        <v>520.83333333333337</v>
      </c>
      <c r="F106" s="26">
        <f t="shared" si="27"/>
        <v>520.83333333328267</v>
      </c>
      <c r="G106" s="30">
        <f t="shared" si="28"/>
        <v>3.4560000000001674</v>
      </c>
    </row>
    <row r="107" spans="1:7" x14ac:dyDescent="0.25">
      <c r="A107">
        <v>96</v>
      </c>
      <c r="B107" s="26">
        <f t="shared" si="29"/>
        <v>520.83333333328267</v>
      </c>
      <c r="C107" s="25">
        <f t="shared" si="24"/>
        <v>820.83333333333326</v>
      </c>
      <c r="D107">
        <f t="shared" si="25"/>
        <v>299.99999999999994</v>
      </c>
      <c r="E107" s="25">
        <f t="shared" si="26"/>
        <v>520.83333333333337</v>
      </c>
      <c r="F107" s="26">
        <f t="shared" si="27"/>
        <v>-5.0704329623840749E-11</v>
      </c>
      <c r="G107" s="30">
        <f t="shared" si="28"/>
        <v>6.9120000000006705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1CE30-C0C5-4CFB-948B-59B299C0C5E2}">
  <sheetPr>
    <tabColor theme="9"/>
  </sheetPr>
  <dimension ref="A2:C32"/>
  <sheetViews>
    <sheetView workbookViewId="0">
      <selection activeCell="B31" sqref="B31:B32"/>
    </sheetView>
  </sheetViews>
  <sheetFormatPr defaultRowHeight="14.4" x14ac:dyDescent="0.25"/>
  <cols>
    <col min="1" max="1" width="9.44140625" bestFit="1" customWidth="1"/>
    <col min="18" max="18" width="10.109375" customWidth="1"/>
    <col min="19" max="19" width="10.44140625" customWidth="1"/>
    <col min="21" max="21" width="12.6640625" customWidth="1"/>
  </cols>
  <sheetData>
    <row r="2" spans="1:3" x14ac:dyDescent="0.25">
      <c r="A2">
        <v>20191019</v>
      </c>
      <c r="B2" t="s">
        <v>69</v>
      </c>
    </row>
    <row r="3" spans="1:3" x14ac:dyDescent="0.25">
      <c r="A3">
        <v>1</v>
      </c>
      <c r="B3" t="s">
        <v>72</v>
      </c>
    </row>
    <row r="4" spans="1:3" x14ac:dyDescent="0.25">
      <c r="A4">
        <v>2</v>
      </c>
    </row>
    <row r="5" spans="1:3" x14ac:dyDescent="0.25">
      <c r="A5">
        <v>3</v>
      </c>
      <c r="B5" t="s">
        <v>70</v>
      </c>
    </row>
    <row r="6" spans="1:3" x14ac:dyDescent="0.25">
      <c r="B6" t="s">
        <v>71</v>
      </c>
    </row>
    <row r="7" spans="1:3" x14ac:dyDescent="0.25">
      <c r="C7" t="s">
        <v>73</v>
      </c>
    </row>
    <row r="8" spans="1:3" x14ac:dyDescent="0.25">
      <c r="C8" t="s">
        <v>74</v>
      </c>
    </row>
    <row r="9" spans="1:3" x14ac:dyDescent="0.25">
      <c r="C9" t="s">
        <v>85</v>
      </c>
    </row>
    <row r="11" spans="1:3" x14ac:dyDescent="0.25">
      <c r="A11">
        <v>1</v>
      </c>
      <c r="B11" t="s">
        <v>66</v>
      </c>
    </row>
    <row r="12" spans="1:3" x14ac:dyDescent="0.25">
      <c r="A12">
        <v>2</v>
      </c>
      <c r="B12" t="s">
        <v>81</v>
      </c>
    </row>
    <row r="14" spans="1:3" x14ac:dyDescent="0.25">
      <c r="A14">
        <v>4</v>
      </c>
      <c r="B14" s="6" t="s">
        <v>87</v>
      </c>
    </row>
    <row r="15" spans="1:3" x14ac:dyDescent="0.25">
      <c r="C15" s="6" t="s">
        <v>88</v>
      </c>
    </row>
    <row r="16" spans="1:3" x14ac:dyDescent="0.25">
      <c r="C16" s="6" t="s">
        <v>89</v>
      </c>
    </row>
    <row r="18" spans="1:3" x14ac:dyDescent="0.25">
      <c r="A18">
        <v>20191020</v>
      </c>
      <c r="B18" t="s">
        <v>69</v>
      </c>
    </row>
    <row r="19" spans="1:3" x14ac:dyDescent="0.25">
      <c r="A19">
        <v>1</v>
      </c>
      <c r="B19" t="s">
        <v>115</v>
      </c>
    </row>
    <row r="21" spans="1:3" x14ac:dyDescent="0.25">
      <c r="A21">
        <v>2</v>
      </c>
      <c r="B21" t="s">
        <v>116</v>
      </c>
    </row>
    <row r="22" spans="1:3" x14ac:dyDescent="0.25">
      <c r="C22" s="4" t="s">
        <v>91</v>
      </c>
    </row>
    <row r="23" spans="1:3" x14ac:dyDescent="0.25">
      <c r="A23">
        <v>3</v>
      </c>
      <c r="B23" t="s">
        <v>119</v>
      </c>
    </row>
    <row r="24" spans="1:3" x14ac:dyDescent="0.25">
      <c r="A24">
        <v>4</v>
      </c>
      <c r="B24" t="s">
        <v>117</v>
      </c>
    </row>
    <row r="25" spans="1:3" x14ac:dyDescent="0.25">
      <c r="A25">
        <v>5</v>
      </c>
      <c r="B25" t="s">
        <v>118</v>
      </c>
    </row>
    <row r="27" spans="1:3" x14ac:dyDescent="0.25">
      <c r="A27">
        <v>6</v>
      </c>
      <c r="B27" t="s">
        <v>120</v>
      </c>
    </row>
    <row r="28" spans="1:3" x14ac:dyDescent="0.25">
      <c r="B28" t="s">
        <v>121</v>
      </c>
    </row>
    <row r="29" spans="1:3" x14ac:dyDescent="0.25">
      <c r="B29" t="s">
        <v>122</v>
      </c>
    </row>
    <row r="31" spans="1:3" x14ac:dyDescent="0.25">
      <c r="A31" t="s">
        <v>288</v>
      </c>
      <c r="B31" s="6" t="s">
        <v>289</v>
      </c>
    </row>
    <row r="32" spans="1:3" x14ac:dyDescent="0.25">
      <c r="B32" s="7" t="s">
        <v>290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3F421-27D3-44A7-ADF5-C1C7630C2A70}">
  <dimension ref="A2:I120"/>
  <sheetViews>
    <sheetView topLeftCell="A87" workbookViewId="0">
      <selection activeCell="F132" sqref="F132"/>
    </sheetView>
  </sheetViews>
  <sheetFormatPr defaultRowHeight="14.4" x14ac:dyDescent="0.25"/>
  <cols>
    <col min="1" max="1" width="9.44140625" bestFit="1" customWidth="1"/>
  </cols>
  <sheetData>
    <row r="2" spans="1:3" x14ac:dyDescent="0.25">
      <c r="A2">
        <v>0</v>
      </c>
      <c r="B2" s="6" t="s">
        <v>33</v>
      </c>
    </row>
    <row r="3" spans="1:3" x14ac:dyDescent="0.25">
      <c r="B3" s="6">
        <v>1</v>
      </c>
      <c r="C3" s="6" t="s">
        <v>34</v>
      </c>
    </row>
    <row r="4" spans="1:3" x14ac:dyDescent="0.25">
      <c r="B4" s="7">
        <v>2</v>
      </c>
      <c r="C4" s="7" t="s">
        <v>35</v>
      </c>
    </row>
    <row r="5" spans="1:3" x14ac:dyDescent="0.25">
      <c r="B5" s="7">
        <v>3</v>
      </c>
      <c r="C5" s="7" t="s">
        <v>36</v>
      </c>
    </row>
    <row r="6" spans="1:3" x14ac:dyDescent="0.25">
      <c r="B6" s="7">
        <v>4</v>
      </c>
      <c r="C6" s="7" t="s">
        <v>37</v>
      </c>
    </row>
    <row r="7" spans="1:3" x14ac:dyDescent="0.25">
      <c r="B7" s="7">
        <v>5</v>
      </c>
      <c r="C7" s="7" t="s">
        <v>38</v>
      </c>
    </row>
    <row r="8" spans="1:3" x14ac:dyDescent="0.25">
      <c r="B8" s="7">
        <v>6</v>
      </c>
      <c r="C8" s="7" t="s">
        <v>39</v>
      </c>
    </row>
    <row r="9" spans="1:3" x14ac:dyDescent="0.25">
      <c r="C9" t="s">
        <v>41</v>
      </c>
    </row>
    <row r="10" spans="1:3" x14ac:dyDescent="0.25">
      <c r="C10" s="7" t="s">
        <v>42</v>
      </c>
    </row>
    <row r="11" spans="1:3" x14ac:dyDescent="0.25">
      <c r="A11">
        <v>1</v>
      </c>
      <c r="B11" t="s">
        <v>43</v>
      </c>
    </row>
    <row r="12" spans="1:3" x14ac:dyDescent="0.25">
      <c r="B12">
        <v>1</v>
      </c>
      <c r="C12" t="s">
        <v>2</v>
      </c>
    </row>
    <row r="13" spans="1:3" x14ac:dyDescent="0.25">
      <c r="B13">
        <v>2</v>
      </c>
      <c r="C13" t="s">
        <v>3</v>
      </c>
    </row>
    <row r="15" spans="1:3" x14ac:dyDescent="0.25">
      <c r="A15">
        <v>2</v>
      </c>
      <c r="B15" t="s">
        <v>4</v>
      </c>
    </row>
    <row r="16" spans="1:3" x14ac:dyDescent="0.25">
      <c r="B16" t="s">
        <v>5</v>
      </c>
    </row>
    <row r="18" spans="1:4" x14ac:dyDescent="0.25">
      <c r="A18">
        <v>3</v>
      </c>
      <c r="B18" t="s">
        <v>6</v>
      </c>
    </row>
    <row r="19" spans="1:4" x14ac:dyDescent="0.25">
      <c r="B19">
        <v>1</v>
      </c>
      <c r="C19" t="s">
        <v>8</v>
      </c>
    </row>
    <row r="20" spans="1:4" x14ac:dyDescent="0.25">
      <c r="B20">
        <v>2</v>
      </c>
      <c r="C20" t="s">
        <v>7</v>
      </c>
    </row>
    <row r="21" spans="1:4" x14ac:dyDescent="0.25">
      <c r="B21">
        <v>3</v>
      </c>
      <c r="C21" t="s">
        <v>9</v>
      </c>
    </row>
    <row r="23" spans="1:4" x14ac:dyDescent="0.25">
      <c r="A23">
        <v>4</v>
      </c>
      <c r="B23" t="s">
        <v>18</v>
      </c>
    </row>
    <row r="24" spans="1:4" x14ac:dyDescent="0.25">
      <c r="B24">
        <v>3</v>
      </c>
      <c r="C24" t="s">
        <v>19</v>
      </c>
    </row>
    <row r="25" spans="1:4" x14ac:dyDescent="0.25">
      <c r="C25" t="s">
        <v>21</v>
      </c>
      <c r="D25" t="s">
        <v>20</v>
      </c>
    </row>
    <row r="26" spans="1:4" x14ac:dyDescent="0.25">
      <c r="B26">
        <v>1</v>
      </c>
      <c r="C26" t="s">
        <v>12</v>
      </c>
    </row>
    <row r="27" spans="1:4" ht="15" x14ac:dyDescent="0.25">
      <c r="C27" t="s">
        <v>13</v>
      </c>
      <c r="D27" s="3" t="s">
        <v>14</v>
      </c>
    </row>
    <row r="28" spans="1:4" x14ac:dyDescent="0.25">
      <c r="D28" s="4" t="s">
        <v>16</v>
      </c>
    </row>
    <row r="29" spans="1:4" ht="15" x14ac:dyDescent="0.25">
      <c r="D29" s="3" t="s">
        <v>15</v>
      </c>
    </row>
    <row r="30" spans="1:4" x14ac:dyDescent="0.25">
      <c r="D30" t="s">
        <v>17</v>
      </c>
    </row>
    <row r="32" spans="1:4" x14ac:dyDescent="0.25">
      <c r="B32">
        <v>2</v>
      </c>
      <c r="C32" t="s">
        <v>10</v>
      </c>
    </row>
    <row r="33" spans="2:5" x14ac:dyDescent="0.25">
      <c r="C33" t="s">
        <v>11</v>
      </c>
    </row>
    <row r="35" spans="2:5" x14ac:dyDescent="0.25">
      <c r="B35">
        <v>4</v>
      </c>
      <c r="C35" t="s">
        <v>22</v>
      </c>
    </row>
    <row r="38" spans="2:5" x14ac:dyDescent="0.25">
      <c r="D38" s="4" t="s">
        <v>25</v>
      </c>
    </row>
    <row r="39" spans="2:5" ht="15" x14ac:dyDescent="0.25">
      <c r="D39" s="5" t="s">
        <v>23</v>
      </c>
    </row>
    <row r="40" spans="2:5" x14ac:dyDescent="0.25">
      <c r="C40" t="s">
        <v>21</v>
      </c>
      <c r="D40" t="s">
        <v>24</v>
      </c>
    </row>
    <row r="42" spans="2:5" x14ac:dyDescent="0.25">
      <c r="B42">
        <v>5</v>
      </c>
      <c r="C42" t="s">
        <v>26</v>
      </c>
    </row>
    <row r="43" spans="2:5" x14ac:dyDescent="0.25">
      <c r="C43">
        <v>1</v>
      </c>
      <c r="D43" t="s">
        <v>27</v>
      </c>
    </row>
    <row r="44" spans="2:5" x14ac:dyDescent="0.25">
      <c r="E44" t="s">
        <v>30</v>
      </c>
    </row>
    <row r="45" spans="2:5" x14ac:dyDescent="0.25">
      <c r="C45">
        <v>2</v>
      </c>
      <c r="D45" t="s">
        <v>28</v>
      </c>
    </row>
    <row r="46" spans="2:5" x14ac:dyDescent="0.25">
      <c r="D46" t="s">
        <v>29</v>
      </c>
    </row>
    <row r="48" spans="2:5" x14ac:dyDescent="0.25">
      <c r="C48">
        <v>3</v>
      </c>
      <c r="D48" t="s">
        <v>31</v>
      </c>
    </row>
    <row r="49" spans="1:5" x14ac:dyDescent="0.25">
      <c r="D49" t="s">
        <v>32</v>
      </c>
    </row>
    <row r="51" spans="1:5" x14ac:dyDescent="0.25">
      <c r="C51">
        <v>4</v>
      </c>
      <c r="D51" t="s">
        <v>40</v>
      </c>
    </row>
    <row r="53" spans="1:5" x14ac:dyDescent="0.25">
      <c r="A53" s="2">
        <v>191019</v>
      </c>
      <c r="B53" s="8">
        <v>0.35486111111111113</v>
      </c>
      <c r="C53" s="2"/>
      <c r="D53" s="2"/>
      <c r="E53" s="2"/>
    </row>
    <row r="54" spans="1:5" x14ac:dyDescent="0.25">
      <c r="A54">
        <v>1</v>
      </c>
      <c r="B54" t="s">
        <v>44</v>
      </c>
    </row>
    <row r="55" spans="1:5" x14ac:dyDescent="0.25">
      <c r="B55" s="9" t="s">
        <v>45</v>
      </c>
    </row>
    <row r="57" spans="1:5" x14ac:dyDescent="0.25">
      <c r="A57" t="s">
        <v>46</v>
      </c>
    </row>
    <row r="59" spans="1:5" x14ac:dyDescent="0.25">
      <c r="A59" t="s">
        <v>47</v>
      </c>
    </row>
    <row r="60" spans="1:5" x14ac:dyDescent="0.25">
      <c r="A60" t="s">
        <v>48</v>
      </c>
      <c r="B60" t="s">
        <v>49</v>
      </c>
    </row>
    <row r="62" spans="1:5" x14ac:dyDescent="0.25">
      <c r="B62" t="s">
        <v>50</v>
      </c>
    </row>
    <row r="63" spans="1:5" x14ac:dyDescent="0.25">
      <c r="C63" t="s">
        <v>51</v>
      </c>
    </row>
    <row r="65" spans="1:3" x14ac:dyDescent="0.25">
      <c r="B65" t="s">
        <v>53</v>
      </c>
      <c r="C65" t="s">
        <v>52</v>
      </c>
    </row>
    <row r="67" spans="1:3" x14ac:dyDescent="0.25">
      <c r="B67" t="s">
        <v>55</v>
      </c>
    </row>
    <row r="68" spans="1:3" x14ac:dyDescent="0.25">
      <c r="C68" s="9" t="s">
        <v>54</v>
      </c>
    </row>
    <row r="69" spans="1:3" x14ac:dyDescent="0.25">
      <c r="C69" s="4" t="s">
        <v>56</v>
      </c>
    </row>
    <row r="70" spans="1:3" x14ac:dyDescent="0.25">
      <c r="C70" s="6" t="s">
        <v>57</v>
      </c>
    </row>
    <row r="71" spans="1:3" x14ac:dyDescent="0.25">
      <c r="C71" t="s">
        <v>58</v>
      </c>
    </row>
    <row r="73" spans="1:3" x14ac:dyDescent="0.25">
      <c r="C73" t="s">
        <v>59</v>
      </c>
    </row>
    <row r="74" spans="1:3" x14ac:dyDescent="0.25">
      <c r="C74" t="s">
        <v>60</v>
      </c>
    </row>
    <row r="76" spans="1:3" x14ac:dyDescent="0.25">
      <c r="B76" t="s">
        <v>53</v>
      </c>
      <c r="C76" t="s">
        <v>62</v>
      </c>
    </row>
    <row r="77" spans="1:3" x14ac:dyDescent="0.25">
      <c r="C77" s="9" t="s">
        <v>63</v>
      </c>
    </row>
    <row r="78" spans="1:3" x14ac:dyDescent="0.25">
      <c r="C78" t="s">
        <v>61</v>
      </c>
    </row>
    <row r="80" spans="1:3" x14ac:dyDescent="0.25">
      <c r="A80" t="s">
        <v>65</v>
      </c>
      <c r="B80" s="6" t="s">
        <v>64</v>
      </c>
    </row>
    <row r="83" spans="1:3" x14ac:dyDescent="0.25">
      <c r="B83" t="s">
        <v>67</v>
      </c>
    </row>
    <row r="84" spans="1:3" x14ac:dyDescent="0.25">
      <c r="C84" t="s">
        <v>68</v>
      </c>
    </row>
    <row r="86" spans="1:3" x14ac:dyDescent="0.25">
      <c r="B86" t="s">
        <v>76</v>
      </c>
    </row>
    <row r="87" spans="1:3" x14ac:dyDescent="0.25">
      <c r="B87" t="s">
        <v>75</v>
      </c>
    </row>
    <row r="88" spans="1:3" x14ac:dyDescent="0.25">
      <c r="B88" t="s">
        <v>77</v>
      </c>
    </row>
    <row r="90" spans="1:3" x14ac:dyDescent="0.25">
      <c r="A90" t="s">
        <v>79</v>
      </c>
      <c r="B90" t="s">
        <v>80</v>
      </c>
    </row>
    <row r="91" spans="1:3" x14ac:dyDescent="0.25">
      <c r="B91" s="6" t="s">
        <v>78</v>
      </c>
    </row>
    <row r="93" spans="1:3" x14ac:dyDescent="0.25">
      <c r="A93" t="s">
        <v>82</v>
      </c>
      <c r="B93" t="s">
        <v>83</v>
      </c>
    </row>
    <row r="95" spans="1:3" x14ac:dyDescent="0.25">
      <c r="B95" t="s">
        <v>84</v>
      </c>
    </row>
    <row r="96" spans="1:3" x14ac:dyDescent="0.25">
      <c r="C96" t="s">
        <v>86</v>
      </c>
    </row>
    <row r="98" spans="1:9" x14ac:dyDescent="0.25">
      <c r="A98">
        <v>20191020</v>
      </c>
    </row>
    <row r="99" spans="1:9" x14ac:dyDescent="0.25">
      <c r="B99" t="s">
        <v>90</v>
      </c>
    </row>
    <row r="101" spans="1:9" x14ac:dyDescent="0.25">
      <c r="A101" t="s">
        <v>92</v>
      </c>
      <c r="B101" t="s">
        <v>93</v>
      </c>
    </row>
    <row r="102" spans="1:9" x14ac:dyDescent="0.25">
      <c r="B102" t="s">
        <v>94</v>
      </c>
    </row>
    <row r="104" spans="1:9" x14ac:dyDescent="0.25">
      <c r="A104" t="s">
        <v>95</v>
      </c>
      <c r="B104" t="s">
        <v>96</v>
      </c>
    </row>
    <row r="105" spans="1:9" x14ac:dyDescent="0.25">
      <c r="B105" t="s">
        <v>97</v>
      </c>
    </row>
    <row r="106" spans="1:9" x14ac:dyDescent="0.25">
      <c r="B106" t="s">
        <v>98</v>
      </c>
    </row>
    <row r="108" spans="1:9" x14ac:dyDescent="0.25">
      <c r="A108" t="s">
        <v>108</v>
      </c>
      <c r="B108" t="s">
        <v>100</v>
      </c>
      <c r="I108" t="s">
        <v>112</v>
      </c>
    </row>
    <row r="109" spans="1:9" x14ac:dyDescent="0.25">
      <c r="I109" t="s">
        <v>111</v>
      </c>
    </row>
    <row r="110" spans="1:9" x14ac:dyDescent="0.25">
      <c r="B110">
        <v>1</v>
      </c>
      <c r="C110" t="s">
        <v>101</v>
      </c>
      <c r="H110">
        <v>125</v>
      </c>
    </row>
    <row r="111" spans="1:9" x14ac:dyDescent="0.25">
      <c r="B111">
        <v>2</v>
      </c>
      <c r="C111" t="s">
        <v>102</v>
      </c>
      <c r="H111">
        <v>85</v>
      </c>
    </row>
    <row r="112" spans="1:9" x14ac:dyDescent="0.25">
      <c r="B112">
        <v>3</v>
      </c>
      <c r="C112" t="s">
        <v>103</v>
      </c>
      <c r="H112">
        <v>85</v>
      </c>
    </row>
    <row r="113" spans="1:8" x14ac:dyDescent="0.25">
      <c r="B113">
        <v>4</v>
      </c>
      <c r="C113" t="s">
        <v>104</v>
      </c>
      <c r="H113">
        <v>85</v>
      </c>
    </row>
    <row r="114" spans="1:8" x14ac:dyDescent="0.25">
      <c r="B114">
        <v>5</v>
      </c>
      <c r="C114" t="s">
        <v>105</v>
      </c>
      <c r="H114">
        <v>85</v>
      </c>
    </row>
    <row r="115" spans="1:8" x14ac:dyDescent="0.25">
      <c r="B115">
        <v>6</v>
      </c>
      <c r="C115" t="s">
        <v>106</v>
      </c>
      <c r="H115">
        <v>85</v>
      </c>
    </row>
    <row r="116" spans="1:8" x14ac:dyDescent="0.25">
      <c r="B116">
        <v>7</v>
      </c>
      <c r="C116" t="s">
        <v>107</v>
      </c>
      <c r="H116">
        <v>450</v>
      </c>
    </row>
    <row r="117" spans="1:8" x14ac:dyDescent="0.25">
      <c r="C117" t="s">
        <v>99</v>
      </c>
      <c r="H117">
        <v>1000</v>
      </c>
    </row>
    <row r="118" spans="1:8" x14ac:dyDescent="0.25">
      <c r="A118" t="s">
        <v>109</v>
      </c>
      <c r="B118" t="s">
        <v>110</v>
      </c>
    </row>
    <row r="120" spans="1:8" x14ac:dyDescent="0.25">
      <c r="A120" t="s">
        <v>113</v>
      </c>
      <c r="B120" t="s">
        <v>114</v>
      </c>
    </row>
  </sheetData>
  <phoneticPr fontId="1" type="noConversion"/>
  <hyperlinks>
    <hyperlink ref="B55" r:id="rId1" xr:uid="{FF120B87-4C1F-4388-A4A0-32D2F0336EDF}"/>
    <hyperlink ref="C68" r:id="rId2" xr:uid="{90862FF5-7C2D-4D84-A7D7-1B7DC879ACCC}"/>
    <hyperlink ref="C77" r:id="rId3" xr:uid="{E438B14D-1B17-442C-BB9B-15AEC93DF43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1CF25-79D9-4163-8618-0649E7A531C4}">
  <sheetPr>
    <tabColor theme="5"/>
  </sheetPr>
  <dimension ref="A1:T198"/>
  <sheetViews>
    <sheetView workbookViewId="0">
      <pane ySplit="1" topLeftCell="A20" activePane="bottomLeft" state="frozen"/>
      <selection pane="bottomLeft" activeCell="G34" sqref="G34"/>
    </sheetView>
  </sheetViews>
  <sheetFormatPr defaultRowHeight="14.4" x14ac:dyDescent="0.25"/>
  <cols>
    <col min="3" max="3" width="13.44140625" customWidth="1"/>
    <col min="4" max="4" width="9.6640625" customWidth="1"/>
    <col min="6" max="6" width="11.6640625" customWidth="1"/>
    <col min="7" max="7" width="14.33203125" customWidth="1"/>
    <col min="8" max="8" width="15.44140625" customWidth="1"/>
    <col min="9" max="9" width="14.21875" customWidth="1"/>
    <col min="10" max="10" width="9.44140625" customWidth="1"/>
    <col min="11" max="11" width="11.33203125" customWidth="1"/>
    <col min="12" max="12" width="10.44140625" customWidth="1"/>
    <col min="13" max="13" width="12.44140625" customWidth="1"/>
    <col min="17" max="17" width="9.44140625" bestFit="1" customWidth="1"/>
    <col min="19" max="19" width="13.6640625" customWidth="1"/>
    <col min="20" max="20" width="13.21875" customWidth="1"/>
  </cols>
  <sheetData>
    <row r="1" spans="1:20" ht="28.2" customHeight="1" x14ac:dyDescent="0.25">
      <c r="A1" s="17" t="s">
        <v>124</v>
      </c>
      <c r="B1" s="16" t="s">
        <v>129</v>
      </c>
      <c r="C1" s="15" t="s">
        <v>128</v>
      </c>
      <c r="D1" s="15" t="s">
        <v>130</v>
      </c>
      <c r="E1" s="15" t="s">
        <v>127</v>
      </c>
      <c r="F1" s="15" t="s">
        <v>146</v>
      </c>
      <c r="G1" s="15" t="s">
        <v>131</v>
      </c>
      <c r="H1" s="15" t="s">
        <v>149</v>
      </c>
      <c r="I1" s="15" t="s">
        <v>139</v>
      </c>
      <c r="J1" s="15" t="s">
        <v>176</v>
      </c>
      <c r="K1" s="15" t="s">
        <v>140</v>
      </c>
      <c r="L1" s="15" t="s">
        <v>134</v>
      </c>
      <c r="M1" s="15" t="s">
        <v>135</v>
      </c>
      <c r="N1" s="15"/>
      <c r="O1" s="15"/>
      <c r="P1" s="15"/>
      <c r="Q1" s="15" t="s">
        <v>152</v>
      </c>
      <c r="R1" s="15" t="s">
        <v>153</v>
      </c>
      <c r="S1" s="15" t="s">
        <v>170</v>
      </c>
      <c r="T1" s="15" t="s">
        <v>238</v>
      </c>
    </row>
    <row r="2" spans="1:20" x14ac:dyDescent="0.25">
      <c r="A2" s="18"/>
      <c r="B2" t="s">
        <v>123</v>
      </c>
      <c r="C2" t="s">
        <v>136</v>
      </c>
      <c r="D2">
        <v>-2550000</v>
      </c>
      <c r="E2" s="10">
        <v>4.6550000000000001E-2</v>
      </c>
      <c r="F2" s="11">
        <v>12</v>
      </c>
      <c r="G2" s="11">
        <f>E2*D2*(F2/12)</f>
        <v>-118702.5</v>
      </c>
      <c r="H2" s="13"/>
      <c r="I2">
        <v>13420</v>
      </c>
      <c r="J2" t="b">
        <f t="shared" ref="J2:J31" si="0">K2&gt;=$A$6</f>
        <v>0</v>
      </c>
      <c r="K2" s="14">
        <f>_xlfn.NUMBERVALUE(R2)</f>
        <v>1002</v>
      </c>
      <c r="L2">
        <v>-161040</v>
      </c>
      <c r="M2" t="s">
        <v>141</v>
      </c>
      <c r="Q2">
        <v>20280402</v>
      </c>
      <c r="R2" t="str">
        <f>$A$4&amp;RIGHT(Q2,2)</f>
        <v>1002</v>
      </c>
    </row>
    <row r="3" spans="1:20" x14ac:dyDescent="0.25">
      <c r="A3" s="18" t="s">
        <v>154</v>
      </c>
      <c r="B3" t="s">
        <v>123</v>
      </c>
      <c r="C3" t="s">
        <v>138</v>
      </c>
      <c r="D3">
        <v>-187500</v>
      </c>
      <c r="E3" s="10">
        <v>7.4999999999999997E-2</v>
      </c>
      <c r="F3" s="11">
        <v>12</v>
      </c>
      <c r="G3" s="11">
        <f t="shared" ref="G3:G10" si="1">E3*D3*(F3/12)</f>
        <v>-14062.5</v>
      </c>
      <c r="H3" s="13" t="s">
        <v>150</v>
      </c>
      <c r="I3">
        <v>6800</v>
      </c>
      <c r="J3" t="b">
        <f t="shared" si="0"/>
        <v>0</v>
      </c>
      <c r="K3" s="14">
        <f t="shared" ref="K3:K27" si="2">_xlfn.NUMBERVALUE(R3)</f>
        <v>1010</v>
      </c>
      <c r="L3" s="6">
        <v>-54000</v>
      </c>
      <c r="M3" t="s">
        <v>180</v>
      </c>
      <c r="Q3">
        <v>20230410</v>
      </c>
      <c r="R3" t="str">
        <f>$A$4&amp;RIGHT(Q3,2)</f>
        <v>1010</v>
      </c>
      <c r="S3">
        <v>54000</v>
      </c>
      <c r="T3" s="11">
        <f>S3*(E3-0.1)</f>
        <v>-1350.0000000000005</v>
      </c>
    </row>
    <row r="4" spans="1:20" x14ac:dyDescent="0.25">
      <c r="A4" s="18">
        <f>A35</f>
        <v>10</v>
      </c>
      <c r="B4" t="s">
        <v>123</v>
      </c>
      <c r="C4" t="s">
        <v>137</v>
      </c>
      <c r="D4">
        <v>-15400</v>
      </c>
      <c r="E4" s="10">
        <v>5.8000000000000003E-2</v>
      </c>
      <c r="F4" s="11">
        <v>12</v>
      </c>
      <c r="G4" s="11">
        <f t="shared" si="1"/>
        <v>-893.2</v>
      </c>
      <c r="H4" s="13"/>
      <c r="I4">
        <v>1100</v>
      </c>
      <c r="J4" t="b">
        <f t="shared" si="0"/>
        <v>1</v>
      </c>
      <c r="K4" s="14">
        <f t="shared" si="2"/>
        <v>1026</v>
      </c>
      <c r="L4">
        <v>-15000</v>
      </c>
      <c r="M4" t="s">
        <v>177</v>
      </c>
      <c r="Q4">
        <v>20210726</v>
      </c>
      <c r="R4" t="str">
        <f>$A$4&amp;RIGHT(Q4,2)</f>
        <v>1026</v>
      </c>
      <c r="S4">
        <v>15000</v>
      </c>
      <c r="T4" s="11">
        <f t="shared" ref="T4:T27" si="3">S4*(E4-0.1)</f>
        <v>-630</v>
      </c>
    </row>
    <row r="5" spans="1:20" x14ac:dyDescent="0.25">
      <c r="A5" s="18" t="s">
        <v>182</v>
      </c>
      <c r="B5" t="s">
        <v>123</v>
      </c>
      <c r="C5" t="s">
        <v>126</v>
      </c>
      <c r="D5">
        <v>-2800</v>
      </c>
      <c r="E5" s="12">
        <v>0.18</v>
      </c>
      <c r="F5" s="11">
        <v>12</v>
      </c>
      <c r="G5" s="11">
        <f t="shared" si="1"/>
        <v>-504</v>
      </c>
      <c r="H5" s="13" t="s">
        <v>150</v>
      </c>
      <c r="I5">
        <v>2800</v>
      </c>
      <c r="J5" t="b">
        <f t="shared" si="0"/>
        <v>0</v>
      </c>
      <c r="K5" s="14">
        <f t="shared" si="2"/>
        <v>1003</v>
      </c>
      <c r="L5">
        <v>-2800</v>
      </c>
      <c r="M5" t="s">
        <v>142</v>
      </c>
      <c r="Q5">
        <v>20301003</v>
      </c>
      <c r="R5" t="str">
        <f>$A$4&amp;RIGHT(Q5,2)</f>
        <v>1003</v>
      </c>
      <c r="S5">
        <v>2800</v>
      </c>
      <c r="T5" s="11">
        <f t="shared" si="3"/>
        <v>223.99999999999997</v>
      </c>
    </row>
    <row r="6" spans="1:20" x14ac:dyDescent="0.25">
      <c r="A6" s="18">
        <f>A37</f>
        <v>1020</v>
      </c>
      <c r="E6" s="12"/>
      <c r="G6" s="11"/>
      <c r="H6" s="13"/>
      <c r="J6" t="b">
        <f t="shared" si="0"/>
        <v>0</v>
      </c>
      <c r="T6" s="11"/>
    </row>
    <row r="7" spans="1:20" x14ac:dyDescent="0.25">
      <c r="B7" t="s">
        <v>125</v>
      </c>
      <c r="C7" t="s">
        <v>126</v>
      </c>
      <c r="D7">
        <v>-13810</v>
      </c>
      <c r="E7" s="12">
        <v>0.18</v>
      </c>
      <c r="F7" s="11">
        <v>12</v>
      </c>
      <c r="G7" s="11">
        <f t="shared" si="1"/>
        <v>-2485.7999999999997</v>
      </c>
      <c r="H7" s="13" t="s">
        <v>150</v>
      </c>
      <c r="I7">
        <v>10500</v>
      </c>
      <c r="J7" t="b">
        <f t="shared" si="0"/>
        <v>0</v>
      </c>
      <c r="K7" s="14">
        <f t="shared" si="2"/>
        <v>1004</v>
      </c>
      <c r="M7" t="s">
        <v>179</v>
      </c>
      <c r="Q7">
        <v>20301004</v>
      </c>
      <c r="R7" t="str">
        <f t="shared" ref="R7:R13" si="4">$A$4&amp;RIGHT(Q7,2)</f>
        <v>1004</v>
      </c>
      <c r="S7">
        <v>10700</v>
      </c>
      <c r="T7" s="11">
        <f t="shared" si="3"/>
        <v>855.99999999999989</v>
      </c>
    </row>
    <row r="8" spans="1:20" x14ac:dyDescent="0.25">
      <c r="B8" t="s">
        <v>125</v>
      </c>
      <c r="C8" t="s">
        <v>143</v>
      </c>
      <c r="D8">
        <v>-22000</v>
      </c>
      <c r="E8" s="12">
        <v>0.23</v>
      </c>
      <c r="F8" s="11">
        <v>11</v>
      </c>
      <c r="G8" s="11">
        <f t="shared" si="1"/>
        <v>-4638.333333333333</v>
      </c>
      <c r="H8" s="13" t="s">
        <v>150</v>
      </c>
      <c r="I8">
        <v>2050</v>
      </c>
      <c r="J8" t="b">
        <f t="shared" si="0"/>
        <v>0</v>
      </c>
      <c r="K8" s="14">
        <f t="shared" si="2"/>
        <v>1004</v>
      </c>
      <c r="M8" t="s">
        <v>221</v>
      </c>
      <c r="Q8">
        <v>20201004</v>
      </c>
      <c r="R8" t="str">
        <f t="shared" si="4"/>
        <v>1004</v>
      </c>
      <c r="T8" s="11"/>
    </row>
    <row r="9" spans="1:20" x14ac:dyDescent="0.25">
      <c r="B9" t="s">
        <v>125</v>
      </c>
      <c r="C9" t="s">
        <v>144</v>
      </c>
      <c r="D9">
        <v>-6200</v>
      </c>
      <c r="E9" s="12">
        <v>0.23</v>
      </c>
      <c r="F9" s="11">
        <v>10</v>
      </c>
      <c r="G9" s="11">
        <f t="shared" si="1"/>
        <v>-1188.3333333333335</v>
      </c>
      <c r="H9" s="13" t="s">
        <v>150</v>
      </c>
      <c r="I9">
        <v>560</v>
      </c>
      <c r="J9" t="b">
        <f t="shared" si="0"/>
        <v>0</v>
      </c>
      <c r="K9" s="14">
        <f t="shared" si="2"/>
        <v>1004</v>
      </c>
      <c r="M9" t="s">
        <v>145</v>
      </c>
      <c r="Q9">
        <v>20201004</v>
      </c>
      <c r="R9" t="str">
        <f t="shared" si="4"/>
        <v>1004</v>
      </c>
      <c r="T9" s="11"/>
    </row>
    <row r="10" spans="1:20" x14ac:dyDescent="0.25">
      <c r="B10" t="s">
        <v>125</v>
      </c>
      <c r="C10" t="s">
        <v>147</v>
      </c>
      <c r="D10">
        <v>-8600</v>
      </c>
      <c r="E10" s="12">
        <v>0.23</v>
      </c>
      <c r="F10" s="11">
        <v>9</v>
      </c>
      <c r="G10" s="11">
        <f t="shared" si="1"/>
        <v>-1483.5</v>
      </c>
      <c r="H10" s="13" t="s">
        <v>150</v>
      </c>
      <c r="I10">
        <v>760</v>
      </c>
      <c r="J10" t="b">
        <f t="shared" si="0"/>
        <v>0</v>
      </c>
      <c r="K10" s="14">
        <f t="shared" si="2"/>
        <v>1004</v>
      </c>
      <c r="M10" t="s">
        <v>148</v>
      </c>
      <c r="Q10">
        <v>20200804</v>
      </c>
      <c r="R10" t="str">
        <f t="shared" si="4"/>
        <v>1004</v>
      </c>
      <c r="T10" s="11"/>
    </row>
    <row r="11" spans="1:20" x14ac:dyDescent="0.25">
      <c r="B11" t="s">
        <v>125</v>
      </c>
      <c r="C11" t="s">
        <v>167</v>
      </c>
      <c r="D11">
        <v>-10000</v>
      </c>
      <c r="E11" s="12">
        <v>0.108</v>
      </c>
      <c r="F11" s="11">
        <v>12</v>
      </c>
      <c r="G11" s="11">
        <f>E11*D11*(F11/12)</f>
        <v>-1080</v>
      </c>
      <c r="H11" s="13" t="s">
        <v>150</v>
      </c>
      <c r="I11">
        <v>490</v>
      </c>
      <c r="J11" t="b">
        <f t="shared" si="0"/>
        <v>0</v>
      </c>
      <c r="K11" s="14">
        <f t="shared" si="2"/>
        <v>1013</v>
      </c>
      <c r="M11">
        <v>490</v>
      </c>
      <c r="Q11">
        <v>20211013</v>
      </c>
      <c r="R11" t="str">
        <f t="shared" si="4"/>
        <v>1013</v>
      </c>
      <c r="S11">
        <f>D11*-1</f>
        <v>10000</v>
      </c>
      <c r="T11" s="11">
        <f t="shared" si="3"/>
        <v>79.999999999999929</v>
      </c>
    </row>
    <row r="12" spans="1:20" x14ac:dyDescent="0.25">
      <c r="B12" t="s">
        <v>125</v>
      </c>
      <c r="C12" t="s">
        <v>168</v>
      </c>
      <c r="D12">
        <v>-13500</v>
      </c>
      <c r="E12" s="12">
        <v>0.108</v>
      </c>
      <c r="F12" s="11">
        <v>12</v>
      </c>
      <c r="G12" s="11">
        <f>E12*D12*(F12/12)</f>
        <v>-1458</v>
      </c>
      <c r="H12" s="13" t="s">
        <v>150</v>
      </c>
      <c r="I12">
        <v>660</v>
      </c>
      <c r="J12" t="b">
        <f t="shared" si="0"/>
        <v>0</v>
      </c>
      <c r="K12" s="14">
        <f t="shared" si="2"/>
        <v>1013</v>
      </c>
      <c r="M12">
        <v>655</v>
      </c>
      <c r="Q12">
        <v>20210913</v>
      </c>
      <c r="R12" t="str">
        <f t="shared" si="4"/>
        <v>1013</v>
      </c>
      <c r="S12">
        <f t="shared" ref="S12:S13" si="5">D12*-1</f>
        <v>13500</v>
      </c>
      <c r="T12" s="11">
        <f t="shared" si="3"/>
        <v>107.99999999999991</v>
      </c>
    </row>
    <row r="13" spans="1:20" x14ac:dyDescent="0.25">
      <c r="B13" t="s">
        <v>125</v>
      </c>
      <c r="C13" t="s">
        <v>169</v>
      </c>
      <c r="D13">
        <v>-12000</v>
      </c>
      <c r="E13" s="12">
        <v>0.108</v>
      </c>
      <c r="F13" s="11">
        <v>12</v>
      </c>
      <c r="G13" s="11">
        <f>E13*D13*(F13/12)</f>
        <v>-1296</v>
      </c>
      <c r="H13" s="13" t="s">
        <v>150</v>
      </c>
      <c r="I13">
        <v>560</v>
      </c>
      <c r="J13" t="b">
        <f t="shared" si="0"/>
        <v>0</v>
      </c>
      <c r="K13" s="14">
        <f t="shared" si="2"/>
        <v>1013</v>
      </c>
      <c r="M13">
        <v>560</v>
      </c>
      <c r="Q13">
        <v>20210713</v>
      </c>
      <c r="R13" t="str">
        <f t="shared" si="4"/>
        <v>1013</v>
      </c>
      <c r="S13">
        <f t="shared" si="5"/>
        <v>12000</v>
      </c>
      <c r="T13" s="11">
        <f t="shared" si="3"/>
        <v>95.999999999999915</v>
      </c>
    </row>
    <row r="14" spans="1:20" x14ac:dyDescent="0.25">
      <c r="K14" s="14"/>
    </row>
    <row r="15" spans="1:20" x14ac:dyDescent="0.25">
      <c r="B15" t="s">
        <v>133</v>
      </c>
      <c r="C15" t="s">
        <v>151</v>
      </c>
      <c r="D15">
        <v>-24130</v>
      </c>
      <c r="E15" s="10">
        <v>7.1999999999999995E-2</v>
      </c>
      <c r="F15" s="11">
        <v>12</v>
      </c>
      <c r="G15" s="11">
        <f>E15*D15*(F15/12)</f>
        <v>-1737.36</v>
      </c>
      <c r="H15" s="13" t="s">
        <v>150</v>
      </c>
      <c r="I15">
        <v>1360</v>
      </c>
      <c r="J15" t="b">
        <f t="shared" si="0"/>
        <v>0</v>
      </c>
      <c r="K15" s="14">
        <f t="shared" si="2"/>
        <v>1002</v>
      </c>
      <c r="L15">
        <f>I15*12*-1</f>
        <v>-16320</v>
      </c>
      <c r="M15" t="s">
        <v>222</v>
      </c>
      <c r="Q15" t="s">
        <v>228</v>
      </c>
      <c r="R15" t="str">
        <f t="shared" ref="R15:R27" si="6">$A$4&amp;RIGHT(Q15,2)</f>
        <v>1002</v>
      </c>
      <c r="S15">
        <f>D15*-1*0.8</f>
        <v>19304</v>
      </c>
      <c r="T15" s="11">
        <f t="shared" si="3"/>
        <v>-540.51200000000017</v>
      </c>
    </row>
    <row r="16" spans="1:20" x14ac:dyDescent="0.25">
      <c r="B16" t="s">
        <v>133</v>
      </c>
      <c r="C16" t="s">
        <v>155</v>
      </c>
      <c r="D16">
        <v>-19227</v>
      </c>
      <c r="E16" s="10">
        <v>7.1999999999999995E-2</v>
      </c>
      <c r="F16" s="11">
        <v>12</v>
      </c>
      <c r="G16" s="11">
        <f t="shared" ref="G16:G27" si="7">E16*D16*(F16/12)</f>
        <v>-1384.3439999999998</v>
      </c>
      <c r="H16" s="13" t="s">
        <v>150</v>
      </c>
      <c r="I16">
        <v>1130</v>
      </c>
      <c r="J16" t="b">
        <f t="shared" si="0"/>
        <v>0</v>
      </c>
      <c r="K16" s="14">
        <f t="shared" si="2"/>
        <v>1003</v>
      </c>
      <c r="L16">
        <f t="shared" ref="L16:L27" si="8">I16*12*-1</f>
        <v>-13560</v>
      </c>
      <c r="Q16" t="s">
        <v>229</v>
      </c>
      <c r="R16" t="str">
        <f t="shared" si="6"/>
        <v>1003</v>
      </c>
      <c r="S16">
        <f t="shared" ref="S16:S27" si="9">D16*-1*0.8</f>
        <v>15381.6</v>
      </c>
      <c r="T16" s="11">
        <f t="shared" si="3"/>
        <v>-430.68480000000017</v>
      </c>
    </row>
    <row r="17" spans="2:20" x14ac:dyDescent="0.25">
      <c r="B17" t="s">
        <v>133</v>
      </c>
      <c r="C17" t="s">
        <v>156</v>
      </c>
      <c r="D17">
        <v>-18641</v>
      </c>
      <c r="E17" s="10">
        <v>7.1999999999999995E-2</v>
      </c>
      <c r="F17" s="11">
        <v>12</v>
      </c>
      <c r="G17" s="11">
        <f t="shared" si="7"/>
        <v>-1342.1519999999998</v>
      </c>
      <c r="H17" s="13" t="s">
        <v>150</v>
      </c>
      <c r="I17">
        <v>1100</v>
      </c>
      <c r="J17" t="b">
        <f t="shared" si="0"/>
        <v>0</v>
      </c>
      <c r="K17" s="14">
        <f t="shared" si="2"/>
        <v>1005</v>
      </c>
      <c r="L17">
        <f t="shared" si="8"/>
        <v>-13200</v>
      </c>
      <c r="Q17" t="s">
        <v>230</v>
      </c>
      <c r="R17" t="str">
        <f t="shared" si="6"/>
        <v>1005</v>
      </c>
      <c r="S17">
        <f t="shared" si="9"/>
        <v>14912.800000000001</v>
      </c>
      <c r="T17" s="11">
        <f t="shared" si="3"/>
        <v>-417.55840000000018</v>
      </c>
    </row>
    <row r="18" spans="2:20" x14ac:dyDescent="0.25">
      <c r="B18" t="s">
        <v>133</v>
      </c>
      <c r="C18" t="s">
        <v>157</v>
      </c>
      <c r="D18">
        <v>-8647</v>
      </c>
      <c r="E18" s="10">
        <v>7.1999999999999995E-2</v>
      </c>
      <c r="F18" s="11">
        <v>12</v>
      </c>
      <c r="G18" s="11">
        <f t="shared" si="7"/>
        <v>-622.58399999999995</v>
      </c>
      <c r="H18" s="13" t="s">
        <v>150</v>
      </c>
      <c r="I18">
        <v>510</v>
      </c>
      <c r="J18" t="b">
        <f t="shared" si="0"/>
        <v>0</v>
      </c>
      <c r="K18" s="14">
        <f t="shared" si="2"/>
        <v>1009</v>
      </c>
      <c r="L18">
        <f t="shared" si="8"/>
        <v>-6120</v>
      </c>
      <c r="Q18" t="s">
        <v>231</v>
      </c>
      <c r="R18" t="str">
        <f t="shared" si="6"/>
        <v>1009</v>
      </c>
      <c r="S18">
        <f t="shared" si="9"/>
        <v>6917.6</v>
      </c>
      <c r="T18" s="11">
        <f t="shared" si="3"/>
        <v>-193.69280000000009</v>
      </c>
    </row>
    <row r="19" spans="2:20" x14ac:dyDescent="0.25">
      <c r="B19" t="s">
        <v>133</v>
      </c>
      <c r="C19" t="s">
        <v>158</v>
      </c>
      <c r="D19">
        <v>-12674</v>
      </c>
      <c r="E19" s="10">
        <v>7.1999999999999995E-2</v>
      </c>
      <c r="F19" s="11">
        <v>12</v>
      </c>
      <c r="G19" s="11">
        <f t="shared" si="7"/>
        <v>-912.52799999999991</v>
      </c>
      <c r="H19" s="13" t="s">
        <v>150</v>
      </c>
      <c r="I19">
        <v>750</v>
      </c>
      <c r="J19" t="b">
        <f t="shared" si="0"/>
        <v>0</v>
      </c>
      <c r="K19" s="14">
        <f t="shared" si="2"/>
        <v>1009</v>
      </c>
      <c r="L19">
        <f t="shared" si="8"/>
        <v>-9000</v>
      </c>
      <c r="Q19" t="s">
        <v>231</v>
      </c>
      <c r="R19" t="str">
        <f t="shared" si="6"/>
        <v>1009</v>
      </c>
      <c r="S19">
        <f t="shared" si="9"/>
        <v>10139.200000000001</v>
      </c>
      <c r="T19" s="11">
        <f t="shared" si="3"/>
        <v>-283.89760000000012</v>
      </c>
    </row>
    <row r="20" spans="2:20" x14ac:dyDescent="0.25">
      <c r="B20" t="s">
        <v>133</v>
      </c>
      <c r="C20" t="s">
        <v>159</v>
      </c>
      <c r="D20">
        <v>-8190</v>
      </c>
      <c r="E20" s="10">
        <v>7.1999999999999995E-2</v>
      </c>
      <c r="F20" s="11">
        <v>12</v>
      </c>
      <c r="G20" s="11">
        <f t="shared" si="7"/>
        <v>-589.67999999999995</v>
      </c>
      <c r="H20" s="13" t="s">
        <v>150</v>
      </c>
      <c r="I20">
        <v>510</v>
      </c>
      <c r="J20" t="b">
        <f t="shared" si="0"/>
        <v>0</v>
      </c>
      <c r="K20" s="14">
        <f t="shared" si="2"/>
        <v>1015</v>
      </c>
      <c r="L20">
        <f t="shared" si="8"/>
        <v>-6120</v>
      </c>
      <c r="Q20" t="s">
        <v>232</v>
      </c>
      <c r="R20" t="str">
        <f t="shared" si="6"/>
        <v>1015</v>
      </c>
      <c r="S20">
        <f t="shared" si="9"/>
        <v>6552</v>
      </c>
      <c r="T20" s="11">
        <f t="shared" si="3"/>
        <v>-183.45600000000007</v>
      </c>
    </row>
    <row r="21" spans="2:20" x14ac:dyDescent="0.25">
      <c r="B21" t="s">
        <v>133</v>
      </c>
      <c r="C21" t="s">
        <v>160</v>
      </c>
      <c r="D21">
        <v>-12860</v>
      </c>
      <c r="E21" s="10">
        <v>7.1999999999999995E-2</v>
      </c>
      <c r="F21" s="11">
        <v>12</v>
      </c>
      <c r="G21" s="11">
        <f t="shared" si="7"/>
        <v>-925.92</v>
      </c>
      <c r="H21" s="13" t="s">
        <v>150</v>
      </c>
      <c r="I21">
        <v>790</v>
      </c>
      <c r="J21" t="b">
        <f t="shared" si="0"/>
        <v>0</v>
      </c>
      <c r="K21" s="14">
        <f t="shared" si="2"/>
        <v>1016</v>
      </c>
      <c r="L21">
        <f t="shared" si="8"/>
        <v>-9480</v>
      </c>
      <c r="Q21" t="s">
        <v>233</v>
      </c>
      <c r="R21" t="str">
        <f t="shared" si="6"/>
        <v>1016</v>
      </c>
      <c r="S21">
        <f t="shared" si="9"/>
        <v>10288</v>
      </c>
      <c r="T21" s="11">
        <f t="shared" si="3"/>
        <v>-288.06400000000014</v>
      </c>
    </row>
    <row r="22" spans="2:20" x14ac:dyDescent="0.25">
      <c r="B22" t="s">
        <v>133</v>
      </c>
      <c r="C22" t="s">
        <v>161</v>
      </c>
      <c r="D22">
        <v>-17660</v>
      </c>
      <c r="E22" s="10">
        <v>7.1999999999999995E-2</v>
      </c>
      <c r="F22" s="11">
        <v>12</v>
      </c>
      <c r="G22" s="11">
        <f t="shared" si="7"/>
        <v>-1271.52</v>
      </c>
      <c r="H22" s="13" t="s">
        <v>150</v>
      </c>
      <c r="I22">
        <v>1090</v>
      </c>
      <c r="J22" t="b">
        <f t="shared" si="0"/>
        <v>0</v>
      </c>
      <c r="K22" s="14">
        <f t="shared" si="2"/>
        <v>1018</v>
      </c>
      <c r="L22">
        <f t="shared" si="8"/>
        <v>-13080</v>
      </c>
      <c r="Q22" t="s">
        <v>234</v>
      </c>
      <c r="R22" t="str">
        <f t="shared" si="6"/>
        <v>1018</v>
      </c>
      <c r="S22">
        <f t="shared" si="9"/>
        <v>14128</v>
      </c>
      <c r="T22" s="11">
        <f t="shared" si="3"/>
        <v>-395.58400000000017</v>
      </c>
    </row>
    <row r="23" spans="2:20" x14ac:dyDescent="0.25">
      <c r="B23" t="s">
        <v>133</v>
      </c>
      <c r="C23" t="s">
        <v>162</v>
      </c>
      <c r="D23">
        <v>-19000</v>
      </c>
      <c r="E23" s="10">
        <v>7.1999999999999995E-2</v>
      </c>
      <c r="F23" s="11">
        <v>12</v>
      </c>
      <c r="G23" s="11">
        <f t="shared" si="7"/>
        <v>-1368</v>
      </c>
      <c r="H23" s="13" t="s">
        <v>150</v>
      </c>
      <c r="I23">
        <v>1071</v>
      </c>
      <c r="J23" t="b">
        <f t="shared" si="0"/>
        <v>0</v>
      </c>
      <c r="K23" s="14">
        <f t="shared" si="2"/>
        <v>1018</v>
      </c>
      <c r="L23">
        <f t="shared" si="8"/>
        <v>-12852</v>
      </c>
      <c r="Q23" t="s">
        <v>234</v>
      </c>
      <c r="R23" t="str">
        <f t="shared" si="6"/>
        <v>1018</v>
      </c>
      <c r="S23">
        <f t="shared" si="9"/>
        <v>15200</v>
      </c>
      <c r="T23" s="11">
        <f t="shared" si="3"/>
        <v>-425.60000000000019</v>
      </c>
    </row>
    <row r="24" spans="2:20" x14ac:dyDescent="0.25">
      <c r="B24" t="s">
        <v>133</v>
      </c>
      <c r="C24" t="s">
        <v>163</v>
      </c>
      <c r="D24">
        <v>-31880</v>
      </c>
      <c r="E24" s="10">
        <v>7.1999999999999995E-2</v>
      </c>
      <c r="F24" s="11">
        <v>12</v>
      </c>
      <c r="G24" s="11">
        <f t="shared" si="7"/>
        <v>-2295.3599999999997</v>
      </c>
      <c r="H24" s="13" t="s">
        <v>150</v>
      </c>
      <c r="I24">
        <v>1875</v>
      </c>
      <c r="J24" t="b">
        <f t="shared" si="0"/>
        <v>0</v>
      </c>
      <c r="K24" s="14">
        <f t="shared" si="2"/>
        <v>1019</v>
      </c>
      <c r="L24">
        <f t="shared" si="8"/>
        <v>-22500</v>
      </c>
      <c r="Q24" t="s">
        <v>235</v>
      </c>
      <c r="R24" t="str">
        <f t="shared" si="6"/>
        <v>1019</v>
      </c>
      <c r="S24">
        <f t="shared" si="9"/>
        <v>25504</v>
      </c>
      <c r="T24" s="11">
        <f t="shared" si="3"/>
        <v>-714.11200000000031</v>
      </c>
    </row>
    <row r="25" spans="2:20" x14ac:dyDescent="0.25">
      <c r="B25" t="s">
        <v>133</v>
      </c>
      <c r="C25" t="s">
        <v>164</v>
      </c>
      <c r="D25">
        <v>-18213</v>
      </c>
      <c r="E25" s="10">
        <v>7.1999999999999995E-2</v>
      </c>
      <c r="F25" s="11">
        <v>12</v>
      </c>
      <c r="G25" s="11">
        <f t="shared" si="7"/>
        <v>-1311.336</v>
      </c>
      <c r="H25" s="13" t="s">
        <v>150</v>
      </c>
      <c r="I25">
        <v>1130</v>
      </c>
      <c r="J25" t="b">
        <f t="shared" si="0"/>
        <v>0</v>
      </c>
      <c r="K25" s="14">
        <f t="shared" si="2"/>
        <v>1019</v>
      </c>
      <c r="L25">
        <f t="shared" si="8"/>
        <v>-13560</v>
      </c>
      <c r="Q25" t="s">
        <v>235</v>
      </c>
      <c r="R25" t="str">
        <f t="shared" si="6"/>
        <v>1019</v>
      </c>
      <c r="S25">
        <f t="shared" si="9"/>
        <v>14570.400000000001</v>
      </c>
      <c r="T25" s="11">
        <f t="shared" si="3"/>
        <v>-407.97120000000018</v>
      </c>
    </row>
    <row r="26" spans="2:20" x14ac:dyDescent="0.25">
      <c r="B26" t="s">
        <v>133</v>
      </c>
      <c r="C26" t="s">
        <v>165</v>
      </c>
      <c r="D26">
        <v>-10000</v>
      </c>
      <c r="E26" s="10">
        <v>7.1999999999999995E-2</v>
      </c>
      <c r="F26" s="11">
        <v>12</v>
      </c>
      <c r="G26" s="11">
        <f t="shared" si="7"/>
        <v>-720</v>
      </c>
      <c r="H26" s="13" t="s">
        <v>150</v>
      </c>
      <c r="I26">
        <v>590</v>
      </c>
      <c r="J26" t="b">
        <f t="shared" si="0"/>
        <v>1</v>
      </c>
      <c r="K26" s="14">
        <f t="shared" si="2"/>
        <v>1023</v>
      </c>
      <c r="L26">
        <f t="shared" si="8"/>
        <v>-7080</v>
      </c>
      <c r="Q26" t="s">
        <v>236</v>
      </c>
      <c r="R26" t="str">
        <f t="shared" si="6"/>
        <v>1023</v>
      </c>
      <c r="S26">
        <f t="shared" si="9"/>
        <v>8000</v>
      </c>
      <c r="T26" s="11">
        <f t="shared" si="3"/>
        <v>-224.00000000000009</v>
      </c>
    </row>
    <row r="27" spans="2:20" x14ac:dyDescent="0.25">
      <c r="B27" t="s">
        <v>133</v>
      </c>
      <c r="C27" t="s">
        <v>166</v>
      </c>
      <c r="D27">
        <v>-16556</v>
      </c>
      <c r="E27" s="10">
        <v>7.1999999999999995E-2</v>
      </c>
      <c r="F27" s="11">
        <v>12</v>
      </c>
      <c r="G27" s="11">
        <f t="shared" si="7"/>
        <v>-1192.0319999999999</v>
      </c>
      <c r="H27" s="13" t="s">
        <v>150</v>
      </c>
      <c r="I27">
        <v>975</v>
      </c>
      <c r="J27" t="b">
        <f t="shared" si="0"/>
        <v>1</v>
      </c>
      <c r="K27" s="14">
        <f t="shared" si="2"/>
        <v>1028</v>
      </c>
      <c r="L27">
        <f t="shared" si="8"/>
        <v>-11700</v>
      </c>
      <c r="Q27" t="s">
        <v>237</v>
      </c>
      <c r="R27" t="str">
        <f t="shared" si="6"/>
        <v>1028</v>
      </c>
      <c r="S27">
        <f t="shared" si="9"/>
        <v>13244.800000000001</v>
      </c>
      <c r="T27" s="11">
        <f t="shared" si="3"/>
        <v>-370.85440000000017</v>
      </c>
    </row>
    <row r="28" spans="2:20" x14ac:dyDescent="0.25">
      <c r="B28" t="s">
        <v>133</v>
      </c>
      <c r="J28" t="b">
        <f t="shared" si="0"/>
        <v>0</v>
      </c>
    </row>
    <row r="29" spans="2:20" x14ac:dyDescent="0.25">
      <c r="B29" t="s">
        <v>133</v>
      </c>
      <c r="C29" t="s">
        <v>172</v>
      </c>
      <c r="J29" t="b">
        <f t="shared" si="0"/>
        <v>0</v>
      </c>
    </row>
    <row r="30" spans="2:20" x14ac:dyDescent="0.25">
      <c r="B30" t="s">
        <v>133</v>
      </c>
      <c r="C30" t="s">
        <v>173</v>
      </c>
      <c r="J30" t="b">
        <f t="shared" si="0"/>
        <v>0</v>
      </c>
    </row>
    <row r="31" spans="2:20" x14ac:dyDescent="0.25">
      <c r="B31" t="s">
        <v>133</v>
      </c>
      <c r="C31" t="s">
        <v>174</v>
      </c>
      <c r="J31" t="b">
        <f t="shared" si="0"/>
        <v>0</v>
      </c>
    </row>
    <row r="33" spans="1:20" ht="28.8" x14ac:dyDescent="0.25">
      <c r="A33" s="18" t="s">
        <v>181</v>
      </c>
      <c r="B33" s="19"/>
      <c r="C33" s="19"/>
      <c r="D33" s="19"/>
      <c r="E33" s="19"/>
      <c r="F33" s="19"/>
      <c r="G33" s="19"/>
      <c r="H33" s="20" t="s">
        <v>175</v>
      </c>
      <c r="I33" s="19"/>
      <c r="J33" s="20" t="s">
        <v>178</v>
      </c>
      <c r="K33" s="19"/>
      <c r="L33" s="19"/>
      <c r="M33" s="19"/>
      <c r="N33" s="19"/>
      <c r="O33" s="19"/>
      <c r="P33" s="19"/>
      <c r="Q33" s="19"/>
      <c r="R33" s="19"/>
      <c r="S33" s="19"/>
      <c r="T33" s="19"/>
    </row>
    <row r="34" spans="1:20" x14ac:dyDescent="0.25">
      <c r="A34" s="18" t="s">
        <v>154</v>
      </c>
      <c r="B34" s="19" t="s">
        <v>132</v>
      </c>
      <c r="C34" s="19" t="s">
        <v>132</v>
      </c>
      <c r="D34" s="49">
        <f>SUM(D3:D31)</f>
        <v>-509488</v>
      </c>
      <c r="E34" s="19"/>
      <c r="F34" s="21"/>
      <c r="G34" s="21">
        <f>SUM(G3:G31)</f>
        <v>-44762.482666666663</v>
      </c>
      <c r="H34" s="22">
        <f>SUMIF(H2:H27,"是",I2:I27)</f>
        <v>38061</v>
      </c>
      <c r="I34" s="19">
        <f>SUM(I2:I31)</f>
        <v>52581</v>
      </c>
      <c r="J34" s="21">
        <f>SUMIF(J2:J31,"TRUE",I2:I31)</f>
        <v>2665</v>
      </c>
      <c r="K34" s="19"/>
      <c r="L34" s="19">
        <f>SUM(L3:L31)</f>
        <v>-226372</v>
      </c>
      <c r="M34" s="19"/>
      <c r="N34" s="19"/>
      <c r="O34" s="19"/>
      <c r="P34" s="19"/>
      <c r="Q34" s="19"/>
      <c r="R34" s="19" t="s">
        <v>132</v>
      </c>
      <c r="S34" s="19">
        <f>SUM(S2:S27)</f>
        <v>292142.40000000002</v>
      </c>
      <c r="T34" s="22">
        <f>SUM(T2:T27)</f>
        <v>-5491.9872000000032</v>
      </c>
    </row>
    <row r="35" spans="1:20" x14ac:dyDescent="0.25">
      <c r="A35" s="18">
        <v>10</v>
      </c>
      <c r="B35" s="19"/>
      <c r="C35" s="19" t="s">
        <v>171</v>
      </c>
      <c r="D35" s="19">
        <f>SUM(D2:D33)</f>
        <v>-3059488</v>
      </c>
      <c r="E35" s="19"/>
      <c r="F35" s="19"/>
      <c r="G35" s="21">
        <f>SUM(G2:G31)</f>
        <v>-163464.98266666668</v>
      </c>
      <c r="H35" s="19" t="s">
        <v>187</v>
      </c>
      <c r="I35" s="19"/>
      <c r="J35" s="19"/>
      <c r="K35" s="19"/>
      <c r="L35" s="19">
        <f>SUM(L2:L31)</f>
        <v>-387412</v>
      </c>
      <c r="M35" s="19"/>
      <c r="N35" s="19"/>
      <c r="O35" s="19"/>
      <c r="P35" s="19"/>
      <c r="Q35" s="19"/>
      <c r="R35" s="19"/>
      <c r="S35" s="19"/>
      <c r="T35" s="19"/>
    </row>
    <row r="36" spans="1:20" x14ac:dyDescent="0.25">
      <c r="A36" s="18" t="s">
        <v>182</v>
      </c>
      <c r="B36" s="19"/>
      <c r="C36" s="19" t="s">
        <v>287</v>
      </c>
      <c r="D36" s="19">
        <f>D2</f>
        <v>-2550000</v>
      </c>
      <c r="E36" s="19"/>
      <c r="F36" s="19"/>
      <c r="G36" s="21">
        <f>G2</f>
        <v>-118702.5</v>
      </c>
      <c r="H36" s="19"/>
      <c r="I36" s="19"/>
      <c r="J36" s="19"/>
      <c r="K36" s="19"/>
      <c r="L36" s="19"/>
      <c r="M36" s="19"/>
      <c r="N36" s="19"/>
      <c r="O36" s="19"/>
      <c r="P36" s="19"/>
      <c r="Q36" s="19"/>
      <c r="R36" s="19"/>
      <c r="S36" s="19"/>
      <c r="T36" s="19"/>
    </row>
    <row r="37" spans="1:20" x14ac:dyDescent="0.25">
      <c r="A37" s="18">
        <v>1020</v>
      </c>
      <c r="B37" s="19"/>
      <c r="C37" s="19"/>
      <c r="D37" s="19"/>
      <c r="E37" s="19"/>
      <c r="F37" s="19"/>
      <c r="G37" s="19"/>
      <c r="H37" s="19" t="s">
        <v>186</v>
      </c>
      <c r="I37" s="19">
        <f>I39-I34</f>
        <v>-34581</v>
      </c>
      <c r="J37" s="19"/>
      <c r="K37" s="19"/>
      <c r="L37" s="19"/>
      <c r="M37" s="19"/>
      <c r="N37" s="19"/>
      <c r="O37" s="19"/>
      <c r="P37" s="19"/>
      <c r="Q37" s="19"/>
      <c r="R37" s="19"/>
      <c r="S37" s="19"/>
      <c r="T37" s="19"/>
    </row>
    <row r="38" spans="1:20" x14ac:dyDescent="0.25">
      <c r="B38" s="37"/>
      <c r="C38" s="37" t="s">
        <v>243</v>
      </c>
      <c r="D38" s="37"/>
      <c r="E38" s="37" t="s">
        <v>244</v>
      </c>
      <c r="F38" s="37"/>
      <c r="G38" s="37" t="s">
        <v>251</v>
      </c>
      <c r="H38" s="23" t="s">
        <v>195</v>
      </c>
      <c r="I38" s="23">
        <v>201910</v>
      </c>
      <c r="J38" s="23"/>
      <c r="K38" s="23" t="s">
        <v>208</v>
      </c>
      <c r="L38" s="23"/>
      <c r="M38" s="23" t="s">
        <v>209</v>
      </c>
      <c r="N38" s="23"/>
      <c r="O38" s="23"/>
      <c r="P38" s="38" t="s">
        <v>252</v>
      </c>
      <c r="Q38" s="23"/>
      <c r="R38" s="23"/>
      <c r="S38" s="23"/>
      <c r="T38" s="23"/>
    </row>
    <row r="39" spans="1:20" x14ac:dyDescent="0.25">
      <c r="B39" s="37"/>
      <c r="C39" s="37" t="s">
        <v>245</v>
      </c>
      <c r="D39" s="37">
        <f>SUM(D40:D43)</f>
        <v>26750</v>
      </c>
      <c r="E39" s="37" t="s">
        <v>246</v>
      </c>
      <c r="F39" s="37">
        <f>SUM(F40:F43)</f>
        <v>9000</v>
      </c>
      <c r="G39" s="37">
        <f>F39-D39</f>
        <v>-17750</v>
      </c>
      <c r="H39" s="23" t="s">
        <v>1</v>
      </c>
      <c r="I39" s="23">
        <v>18000</v>
      </c>
      <c r="J39" s="23"/>
      <c r="K39" s="23" t="s">
        <v>207</v>
      </c>
      <c r="L39" s="23">
        <f>SUM(L40:L43)</f>
        <v>11320</v>
      </c>
      <c r="M39" s="23" t="s">
        <v>212</v>
      </c>
      <c r="N39" s="23">
        <f>SUM(N40:N43)</f>
        <v>1720</v>
      </c>
      <c r="O39" s="23"/>
      <c r="P39" s="23" t="s">
        <v>253</v>
      </c>
      <c r="Q39" s="23">
        <f>G39*8</f>
        <v>-142000</v>
      </c>
      <c r="R39" s="23"/>
      <c r="S39" s="23"/>
      <c r="T39" s="23"/>
    </row>
    <row r="40" spans="1:20" x14ac:dyDescent="0.25">
      <c r="B40" s="37"/>
      <c r="C40" s="37" t="s">
        <v>240</v>
      </c>
      <c r="D40" s="37">
        <v>6000</v>
      </c>
      <c r="E40" s="37" t="s">
        <v>247</v>
      </c>
      <c r="F40" s="37">
        <v>18500</v>
      </c>
      <c r="G40" s="37"/>
      <c r="H40" s="23" t="s">
        <v>183</v>
      </c>
      <c r="I40" s="23">
        <v>18000</v>
      </c>
      <c r="J40" s="23"/>
      <c r="K40" s="23" t="s">
        <v>202</v>
      </c>
      <c r="L40" s="23">
        <v>1720</v>
      </c>
      <c r="M40" s="23" t="s">
        <v>210</v>
      </c>
      <c r="N40" s="23">
        <v>13420</v>
      </c>
      <c r="O40" s="23"/>
      <c r="P40" s="38" t="s">
        <v>254</v>
      </c>
      <c r="Q40" s="23"/>
      <c r="R40" s="23"/>
      <c r="S40" s="23"/>
      <c r="T40" s="23"/>
    </row>
    <row r="41" spans="1:20" x14ac:dyDescent="0.25">
      <c r="B41" s="37"/>
      <c r="C41" s="37" t="s">
        <v>241</v>
      </c>
      <c r="D41" s="37">
        <v>6000</v>
      </c>
      <c r="E41" s="37" t="s">
        <v>248</v>
      </c>
      <c r="F41" s="37">
        <v>-6000</v>
      </c>
      <c r="G41" s="37"/>
      <c r="H41" s="23" t="s">
        <v>185</v>
      </c>
      <c r="I41" s="23">
        <v>12000</v>
      </c>
      <c r="J41" s="23"/>
      <c r="K41" s="23" t="s">
        <v>203</v>
      </c>
      <c r="L41" s="23">
        <v>100</v>
      </c>
      <c r="M41" s="23" t="s">
        <v>205</v>
      </c>
      <c r="N41" s="23">
        <v>-6000</v>
      </c>
      <c r="O41" s="23"/>
      <c r="P41" s="23" t="s">
        <v>255</v>
      </c>
      <c r="Q41" s="23">
        <v>40000</v>
      </c>
      <c r="R41" s="23">
        <v>23000</v>
      </c>
      <c r="S41" s="23" t="s">
        <v>257</v>
      </c>
      <c r="T41" s="23"/>
    </row>
    <row r="42" spans="1:20" x14ac:dyDescent="0.25">
      <c r="B42" s="37"/>
      <c r="C42" s="37" t="s">
        <v>242</v>
      </c>
      <c r="D42" s="37">
        <v>13000</v>
      </c>
      <c r="E42" s="42" t="s">
        <v>249</v>
      </c>
      <c r="F42" s="42">
        <v>-3000</v>
      </c>
      <c r="G42" s="37"/>
      <c r="H42" s="23" t="s">
        <v>184</v>
      </c>
      <c r="I42" s="23">
        <v>0</v>
      </c>
      <c r="J42" s="23"/>
      <c r="K42" s="23" t="s">
        <v>204</v>
      </c>
      <c r="L42" s="23">
        <v>3500</v>
      </c>
      <c r="M42" s="23" t="s">
        <v>211</v>
      </c>
      <c r="N42" s="23">
        <v>-5700</v>
      </c>
      <c r="O42" s="23"/>
      <c r="P42" s="23" t="s">
        <v>256</v>
      </c>
      <c r="Q42" s="23">
        <v>-69000</v>
      </c>
      <c r="R42" s="23">
        <v>-69000</v>
      </c>
      <c r="S42" s="23"/>
      <c r="T42" s="23"/>
    </row>
    <row r="43" spans="1:20" x14ac:dyDescent="0.25">
      <c r="B43" s="37"/>
      <c r="C43" s="37" t="s">
        <v>202</v>
      </c>
      <c r="D43" s="37">
        <v>1750</v>
      </c>
      <c r="E43" s="42" t="s">
        <v>250</v>
      </c>
      <c r="F43" s="42">
        <v>-500</v>
      </c>
      <c r="G43" s="37"/>
      <c r="H43" s="23" t="s">
        <v>196</v>
      </c>
      <c r="I43" s="23">
        <v>18000</v>
      </c>
      <c r="J43" s="23"/>
      <c r="K43" s="23" t="s">
        <v>206</v>
      </c>
      <c r="L43" s="23">
        <v>6000</v>
      </c>
      <c r="M43" s="23"/>
      <c r="N43" s="23"/>
      <c r="O43" s="23"/>
      <c r="P43" s="23" t="s">
        <v>253</v>
      </c>
      <c r="Q43" s="23">
        <f>G39*6</f>
        <v>-106500</v>
      </c>
      <c r="R43" s="23">
        <f>G39*6</f>
        <v>-106500</v>
      </c>
      <c r="S43" s="23"/>
      <c r="T43" s="23"/>
    </row>
    <row r="44" spans="1:20" x14ac:dyDescent="0.25">
      <c r="B44" s="37" t="s">
        <v>258</v>
      </c>
      <c r="C44" s="37"/>
      <c r="D44" s="37"/>
      <c r="E44" s="37"/>
      <c r="F44" s="37"/>
      <c r="G44" s="37"/>
      <c r="H44" s="23"/>
      <c r="I44" s="23"/>
      <c r="J44" s="23"/>
      <c r="K44" s="23"/>
      <c r="L44" s="23"/>
      <c r="M44" s="23"/>
      <c r="N44" s="23"/>
      <c r="O44" s="23"/>
      <c r="P44" s="23" t="s">
        <v>207</v>
      </c>
      <c r="Q44" s="23">
        <f>SUM(Q41:Q43)</f>
        <v>-135500</v>
      </c>
      <c r="R44" s="23">
        <f>SUM(R41:R43)</f>
        <v>-152500</v>
      </c>
      <c r="S44" s="23"/>
      <c r="T44" s="23"/>
    </row>
    <row r="45" spans="1:20" x14ac:dyDescent="0.25">
      <c r="B45" s="37"/>
      <c r="C45" s="37" t="s">
        <v>291</v>
      </c>
      <c r="D45" s="37">
        <f>SUM(D46:D48)+D39</f>
        <v>9481.2000000000007</v>
      </c>
      <c r="E45" s="37" t="s">
        <v>293</v>
      </c>
      <c r="F45" s="37" t="s">
        <v>297</v>
      </c>
      <c r="G45" s="37" t="s">
        <v>295</v>
      </c>
      <c r="H45" s="23"/>
      <c r="I45" s="23"/>
      <c r="J45" s="23"/>
      <c r="K45" s="23"/>
      <c r="L45" s="23"/>
      <c r="M45" s="23"/>
      <c r="N45" s="23"/>
      <c r="O45" s="23"/>
      <c r="P45" s="23"/>
      <c r="Q45" s="23"/>
      <c r="R45" s="23"/>
      <c r="S45" s="23"/>
      <c r="T45" s="23"/>
    </row>
    <row r="46" spans="1:20" x14ac:dyDescent="0.25">
      <c r="B46" s="37"/>
      <c r="C46" s="37" t="s">
        <v>292</v>
      </c>
      <c r="D46" s="37">
        <f>F46-E46</f>
        <v>-5622.4</v>
      </c>
      <c r="E46" s="37">
        <v>7000</v>
      </c>
      <c r="F46" s="37">
        <f>E46*12*G46</f>
        <v>1377.6000000000001</v>
      </c>
      <c r="G46" s="37">
        <f>820/50000</f>
        <v>1.6400000000000001E-2</v>
      </c>
      <c r="H46" s="23" t="s">
        <v>298</v>
      </c>
      <c r="I46" s="23"/>
      <c r="J46" s="23"/>
      <c r="K46" s="23"/>
      <c r="L46" s="23"/>
      <c r="M46" s="23"/>
      <c r="N46" s="23"/>
      <c r="O46" s="23"/>
      <c r="P46" s="23"/>
      <c r="Q46" s="23"/>
      <c r="R46" s="23"/>
      <c r="S46" s="23"/>
      <c r="T46" s="23"/>
    </row>
    <row r="47" spans="1:20" x14ac:dyDescent="0.25">
      <c r="B47" s="37"/>
      <c r="C47" s="37" t="s">
        <v>294</v>
      </c>
      <c r="D47" s="37">
        <f>F47-E47</f>
        <v>-4417.6000000000004</v>
      </c>
      <c r="E47" s="37">
        <v>5500</v>
      </c>
      <c r="F47" s="37">
        <f>E47*12*G47</f>
        <v>1082.4000000000001</v>
      </c>
      <c r="G47" s="37">
        <f>820/50000</f>
        <v>1.6400000000000001E-2</v>
      </c>
      <c r="H47" s="23" t="s">
        <v>299</v>
      </c>
      <c r="I47" s="23"/>
      <c r="J47" s="23"/>
      <c r="K47" s="23"/>
      <c r="L47" s="23"/>
      <c r="M47" s="23"/>
      <c r="N47" s="23"/>
      <c r="O47" s="23"/>
      <c r="P47" s="23"/>
      <c r="Q47" s="23"/>
      <c r="R47" s="23"/>
      <c r="S47" s="23"/>
      <c r="T47" s="23"/>
    </row>
    <row r="48" spans="1:20" x14ac:dyDescent="0.25">
      <c r="B48" s="37"/>
      <c r="C48" s="37" t="s">
        <v>296</v>
      </c>
      <c r="D48" s="37">
        <f>F48-E48</f>
        <v>-7228.8</v>
      </c>
      <c r="E48" s="37">
        <v>9000</v>
      </c>
      <c r="F48" s="37">
        <f>E48*12*G48</f>
        <v>1771.2</v>
      </c>
      <c r="G48" s="37">
        <f>820/50000</f>
        <v>1.6400000000000001E-2</v>
      </c>
      <c r="H48" s="23" t="s">
        <v>300</v>
      </c>
      <c r="I48" s="23"/>
      <c r="J48" s="23"/>
      <c r="K48" s="23"/>
      <c r="L48" s="23"/>
      <c r="M48" s="23"/>
      <c r="N48" s="23"/>
      <c r="O48" s="23"/>
      <c r="P48" s="23"/>
      <c r="Q48" s="23"/>
      <c r="R48" s="23"/>
      <c r="S48" s="23"/>
      <c r="T48" s="23"/>
    </row>
    <row r="50" spans="2:20" x14ac:dyDescent="0.25">
      <c r="B50" s="1" t="s">
        <v>200</v>
      </c>
      <c r="C50" s="31" t="s">
        <v>197</v>
      </c>
      <c r="D50" s="32"/>
      <c r="E50" s="1"/>
      <c r="F50" s="1"/>
      <c r="G50" s="1"/>
      <c r="H50" s="1"/>
      <c r="I50" s="43" t="s">
        <v>281</v>
      </c>
      <c r="J50" s="16"/>
      <c r="K50" s="16"/>
      <c r="L50" s="16"/>
      <c r="M50" s="16"/>
      <c r="N50" s="1" t="s">
        <v>200</v>
      </c>
      <c r="O50" s="1" t="s">
        <v>198</v>
      </c>
      <c r="P50" s="1">
        <v>50000</v>
      </c>
      <c r="Q50" s="1" t="s">
        <v>188</v>
      </c>
      <c r="R50" s="1">
        <v>1</v>
      </c>
      <c r="S50" s="1"/>
      <c r="T50" s="1"/>
    </row>
    <row r="51" spans="2:20" x14ac:dyDescent="0.25">
      <c r="B51" s="27">
        <v>7.1999999999999995E-2</v>
      </c>
      <c r="C51" s="32" t="s">
        <v>216</v>
      </c>
      <c r="D51" s="33"/>
      <c r="E51" s="1"/>
      <c r="F51" s="1"/>
      <c r="G51" s="1"/>
      <c r="H51" s="1"/>
      <c r="I51" s="43" t="s">
        <v>276</v>
      </c>
      <c r="J51" s="16"/>
      <c r="K51" s="16"/>
      <c r="L51" s="16"/>
      <c r="M51" s="16"/>
      <c r="N51" s="27">
        <v>7.1999999999999995E-2</v>
      </c>
      <c r="O51" s="27" t="s">
        <v>199</v>
      </c>
      <c r="P51" s="27">
        <v>7.4999999999999997E-2</v>
      </c>
      <c r="Q51" s="1" t="s">
        <v>189</v>
      </c>
      <c r="R51" s="1">
        <v>12</v>
      </c>
      <c r="S51" s="1"/>
      <c r="T51" s="1"/>
    </row>
    <row r="52" spans="2:20" x14ac:dyDescent="0.25">
      <c r="B52" s="27"/>
      <c r="C52" s="32" t="s">
        <v>217</v>
      </c>
      <c r="D52" s="34"/>
      <c r="E52" s="1"/>
      <c r="F52" s="28"/>
      <c r="G52" s="1"/>
      <c r="H52" s="1"/>
      <c r="I52" s="16" t="s">
        <v>277</v>
      </c>
      <c r="J52" s="16" t="s">
        <v>190</v>
      </c>
      <c r="K52" s="16" t="s">
        <v>278</v>
      </c>
      <c r="L52" s="16" t="s">
        <v>279</v>
      </c>
      <c r="M52" s="16" t="s">
        <v>280</v>
      </c>
      <c r="N52" s="27">
        <f>P52/P50-1</f>
        <v>1.7916681666666667</v>
      </c>
      <c r="O52" s="27" t="s">
        <v>213</v>
      </c>
      <c r="P52" s="29">
        <f>SUM(P54:P65)</f>
        <v>139583.40833333333</v>
      </c>
      <c r="Q52" s="1"/>
      <c r="R52" s="1"/>
      <c r="S52" s="1"/>
      <c r="T52" s="1"/>
    </row>
    <row r="53" spans="2:20" x14ac:dyDescent="0.25">
      <c r="B53" s="1" t="s">
        <v>189</v>
      </c>
      <c r="C53" s="32" t="s">
        <v>201</v>
      </c>
      <c r="D53" s="32"/>
      <c r="E53" s="1"/>
      <c r="F53" s="1"/>
      <c r="G53" s="1"/>
      <c r="H53" s="1"/>
      <c r="I53" s="16">
        <v>0</v>
      </c>
      <c r="J53" s="16">
        <v>50000</v>
      </c>
      <c r="K53" s="44">
        <f>J53*0.05</f>
        <v>2500</v>
      </c>
      <c r="L53" s="46"/>
      <c r="M53" s="45">
        <f>K53/J53+L53</f>
        <v>0.05</v>
      </c>
      <c r="N53" s="1" t="s">
        <v>189</v>
      </c>
      <c r="O53" s="1" t="s">
        <v>190</v>
      </c>
      <c r="P53" s="1" t="s">
        <v>191</v>
      </c>
      <c r="Q53" s="1" t="s">
        <v>192</v>
      </c>
      <c r="R53" s="1" t="s">
        <v>193</v>
      </c>
      <c r="S53" s="1" t="s">
        <v>194</v>
      </c>
      <c r="T53" s="1" t="s">
        <v>214</v>
      </c>
    </row>
    <row r="54" spans="2:20" x14ac:dyDescent="0.25">
      <c r="B54" s="1" t="s">
        <v>200</v>
      </c>
      <c r="C54" s="1" t="s">
        <v>198</v>
      </c>
      <c r="D54" s="1">
        <v>50000</v>
      </c>
      <c r="E54" s="1" t="s">
        <v>188</v>
      </c>
      <c r="F54" s="1">
        <v>8</v>
      </c>
      <c r="G54" s="1"/>
      <c r="H54" s="1"/>
      <c r="I54" s="16">
        <v>1</v>
      </c>
      <c r="J54" s="16">
        <v>43749.999999999971</v>
      </c>
      <c r="K54" s="44">
        <f>J54*0.05</f>
        <v>2187.4999999999986</v>
      </c>
      <c r="L54" s="46">
        <v>7.5999999999999998E-2</v>
      </c>
      <c r="M54" s="45">
        <f>K54/J54/I54+L54</f>
        <v>0.126</v>
      </c>
      <c r="N54" s="1" t="s">
        <v>200</v>
      </c>
      <c r="O54" s="1" t="s">
        <v>198</v>
      </c>
      <c r="P54" s="1">
        <v>50000</v>
      </c>
      <c r="Q54" s="1" t="s">
        <v>188</v>
      </c>
      <c r="R54" s="1">
        <v>1</v>
      </c>
      <c r="S54" s="1"/>
      <c r="T54" s="1"/>
    </row>
    <row r="55" spans="2:20" x14ac:dyDescent="0.25">
      <c r="B55" s="27">
        <v>7.1999999999999995E-2</v>
      </c>
      <c r="C55" s="27" t="s">
        <v>199</v>
      </c>
      <c r="D55" s="27">
        <v>7.1999999999999995E-2</v>
      </c>
      <c r="E55" s="1" t="s">
        <v>189</v>
      </c>
      <c r="F55" s="1">
        <v>96</v>
      </c>
      <c r="G55" s="1" t="s">
        <v>220</v>
      </c>
      <c r="H55" s="36">
        <f>E58*12/H56</f>
        <v>0.14251546391752593</v>
      </c>
      <c r="I55" s="16">
        <v>2</v>
      </c>
      <c r="J55" s="16">
        <v>37499.999999999942</v>
      </c>
      <c r="K55" s="44">
        <f t="shared" ref="K55:K57" si="10">J55*0.05</f>
        <v>1874.9999999999973</v>
      </c>
      <c r="L55" s="46">
        <v>0.09</v>
      </c>
      <c r="M55" s="45">
        <f t="shared" ref="M55:M57" si="11">K55/J55/I55+L55</f>
        <v>0.11499999999999999</v>
      </c>
      <c r="N55" s="27">
        <v>7.1999999999999995E-2</v>
      </c>
      <c r="O55" s="27" t="s">
        <v>199</v>
      </c>
      <c r="P55" s="27">
        <v>7.4999999999999997E-2</v>
      </c>
      <c r="Q55" s="1" t="s">
        <v>189</v>
      </c>
      <c r="R55" s="1">
        <v>12</v>
      </c>
      <c r="S55" s="1" t="s">
        <v>220</v>
      </c>
      <c r="T55" s="36">
        <f>Q58*12/T56</f>
        <v>0.13846153846153844</v>
      </c>
    </row>
    <row r="56" spans="2:20" x14ac:dyDescent="0.25">
      <c r="B56" s="27"/>
      <c r="C56" s="27" t="s">
        <v>213</v>
      </c>
      <c r="D56" s="28">
        <f>SUM(D58:D153)</f>
        <v>78800</v>
      </c>
      <c r="E56" s="1" t="s">
        <v>215</v>
      </c>
      <c r="F56" s="28">
        <f>SUM(E58:E153)</f>
        <v>28799.999999999996</v>
      </c>
      <c r="G56" s="1" t="s">
        <v>219</v>
      </c>
      <c r="H56" s="35">
        <f>AVERAGE(C58:C153)</f>
        <v>25260.416666666631</v>
      </c>
      <c r="I56" s="16">
        <v>3</v>
      </c>
      <c r="J56" s="16">
        <v>31249.999999999924</v>
      </c>
      <c r="K56" s="44">
        <f t="shared" si="10"/>
        <v>1562.4999999999964</v>
      </c>
      <c r="L56" s="46">
        <v>0.11</v>
      </c>
      <c r="M56" s="45">
        <f t="shared" si="11"/>
        <v>0.12666666666666668</v>
      </c>
      <c r="N56" s="27">
        <f>P56/P54-1</f>
        <v>7.4999999999999956E-2</v>
      </c>
      <c r="O56" s="27" t="s">
        <v>213</v>
      </c>
      <c r="P56" s="29">
        <f>SUM(P58:P69)</f>
        <v>53749.999999999993</v>
      </c>
      <c r="Q56" s="1"/>
      <c r="R56" s="1"/>
      <c r="S56" s="1" t="s">
        <v>219</v>
      </c>
      <c r="T56" s="35">
        <f>AVERAGE(O58:O69)</f>
        <v>27083.333333333339</v>
      </c>
    </row>
    <row r="57" spans="2:20" x14ac:dyDescent="0.25">
      <c r="B57" s="1" t="s">
        <v>189</v>
      </c>
      <c r="C57" s="1" t="s">
        <v>190</v>
      </c>
      <c r="D57" s="1" t="s">
        <v>191</v>
      </c>
      <c r="E57" s="1" t="s">
        <v>192</v>
      </c>
      <c r="F57" s="1" t="s">
        <v>193</v>
      </c>
      <c r="G57" s="1" t="s">
        <v>194</v>
      </c>
      <c r="H57" s="1" t="s">
        <v>218</v>
      </c>
      <c r="I57" s="16">
        <v>4</v>
      </c>
      <c r="J57" s="16">
        <v>24999.999999999938</v>
      </c>
      <c r="K57" s="44">
        <f t="shared" si="10"/>
        <v>1249.999999999997</v>
      </c>
      <c r="L57" s="46">
        <v>0.126</v>
      </c>
      <c r="M57" s="45">
        <f t="shared" si="11"/>
        <v>0.13850000000000001</v>
      </c>
      <c r="N57" s="1" t="s">
        <v>189</v>
      </c>
      <c r="O57" s="1" t="s">
        <v>190</v>
      </c>
      <c r="P57" s="1" t="s">
        <v>191</v>
      </c>
      <c r="Q57" s="1" t="s">
        <v>192</v>
      </c>
      <c r="R57" s="1" t="s">
        <v>193</v>
      </c>
      <c r="S57" s="1" t="s">
        <v>194</v>
      </c>
      <c r="T57" s="1" t="s">
        <v>218</v>
      </c>
    </row>
    <row r="58" spans="2:20" x14ac:dyDescent="0.25">
      <c r="B58">
        <v>1</v>
      </c>
      <c r="C58">
        <f>D54</f>
        <v>50000</v>
      </c>
      <c r="D58" s="25">
        <f>E58+F58</f>
        <v>820.83333333333326</v>
      </c>
      <c r="E58">
        <f t="shared" ref="E58:E89" si="12">$D$55/12*$C$58</f>
        <v>299.99999999999994</v>
      </c>
      <c r="F58" s="25">
        <f>$D$54/$F$55</f>
        <v>520.83333333333337</v>
      </c>
      <c r="G58" s="26">
        <f>C58-F58</f>
        <v>49479.166666666664</v>
      </c>
      <c r="H58" s="30">
        <f>E58/C58*12</f>
        <v>7.1999999999999995E-2</v>
      </c>
      <c r="I58" s="40" t="s">
        <v>282</v>
      </c>
      <c r="J58" s="40"/>
      <c r="K58" s="40"/>
      <c r="L58" s="40"/>
      <c r="M58" s="40"/>
      <c r="N58">
        <v>1</v>
      </c>
      <c r="O58">
        <f>P54</f>
        <v>50000</v>
      </c>
      <c r="P58" s="25">
        <f>Q58+R58</f>
        <v>4479.166666666667</v>
      </c>
      <c r="Q58">
        <f t="shared" ref="Q58:Q69" si="13">$P$55/12*$P$54</f>
        <v>312.5</v>
      </c>
      <c r="R58" s="25">
        <f t="shared" ref="R58:R69" si="14">$P$54/$R$55</f>
        <v>4166.666666666667</v>
      </c>
      <c r="S58" s="26">
        <f>O58-R58</f>
        <v>45833.333333333336</v>
      </c>
      <c r="T58" s="30">
        <f>Q58/O58*12</f>
        <v>7.5000000000000011E-2</v>
      </c>
    </row>
    <row r="59" spans="2:20" x14ac:dyDescent="0.25">
      <c r="B59">
        <v>2</v>
      </c>
      <c r="C59" s="26">
        <f>G58</f>
        <v>49479.166666666664</v>
      </c>
      <c r="D59" s="25">
        <f t="shared" ref="D59:D122" si="15">E59+F59</f>
        <v>820.83333333333326</v>
      </c>
      <c r="E59">
        <f t="shared" si="12"/>
        <v>299.99999999999994</v>
      </c>
      <c r="F59" s="25">
        <f t="shared" ref="F59:F122" si="16">$D$54/$F$55</f>
        <v>520.83333333333337</v>
      </c>
      <c r="G59" s="26">
        <f>C59-F59</f>
        <v>48958.333333333328</v>
      </c>
      <c r="H59" s="30">
        <f t="shared" ref="H59:H122" si="17">E59/C59*12</f>
        <v>7.2757894736842105E-2</v>
      </c>
      <c r="I59" s="40" t="s">
        <v>284</v>
      </c>
      <c r="J59" s="40"/>
      <c r="K59" s="40"/>
      <c r="L59" s="40"/>
      <c r="M59" s="40"/>
      <c r="N59">
        <v>2</v>
      </c>
      <c r="O59" s="26">
        <f>S58</f>
        <v>45833.333333333336</v>
      </c>
      <c r="P59" s="25">
        <f t="shared" ref="P59:P60" si="18">Q59+R59</f>
        <v>4479.166666666667</v>
      </c>
      <c r="Q59">
        <f t="shared" si="13"/>
        <v>312.5</v>
      </c>
      <c r="R59" s="25">
        <f t="shared" si="14"/>
        <v>4166.666666666667</v>
      </c>
      <c r="S59" s="26">
        <f>O59-R59</f>
        <v>41666.666666666672</v>
      </c>
      <c r="T59" s="30">
        <f t="shared" ref="T59:T69" si="19">Q59/O59*12</f>
        <v>8.1818181818181818E-2</v>
      </c>
    </row>
    <row r="60" spans="2:20" x14ac:dyDescent="0.25">
      <c r="B60">
        <v>3</v>
      </c>
      <c r="C60" s="26">
        <f t="shared" ref="C60:C69" si="20">G59</f>
        <v>48958.333333333328</v>
      </c>
      <c r="D60" s="25">
        <f t="shared" si="15"/>
        <v>820.83333333333326</v>
      </c>
      <c r="E60">
        <f t="shared" si="12"/>
        <v>299.99999999999994</v>
      </c>
      <c r="F60" s="25">
        <f t="shared" si="16"/>
        <v>520.83333333333337</v>
      </c>
      <c r="G60" s="26">
        <f t="shared" ref="G60:G69" si="21">C60-F60</f>
        <v>48437.499999999993</v>
      </c>
      <c r="H60" s="30">
        <f t="shared" si="17"/>
        <v>7.3531914893617017E-2</v>
      </c>
      <c r="I60" s="40" t="s">
        <v>286</v>
      </c>
      <c r="J60" s="40"/>
      <c r="K60" s="40"/>
      <c r="L60" s="40"/>
      <c r="M60" s="40"/>
      <c r="N60">
        <v>3</v>
      </c>
      <c r="O60" s="26">
        <f t="shared" ref="O60:O61" si="22">S59</f>
        <v>41666.666666666672</v>
      </c>
      <c r="P60" s="25">
        <f t="shared" si="18"/>
        <v>4479.166666666667</v>
      </c>
      <c r="Q60">
        <f t="shared" si="13"/>
        <v>312.5</v>
      </c>
      <c r="R60" s="25">
        <f t="shared" si="14"/>
        <v>4166.666666666667</v>
      </c>
      <c r="S60" s="26">
        <f t="shared" ref="S60:S61" si="23">O60-R60</f>
        <v>37500.000000000007</v>
      </c>
      <c r="T60" s="30">
        <f t="shared" si="19"/>
        <v>8.9999999999999983E-2</v>
      </c>
    </row>
    <row r="61" spans="2:20" x14ac:dyDescent="0.25">
      <c r="B61">
        <v>4</v>
      </c>
      <c r="C61" s="26">
        <f t="shared" si="20"/>
        <v>48437.499999999993</v>
      </c>
      <c r="D61" s="25">
        <f t="shared" si="15"/>
        <v>820.83333333333326</v>
      </c>
      <c r="E61">
        <f t="shared" si="12"/>
        <v>299.99999999999994</v>
      </c>
      <c r="F61" s="25">
        <f t="shared" si="16"/>
        <v>520.83333333333337</v>
      </c>
      <c r="G61" s="26">
        <f t="shared" si="21"/>
        <v>47916.666666666657</v>
      </c>
      <c r="H61" s="30">
        <f t="shared" si="17"/>
        <v>7.4322580645161285E-2</v>
      </c>
      <c r="I61" s="40" t="s">
        <v>285</v>
      </c>
      <c r="J61" s="40"/>
      <c r="K61" s="40"/>
      <c r="L61" s="40"/>
      <c r="M61" s="40"/>
      <c r="N61">
        <v>4</v>
      </c>
      <c r="O61" s="26">
        <f t="shared" si="22"/>
        <v>37500.000000000007</v>
      </c>
      <c r="P61" s="25">
        <f t="shared" ref="P61:P69" si="24">Q61+R61</f>
        <v>4479.166666666667</v>
      </c>
      <c r="Q61">
        <f t="shared" si="13"/>
        <v>312.5</v>
      </c>
      <c r="R61" s="25">
        <f t="shared" si="14"/>
        <v>4166.666666666667</v>
      </c>
      <c r="S61" s="26">
        <f t="shared" si="23"/>
        <v>33333.333333333343</v>
      </c>
      <c r="T61" s="30">
        <f t="shared" si="19"/>
        <v>9.9999999999999978E-2</v>
      </c>
    </row>
    <row r="62" spans="2:20" x14ac:dyDescent="0.25">
      <c r="B62">
        <v>5</v>
      </c>
      <c r="C62" s="26">
        <f t="shared" si="20"/>
        <v>47916.666666666657</v>
      </c>
      <c r="D62" s="25">
        <f t="shared" si="15"/>
        <v>820.83333333333326</v>
      </c>
      <c r="E62">
        <f t="shared" si="12"/>
        <v>299.99999999999994</v>
      </c>
      <c r="F62" s="25">
        <f t="shared" si="16"/>
        <v>520.83333333333337</v>
      </c>
      <c r="G62" s="26">
        <f t="shared" si="21"/>
        <v>47395.833333333321</v>
      </c>
      <c r="H62" s="30">
        <f t="shared" si="17"/>
        <v>7.5130434782608696E-2</v>
      </c>
      <c r="I62" s="40"/>
      <c r="J62" s="40"/>
      <c r="K62" s="40"/>
      <c r="L62" s="40"/>
      <c r="M62" s="40"/>
      <c r="N62">
        <v>5</v>
      </c>
      <c r="O62" s="26">
        <f t="shared" ref="O62:O68" si="25">S61</f>
        <v>33333.333333333343</v>
      </c>
      <c r="P62" s="25">
        <f t="shared" si="24"/>
        <v>4479.166666666667</v>
      </c>
      <c r="Q62">
        <f t="shared" si="13"/>
        <v>312.5</v>
      </c>
      <c r="R62" s="25">
        <f t="shared" si="14"/>
        <v>4166.666666666667</v>
      </c>
      <c r="S62" s="26">
        <f t="shared" ref="S62:S68" si="26">O62-R62</f>
        <v>29166.666666666675</v>
      </c>
      <c r="T62" s="30">
        <f t="shared" si="19"/>
        <v>0.11249999999999998</v>
      </c>
    </row>
    <row r="63" spans="2:20" x14ac:dyDescent="0.25">
      <c r="B63">
        <v>6</v>
      </c>
      <c r="C63" s="26">
        <f t="shared" si="20"/>
        <v>47395.833333333321</v>
      </c>
      <c r="D63" s="25">
        <f t="shared" si="15"/>
        <v>820.83333333333326</v>
      </c>
      <c r="E63">
        <f t="shared" si="12"/>
        <v>299.99999999999994</v>
      </c>
      <c r="F63" s="25">
        <f t="shared" si="16"/>
        <v>520.83333333333337</v>
      </c>
      <c r="G63" s="26">
        <f t="shared" si="21"/>
        <v>46874.999999999985</v>
      </c>
      <c r="H63" s="30">
        <f t="shared" si="17"/>
        <v>7.5956043956043967E-2</v>
      </c>
      <c r="I63" s="40"/>
      <c r="J63" s="40"/>
      <c r="K63" s="40"/>
      <c r="L63" s="40"/>
      <c r="M63" s="40"/>
      <c r="N63">
        <v>6</v>
      </c>
      <c r="O63" s="26">
        <f t="shared" si="25"/>
        <v>29166.666666666675</v>
      </c>
      <c r="P63" s="25">
        <f t="shared" si="24"/>
        <v>4479.166666666667</v>
      </c>
      <c r="Q63">
        <f t="shared" si="13"/>
        <v>312.5</v>
      </c>
      <c r="R63" s="25">
        <f t="shared" si="14"/>
        <v>4166.666666666667</v>
      </c>
      <c r="S63" s="26">
        <f t="shared" si="26"/>
        <v>25000.000000000007</v>
      </c>
      <c r="T63" s="30">
        <f t="shared" si="19"/>
        <v>0.12857142857142853</v>
      </c>
    </row>
    <row r="64" spans="2:20" x14ac:dyDescent="0.25">
      <c r="B64">
        <v>7</v>
      </c>
      <c r="C64" s="26">
        <f t="shared" si="20"/>
        <v>46874.999999999985</v>
      </c>
      <c r="D64" s="25">
        <f t="shared" si="15"/>
        <v>820.83333333333326</v>
      </c>
      <c r="E64">
        <f t="shared" si="12"/>
        <v>299.99999999999994</v>
      </c>
      <c r="F64" s="25">
        <f t="shared" si="16"/>
        <v>520.83333333333337</v>
      </c>
      <c r="G64" s="26">
        <f t="shared" si="21"/>
        <v>46354.16666666665</v>
      </c>
      <c r="H64" s="30">
        <f t="shared" si="17"/>
        <v>7.6800000000000007E-2</v>
      </c>
      <c r="I64" s="40"/>
      <c r="J64" s="40"/>
      <c r="K64" s="40"/>
      <c r="L64" s="40"/>
      <c r="M64" s="40"/>
      <c r="N64">
        <v>7</v>
      </c>
      <c r="O64" s="26">
        <f t="shared" si="25"/>
        <v>25000.000000000007</v>
      </c>
      <c r="P64" s="25">
        <f t="shared" si="24"/>
        <v>4479.166666666667</v>
      </c>
      <c r="Q64">
        <f t="shared" si="13"/>
        <v>312.5</v>
      </c>
      <c r="R64" s="25">
        <f t="shared" si="14"/>
        <v>4166.666666666667</v>
      </c>
      <c r="S64" s="26">
        <f t="shared" si="26"/>
        <v>20833.333333333339</v>
      </c>
      <c r="T64" s="30">
        <f t="shared" si="19"/>
        <v>0.14999999999999997</v>
      </c>
    </row>
    <row r="65" spans="2:20" x14ac:dyDescent="0.25">
      <c r="B65">
        <v>8</v>
      </c>
      <c r="C65" s="26">
        <f t="shared" si="20"/>
        <v>46354.16666666665</v>
      </c>
      <c r="D65" s="25">
        <f t="shared" si="15"/>
        <v>820.83333333333326</v>
      </c>
      <c r="E65">
        <f t="shared" si="12"/>
        <v>299.99999999999994</v>
      </c>
      <c r="F65" s="25">
        <f t="shared" si="16"/>
        <v>520.83333333333337</v>
      </c>
      <c r="G65" s="26">
        <f t="shared" si="21"/>
        <v>45833.333333333314</v>
      </c>
      <c r="H65" s="30">
        <f t="shared" si="17"/>
        <v>7.7662921348314623E-2</v>
      </c>
      <c r="I65" s="40"/>
      <c r="J65" s="40"/>
      <c r="K65" s="40"/>
      <c r="L65" s="40"/>
      <c r="M65" s="40"/>
      <c r="N65">
        <v>8</v>
      </c>
      <c r="O65" s="26">
        <f t="shared" si="25"/>
        <v>20833.333333333339</v>
      </c>
      <c r="P65" s="25">
        <f t="shared" si="24"/>
        <v>4479.166666666667</v>
      </c>
      <c r="Q65">
        <f t="shared" si="13"/>
        <v>312.5</v>
      </c>
      <c r="R65" s="25">
        <f t="shared" si="14"/>
        <v>4166.666666666667</v>
      </c>
      <c r="S65" s="26">
        <f t="shared" si="26"/>
        <v>16666.666666666672</v>
      </c>
      <c r="T65" s="30">
        <f t="shared" si="19"/>
        <v>0.17999999999999994</v>
      </c>
    </row>
    <row r="66" spans="2:20" x14ac:dyDescent="0.25">
      <c r="B66">
        <v>9</v>
      </c>
      <c r="C66" s="26">
        <f t="shared" si="20"/>
        <v>45833.333333333314</v>
      </c>
      <c r="D66" s="25">
        <f t="shared" si="15"/>
        <v>820.83333333333326</v>
      </c>
      <c r="E66">
        <f t="shared" si="12"/>
        <v>299.99999999999994</v>
      </c>
      <c r="F66" s="25">
        <f t="shared" si="16"/>
        <v>520.83333333333337</v>
      </c>
      <c r="G66" s="26">
        <f t="shared" si="21"/>
        <v>45312.499999999978</v>
      </c>
      <c r="H66" s="30">
        <f t="shared" si="17"/>
        <v>7.8545454545454557E-2</v>
      </c>
      <c r="I66" s="40"/>
      <c r="J66" s="40"/>
      <c r="K66" s="40"/>
      <c r="L66" s="40"/>
      <c r="M66" s="40"/>
      <c r="N66">
        <v>9</v>
      </c>
      <c r="O66" s="26">
        <f t="shared" si="25"/>
        <v>16666.666666666672</v>
      </c>
      <c r="P66" s="25">
        <f t="shared" si="24"/>
        <v>4479.166666666667</v>
      </c>
      <c r="Q66">
        <f t="shared" si="13"/>
        <v>312.5</v>
      </c>
      <c r="R66" s="25">
        <f t="shared" si="14"/>
        <v>4166.666666666667</v>
      </c>
      <c r="S66" s="26">
        <f t="shared" si="26"/>
        <v>12500.000000000004</v>
      </c>
      <c r="T66" s="30">
        <f t="shared" si="19"/>
        <v>0.22499999999999995</v>
      </c>
    </row>
    <row r="67" spans="2:20" x14ac:dyDescent="0.25">
      <c r="B67">
        <v>10</v>
      </c>
      <c r="C67" s="26">
        <f t="shared" si="20"/>
        <v>45312.499999999978</v>
      </c>
      <c r="D67" s="25">
        <f t="shared" si="15"/>
        <v>820.83333333333326</v>
      </c>
      <c r="E67">
        <f t="shared" si="12"/>
        <v>299.99999999999994</v>
      </c>
      <c r="F67" s="25">
        <f t="shared" si="16"/>
        <v>520.83333333333337</v>
      </c>
      <c r="G67" s="26">
        <f t="shared" si="21"/>
        <v>44791.666666666642</v>
      </c>
      <c r="H67" s="30">
        <f t="shared" si="17"/>
        <v>7.9448275862068984E-2</v>
      </c>
      <c r="I67" s="40"/>
      <c r="J67" s="40"/>
      <c r="K67" s="40"/>
      <c r="L67" s="40"/>
      <c r="M67" s="40"/>
      <c r="N67">
        <v>10</v>
      </c>
      <c r="O67" s="26">
        <f t="shared" si="25"/>
        <v>12500.000000000004</v>
      </c>
      <c r="P67" s="25">
        <f t="shared" si="24"/>
        <v>4479.166666666667</v>
      </c>
      <c r="Q67">
        <f t="shared" si="13"/>
        <v>312.5</v>
      </c>
      <c r="R67" s="25">
        <f t="shared" si="14"/>
        <v>4166.666666666667</v>
      </c>
      <c r="S67" s="26">
        <f t="shared" si="26"/>
        <v>8333.3333333333358</v>
      </c>
      <c r="T67" s="30">
        <f t="shared" si="19"/>
        <v>0.29999999999999993</v>
      </c>
    </row>
    <row r="68" spans="2:20" x14ac:dyDescent="0.25">
      <c r="B68">
        <v>11</v>
      </c>
      <c r="C68" s="26">
        <f t="shared" si="20"/>
        <v>44791.666666666642</v>
      </c>
      <c r="D68" s="25">
        <f t="shared" si="15"/>
        <v>820.83333333333326</v>
      </c>
      <c r="E68">
        <f t="shared" si="12"/>
        <v>299.99999999999994</v>
      </c>
      <c r="F68" s="25">
        <f t="shared" si="16"/>
        <v>520.83333333333337</v>
      </c>
      <c r="G68" s="26">
        <f t="shared" si="21"/>
        <v>44270.833333333307</v>
      </c>
      <c r="H68" s="30">
        <f t="shared" si="17"/>
        <v>8.0372093023255847E-2</v>
      </c>
      <c r="I68" s="40"/>
      <c r="J68" s="40"/>
      <c r="K68" s="40"/>
      <c r="L68" s="40"/>
      <c r="M68" s="40"/>
      <c r="N68">
        <v>11</v>
      </c>
      <c r="O68" s="26">
        <f t="shared" si="25"/>
        <v>8333.3333333333358</v>
      </c>
      <c r="P68" s="25">
        <f t="shared" si="24"/>
        <v>4479.166666666667</v>
      </c>
      <c r="Q68">
        <f t="shared" si="13"/>
        <v>312.5</v>
      </c>
      <c r="R68" s="25">
        <f t="shared" si="14"/>
        <v>4166.666666666667</v>
      </c>
      <c r="S68" s="26">
        <f t="shared" si="26"/>
        <v>4166.6666666666688</v>
      </c>
      <c r="T68" s="30">
        <f t="shared" si="19"/>
        <v>0.4499999999999999</v>
      </c>
    </row>
    <row r="69" spans="2:20" x14ac:dyDescent="0.25">
      <c r="B69">
        <v>12</v>
      </c>
      <c r="C69" s="26">
        <f t="shared" si="20"/>
        <v>44270.833333333307</v>
      </c>
      <c r="D69" s="25">
        <f t="shared" si="15"/>
        <v>820.83333333333326</v>
      </c>
      <c r="E69">
        <f t="shared" si="12"/>
        <v>299.99999999999994</v>
      </c>
      <c r="F69" s="25">
        <f t="shared" si="16"/>
        <v>520.83333333333337</v>
      </c>
      <c r="G69" s="26">
        <f t="shared" si="21"/>
        <v>43749.999999999971</v>
      </c>
      <c r="H69" s="30">
        <f t="shared" si="17"/>
        <v>8.1317647058823564E-2</v>
      </c>
      <c r="I69" s="40"/>
      <c r="J69" s="40"/>
      <c r="K69" s="40"/>
      <c r="L69" s="40"/>
      <c r="M69" s="40"/>
      <c r="N69">
        <v>12</v>
      </c>
      <c r="O69" s="26">
        <f>S68</f>
        <v>4166.6666666666688</v>
      </c>
      <c r="P69" s="25">
        <f t="shared" si="24"/>
        <v>4479.166666666667</v>
      </c>
      <c r="Q69">
        <f t="shared" si="13"/>
        <v>312.5</v>
      </c>
      <c r="R69" s="25">
        <f t="shared" si="14"/>
        <v>4166.666666666667</v>
      </c>
      <c r="S69" s="26">
        <f>O69-R69</f>
        <v>0</v>
      </c>
      <c r="T69" s="30">
        <f t="shared" si="19"/>
        <v>0.89999999999999947</v>
      </c>
    </row>
    <row r="70" spans="2:20" x14ac:dyDescent="0.25">
      <c r="B70">
        <v>13</v>
      </c>
      <c r="C70" s="26">
        <f t="shared" ref="C70:C117" si="27">G69</f>
        <v>43749.999999999971</v>
      </c>
      <c r="D70" s="25">
        <f t="shared" si="15"/>
        <v>820.83333333333326</v>
      </c>
      <c r="E70">
        <f t="shared" si="12"/>
        <v>299.99999999999994</v>
      </c>
      <c r="F70" s="25">
        <f t="shared" si="16"/>
        <v>520.83333333333337</v>
      </c>
      <c r="G70" s="26">
        <f t="shared" ref="G70:G117" si="28">C70-F70</f>
        <v>43229.166666666635</v>
      </c>
      <c r="H70" s="30">
        <f t="shared" si="17"/>
        <v>8.2285714285714323E-2</v>
      </c>
    </row>
    <row r="71" spans="2:20" x14ac:dyDescent="0.25">
      <c r="B71">
        <v>14</v>
      </c>
      <c r="C71" s="26">
        <f t="shared" si="27"/>
        <v>43229.166666666635</v>
      </c>
      <c r="D71" s="25">
        <f t="shared" si="15"/>
        <v>820.83333333333326</v>
      </c>
      <c r="E71">
        <f t="shared" si="12"/>
        <v>299.99999999999994</v>
      </c>
      <c r="F71" s="25">
        <f t="shared" si="16"/>
        <v>520.83333333333337</v>
      </c>
      <c r="G71" s="26">
        <f t="shared" si="28"/>
        <v>42708.333333333299</v>
      </c>
      <c r="H71" s="30">
        <f t="shared" si="17"/>
        <v>8.3277108433734981E-2</v>
      </c>
    </row>
    <row r="72" spans="2:20" x14ac:dyDescent="0.25">
      <c r="B72">
        <v>15</v>
      </c>
      <c r="C72" s="26">
        <f t="shared" si="27"/>
        <v>42708.333333333299</v>
      </c>
      <c r="D72" s="25">
        <f t="shared" si="15"/>
        <v>820.83333333333326</v>
      </c>
      <c r="E72">
        <f t="shared" si="12"/>
        <v>299.99999999999994</v>
      </c>
      <c r="F72" s="25">
        <f t="shared" si="16"/>
        <v>520.83333333333337</v>
      </c>
      <c r="G72" s="26">
        <f t="shared" si="28"/>
        <v>42187.499999999964</v>
      </c>
      <c r="H72" s="30">
        <f t="shared" si="17"/>
        <v>8.4292682926829315E-2</v>
      </c>
    </row>
    <row r="73" spans="2:20" x14ac:dyDescent="0.25">
      <c r="B73">
        <v>16</v>
      </c>
      <c r="C73" s="26">
        <f t="shared" si="27"/>
        <v>42187.499999999964</v>
      </c>
      <c r="D73" s="25">
        <f t="shared" si="15"/>
        <v>820.83333333333326</v>
      </c>
      <c r="E73">
        <f t="shared" si="12"/>
        <v>299.99999999999994</v>
      </c>
      <c r="F73" s="25">
        <f t="shared" si="16"/>
        <v>520.83333333333337</v>
      </c>
      <c r="G73" s="26">
        <f t="shared" si="28"/>
        <v>41666.666666666628</v>
      </c>
      <c r="H73" s="30">
        <f t="shared" si="17"/>
        <v>8.5333333333333386E-2</v>
      </c>
      <c r="M73" s="1" t="s">
        <v>239</v>
      </c>
      <c r="N73" s="1" t="s">
        <v>239</v>
      </c>
      <c r="O73" s="1"/>
      <c r="P73" s="1"/>
      <c r="Q73" s="1"/>
      <c r="R73" s="1"/>
      <c r="S73" s="1" t="s">
        <v>220</v>
      </c>
      <c r="T73" s="36">
        <f>AVERAGE(Q76:Q92)*12/T74</f>
        <v>7.2000000000000008E-2</v>
      </c>
    </row>
    <row r="74" spans="2:20" x14ac:dyDescent="0.25">
      <c r="B74">
        <v>17</v>
      </c>
      <c r="C74" s="26">
        <f t="shared" si="27"/>
        <v>41666.666666666628</v>
      </c>
      <c r="D74" s="25">
        <f t="shared" si="15"/>
        <v>820.83333333333326</v>
      </c>
      <c r="E74">
        <f t="shared" si="12"/>
        <v>299.99999999999994</v>
      </c>
      <c r="F74" s="25">
        <f t="shared" si="16"/>
        <v>520.83333333333337</v>
      </c>
      <c r="G74" s="26">
        <f t="shared" si="28"/>
        <v>41145.833333333292</v>
      </c>
      <c r="H74" s="30">
        <f t="shared" si="17"/>
        <v>8.640000000000006E-2</v>
      </c>
      <c r="M74" s="1" t="s">
        <v>223</v>
      </c>
      <c r="N74" s="1" t="s">
        <v>223</v>
      </c>
      <c r="O74" s="27">
        <v>6.0000000000000001E-3</v>
      </c>
      <c r="P74" s="1"/>
      <c r="Q74" s="1"/>
      <c r="R74" s="1"/>
      <c r="S74" s="1" t="s">
        <v>219</v>
      </c>
      <c r="T74" s="35">
        <f>AVERAGE(O76:O92)</f>
        <v>45520</v>
      </c>
    </row>
    <row r="75" spans="2:20" x14ac:dyDescent="0.25">
      <c r="B75">
        <v>18</v>
      </c>
      <c r="C75" s="26">
        <f t="shared" si="27"/>
        <v>41145.833333333292</v>
      </c>
      <c r="D75" s="25">
        <f t="shared" si="15"/>
        <v>820.83333333333326</v>
      </c>
      <c r="E75">
        <f t="shared" si="12"/>
        <v>299.99999999999994</v>
      </c>
      <c r="F75" s="25">
        <f t="shared" si="16"/>
        <v>520.83333333333337</v>
      </c>
      <c r="G75" s="26">
        <f t="shared" si="28"/>
        <v>40624.999999999956</v>
      </c>
      <c r="H75" s="30">
        <f t="shared" si="17"/>
        <v>8.7493670886076014E-2</v>
      </c>
      <c r="M75" s="1" t="s">
        <v>283</v>
      </c>
      <c r="N75" s="1"/>
      <c r="O75" s="1" t="s">
        <v>227</v>
      </c>
      <c r="P75" s="1" t="s">
        <v>226</v>
      </c>
      <c r="Q75" s="1" t="s">
        <v>224</v>
      </c>
      <c r="R75" s="1" t="s">
        <v>225</v>
      </c>
      <c r="S75" s="1" t="s">
        <v>190</v>
      </c>
      <c r="T75" s="1" t="s">
        <v>218</v>
      </c>
    </row>
    <row r="76" spans="2:20" x14ac:dyDescent="0.25">
      <c r="B76">
        <v>19</v>
      </c>
      <c r="C76" s="26">
        <f t="shared" si="27"/>
        <v>40624.999999999956</v>
      </c>
      <c r="D76" s="25">
        <f t="shared" si="15"/>
        <v>820.83333333333326</v>
      </c>
      <c r="E76">
        <f t="shared" si="12"/>
        <v>299.99999999999994</v>
      </c>
      <c r="F76" s="25">
        <f t="shared" si="16"/>
        <v>520.83333333333337</v>
      </c>
      <c r="G76" s="26">
        <f t="shared" si="28"/>
        <v>40104.166666666621</v>
      </c>
      <c r="H76" s="30">
        <f t="shared" si="17"/>
        <v>8.8615384615384693E-2</v>
      </c>
      <c r="M76" s="47">
        <v>43758</v>
      </c>
      <c r="N76">
        <v>1</v>
      </c>
      <c r="O76">
        <v>82000</v>
      </c>
      <c r="P76" s="11">
        <f>Q76+R76</f>
        <v>5052</v>
      </c>
      <c r="Q76">
        <f>$O$74*O76</f>
        <v>492</v>
      </c>
      <c r="R76">
        <v>4560</v>
      </c>
      <c r="S76">
        <f>O76-R76</f>
        <v>77440</v>
      </c>
      <c r="T76" s="30">
        <f>Q76/O76*12</f>
        <v>7.2000000000000008E-2</v>
      </c>
    </row>
    <row r="77" spans="2:20" x14ac:dyDescent="0.25">
      <c r="B77">
        <v>20</v>
      </c>
      <c r="C77" s="26">
        <f t="shared" si="27"/>
        <v>40104.166666666621</v>
      </c>
      <c r="D77" s="25">
        <f t="shared" si="15"/>
        <v>820.83333333333326</v>
      </c>
      <c r="E77">
        <f t="shared" si="12"/>
        <v>299.99999999999994</v>
      </c>
      <c r="F77" s="25">
        <f t="shared" si="16"/>
        <v>520.83333333333337</v>
      </c>
      <c r="G77" s="26">
        <f t="shared" si="28"/>
        <v>39583.333333333285</v>
      </c>
      <c r="H77" s="30">
        <f t="shared" si="17"/>
        <v>8.9766233766233855E-2</v>
      </c>
      <c r="M77" s="47">
        <v>43789</v>
      </c>
      <c r="N77">
        <v>2</v>
      </c>
      <c r="O77">
        <f>S76</f>
        <v>77440</v>
      </c>
      <c r="P77" s="11">
        <f>Q77+R77</f>
        <v>5024.6400000000003</v>
      </c>
      <c r="Q77">
        <f t="shared" ref="Q77:Q93" si="29">$O$74*O77</f>
        <v>464.64</v>
      </c>
      <c r="R77">
        <f>$R$76</f>
        <v>4560</v>
      </c>
      <c r="S77">
        <f t="shared" ref="S77:S91" si="30">O77-R77</f>
        <v>72880</v>
      </c>
      <c r="T77" s="30">
        <f t="shared" ref="T77:T93" si="31">Q77/O77*12</f>
        <v>7.2000000000000008E-2</v>
      </c>
    </row>
    <row r="78" spans="2:20" x14ac:dyDescent="0.25">
      <c r="B78">
        <v>21</v>
      </c>
      <c r="C78" s="26">
        <f t="shared" si="27"/>
        <v>39583.333333333285</v>
      </c>
      <c r="D78" s="25">
        <f t="shared" si="15"/>
        <v>820.83333333333326</v>
      </c>
      <c r="E78">
        <f t="shared" si="12"/>
        <v>299.99999999999994</v>
      </c>
      <c r="F78" s="25">
        <f t="shared" si="16"/>
        <v>520.83333333333337</v>
      </c>
      <c r="G78" s="26">
        <f t="shared" si="28"/>
        <v>39062.499999999949</v>
      </c>
      <c r="H78" s="30">
        <f t="shared" si="17"/>
        <v>9.0947368421052721E-2</v>
      </c>
      <c r="M78" s="47">
        <v>43819</v>
      </c>
      <c r="N78">
        <v>3</v>
      </c>
      <c r="O78">
        <f t="shared" ref="O78:O91" si="32">S77</f>
        <v>72880</v>
      </c>
      <c r="P78" s="11">
        <f t="shared" ref="P78:P91" si="33">Q78+R78</f>
        <v>4997.28</v>
      </c>
      <c r="Q78">
        <f t="shared" si="29"/>
        <v>437.28000000000003</v>
      </c>
      <c r="R78">
        <f t="shared" ref="R78:R93" si="34">$R$76</f>
        <v>4560</v>
      </c>
      <c r="S78">
        <f t="shared" si="30"/>
        <v>68320</v>
      </c>
      <c r="T78" s="30">
        <f t="shared" si="31"/>
        <v>7.2000000000000008E-2</v>
      </c>
    </row>
    <row r="79" spans="2:20" x14ac:dyDescent="0.25">
      <c r="B79">
        <v>22</v>
      </c>
      <c r="C79" s="26">
        <f t="shared" si="27"/>
        <v>39062.499999999949</v>
      </c>
      <c r="D79" s="25">
        <f t="shared" si="15"/>
        <v>820.83333333333326</v>
      </c>
      <c r="E79">
        <f t="shared" si="12"/>
        <v>299.99999999999994</v>
      </c>
      <c r="F79" s="25">
        <f t="shared" si="16"/>
        <v>520.83333333333337</v>
      </c>
      <c r="G79" s="26">
        <f t="shared" si="28"/>
        <v>38541.666666666613</v>
      </c>
      <c r="H79" s="30">
        <f t="shared" si="17"/>
        <v>9.2160000000000103E-2</v>
      </c>
      <c r="M79" s="47">
        <v>43850</v>
      </c>
      <c r="N79">
        <v>4</v>
      </c>
      <c r="O79">
        <f t="shared" si="32"/>
        <v>68320</v>
      </c>
      <c r="P79" s="11">
        <f t="shared" si="33"/>
        <v>4969.92</v>
      </c>
      <c r="Q79">
        <f t="shared" si="29"/>
        <v>409.92</v>
      </c>
      <c r="R79">
        <f t="shared" si="34"/>
        <v>4560</v>
      </c>
      <c r="S79">
        <f t="shared" si="30"/>
        <v>63760</v>
      </c>
      <c r="T79" s="30">
        <f t="shared" si="31"/>
        <v>7.2000000000000008E-2</v>
      </c>
    </row>
    <row r="80" spans="2:20" x14ac:dyDescent="0.25">
      <c r="B80">
        <v>23</v>
      </c>
      <c r="C80" s="26">
        <f t="shared" si="27"/>
        <v>38541.666666666613</v>
      </c>
      <c r="D80" s="25">
        <f t="shared" si="15"/>
        <v>820.83333333333326</v>
      </c>
      <c r="E80">
        <f t="shared" si="12"/>
        <v>299.99999999999994</v>
      </c>
      <c r="F80" s="25">
        <f t="shared" si="16"/>
        <v>520.83333333333337</v>
      </c>
      <c r="G80" s="26">
        <f t="shared" si="28"/>
        <v>38020.833333333278</v>
      </c>
      <c r="H80" s="30">
        <f t="shared" si="17"/>
        <v>9.3405405405405512E-2</v>
      </c>
      <c r="M80" s="47">
        <v>43881</v>
      </c>
      <c r="N80">
        <v>5</v>
      </c>
      <c r="O80">
        <f t="shared" si="32"/>
        <v>63760</v>
      </c>
      <c r="P80" s="11">
        <f t="shared" si="33"/>
        <v>4942.5600000000004</v>
      </c>
      <c r="Q80">
        <f t="shared" si="29"/>
        <v>382.56</v>
      </c>
      <c r="R80">
        <f t="shared" si="34"/>
        <v>4560</v>
      </c>
      <c r="S80">
        <f t="shared" si="30"/>
        <v>59200</v>
      </c>
      <c r="T80" s="30">
        <f t="shared" si="31"/>
        <v>7.2000000000000008E-2</v>
      </c>
    </row>
    <row r="81" spans="2:20" x14ac:dyDescent="0.25">
      <c r="B81">
        <v>24</v>
      </c>
      <c r="C81" s="26">
        <f t="shared" si="27"/>
        <v>38020.833333333278</v>
      </c>
      <c r="D81" s="25">
        <f t="shared" si="15"/>
        <v>820.83333333333326</v>
      </c>
      <c r="E81">
        <f t="shared" si="12"/>
        <v>299.99999999999994</v>
      </c>
      <c r="F81" s="25">
        <f t="shared" si="16"/>
        <v>520.83333333333337</v>
      </c>
      <c r="G81" s="26">
        <f t="shared" si="28"/>
        <v>37499.999999999942</v>
      </c>
      <c r="H81" s="30">
        <f t="shared" si="17"/>
        <v>9.4684931506849437E-2</v>
      </c>
      <c r="M81" s="47">
        <v>43910</v>
      </c>
      <c r="N81">
        <v>6</v>
      </c>
      <c r="O81">
        <f t="shared" si="32"/>
        <v>59200</v>
      </c>
      <c r="P81" s="11">
        <f t="shared" si="33"/>
        <v>4915.2</v>
      </c>
      <c r="Q81">
        <f t="shared" si="29"/>
        <v>355.2</v>
      </c>
      <c r="R81">
        <f t="shared" si="34"/>
        <v>4560</v>
      </c>
      <c r="S81">
        <f t="shared" si="30"/>
        <v>54640</v>
      </c>
      <c r="T81" s="30">
        <f t="shared" si="31"/>
        <v>7.2000000000000008E-2</v>
      </c>
    </row>
    <row r="82" spans="2:20" x14ac:dyDescent="0.25">
      <c r="B82">
        <v>25</v>
      </c>
      <c r="C82" s="26">
        <f t="shared" si="27"/>
        <v>37499.999999999942</v>
      </c>
      <c r="D82" s="25">
        <f t="shared" si="15"/>
        <v>820.83333333333326</v>
      </c>
      <c r="E82">
        <f t="shared" si="12"/>
        <v>299.99999999999994</v>
      </c>
      <c r="F82" s="25">
        <f t="shared" si="16"/>
        <v>520.83333333333337</v>
      </c>
      <c r="G82" s="26">
        <f t="shared" si="28"/>
        <v>36979.166666666606</v>
      </c>
      <c r="H82" s="30">
        <f t="shared" si="17"/>
        <v>9.6000000000000127E-2</v>
      </c>
      <c r="M82" s="47">
        <v>43941</v>
      </c>
      <c r="N82">
        <v>7</v>
      </c>
      <c r="O82">
        <f t="shared" si="32"/>
        <v>54640</v>
      </c>
      <c r="P82" s="11">
        <f t="shared" si="33"/>
        <v>4887.84</v>
      </c>
      <c r="Q82">
        <f t="shared" si="29"/>
        <v>327.84000000000003</v>
      </c>
      <c r="R82">
        <f t="shared" si="34"/>
        <v>4560</v>
      </c>
      <c r="S82">
        <f t="shared" si="30"/>
        <v>50080</v>
      </c>
      <c r="T82" s="30">
        <f t="shared" si="31"/>
        <v>7.2000000000000008E-2</v>
      </c>
    </row>
    <row r="83" spans="2:20" x14ac:dyDescent="0.25">
      <c r="B83">
        <v>26</v>
      </c>
      <c r="C83" s="26">
        <f t="shared" si="27"/>
        <v>36979.166666666606</v>
      </c>
      <c r="D83" s="25">
        <f t="shared" si="15"/>
        <v>820.83333333333326</v>
      </c>
      <c r="E83">
        <f t="shared" si="12"/>
        <v>299.99999999999994</v>
      </c>
      <c r="F83" s="25">
        <f t="shared" si="16"/>
        <v>520.83333333333337</v>
      </c>
      <c r="G83" s="26">
        <f t="shared" si="28"/>
        <v>36458.33333333327</v>
      </c>
      <c r="H83" s="30">
        <f t="shared" si="17"/>
        <v>9.7352112676056479E-2</v>
      </c>
      <c r="M83" s="47">
        <v>43971</v>
      </c>
      <c r="N83">
        <v>8</v>
      </c>
      <c r="O83">
        <f t="shared" si="32"/>
        <v>50080</v>
      </c>
      <c r="P83" s="11">
        <f t="shared" si="33"/>
        <v>4860.4799999999996</v>
      </c>
      <c r="Q83">
        <f t="shared" si="29"/>
        <v>300.48</v>
      </c>
      <c r="R83">
        <f t="shared" si="34"/>
        <v>4560</v>
      </c>
      <c r="S83">
        <f t="shared" si="30"/>
        <v>45520</v>
      </c>
      <c r="T83" s="30">
        <f t="shared" si="31"/>
        <v>7.2000000000000008E-2</v>
      </c>
    </row>
    <row r="84" spans="2:20" x14ac:dyDescent="0.25">
      <c r="B84">
        <v>27</v>
      </c>
      <c r="C84" s="26">
        <f t="shared" si="27"/>
        <v>36458.33333333327</v>
      </c>
      <c r="D84" s="25">
        <f t="shared" si="15"/>
        <v>820.83333333333326</v>
      </c>
      <c r="E84">
        <f t="shared" si="12"/>
        <v>299.99999999999994</v>
      </c>
      <c r="F84" s="25">
        <f t="shared" si="16"/>
        <v>520.83333333333337</v>
      </c>
      <c r="G84" s="26">
        <f t="shared" si="28"/>
        <v>35937.499999999935</v>
      </c>
      <c r="H84" s="30">
        <f t="shared" si="17"/>
        <v>9.8742857142857299E-2</v>
      </c>
      <c r="M84" s="47">
        <v>44002</v>
      </c>
      <c r="N84">
        <v>9</v>
      </c>
      <c r="O84">
        <f t="shared" si="32"/>
        <v>45520</v>
      </c>
      <c r="P84" s="11">
        <f t="shared" si="33"/>
        <v>4833.12</v>
      </c>
      <c r="Q84">
        <f t="shared" si="29"/>
        <v>273.12</v>
      </c>
      <c r="R84">
        <f t="shared" si="34"/>
        <v>4560</v>
      </c>
      <c r="S84">
        <f t="shared" si="30"/>
        <v>40960</v>
      </c>
      <c r="T84" s="30">
        <f t="shared" si="31"/>
        <v>7.2000000000000008E-2</v>
      </c>
    </row>
    <row r="85" spans="2:20" x14ac:dyDescent="0.25">
      <c r="B85">
        <v>28</v>
      </c>
      <c r="C85" s="26">
        <f t="shared" si="27"/>
        <v>35937.499999999935</v>
      </c>
      <c r="D85" s="25">
        <f t="shared" si="15"/>
        <v>820.83333333333326</v>
      </c>
      <c r="E85">
        <f t="shared" si="12"/>
        <v>299.99999999999994</v>
      </c>
      <c r="F85" s="25">
        <f t="shared" si="16"/>
        <v>520.83333333333337</v>
      </c>
      <c r="G85" s="26">
        <f t="shared" si="28"/>
        <v>35416.666666666599</v>
      </c>
      <c r="H85" s="30">
        <f t="shared" si="17"/>
        <v>0.10017391304347842</v>
      </c>
      <c r="M85" s="47">
        <v>44032</v>
      </c>
      <c r="N85">
        <v>10</v>
      </c>
      <c r="O85">
        <f t="shared" si="32"/>
        <v>40960</v>
      </c>
      <c r="P85" s="11">
        <f t="shared" si="33"/>
        <v>4805.76</v>
      </c>
      <c r="Q85">
        <f t="shared" si="29"/>
        <v>245.76</v>
      </c>
      <c r="R85">
        <f t="shared" si="34"/>
        <v>4560</v>
      </c>
      <c r="S85">
        <f t="shared" si="30"/>
        <v>36400</v>
      </c>
      <c r="T85" s="30">
        <f t="shared" si="31"/>
        <v>7.2000000000000008E-2</v>
      </c>
    </row>
    <row r="86" spans="2:20" x14ac:dyDescent="0.25">
      <c r="B86">
        <v>29</v>
      </c>
      <c r="C86" s="26">
        <f t="shared" si="27"/>
        <v>35416.666666666599</v>
      </c>
      <c r="D86" s="25">
        <f t="shared" si="15"/>
        <v>820.83333333333326</v>
      </c>
      <c r="E86">
        <f t="shared" si="12"/>
        <v>299.99999999999994</v>
      </c>
      <c r="F86" s="25">
        <f t="shared" si="16"/>
        <v>520.83333333333337</v>
      </c>
      <c r="G86" s="26">
        <f t="shared" si="28"/>
        <v>34895.833333333263</v>
      </c>
      <c r="H86" s="30">
        <f t="shared" si="17"/>
        <v>0.10164705882352959</v>
      </c>
      <c r="M86" s="47">
        <v>44063</v>
      </c>
      <c r="N86">
        <v>11</v>
      </c>
      <c r="O86">
        <f t="shared" si="32"/>
        <v>36400</v>
      </c>
      <c r="P86" s="11">
        <f t="shared" si="33"/>
        <v>4778.3999999999996</v>
      </c>
      <c r="Q86">
        <f t="shared" si="29"/>
        <v>218.4</v>
      </c>
      <c r="R86">
        <f t="shared" si="34"/>
        <v>4560</v>
      </c>
      <c r="S86">
        <f t="shared" si="30"/>
        <v>31840</v>
      </c>
      <c r="T86" s="30">
        <f t="shared" si="31"/>
        <v>7.2000000000000008E-2</v>
      </c>
    </row>
    <row r="87" spans="2:20" x14ac:dyDescent="0.25">
      <c r="B87">
        <v>30</v>
      </c>
      <c r="C87" s="26">
        <f t="shared" si="27"/>
        <v>34895.833333333263</v>
      </c>
      <c r="D87" s="25">
        <f t="shared" si="15"/>
        <v>820.83333333333326</v>
      </c>
      <c r="E87">
        <f t="shared" si="12"/>
        <v>299.99999999999994</v>
      </c>
      <c r="F87" s="25">
        <f t="shared" si="16"/>
        <v>520.83333333333337</v>
      </c>
      <c r="G87" s="26">
        <f t="shared" si="28"/>
        <v>34374.999999999927</v>
      </c>
      <c r="H87" s="30">
        <f t="shared" si="17"/>
        <v>0.1031641791044778</v>
      </c>
      <c r="M87" s="47">
        <v>44094</v>
      </c>
      <c r="N87">
        <v>12</v>
      </c>
      <c r="O87">
        <f t="shared" si="32"/>
        <v>31840</v>
      </c>
      <c r="P87" s="11">
        <f t="shared" si="33"/>
        <v>4751.04</v>
      </c>
      <c r="Q87">
        <f t="shared" si="29"/>
        <v>191.04</v>
      </c>
      <c r="R87">
        <f t="shared" si="34"/>
        <v>4560</v>
      </c>
      <c r="S87">
        <f t="shared" si="30"/>
        <v>27280</v>
      </c>
      <c r="T87" s="30">
        <f t="shared" si="31"/>
        <v>7.2000000000000008E-2</v>
      </c>
    </row>
    <row r="88" spans="2:20" x14ac:dyDescent="0.25">
      <c r="B88">
        <v>31</v>
      </c>
      <c r="C88" s="26">
        <f t="shared" si="27"/>
        <v>34374.999999999927</v>
      </c>
      <c r="D88" s="25">
        <f t="shared" si="15"/>
        <v>820.83333333333326</v>
      </c>
      <c r="E88">
        <f t="shared" si="12"/>
        <v>299.99999999999994</v>
      </c>
      <c r="F88" s="25">
        <f t="shared" si="16"/>
        <v>520.83333333333337</v>
      </c>
      <c r="G88" s="26">
        <f t="shared" si="28"/>
        <v>33854.166666666591</v>
      </c>
      <c r="H88" s="30">
        <f t="shared" si="17"/>
        <v>0.10472727272727292</v>
      </c>
      <c r="M88" s="47">
        <v>44124</v>
      </c>
      <c r="N88">
        <v>13</v>
      </c>
      <c r="O88">
        <f t="shared" si="32"/>
        <v>27280</v>
      </c>
      <c r="P88" s="11">
        <f t="shared" si="33"/>
        <v>4723.68</v>
      </c>
      <c r="Q88">
        <f t="shared" si="29"/>
        <v>163.68</v>
      </c>
      <c r="R88">
        <f t="shared" si="34"/>
        <v>4560</v>
      </c>
      <c r="S88">
        <f t="shared" si="30"/>
        <v>22720</v>
      </c>
      <c r="T88" s="30">
        <f t="shared" si="31"/>
        <v>7.2000000000000008E-2</v>
      </c>
    </row>
    <row r="89" spans="2:20" x14ac:dyDescent="0.25">
      <c r="B89">
        <v>32</v>
      </c>
      <c r="C89" s="26">
        <f t="shared" si="27"/>
        <v>33854.166666666591</v>
      </c>
      <c r="D89" s="25">
        <f t="shared" si="15"/>
        <v>820.83333333333326</v>
      </c>
      <c r="E89">
        <f t="shared" si="12"/>
        <v>299.99999999999994</v>
      </c>
      <c r="F89" s="25">
        <f t="shared" si="16"/>
        <v>520.83333333333337</v>
      </c>
      <c r="G89" s="26">
        <f t="shared" si="28"/>
        <v>33333.333333333256</v>
      </c>
      <c r="H89" s="30">
        <f t="shared" si="17"/>
        <v>0.10633846153846176</v>
      </c>
      <c r="M89" s="47">
        <v>44155</v>
      </c>
      <c r="N89">
        <v>14</v>
      </c>
      <c r="O89">
        <f t="shared" si="32"/>
        <v>22720</v>
      </c>
      <c r="P89" s="11">
        <f t="shared" si="33"/>
        <v>4696.32</v>
      </c>
      <c r="Q89">
        <f t="shared" si="29"/>
        <v>136.32</v>
      </c>
      <c r="R89">
        <f t="shared" si="34"/>
        <v>4560</v>
      </c>
      <c r="S89">
        <f t="shared" si="30"/>
        <v>18160</v>
      </c>
      <c r="T89" s="30">
        <f t="shared" si="31"/>
        <v>7.2000000000000008E-2</v>
      </c>
    </row>
    <row r="90" spans="2:20" x14ac:dyDescent="0.25">
      <c r="B90">
        <v>33</v>
      </c>
      <c r="C90" s="26">
        <f t="shared" si="27"/>
        <v>33333.333333333256</v>
      </c>
      <c r="D90" s="25">
        <f t="shared" si="15"/>
        <v>820.83333333333326</v>
      </c>
      <c r="E90">
        <f t="shared" ref="E90:E121" si="35">$D$55/12*$C$58</f>
        <v>299.99999999999994</v>
      </c>
      <c r="F90" s="25">
        <f t="shared" si="16"/>
        <v>520.83333333333337</v>
      </c>
      <c r="G90" s="26">
        <f t="shared" si="28"/>
        <v>32812.49999999992</v>
      </c>
      <c r="H90" s="30">
        <f t="shared" si="17"/>
        <v>0.10800000000000022</v>
      </c>
      <c r="M90" s="47">
        <v>44185</v>
      </c>
      <c r="N90">
        <v>15</v>
      </c>
      <c r="O90">
        <f t="shared" si="32"/>
        <v>18160</v>
      </c>
      <c r="P90" s="11">
        <f t="shared" si="33"/>
        <v>4668.96</v>
      </c>
      <c r="Q90">
        <f t="shared" si="29"/>
        <v>108.96000000000001</v>
      </c>
      <c r="R90">
        <f t="shared" si="34"/>
        <v>4560</v>
      </c>
      <c r="S90">
        <f t="shared" si="30"/>
        <v>13600</v>
      </c>
      <c r="T90" s="30">
        <f t="shared" si="31"/>
        <v>7.2000000000000008E-2</v>
      </c>
    </row>
    <row r="91" spans="2:20" x14ac:dyDescent="0.25">
      <c r="B91">
        <v>34</v>
      </c>
      <c r="C91" s="26">
        <f t="shared" si="27"/>
        <v>32812.49999999992</v>
      </c>
      <c r="D91" s="25">
        <f t="shared" si="15"/>
        <v>820.83333333333326</v>
      </c>
      <c r="E91">
        <f t="shared" si="35"/>
        <v>299.99999999999994</v>
      </c>
      <c r="F91" s="25">
        <f t="shared" si="16"/>
        <v>520.83333333333337</v>
      </c>
      <c r="G91" s="26">
        <f t="shared" si="28"/>
        <v>32291.666666666588</v>
      </c>
      <c r="H91" s="30">
        <f t="shared" si="17"/>
        <v>0.10971428571428596</v>
      </c>
      <c r="M91" s="47">
        <v>44216</v>
      </c>
      <c r="N91">
        <v>16</v>
      </c>
      <c r="O91">
        <f t="shared" si="32"/>
        <v>13600</v>
      </c>
      <c r="P91" s="11">
        <f t="shared" si="33"/>
        <v>4641.6000000000004</v>
      </c>
      <c r="Q91">
        <f t="shared" si="29"/>
        <v>81.600000000000009</v>
      </c>
      <c r="R91">
        <f t="shared" si="34"/>
        <v>4560</v>
      </c>
      <c r="S91">
        <f t="shared" si="30"/>
        <v>9040</v>
      </c>
      <c r="T91" s="30">
        <f t="shared" si="31"/>
        <v>7.2000000000000008E-2</v>
      </c>
    </row>
    <row r="92" spans="2:20" x14ac:dyDescent="0.25">
      <c r="B92">
        <v>35</v>
      </c>
      <c r="C92" s="26">
        <f t="shared" si="27"/>
        <v>32291.666666666588</v>
      </c>
      <c r="D92" s="25">
        <f t="shared" si="15"/>
        <v>820.83333333333326</v>
      </c>
      <c r="E92">
        <f t="shared" si="35"/>
        <v>299.99999999999994</v>
      </c>
      <c r="F92" s="25">
        <f t="shared" si="16"/>
        <v>520.83333333333337</v>
      </c>
      <c r="G92" s="26">
        <f t="shared" si="28"/>
        <v>31770.833333333256</v>
      </c>
      <c r="H92" s="30">
        <f t="shared" si="17"/>
        <v>0.11148387096774218</v>
      </c>
      <c r="M92" s="47">
        <v>44247</v>
      </c>
      <c r="N92">
        <v>17</v>
      </c>
      <c r="O92">
        <f t="shared" ref="O92:O93" si="36">S91</f>
        <v>9040</v>
      </c>
      <c r="P92" s="11">
        <f t="shared" ref="P92:P93" si="37">Q92+R92</f>
        <v>4614.24</v>
      </c>
      <c r="Q92">
        <f t="shared" si="29"/>
        <v>54.24</v>
      </c>
      <c r="R92">
        <f t="shared" si="34"/>
        <v>4560</v>
      </c>
      <c r="S92">
        <f t="shared" ref="S92:S93" si="38">O92-R92</f>
        <v>4480</v>
      </c>
      <c r="T92" s="30">
        <f t="shared" si="31"/>
        <v>7.2000000000000008E-2</v>
      </c>
    </row>
    <row r="93" spans="2:20" x14ac:dyDescent="0.25">
      <c r="B93">
        <v>36</v>
      </c>
      <c r="C93" s="26">
        <f t="shared" si="27"/>
        <v>31770.833333333256</v>
      </c>
      <c r="D93" s="25">
        <f t="shared" si="15"/>
        <v>820.83333333333326</v>
      </c>
      <c r="E93">
        <f t="shared" si="35"/>
        <v>299.99999999999994</v>
      </c>
      <c r="F93" s="25">
        <f t="shared" si="16"/>
        <v>520.83333333333337</v>
      </c>
      <c r="G93" s="26">
        <f t="shared" si="28"/>
        <v>31249.999999999924</v>
      </c>
      <c r="H93" s="30">
        <f t="shared" si="17"/>
        <v>0.11331147540983633</v>
      </c>
      <c r="M93" s="48">
        <v>44275</v>
      </c>
      <c r="N93">
        <v>18</v>
      </c>
      <c r="O93">
        <f t="shared" si="36"/>
        <v>4480</v>
      </c>
      <c r="P93" s="11">
        <f t="shared" si="37"/>
        <v>4586.88</v>
      </c>
      <c r="Q93">
        <f t="shared" si="29"/>
        <v>26.88</v>
      </c>
      <c r="R93">
        <f t="shared" si="34"/>
        <v>4560</v>
      </c>
      <c r="S93">
        <f t="shared" si="38"/>
        <v>-80</v>
      </c>
      <c r="T93" s="30">
        <f t="shared" si="31"/>
        <v>7.2000000000000008E-2</v>
      </c>
    </row>
    <row r="94" spans="2:20" x14ac:dyDescent="0.25">
      <c r="B94">
        <v>37</v>
      </c>
      <c r="C94" s="26">
        <f t="shared" si="27"/>
        <v>31249.999999999924</v>
      </c>
      <c r="D94" s="25">
        <f t="shared" si="15"/>
        <v>820.83333333333326</v>
      </c>
      <c r="E94">
        <f t="shared" si="35"/>
        <v>299.99999999999994</v>
      </c>
      <c r="F94" s="25">
        <f t="shared" si="16"/>
        <v>520.83333333333337</v>
      </c>
      <c r="G94" s="26">
        <f t="shared" si="28"/>
        <v>30729.166666666591</v>
      </c>
      <c r="H94" s="30">
        <f t="shared" si="17"/>
        <v>0.11520000000000026</v>
      </c>
      <c r="T94" s="30"/>
    </row>
    <row r="95" spans="2:20" x14ac:dyDescent="0.25">
      <c r="B95">
        <v>38</v>
      </c>
      <c r="C95" s="26">
        <f t="shared" si="27"/>
        <v>30729.166666666591</v>
      </c>
      <c r="D95" s="25">
        <f t="shared" si="15"/>
        <v>820.83333333333326</v>
      </c>
      <c r="E95">
        <f t="shared" si="35"/>
        <v>299.99999999999994</v>
      </c>
      <c r="F95" s="25">
        <f t="shared" si="16"/>
        <v>520.83333333333337</v>
      </c>
      <c r="G95" s="26">
        <f t="shared" si="28"/>
        <v>30208.333333333259</v>
      </c>
      <c r="H95" s="30">
        <f t="shared" si="17"/>
        <v>0.11715254237288161</v>
      </c>
      <c r="T95" s="30"/>
    </row>
    <row r="96" spans="2:20" x14ac:dyDescent="0.25">
      <c r="B96">
        <v>39</v>
      </c>
      <c r="C96" s="26">
        <f t="shared" si="27"/>
        <v>30208.333333333259</v>
      </c>
      <c r="D96" s="25">
        <f t="shared" si="15"/>
        <v>820.83333333333326</v>
      </c>
      <c r="E96">
        <f t="shared" si="35"/>
        <v>299.99999999999994</v>
      </c>
      <c r="F96" s="25">
        <f t="shared" si="16"/>
        <v>520.83333333333337</v>
      </c>
      <c r="G96" s="26">
        <f t="shared" si="28"/>
        <v>29687.499999999927</v>
      </c>
      <c r="H96" s="30">
        <f t="shared" si="17"/>
        <v>0.11917241379310373</v>
      </c>
      <c r="T96" s="30"/>
    </row>
    <row r="97" spans="2:20" x14ac:dyDescent="0.25">
      <c r="B97">
        <v>40</v>
      </c>
      <c r="C97" s="26">
        <f t="shared" si="27"/>
        <v>29687.499999999927</v>
      </c>
      <c r="D97" s="25">
        <f t="shared" si="15"/>
        <v>820.83333333333326</v>
      </c>
      <c r="E97">
        <f t="shared" si="35"/>
        <v>299.99999999999994</v>
      </c>
      <c r="F97" s="25">
        <f t="shared" si="16"/>
        <v>520.83333333333337</v>
      </c>
      <c r="G97" s="26">
        <f t="shared" si="28"/>
        <v>29166.666666666595</v>
      </c>
      <c r="H97" s="30">
        <f t="shared" si="17"/>
        <v>0.12126315789473711</v>
      </c>
      <c r="T97" s="30"/>
    </row>
    <row r="98" spans="2:20" x14ac:dyDescent="0.25">
      <c r="B98">
        <v>41</v>
      </c>
      <c r="C98" s="26">
        <f t="shared" si="27"/>
        <v>29166.666666666595</v>
      </c>
      <c r="D98" s="25">
        <f t="shared" si="15"/>
        <v>820.83333333333326</v>
      </c>
      <c r="E98">
        <f t="shared" si="35"/>
        <v>299.99999999999994</v>
      </c>
      <c r="F98" s="25">
        <f t="shared" si="16"/>
        <v>520.83333333333337</v>
      </c>
      <c r="G98" s="26">
        <f t="shared" si="28"/>
        <v>28645.833333333263</v>
      </c>
      <c r="H98" s="30">
        <f t="shared" si="17"/>
        <v>0.12342857142857172</v>
      </c>
      <c r="T98" s="30"/>
    </row>
    <row r="99" spans="2:20" x14ac:dyDescent="0.25">
      <c r="B99">
        <v>42</v>
      </c>
      <c r="C99" s="26">
        <f t="shared" si="27"/>
        <v>28645.833333333263</v>
      </c>
      <c r="D99" s="25">
        <f t="shared" si="15"/>
        <v>820.83333333333326</v>
      </c>
      <c r="E99">
        <f t="shared" si="35"/>
        <v>299.99999999999994</v>
      </c>
      <c r="F99" s="25">
        <f t="shared" si="16"/>
        <v>520.83333333333337</v>
      </c>
      <c r="G99" s="26">
        <f t="shared" si="28"/>
        <v>28124.999999999931</v>
      </c>
      <c r="H99" s="30">
        <f t="shared" si="17"/>
        <v>0.12567272727272755</v>
      </c>
      <c r="T99" s="30"/>
    </row>
    <row r="100" spans="2:20" x14ac:dyDescent="0.25">
      <c r="B100">
        <v>43</v>
      </c>
      <c r="C100" s="26">
        <f t="shared" si="27"/>
        <v>28124.999999999931</v>
      </c>
      <c r="D100" s="25">
        <f t="shared" si="15"/>
        <v>820.83333333333326</v>
      </c>
      <c r="E100">
        <f t="shared" si="35"/>
        <v>299.99999999999994</v>
      </c>
      <c r="F100" s="25">
        <f t="shared" si="16"/>
        <v>520.83333333333337</v>
      </c>
      <c r="G100" s="26">
        <f t="shared" si="28"/>
        <v>27604.166666666599</v>
      </c>
      <c r="H100" s="30">
        <f t="shared" si="17"/>
        <v>0.12800000000000028</v>
      </c>
      <c r="T100" s="30"/>
    </row>
    <row r="101" spans="2:20" x14ac:dyDescent="0.25">
      <c r="B101">
        <v>44</v>
      </c>
      <c r="C101" s="26">
        <f t="shared" si="27"/>
        <v>27604.166666666599</v>
      </c>
      <c r="D101" s="25">
        <f t="shared" si="15"/>
        <v>820.83333333333326</v>
      </c>
      <c r="E101">
        <f t="shared" si="35"/>
        <v>299.99999999999994</v>
      </c>
      <c r="F101" s="25">
        <f t="shared" si="16"/>
        <v>520.83333333333337</v>
      </c>
      <c r="G101" s="26">
        <f t="shared" si="28"/>
        <v>27083.333333333267</v>
      </c>
      <c r="H101" s="30">
        <f t="shared" si="17"/>
        <v>0.13041509433962295</v>
      </c>
      <c r="T101" s="30"/>
    </row>
    <row r="102" spans="2:20" x14ac:dyDescent="0.25">
      <c r="B102">
        <v>45</v>
      </c>
      <c r="C102" s="26">
        <f t="shared" si="27"/>
        <v>27083.333333333267</v>
      </c>
      <c r="D102" s="25">
        <f t="shared" si="15"/>
        <v>820.83333333333326</v>
      </c>
      <c r="E102">
        <f t="shared" si="35"/>
        <v>299.99999999999994</v>
      </c>
      <c r="F102" s="25">
        <f t="shared" si="16"/>
        <v>520.83333333333337</v>
      </c>
      <c r="G102" s="26">
        <f t="shared" si="28"/>
        <v>26562.499999999935</v>
      </c>
      <c r="H102" s="30">
        <f t="shared" si="17"/>
        <v>0.13292307692307723</v>
      </c>
      <c r="T102" s="30"/>
    </row>
    <row r="103" spans="2:20" x14ac:dyDescent="0.25">
      <c r="B103">
        <v>46</v>
      </c>
      <c r="C103" s="26">
        <f t="shared" si="27"/>
        <v>26562.499999999935</v>
      </c>
      <c r="D103" s="25">
        <f t="shared" si="15"/>
        <v>820.83333333333326</v>
      </c>
      <c r="E103">
        <f t="shared" si="35"/>
        <v>299.99999999999994</v>
      </c>
      <c r="F103" s="25">
        <f t="shared" si="16"/>
        <v>520.83333333333337</v>
      </c>
      <c r="G103" s="26">
        <f t="shared" si="28"/>
        <v>26041.666666666602</v>
      </c>
      <c r="H103" s="30">
        <f t="shared" si="17"/>
        <v>0.13552941176470618</v>
      </c>
      <c r="T103" s="30"/>
    </row>
    <row r="104" spans="2:20" x14ac:dyDescent="0.25">
      <c r="B104">
        <v>47</v>
      </c>
      <c r="C104" s="26">
        <f t="shared" si="27"/>
        <v>26041.666666666602</v>
      </c>
      <c r="D104" s="25">
        <f t="shared" si="15"/>
        <v>820.83333333333326</v>
      </c>
      <c r="E104">
        <f t="shared" si="35"/>
        <v>299.99999999999994</v>
      </c>
      <c r="F104" s="25">
        <f t="shared" si="16"/>
        <v>520.83333333333337</v>
      </c>
      <c r="G104" s="26">
        <f t="shared" si="28"/>
        <v>25520.83333333327</v>
      </c>
      <c r="H104" s="30">
        <f t="shared" si="17"/>
        <v>0.13824000000000031</v>
      </c>
      <c r="T104" s="30"/>
    </row>
    <row r="105" spans="2:20" x14ac:dyDescent="0.25">
      <c r="B105">
        <v>48</v>
      </c>
      <c r="C105" s="26">
        <f t="shared" si="27"/>
        <v>25520.83333333327</v>
      </c>
      <c r="D105" s="25">
        <f t="shared" si="15"/>
        <v>820.83333333333326</v>
      </c>
      <c r="E105">
        <f t="shared" si="35"/>
        <v>299.99999999999994</v>
      </c>
      <c r="F105" s="25">
        <f t="shared" si="16"/>
        <v>520.83333333333337</v>
      </c>
      <c r="G105" s="26">
        <f t="shared" si="28"/>
        <v>24999.999999999938</v>
      </c>
      <c r="H105" s="30">
        <f t="shared" si="17"/>
        <v>0.14106122448979624</v>
      </c>
    </row>
    <row r="106" spans="2:20" x14ac:dyDescent="0.25">
      <c r="B106">
        <v>49</v>
      </c>
      <c r="C106" s="26">
        <f t="shared" si="27"/>
        <v>24999.999999999938</v>
      </c>
      <c r="D106" s="25">
        <f t="shared" si="15"/>
        <v>820.83333333333326</v>
      </c>
      <c r="E106">
        <f t="shared" si="35"/>
        <v>299.99999999999994</v>
      </c>
      <c r="F106" s="25">
        <f t="shared" si="16"/>
        <v>520.83333333333337</v>
      </c>
      <c r="G106" s="26">
        <f t="shared" si="28"/>
        <v>24479.166666666606</v>
      </c>
      <c r="H106" s="30">
        <f t="shared" si="17"/>
        <v>0.14400000000000035</v>
      </c>
    </row>
    <row r="107" spans="2:20" x14ac:dyDescent="0.25">
      <c r="B107">
        <v>50</v>
      </c>
      <c r="C107" s="26">
        <f t="shared" si="27"/>
        <v>24479.166666666606</v>
      </c>
      <c r="D107" s="25">
        <f t="shared" si="15"/>
        <v>820.83333333333326</v>
      </c>
      <c r="E107">
        <f t="shared" si="35"/>
        <v>299.99999999999994</v>
      </c>
      <c r="F107" s="25">
        <f t="shared" si="16"/>
        <v>520.83333333333337</v>
      </c>
      <c r="G107" s="26">
        <f t="shared" si="28"/>
        <v>23958.333333333274</v>
      </c>
      <c r="H107" s="30">
        <f t="shared" si="17"/>
        <v>0.1470638297872344</v>
      </c>
    </row>
    <row r="108" spans="2:20" x14ac:dyDescent="0.25">
      <c r="B108">
        <v>51</v>
      </c>
      <c r="C108" s="26">
        <f t="shared" si="27"/>
        <v>23958.333333333274</v>
      </c>
      <c r="D108" s="25">
        <f t="shared" si="15"/>
        <v>820.83333333333326</v>
      </c>
      <c r="E108">
        <f t="shared" si="35"/>
        <v>299.99999999999994</v>
      </c>
      <c r="F108" s="25">
        <f t="shared" si="16"/>
        <v>520.83333333333337</v>
      </c>
      <c r="G108" s="26">
        <f t="shared" si="28"/>
        <v>23437.499999999942</v>
      </c>
      <c r="H108" s="30">
        <f t="shared" si="17"/>
        <v>0.15026086956521773</v>
      </c>
    </row>
    <row r="109" spans="2:20" x14ac:dyDescent="0.25">
      <c r="B109">
        <v>52</v>
      </c>
      <c r="C109" s="26">
        <f t="shared" si="27"/>
        <v>23437.499999999942</v>
      </c>
      <c r="D109" s="25">
        <f t="shared" si="15"/>
        <v>820.83333333333326</v>
      </c>
      <c r="E109">
        <f t="shared" si="35"/>
        <v>299.99999999999994</v>
      </c>
      <c r="F109" s="25">
        <f t="shared" si="16"/>
        <v>520.83333333333337</v>
      </c>
      <c r="G109" s="26">
        <f t="shared" si="28"/>
        <v>22916.66666666661</v>
      </c>
      <c r="H109" s="30">
        <f t="shared" si="17"/>
        <v>0.15360000000000035</v>
      </c>
    </row>
    <row r="110" spans="2:20" x14ac:dyDescent="0.25">
      <c r="B110">
        <v>53</v>
      </c>
      <c r="C110" s="26">
        <f t="shared" si="27"/>
        <v>22916.66666666661</v>
      </c>
      <c r="D110" s="25">
        <f t="shared" si="15"/>
        <v>820.83333333333326</v>
      </c>
      <c r="E110">
        <f t="shared" si="35"/>
        <v>299.99999999999994</v>
      </c>
      <c r="F110" s="25">
        <f t="shared" si="16"/>
        <v>520.83333333333337</v>
      </c>
      <c r="G110" s="26">
        <f t="shared" si="28"/>
        <v>22395.833333333278</v>
      </c>
      <c r="H110" s="30">
        <f t="shared" si="17"/>
        <v>0.15709090909090945</v>
      </c>
    </row>
    <row r="111" spans="2:20" x14ac:dyDescent="0.25">
      <c r="B111">
        <v>54</v>
      </c>
      <c r="C111" s="26">
        <f t="shared" si="27"/>
        <v>22395.833333333278</v>
      </c>
      <c r="D111" s="25">
        <f t="shared" si="15"/>
        <v>820.83333333333326</v>
      </c>
      <c r="E111">
        <f t="shared" si="35"/>
        <v>299.99999999999994</v>
      </c>
      <c r="F111" s="25">
        <f t="shared" si="16"/>
        <v>520.83333333333337</v>
      </c>
      <c r="G111" s="26">
        <f t="shared" si="28"/>
        <v>21874.999999999945</v>
      </c>
      <c r="H111" s="30">
        <f t="shared" si="17"/>
        <v>0.160744186046512</v>
      </c>
    </row>
    <row r="112" spans="2:20" x14ac:dyDescent="0.25">
      <c r="B112">
        <v>55</v>
      </c>
      <c r="C112" s="26">
        <f t="shared" si="27"/>
        <v>21874.999999999945</v>
      </c>
      <c r="D112" s="25">
        <f t="shared" si="15"/>
        <v>820.83333333333326</v>
      </c>
      <c r="E112">
        <f t="shared" si="35"/>
        <v>299.99999999999994</v>
      </c>
      <c r="F112" s="25">
        <f t="shared" si="16"/>
        <v>520.83333333333337</v>
      </c>
      <c r="G112" s="26">
        <f t="shared" si="28"/>
        <v>21354.166666666613</v>
      </c>
      <c r="H112" s="30">
        <f t="shared" si="17"/>
        <v>0.16457142857142895</v>
      </c>
    </row>
    <row r="113" spans="2:8" x14ac:dyDescent="0.25">
      <c r="B113">
        <v>56</v>
      </c>
      <c r="C113" s="26">
        <f t="shared" si="27"/>
        <v>21354.166666666613</v>
      </c>
      <c r="D113" s="25">
        <f t="shared" si="15"/>
        <v>820.83333333333326</v>
      </c>
      <c r="E113">
        <f t="shared" si="35"/>
        <v>299.99999999999994</v>
      </c>
      <c r="F113" s="25">
        <f t="shared" si="16"/>
        <v>520.83333333333337</v>
      </c>
      <c r="G113" s="26">
        <f t="shared" si="28"/>
        <v>20833.333333333281</v>
      </c>
      <c r="H113" s="30">
        <f t="shared" si="17"/>
        <v>0.16858536585365894</v>
      </c>
    </row>
    <row r="114" spans="2:8" x14ac:dyDescent="0.25">
      <c r="B114">
        <v>57</v>
      </c>
      <c r="C114" s="26">
        <f t="shared" si="27"/>
        <v>20833.333333333281</v>
      </c>
      <c r="D114" s="25">
        <f t="shared" si="15"/>
        <v>820.83333333333326</v>
      </c>
      <c r="E114">
        <f t="shared" si="35"/>
        <v>299.99999999999994</v>
      </c>
      <c r="F114" s="25">
        <f t="shared" si="16"/>
        <v>520.83333333333337</v>
      </c>
      <c r="G114" s="26">
        <f t="shared" si="28"/>
        <v>20312.499999999949</v>
      </c>
      <c r="H114" s="30">
        <f t="shared" si="17"/>
        <v>0.1728000000000004</v>
      </c>
    </row>
    <row r="115" spans="2:8" x14ac:dyDescent="0.25">
      <c r="B115">
        <v>58</v>
      </c>
      <c r="C115" s="26">
        <f t="shared" si="27"/>
        <v>20312.499999999949</v>
      </c>
      <c r="D115" s="25">
        <f t="shared" si="15"/>
        <v>820.83333333333326</v>
      </c>
      <c r="E115">
        <f t="shared" si="35"/>
        <v>299.99999999999994</v>
      </c>
      <c r="F115" s="25">
        <f t="shared" si="16"/>
        <v>520.83333333333337</v>
      </c>
      <c r="G115" s="26">
        <f t="shared" si="28"/>
        <v>19791.666666666617</v>
      </c>
      <c r="H115" s="30">
        <f t="shared" si="17"/>
        <v>0.17723076923076964</v>
      </c>
    </row>
    <row r="116" spans="2:8" x14ac:dyDescent="0.25">
      <c r="B116">
        <v>59</v>
      </c>
      <c r="C116" s="26">
        <f t="shared" si="27"/>
        <v>19791.666666666617</v>
      </c>
      <c r="D116" s="25">
        <f t="shared" si="15"/>
        <v>820.83333333333326</v>
      </c>
      <c r="E116">
        <f t="shared" si="35"/>
        <v>299.99999999999994</v>
      </c>
      <c r="F116" s="25">
        <f t="shared" si="16"/>
        <v>520.83333333333337</v>
      </c>
      <c r="G116" s="26">
        <f t="shared" si="28"/>
        <v>19270.833333333285</v>
      </c>
      <c r="H116" s="30">
        <f t="shared" si="17"/>
        <v>0.18189473684210569</v>
      </c>
    </row>
    <row r="117" spans="2:8" x14ac:dyDescent="0.25">
      <c r="B117">
        <v>60</v>
      </c>
      <c r="C117" s="26">
        <f t="shared" si="27"/>
        <v>19270.833333333285</v>
      </c>
      <c r="D117" s="25">
        <f t="shared" si="15"/>
        <v>820.83333333333326</v>
      </c>
      <c r="E117">
        <f t="shared" si="35"/>
        <v>299.99999999999994</v>
      </c>
      <c r="F117" s="25">
        <f t="shared" si="16"/>
        <v>520.83333333333337</v>
      </c>
      <c r="G117" s="26">
        <f t="shared" si="28"/>
        <v>18749.999999999953</v>
      </c>
      <c r="H117" s="30">
        <f t="shared" si="17"/>
        <v>0.18681081081081125</v>
      </c>
    </row>
    <row r="118" spans="2:8" x14ac:dyDescent="0.25">
      <c r="B118">
        <v>61</v>
      </c>
      <c r="C118" s="26">
        <f t="shared" ref="C118:C136" si="39">G117</f>
        <v>18749.999999999953</v>
      </c>
      <c r="D118" s="25">
        <f t="shared" si="15"/>
        <v>820.83333333333326</v>
      </c>
      <c r="E118">
        <f t="shared" si="35"/>
        <v>299.99999999999994</v>
      </c>
      <c r="F118" s="25">
        <f t="shared" si="16"/>
        <v>520.83333333333337</v>
      </c>
      <c r="G118" s="26">
        <f t="shared" ref="G118:G136" si="40">C118-F118</f>
        <v>18229.166666666621</v>
      </c>
      <c r="H118" s="30">
        <f t="shared" si="17"/>
        <v>0.19200000000000045</v>
      </c>
    </row>
    <row r="119" spans="2:8" x14ac:dyDescent="0.25">
      <c r="B119">
        <v>62</v>
      </c>
      <c r="C119" s="26">
        <f t="shared" si="39"/>
        <v>18229.166666666621</v>
      </c>
      <c r="D119" s="25">
        <f t="shared" si="15"/>
        <v>820.83333333333326</v>
      </c>
      <c r="E119">
        <f t="shared" si="35"/>
        <v>299.99999999999994</v>
      </c>
      <c r="F119" s="25">
        <f t="shared" si="16"/>
        <v>520.83333333333337</v>
      </c>
      <c r="G119" s="26">
        <f t="shared" si="40"/>
        <v>17708.333333333288</v>
      </c>
      <c r="H119" s="30">
        <f t="shared" si="17"/>
        <v>0.19748571428571476</v>
      </c>
    </row>
    <row r="120" spans="2:8" x14ac:dyDescent="0.25">
      <c r="B120">
        <v>63</v>
      </c>
      <c r="C120" s="26">
        <f t="shared" si="39"/>
        <v>17708.333333333288</v>
      </c>
      <c r="D120" s="25">
        <f t="shared" si="15"/>
        <v>820.83333333333326</v>
      </c>
      <c r="E120">
        <f t="shared" si="35"/>
        <v>299.99999999999994</v>
      </c>
      <c r="F120" s="25">
        <f t="shared" si="16"/>
        <v>520.83333333333337</v>
      </c>
      <c r="G120" s="26">
        <f t="shared" si="40"/>
        <v>17187.499999999956</v>
      </c>
      <c r="H120" s="30">
        <f t="shared" si="17"/>
        <v>0.20329411764705929</v>
      </c>
    </row>
    <row r="121" spans="2:8" x14ac:dyDescent="0.25">
      <c r="B121">
        <v>64</v>
      </c>
      <c r="C121" s="26">
        <f t="shared" si="39"/>
        <v>17187.499999999956</v>
      </c>
      <c r="D121" s="25">
        <f t="shared" si="15"/>
        <v>820.83333333333326</v>
      </c>
      <c r="E121">
        <f t="shared" si="35"/>
        <v>299.99999999999994</v>
      </c>
      <c r="F121" s="25">
        <f t="shared" si="16"/>
        <v>520.83333333333337</v>
      </c>
      <c r="G121" s="26">
        <f t="shared" si="40"/>
        <v>16666.666666666624</v>
      </c>
      <c r="H121" s="30">
        <f t="shared" si="17"/>
        <v>0.20945454545454595</v>
      </c>
    </row>
    <row r="122" spans="2:8" x14ac:dyDescent="0.25">
      <c r="B122">
        <v>65</v>
      </c>
      <c r="C122" s="26">
        <f t="shared" si="39"/>
        <v>16666.666666666624</v>
      </c>
      <c r="D122" s="25">
        <f t="shared" si="15"/>
        <v>820.83333333333326</v>
      </c>
      <c r="E122">
        <f t="shared" ref="E122:E153" si="41">$D$55/12*$C$58</f>
        <v>299.99999999999994</v>
      </c>
      <c r="F122" s="25">
        <f t="shared" si="16"/>
        <v>520.83333333333337</v>
      </c>
      <c r="G122" s="26">
        <f t="shared" si="40"/>
        <v>16145.83333333329</v>
      </c>
      <c r="H122" s="30">
        <f t="shared" si="17"/>
        <v>0.21600000000000052</v>
      </c>
    </row>
    <row r="123" spans="2:8" x14ac:dyDescent="0.25">
      <c r="B123">
        <v>66</v>
      </c>
      <c r="C123" s="26">
        <f t="shared" si="39"/>
        <v>16145.83333333329</v>
      </c>
      <c r="D123" s="25">
        <f t="shared" ref="D123:D153" si="42">E123+F123</f>
        <v>820.83333333333326</v>
      </c>
      <c r="E123">
        <f t="shared" si="41"/>
        <v>299.99999999999994</v>
      </c>
      <c r="F123" s="25">
        <f t="shared" ref="F123:F153" si="43">$D$54/$F$55</f>
        <v>520.83333333333337</v>
      </c>
      <c r="G123" s="26">
        <f t="shared" si="40"/>
        <v>15624.999999999956</v>
      </c>
      <c r="H123" s="30">
        <f t="shared" ref="H123:H153" si="44">E123/C123*12</f>
        <v>0.22296774193548444</v>
      </c>
    </row>
    <row r="124" spans="2:8" x14ac:dyDescent="0.25">
      <c r="B124">
        <v>67</v>
      </c>
      <c r="C124" s="26">
        <f t="shared" si="39"/>
        <v>15624.999999999956</v>
      </c>
      <c r="D124" s="25">
        <f t="shared" si="42"/>
        <v>820.83333333333326</v>
      </c>
      <c r="E124">
        <f t="shared" si="41"/>
        <v>299.99999999999994</v>
      </c>
      <c r="F124" s="25">
        <f t="shared" si="43"/>
        <v>520.83333333333337</v>
      </c>
      <c r="G124" s="26">
        <f t="shared" si="40"/>
        <v>15104.166666666622</v>
      </c>
      <c r="H124" s="30">
        <f t="shared" si="44"/>
        <v>0.2304000000000006</v>
      </c>
    </row>
    <row r="125" spans="2:8" x14ac:dyDescent="0.25">
      <c r="B125">
        <v>68</v>
      </c>
      <c r="C125" s="26">
        <f t="shared" si="39"/>
        <v>15104.166666666622</v>
      </c>
      <c r="D125" s="25">
        <f t="shared" si="42"/>
        <v>820.83333333333326</v>
      </c>
      <c r="E125">
        <f t="shared" si="41"/>
        <v>299.99999999999994</v>
      </c>
      <c r="F125" s="25">
        <f t="shared" si="43"/>
        <v>520.83333333333337</v>
      </c>
      <c r="G125" s="26">
        <f t="shared" si="40"/>
        <v>14583.333333333288</v>
      </c>
      <c r="H125" s="30">
        <f t="shared" si="44"/>
        <v>0.23834482758620754</v>
      </c>
    </row>
    <row r="126" spans="2:8" x14ac:dyDescent="0.25">
      <c r="B126">
        <v>69</v>
      </c>
      <c r="C126" s="26">
        <f t="shared" si="39"/>
        <v>14583.333333333288</v>
      </c>
      <c r="D126" s="25">
        <f t="shared" si="42"/>
        <v>820.83333333333326</v>
      </c>
      <c r="E126">
        <f t="shared" si="41"/>
        <v>299.99999999999994</v>
      </c>
      <c r="F126" s="25">
        <f t="shared" si="43"/>
        <v>520.83333333333337</v>
      </c>
      <c r="G126" s="26">
        <f t="shared" si="40"/>
        <v>14062.499999999955</v>
      </c>
      <c r="H126" s="30">
        <f t="shared" si="44"/>
        <v>0.24685714285714355</v>
      </c>
    </row>
    <row r="127" spans="2:8" x14ac:dyDescent="0.25">
      <c r="B127">
        <v>70</v>
      </c>
      <c r="C127" s="26">
        <f t="shared" si="39"/>
        <v>14062.499999999955</v>
      </c>
      <c r="D127" s="25">
        <f t="shared" si="42"/>
        <v>820.83333333333326</v>
      </c>
      <c r="E127">
        <f t="shared" si="41"/>
        <v>299.99999999999994</v>
      </c>
      <c r="F127" s="25">
        <f t="shared" si="43"/>
        <v>520.83333333333337</v>
      </c>
      <c r="G127" s="26">
        <f t="shared" si="40"/>
        <v>13541.666666666621</v>
      </c>
      <c r="H127" s="30">
        <f t="shared" si="44"/>
        <v>0.25600000000000078</v>
      </c>
    </row>
    <row r="128" spans="2:8" x14ac:dyDescent="0.25">
      <c r="B128">
        <v>71</v>
      </c>
      <c r="C128" s="26">
        <f t="shared" si="39"/>
        <v>13541.666666666621</v>
      </c>
      <c r="D128" s="25">
        <f t="shared" si="42"/>
        <v>820.83333333333326</v>
      </c>
      <c r="E128">
        <f t="shared" si="41"/>
        <v>299.99999999999994</v>
      </c>
      <c r="F128" s="25">
        <f t="shared" si="43"/>
        <v>520.83333333333337</v>
      </c>
      <c r="G128" s="26">
        <f t="shared" si="40"/>
        <v>13020.833333333287</v>
      </c>
      <c r="H128" s="30">
        <f t="shared" si="44"/>
        <v>0.26584615384615473</v>
      </c>
    </row>
    <row r="129" spans="2:8" x14ac:dyDescent="0.25">
      <c r="B129">
        <v>72</v>
      </c>
      <c r="C129" s="26">
        <f t="shared" si="39"/>
        <v>13020.833333333287</v>
      </c>
      <c r="D129" s="25">
        <f t="shared" si="42"/>
        <v>820.83333333333326</v>
      </c>
      <c r="E129">
        <f t="shared" si="41"/>
        <v>299.99999999999994</v>
      </c>
      <c r="F129" s="25">
        <f t="shared" si="43"/>
        <v>520.83333333333337</v>
      </c>
      <c r="G129" s="26">
        <f t="shared" si="40"/>
        <v>12499.999999999953</v>
      </c>
      <c r="H129" s="30">
        <f t="shared" si="44"/>
        <v>0.27648000000000095</v>
      </c>
    </row>
    <row r="130" spans="2:8" x14ac:dyDescent="0.25">
      <c r="B130">
        <v>73</v>
      </c>
      <c r="C130" s="26">
        <f t="shared" si="39"/>
        <v>12499.999999999953</v>
      </c>
      <c r="D130" s="25">
        <f t="shared" si="42"/>
        <v>820.83333333333326</v>
      </c>
      <c r="E130">
        <f t="shared" si="41"/>
        <v>299.99999999999994</v>
      </c>
      <c r="F130" s="25">
        <f t="shared" si="43"/>
        <v>520.83333333333337</v>
      </c>
      <c r="G130" s="26">
        <f t="shared" si="40"/>
        <v>11979.166666666619</v>
      </c>
      <c r="H130" s="30">
        <f t="shared" si="44"/>
        <v>0.28800000000000103</v>
      </c>
    </row>
    <row r="131" spans="2:8" x14ac:dyDescent="0.25">
      <c r="B131">
        <v>74</v>
      </c>
      <c r="C131" s="26">
        <f t="shared" si="39"/>
        <v>11979.166666666619</v>
      </c>
      <c r="D131" s="25">
        <f t="shared" si="42"/>
        <v>820.83333333333326</v>
      </c>
      <c r="E131">
        <f t="shared" si="41"/>
        <v>299.99999999999994</v>
      </c>
      <c r="F131" s="25">
        <f t="shared" si="43"/>
        <v>520.83333333333337</v>
      </c>
      <c r="G131" s="26">
        <f t="shared" si="40"/>
        <v>11458.333333333285</v>
      </c>
      <c r="H131" s="30">
        <f t="shared" si="44"/>
        <v>0.30052173913043589</v>
      </c>
    </row>
    <row r="132" spans="2:8" x14ac:dyDescent="0.25">
      <c r="B132">
        <v>75</v>
      </c>
      <c r="C132" s="26">
        <f t="shared" si="39"/>
        <v>11458.333333333285</v>
      </c>
      <c r="D132" s="25">
        <f t="shared" si="42"/>
        <v>820.83333333333326</v>
      </c>
      <c r="E132">
        <f t="shared" si="41"/>
        <v>299.99999999999994</v>
      </c>
      <c r="F132" s="25">
        <f t="shared" si="43"/>
        <v>520.83333333333337</v>
      </c>
      <c r="G132" s="26">
        <f t="shared" si="40"/>
        <v>10937.499999999951</v>
      </c>
      <c r="H132" s="30">
        <f t="shared" si="44"/>
        <v>0.31418181818181945</v>
      </c>
    </row>
    <row r="133" spans="2:8" x14ac:dyDescent="0.25">
      <c r="B133">
        <v>76</v>
      </c>
      <c r="C133" s="26">
        <f t="shared" si="39"/>
        <v>10937.499999999951</v>
      </c>
      <c r="D133" s="25">
        <f t="shared" si="42"/>
        <v>820.83333333333326</v>
      </c>
      <c r="E133">
        <f t="shared" si="41"/>
        <v>299.99999999999994</v>
      </c>
      <c r="F133" s="25">
        <f t="shared" si="43"/>
        <v>520.83333333333337</v>
      </c>
      <c r="G133" s="26">
        <f t="shared" si="40"/>
        <v>10416.666666666617</v>
      </c>
      <c r="H133" s="30">
        <f t="shared" si="44"/>
        <v>0.32914285714285851</v>
      </c>
    </row>
    <row r="134" spans="2:8" x14ac:dyDescent="0.25">
      <c r="B134">
        <v>77</v>
      </c>
      <c r="C134" s="26">
        <f t="shared" si="39"/>
        <v>10416.666666666617</v>
      </c>
      <c r="D134" s="25">
        <f t="shared" si="42"/>
        <v>820.83333333333326</v>
      </c>
      <c r="E134">
        <f t="shared" si="41"/>
        <v>299.99999999999994</v>
      </c>
      <c r="F134" s="25">
        <f t="shared" si="43"/>
        <v>520.83333333333337</v>
      </c>
      <c r="G134" s="26">
        <f t="shared" si="40"/>
        <v>9895.833333333283</v>
      </c>
      <c r="H134" s="30">
        <f t="shared" si="44"/>
        <v>0.34560000000000157</v>
      </c>
    </row>
    <row r="135" spans="2:8" x14ac:dyDescent="0.25">
      <c r="B135">
        <v>78</v>
      </c>
      <c r="C135" s="26">
        <f t="shared" si="39"/>
        <v>9895.833333333283</v>
      </c>
      <c r="D135" s="25">
        <f t="shared" si="42"/>
        <v>820.83333333333326</v>
      </c>
      <c r="E135">
        <f t="shared" si="41"/>
        <v>299.99999999999994</v>
      </c>
      <c r="F135" s="25">
        <f t="shared" si="43"/>
        <v>520.83333333333337</v>
      </c>
      <c r="G135" s="26">
        <f t="shared" si="40"/>
        <v>9374.9999999999491</v>
      </c>
      <c r="H135" s="30">
        <f t="shared" si="44"/>
        <v>0.36378947368421233</v>
      </c>
    </row>
    <row r="136" spans="2:8" x14ac:dyDescent="0.25">
      <c r="B136">
        <v>79</v>
      </c>
      <c r="C136" s="26">
        <f t="shared" si="39"/>
        <v>9374.9999999999491</v>
      </c>
      <c r="D136" s="25">
        <f t="shared" si="42"/>
        <v>820.83333333333326</v>
      </c>
      <c r="E136">
        <f t="shared" si="41"/>
        <v>299.99999999999994</v>
      </c>
      <c r="F136" s="25">
        <f t="shared" si="43"/>
        <v>520.83333333333337</v>
      </c>
      <c r="G136" s="26">
        <f t="shared" si="40"/>
        <v>8854.1666666666151</v>
      </c>
      <c r="H136" s="30">
        <f t="shared" si="44"/>
        <v>0.38400000000000201</v>
      </c>
    </row>
    <row r="137" spans="2:8" x14ac:dyDescent="0.25">
      <c r="B137">
        <v>80</v>
      </c>
      <c r="C137" s="26">
        <f t="shared" ref="C137:C140" si="45">G136</f>
        <v>8854.1666666666151</v>
      </c>
      <c r="D137" s="25">
        <f t="shared" si="42"/>
        <v>820.83333333333326</v>
      </c>
      <c r="E137">
        <f t="shared" si="41"/>
        <v>299.99999999999994</v>
      </c>
      <c r="F137" s="25">
        <f t="shared" si="43"/>
        <v>520.83333333333337</v>
      </c>
      <c r="G137" s="26">
        <f t="shared" ref="G137:G140" si="46">C137-F137</f>
        <v>8333.3333333332812</v>
      </c>
      <c r="H137" s="30">
        <f t="shared" si="44"/>
        <v>0.40658823529411992</v>
      </c>
    </row>
    <row r="138" spans="2:8" x14ac:dyDescent="0.25">
      <c r="B138">
        <v>81</v>
      </c>
      <c r="C138" s="26">
        <f t="shared" si="45"/>
        <v>8333.3333333332812</v>
      </c>
      <c r="D138" s="25">
        <f t="shared" si="42"/>
        <v>820.83333333333326</v>
      </c>
      <c r="E138">
        <f t="shared" si="41"/>
        <v>299.99999999999994</v>
      </c>
      <c r="F138" s="25">
        <f t="shared" si="43"/>
        <v>520.83333333333337</v>
      </c>
      <c r="G138" s="26">
        <f t="shared" si="46"/>
        <v>7812.4999999999482</v>
      </c>
      <c r="H138" s="30">
        <f t="shared" si="44"/>
        <v>0.4320000000000026</v>
      </c>
    </row>
    <row r="139" spans="2:8" x14ac:dyDescent="0.25">
      <c r="B139">
        <v>82</v>
      </c>
      <c r="C139" s="26">
        <f t="shared" si="45"/>
        <v>7812.4999999999482</v>
      </c>
      <c r="D139" s="25">
        <f t="shared" si="42"/>
        <v>820.83333333333326</v>
      </c>
      <c r="E139">
        <f t="shared" si="41"/>
        <v>299.99999999999994</v>
      </c>
      <c r="F139" s="25">
        <f t="shared" si="43"/>
        <v>520.83333333333337</v>
      </c>
      <c r="G139" s="26">
        <f t="shared" si="46"/>
        <v>7291.6666666666151</v>
      </c>
      <c r="H139" s="30">
        <f t="shared" si="44"/>
        <v>0.46080000000000298</v>
      </c>
    </row>
    <row r="140" spans="2:8" x14ac:dyDescent="0.25">
      <c r="B140">
        <v>83</v>
      </c>
      <c r="C140" s="26">
        <f t="shared" si="45"/>
        <v>7291.6666666666151</v>
      </c>
      <c r="D140" s="25">
        <f t="shared" si="42"/>
        <v>820.83333333333326</v>
      </c>
      <c r="E140">
        <f t="shared" si="41"/>
        <v>299.99999999999994</v>
      </c>
      <c r="F140" s="25">
        <f t="shared" si="43"/>
        <v>520.83333333333337</v>
      </c>
      <c r="G140" s="26">
        <f t="shared" si="46"/>
        <v>6770.8333333332821</v>
      </c>
      <c r="H140" s="30">
        <f t="shared" si="44"/>
        <v>0.4937142857142891</v>
      </c>
    </row>
    <row r="141" spans="2:8" x14ac:dyDescent="0.25">
      <c r="B141">
        <v>84</v>
      </c>
      <c r="C141" s="26">
        <f t="shared" ref="C141:C151" si="47">G140</f>
        <v>6770.8333333332821</v>
      </c>
      <c r="D141" s="25">
        <f t="shared" si="42"/>
        <v>820.83333333333326</v>
      </c>
      <c r="E141">
        <f t="shared" si="41"/>
        <v>299.99999999999994</v>
      </c>
      <c r="F141" s="25">
        <f t="shared" si="43"/>
        <v>520.83333333333337</v>
      </c>
      <c r="G141" s="26">
        <f t="shared" ref="G141:G151" si="48">C141-F141</f>
        <v>6249.9999999999491</v>
      </c>
      <c r="H141" s="30">
        <f t="shared" si="44"/>
        <v>0.53169230769231168</v>
      </c>
    </row>
    <row r="142" spans="2:8" x14ac:dyDescent="0.25">
      <c r="B142">
        <v>85</v>
      </c>
      <c r="C142" s="26">
        <f t="shared" si="47"/>
        <v>6249.9999999999491</v>
      </c>
      <c r="D142" s="25">
        <f t="shared" si="42"/>
        <v>820.83333333333326</v>
      </c>
      <c r="E142">
        <f t="shared" si="41"/>
        <v>299.99999999999994</v>
      </c>
      <c r="F142" s="25">
        <f t="shared" si="43"/>
        <v>520.83333333333337</v>
      </c>
      <c r="G142" s="26">
        <f t="shared" si="48"/>
        <v>5729.166666666616</v>
      </c>
      <c r="H142" s="30">
        <f t="shared" si="44"/>
        <v>0.57600000000000462</v>
      </c>
    </row>
    <row r="143" spans="2:8" x14ac:dyDescent="0.25">
      <c r="B143">
        <v>86</v>
      </c>
      <c r="C143" s="26">
        <f t="shared" si="47"/>
        <v>5729.166666666616</v>
      </c>
      <c r="D143" s="25">
        <f t="shared" si="42"/>
        <v>820.83333333333326</v>
      </c>
      <c r="E143">
        <f t="shared" si="41"/>
        <v>299.99999999999994</v>
      </c>
      <c r="F143" s="25">
        <f t="shared" si="43"/>
        <v>520.83333333333337</v>
      </c>
      <c r="G143" s="26">
        <f t="shared" si="48"/>
        <v>5208.333333333283</v>
      </c>
      <c r="H143" s="30">
        <f t="shared" si="44"/>
        <v>0.62836363636364179</v>
      </c>
    </row>
    <row r="144" spans="2:8" x14ac:dyDescent="0.25">
      <c r="B144">
        <v>87</v>
      </c>
      <c r="C144" s="26">
        <f t="shared" si="47"/>
        <v>5208.333333333283</v>
      </c>
      <c r="D144" s="25">
        <f t="shared" si="42"/>
        <v>820.83333333333326</v>
      </c>
      <c r="E144">
        <f t="shared" si="41"/>
        <v>299.99999999999994</v>
      </c>
      <c r="F144" s="25">
        <f t="shared" si="43"/>
        <v>520.83333333333337</v>
      </c>
      <c r="G144" s="26">
        <f t="shared" si="48"/>
        <v>4687.49999999995</v>
      </c>
      <c r="H144" s="30">
        <f t="shared" si="44"/>
        <v>0.69120000000000659</v>
      </c>
    </row>
    <row r="145" spans="2:8" x14ac:dyDescent="0.25">
      <c r="B145">
        <v>88</v>
      </c>
      <c r="C145" s="26">
        <f t="shared" si="47"/>
        <v>4687.49999999995</v>
      </c>
      <c r="D145" s="25">
        <f t="shared" si="42"/>
        <v>820.83333333333326</v>
      </c>
      <c r="E145">
        <f t="shared" si="41"/>
        <v>299.99999999999994</v>
      </c>
      <c r="F145" s="25">
        <f t="shared" si="43"/>
        <v>520.83333333333337</v>
      </c>
      <c r="G145" s="26">
        <f t="shared" si="48"/>
        <v>4166.6666666666169</v>
      </c>
      <c r="H145" s="30">
        <f t="shared" si="44"/>
        <v>0.76800000000000801</v>
      </c>
    </row>
    <row r="146" spans="2:8" x14ac:dyDescent="0.25">
      <c r="B146">
        <v>89</v>
      </c>
      <c r="C146" s="26">
        <f t="shared" si="47"/>
        <v>4166.6666666666169</v>
      </c>
      <c r="D146" s="25">
        <f t="shared" si="42"/>
        <v>820.83333333333326</v>
      </c>
      <c r="E146">
        <f t="shared" si="41"/>
        <v>299.99999999999994</v>
      </c>
      <c r="F146" s="25">
        <f t="shared" si="43"/>
        <v>520.83333333333337</v>
      </c>
      <c r="G146" s="26">
        <f t="shared" si="48"/>
        <v>3645.8333333332835</v>
      </c>
      <c r="H146" s="30">
        <f t="shared" si="44"/>
        <v>0.86400000000001009</v>
      </c>
    </row>
    <row r="147" spans="2:8" x14ac:dyDescent="0.25">
      <c r="B147">
        <v>90</v>
      </c>
      <c r="C147" s="26">
        <f t="shared" si="47"/>
        <v>3645.8333333332835</v>
      </c>
      <c r="D147" s="25">
        <f t="shared" si="42"/>
        <v>820.83333333333326</v>
      </c>
      <c r="E147">
        <f t="shared" si="41"/>
        <v>299.99999999999994</v>
      </c>
      <c r="F147" s="25">
        <f t="shared" si="43"/>
        <v>520.83333333333337</v>
      </c>
      <c r="G147" s="26">
        <f t="shared" si="48"/>
        <v>3124.99999999995</v>
      </c>
      <c r="H147" s="30">
        <f t="shared" si="44"/>
        <v>0.98742857142858464</v>
      </c>
    </row>
    <row r="148" spans="2:8" x14ac:dyDescent="0.25">
      <c r="B148">
        <v>91</v>
      </c>
      <c r="C148" s="26">
        <f t="shared" si="47"/>
        <v>3124.99999999995</v>
      </c>
      <c r="D148" s="25">
        <f t="shared" si="42"/>
        <v>820.83333333333326</v>
      </c>
      <c r="E148">
        <f t="shared" si="41"/>
        <v>299.99999999999994</v>
      </c>
      <c r="F148" s="25">
        <f t="shared" si="43"/>
        <v>520.83333333333337</v>
      </c>
      <c r="G148" s="26">
        <f t="shared" si="48"/>
        <v>2604.1666666666165</v>
      </c>
      <c r="H148" s="30">
        <f t="shared" si="44"/>
        <v>1.1520000000000181</v>
      </c>
    </row>
    <row r="149" spans="2:8" x14ac:dyDescent="0.25">
      <c r="B149">
        <v>92</v>
      </c>
      <c r="C149" s="26">
        <f t="shared" si="47"/>
        <v>2604.1666666666165</v>
      </c>
      <c r="D149" s="25">
        <f t="shared" si="42"/>
        <v>820.83333333333326</v>
      </c>
      <c r="E149">
        <f t="shared" si="41"/>
        <v>299.99999999999994</v>
      </c>
      <c r="F149" s="25">
        <f t="shared" si="43"/>
        <v>520.83333333333337</v>
      </c>
      <c r="G149" s="26">
        <f t="shared" si="48"/>
        <v>2083.333333333283</v>
      </c>
      <c r="H149" s="30">
        <f t="shared" si="44"/>
        <v>1.3824000000000265</v>
      </c>
    </row>
    <row r="150" spans="2:8" x14ac:dyDescent="0.25">
      <c r="B150">
        <v>93</v>
      </c>
      <c r="C150" s="26">
        <f t="shared" si="47"/>
        <v>2083.333333333283</v>
      </c>
      <c r="D150" s="25">
        <f t="shared" si="42"/>
        <v>820.83333333333326</v>
      </c>
      <c r="E150">
        <f t="shared" si="41"/>
        <v>299.99999999999994</v>
      </c>
      <c r="F150" s="25">
        <f t="shared" si="43"/>
        <v>520.83333333333337</v>
      </c>
      <c r="G150" s="26">
        <f t="shared" si="48"/>
        <v>1562.4999999999495</v>
      </c>
      <c r="H150" s="30">
        <f t="shared" si="44"/>
        <v>1.7280000000000415</v>
      </c>
    </row>
    <row r="151" spans="2:8" x14ac:dyDescent="0.25">
      <c r="B151">
        <v>94</v>
      </c>
      <c r="C151" s="26">
        <f t="shared" si="47"/>
        <v>1562.4999999999495</v>
      </c>
      <c r="D151" s="25">
        <f t="shared" si="42"/>
        <v>820.83333333333326</v>
      </c>
      <c r="E151">
        <f t="shared" si="41"/>
        <v>299.99999999999994</v>
      </c>
      <c r="F151" s="25">
        <f t="shared" si="43"/>
        <v>520.83333333333337</v>
      </c>
      <c r="G151" s="26">
        <f t="shared" si="48"/>
        <v>1041.666666666616</v>
      </c>
      <c r="H151" s="30">
        <f t="shared" si="44"/>
        <v>2.304000000000074</v>
      </c>
    </row>
    <row r="152" spans="2:8" x14ac:dyDescent="0.25">
      <c r="B152">
        <v>95</v>
      </c>
      <c r="C152" s="26">
        <f t="shared" ref="C152:C153" si="49">G151</f>
        <v>1041.666666666616</v>
      </c>
      <c r="D152" s="25">
        <f t="shared" si="42"/>
        <v>820.83333333333326</v>
      </c>
      <c r="E152">
        <f t="shared" si="41"/>
        <v>299.99999999999994</v>
      </c>
      <c r="F152" s="25">
        <f t="shared" si="43"/>
        <v>520.83333333333337</v>
      </c>
      <c r="G152" s="26">
        <f t="shared" ref="G152:G153" si="50">C152-F152</f>
        <v>520.83333333328267</v>
      </c>
      <c r="H152" s="30">
        <f t="shared" si="44"/>
        <v>3.4560000000001674</v>
      </c>
    </row>
    <row r="153" spans="2:8" x14ac:dyDescent="0.25">
      <c r="B153">
        <v>96</v>
      </c>
      <c r="C153" s="26">
        <f t="shared" si="49"/>
        <v>520.83333333328267</v>
      </c>
      <c r="D153" s="25">
        <f t="shared" si="42"/>
        <v>820.83333333333326</v>
      </c>
      <c r="E153">
        <f t="shared" si="41"/>
        <v>299.99999999999994</v>
      </c>
      <c r="F153" s="25">
        <f t="shared" si="43"/>
        <v>520.83333333333337</v>
      </c>
      <c r="G153" s="26">
        <f t="shared" si="50"/>
        <v>-5.0704329623840749E-11</v>
      </c>
      <c r="H153" s="30">
        <f t="shared" si="44"/>
        <v>6.9120000000006705</v>
      </c>
    </row>
    <row r="154" spans="2:8" x14ac:dyDescent="0.25">
      <c r="C154" s="26"/>
      <c r="D154" s="25"/>
      <c r="E154" s="24"/>
      <c r="F154" s="25"/>
      <c r="G154" s="26"/>
    </row>
    <row r="155" spans="2:8" x14ac:dyDescent="0.25">
      <c r="C155" s="26"/>
      <c r="D155" s="25"/>
      <c r="E155" s="24"/>
      <c r="F155" s="25"/>
      <c r="G155" s="26"/>
    </row>
    <row r="156" spans="2:8" x14ac:dyDescent="0.25">
      <c r="C156" s="26"/>
      <c r="D156" s="25"/>
      <c r="E156" s="24"/>
      <c r="F156" s="25"/>
      <c r="G156" s="26"/>
    </row>
    <row r="157" spans="2:8" x14ac:dyDescent="0.25">
      <c r="C157" s="26"/>
      <c r="D157" s="25"/>
      <c r="E157" s="24"/>
      <c r="F157" s="25"/>
      <c r="G157" s="26"/>
    </row>
    <row r="158" spans="2:8" x14ac:dyDescent="0.25">
      <c r="C158" s="26"/>
      <c r="D158" s="25"/>
      <c r="E158" s="24"/>
      <c r="F158" s="25"/>
      <c r="G158" s="26"/>
    </row>
    <row r="159" spans="2:8" x14ac:dyDescent="0.25">
      <c r="C159" s="26"/>
      <c r="D159" s="25"/>
      <c r="E159" s="24"/>
      <c r="F159" s="25"/>
      <c r="G159" s="26"/>
    </row>
    <row r="160" spans="2:8" x14ac:dyDescent="0.25">
      <c r="C160" s="26"/>
      <c r="D160" s="25"/>
      <c r="E160" s="24"/>
      <c r="F160" s="25"/>
      <c r="G160" s="26"/>
    </row>
    <row r="161" spans="3:7" x14ac:dyDescent="0.25">
      <c r="C161" s="26"/>
      <c r="D161" s="25"/>
      <c r="E161" s="24"/>
      <c r="F161" s="25"/>
      <c r="G161" s="26"/>
    </row>
    <row r="162" spans="3:7" x14ac:dyDescent="0.25">
      <c r="C162" s="26"/>
      <c r="D162" s="25"/>
      <c r="E162" s="24"/>
      <c r="F162" s="25"/>
      <c r="G162" s="26"/>
    </row>
    <row r="163" spans="3:7" x14ac:dyDescent="0.25">
      <c r="C163" s="26"/>
      <c r="D163" s="25"/>
      <c r="E163" s="24"/>
      <c r="F163" s="25"/>
      <c r="G163" s="26"/>
    </row>
    <row r="164" spans="3:7" x14ac:dyDescent="0.25">
      <c r="C164" s="26"/>
      <c r="D164" s="25"/>
      <c r="E164" s="24"/>
      <c r="F164" s="25"/>
      <c r="G164" s="26"/>
    </row>
    <row r="165" spans="3:7" x14ac:dyDescent="0.25">
      <c r="C165" s="26"/>
      <c r="D165" s="25"/>
      <c r="E165" s="24"/>
      <c r="F165" s="25"/>
      <c r="G165" s="26"/>
    </row>
    <row r="166" spans="3:7" x14ac:dyDescent="0.25">
      <c r="C166" s="26"/>
      <c r="D166" s="25"/>
      <c r="E166" s="24"/>
      <c r="F166" s="25"/>
      <c r="G166" s="26"/>
    </row>
    <row r="167" spans="3:7" x14ac:dyDescent="0.25">
      <c r="C167" s="26"/>
      <c r="D167" s="25"/>
      <c r="E167" s="24"/>
      <c r="F167" s="25"/>
      <c r="G167" s="26"/>
    </row>
    <row r="168" spans="3:7" x14ac:dyDescent="0.25">
      <c r="C168" s="26"/>
      <c r="D168" s="25"/>
      <c r="E168" s="24"/>
      <c r="F168" s="25"/>
      <c r="G168" s="26"/>
    </row>
    <row r="169" spans="3:7" x14ac:dyDescent="0.25">
      <c r="C169" s="26"/>
      <c r="D169" s="25"/>
      <c r="E169" s="24"/>
      <c r="F169" s="25"/>
      <c r="G169" s="26"/>
    </row>
    <row r="170" spans="3:7" x14ac:dyDescent="0.25">
      <c r="C170" s="26"/>
      <c r="D170" s="25"/>
      <c r="E170" s="24"/>
      <c r="F170" s="25"/>
      <c r="G170" s="26"/>
    </row>
    <row r="171" spans="3:7" x14ac:dyDescent="0.25">
      <c r="C171" s="26"/>
      <c r="D171" s="25"/>
      <c r="E171" s="24"/>
      <c r="F171" s="25"/>
      <c r="G171" s="26"/>
    </row>
    <row r="172" spans="3:7" x14ac:dyDescent="0.25">
      <c r="C172" s="26"/>
      <c r="D172" s="25"/>
      <c r="E172" s="24"/>
      <c r="F172" s="25"/>
      <c r="G172" s="26"/>
    </row>
    <row r="173" spans="3:7" x14ac:dyDescent="0.25">
      <c r="C173" s="26"/>
      <c r="D173" s="25"/>
      <c r="E173" s="24"/>
      <c r="F173" s="25"/>
      <c r="G173" s="26"/>
    </row>
    <row r="174" spans="3:7" x14ac:dyDescent="0.25">
      <c r="C174" s="26"/>
      <c r="D174" s="25"/>
      <c r="E174" s="24"/>
      <c r="F174" s="25"/>
      <c r="G174" s="26"/>
    </row>
    <row r="175" spans="3:7" x14ac:dyDescent="0.25">
      <c r="C175" s="26"/>
      <c r="D175" s="25"/>
      <c r="E175" s="24"/>
      <c r="F175" s="25"/>
      <c r="G175" s="26"/>
    </row>
    <row r="176" spans="3:7" x14ac:dyDescent="0.25">
      <c r="C176" s="26"/>
      <c r="D176" s="25"/>
      <c r="E176" s="24"/>
      <c r="F176" s="25"/>
      <c r="G176" s="26"/>
    </row>
    <row r="177" spans="3:7" x14ac:dyDescent="0.25">
      <c r="C177" s="26"/>
      <c r="D177" s="25"/>
      <c r="E177" s="24"/>
      <c r="F177" s="25"/>
      <c r="G177" s="26"/>
    </row>
    <row r="178" spans="3:7" x14ac:dyDescent="0.25">
      <c r="C178" s="26"/>
      <c r="D178" s="25"/>
      <c r="E178" s="24"/>
      <c r="F178" s="25"/>
      <c r="G178" s="26"/>
    </row>
    <row r="179" spans="3:7" x14ac:dyDescent="0.25">
      <c r="C179" s="26"/>
      <c r="D179" s="25"/>
      <c r="E179" s="24"/>
      <c r="F179" s="25"/>
      <c r="G179" s="26"/>
    </row>
    <row r="180" spans="3:7" x14ac:dyDescent="0.25">
      <c r="C180" s="26"/>
      <c r="D180" s="25"/>
      <c r="E180" s="24"/>
      <c r="F180" s="25"/>
      <c r="G180" s="26"/>
    </row>
    <row r="181" spans="3:7" x14ac:dyDescent="0.25">
      <c r="C181" s="26"/>
      <c r="D181" s="25"/>
      <c r="E181" s="24"/>
      <c r="F181" s="25"/>
      <c r="G181" s="26"/>
    </row>
    <row r="182" spans="3:7" x14ac:dyDescent="0.25">
      <c r="C182" s="26"/>
      <c r="D182" s="25"/>
      <c r="E182" s="24"/>
      <c r="F182" s="25"/>
      <c r="G182" s="26"/>
    </row>
    <row r="183" spans="3:7" x14ac:dyDescent="0.25">
      <c r="C183" s="26"/>
      <c r="D183" s="25"/>
      <c r="E183" s="24"/>
      <c r="F183" s="25"/>
      <c r="G183" s="26"/>
    </row>
    <row r="184" spans="3:7" x14ac:dyDescent="0.25">
      <c r="C184" s="26"/>
      <c r="D184" s="25"/>
      <c r="E184" s="24"/>
      <c r="F184" s="25"/>
      <c r="G184" s="26"/>
    </row>
    <row r="185" spans="3:7" x14ac:dyDescent="0.25">
      <c r="C185" s="26"/>
      <c r="D185" s="25"/>
      <c r="E185" s="24"/>
      <c r="F185" s="25"/>
      <c r="G185" s="26"/>
    </row>
    <row r="186" spans="3:7" x14ac:dyDescent="0.25">
      <c r="C186" s="26"/>
      <c r="D186" s="25"/>
      <c r="E186" s="24"/>
      <c r="F186" s="25"/>
      <c r="G186" s="26"/>
    </row>
    <row r="187" spans="3:7" x14ac:dyDescent="0.25">
      <c r="C187" s="26"/>
      <c r="D187" s="25"/>
      <c r="E187" s="24"/>
      <c r="F187" s="25"/>
      <c r="G187" s="26"/>
    </row>
    <row r="188" spans="3:7" x14ac:dyDescent="0.25">
      <c r="C188" s="26"/>
      <c r="D188" s="25"/>
      <c r="E188" s="24"/>
      <c r="F188" s="25"/>
      <c r="G188" s="26"/>
    </row>
    <row r="189" spans="3:7" x14ac:dyDescent="0.25">
      <c r="C189" s="26"/>
      <c r="D189" s="25"/>
      <c r="E189" s="24"/>
      <c r="F189" s="25"/>
      <c r="G189" s="26"/>
    </row>
    <row r="190" spans="3:7" x14ac:dyDescent="0.25">
      <c r="C190" s="26"/>
      <c r="D190" s="25"/>
      <c r="E190" s="24"/>
      <c r="F190" s="25"/>
      <c r="G190" s="26"/>
    </row>
    <row r="191" spans="3:7" x14ac:dyDescent="0.25">
      <c r="C191" s="26"/>
      <c r="D191" s="25"/>
      <c r="E191" s="24"/>
      <c r="F191" s="25"/>
      <c r="G191" s="26"/>
    </row>
    <row r="192" spans="3:7" x14ac:dyDescent="0.25">
      <c r="C192" s="26"/>
      <c r="D192" s="25"/>
      <c r="E192" s="24"/>
      <c r="F192" s="25"/>
      <c r="G192" s="26"/>
    </row>
    <row r="193" spans="3:7" x14ac:dyDescent="0.25">
      <c r="C193" s="26"/>
      <c r="D193" s="25"/>
      <c r="E193" s="24"/>
      <c r="F193" s="25"/>
      <c r="G193" s="26"/>
    </row>
    <row r="194" spans="3:7" x14ac:dyDescent="0.25">
      <c r="C194" s="26"/>
      <c r="D194" s="25"/>
      <c r="E194" s="24"/>
      <c r="F194" s="25"/>
      <c r="G194" s="26"/>
    </row>
    <row r="195" spans="3:7" x14ac:dyDescent="0.25">
      <c r="C195" s="26"/>
      <c r="D195" s="25"/>
      <c r="E195" s="24"/>
      <c r="F195" s="25"/>
      <c r="G195" s="26"/>
    </row>
    <row r="196" spans="3:7" x14ac:dyDescent="0.25">
      <c r="C196" s="26"/>
      <c r="D196" s="25"/>
      <c r="E196" s="24"/>
      <c r="F196" s="25"/>
      <c r="G196" s="26"/>
    </row>
    <row r="197" spans="3:7" x14ac:dyDescent="0.25">
      <c r="C197" s="26"/>
      <c r="D197" s="25"/>
      <c r="E197" s="24"/>
      <c r="F197" s="25"/>
      <c r="G197" s="26"/>
    </row>
    <row r="198" spans="3:7" x14ac:dyDescent="0.25">
      <c r="C198" s="26"/>
      <c r="D198" s="25"/>
      <c r="E198" s="24"/>
      <c r="F198" s="25"/>
      <c r="G198" s="26"/>
    </row>
  </sheetData>
  <sortState ref="I15:N27">
    <sortCondition ref="L15:L27"/>
  </sortState>
  <phoneticPr fontId="1" type="noConversion"/>
  <conditionalFormatting sqref="K2:K31">
    <cfRule type="cellIs" dxfId="0" priority="3" operator="greaterThan">
      <formula>$A$6</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rc_debt_191021</vt:lpstr>
      <vt:lpstr>每月记录表</vt:lpstr>
      <vt:lpstr>ICBC分期合计</vt:lpstr>
      <vt:lpstr>分期试算</vt:lpstr>
      <vt:lpstr>rc_self</vt:lpstr>
      <vt:lpstr>上课笔记和考核_self</vt:lpstr>
      <vt:lpstr>rc_debt_191020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wmj</dc:creator>
  <cp:lastModifiedBy>ThinkPad</cp:lastModifiedBy>
  <dcterms:created xsi:type="dcterms:W3CDTF">2019-05-17T08:31:53Z</dcterms:created>
  <dcterms:modified xsi:type="dcterms:W3CDTF">2019-11-05T06:44:15Z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DMCEIC_owner">
    <vt:lpwstr>chengry@csfunds.com.cn</vt:lpwstr>
  </property>
  <property fmtid="{D5CDD505-2E9C-101B-9397-08002B2CF9AE}" pid="3" name="CDMCEIC_ownerFullName">
    <vt:lpwstr>Chen Gang</vt:lpwstr>
  </property>
  <property fmtid="{D5CDD505-2E9C-101B-9397-08002B2CF9AE}" pid="4" name="CDMCEIC_readOnly">
    <vt:lpwstr>False</vt:lpwstr>
  </property>
  <property fmtid="{D5CDD505-2E9C-101B-9397-08002B2CF9AE}" pid="5" name="CDMCEIC_description">
    <vt:lpwstr/>
  </property>
</Properties>
</file>