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ntsoght\Dropbox\pycode\Workbooks\workbook-08-elantsoght\eng_module\test_data\"/>
    </mc:Choice>
  </mc:AlternateContent>
  <xr:revisionPtr revIDLastSave="0" documentId="13_ncr:1_{32F8007F-EE89-4394-A09E-61317A8C0767}" xr6:coauthVersionLast="47" xr6:coauthVersionMax="47" xr10:uidLastSave="{00000000-0000-0000-0000-000000000000}"/>
  <bookViews>
    <workbookView xWindow="4182" yWindow="1866" windowWidth="17280" windowHeight="899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7" i="1" l="1"/>
  <c r="E37" i="1"/>
  <c r="E32" i="1"/>
  <c r="E34" i="1" s="1"/>
  <c r="F34" i="1" s="1"/>
  <c r="E31" i="1"/>
  <c r="E33" i="1" s="1"/>
  <c r="F33" i="1" s="1"/>
  <c r="E30" i="1"/>
  <c r="E25" i="1"/>
  <c r="E18" i="1"/>
  <c r="D8" i="1"/>
  <c r="E39" i="1" l="1"/>
  <c r="E40" i="1" s="1"/>
  <c r="E41" i="1" s="1"/>
  <c r="E54" i="1"/>
  <c r="E55" i="1" s="1"/>
  <c r="E56" i="1" s="1"/>
  <c r="E57" i="1" s="1"/>
  <c r="E58" i="1" s="1"/>
  <c r="E61" i="1"/>
  <c r="E62" i="1" s="1"/>
  <c r="E63" i="1" s="1"/>
  <c r="E38" i="1"/>
  <c r="E19" i="1"/>
  <c r="E20" i="1" s="1"/>
  <c r="E21" i="1" s="1"/>
  <c r="E49" i="1"/>
  <c r="E60" i="1"/>
  <c r="E26" i="1"/>
  <c r="E42" i="1" l="1"/>
  <c r="E43" i="1" s="1"/>
  <c r="F43" i="1" s="1"/>
  <c r="E64" i="1"/>
  <c r="E27" i="1"/>
  <c r="F27" i="1" s="1"/>
  <c r="E46" i="1"/>
  <c r="E48" i="1" s="1"/>
  <c r="E50" i="1" s="1"/>
  <c r="E70" i="1" s="1"/>
  <c r="E69" i="1" l="1"/>
  <c r="E51" i="1"/>
  <c r="E67" i="1" s="1"/>
  <c r="E68" i="1" l="1"/>
  <c r="C73" i="1" s="1"/>
  <c r="C72" i="1"/>
</calcChain>
</file>

<file path=xl/sharedStrings.xml><?xml version="1.0" encoding="utf-8"?>
<sst xmlns="http://schemas.openxmlformats.org/spreadsheetml/2006/main" count="245" uniqueCount="118">
  <si>
    <t>ABC 
ENGINEERING</t>
  </si>
  <si>
    <t xml:space="preserve">THIS SPREADSHEET IS ONLY PRETENDING TO BE A STRUCTURAL ENGINEERING SPREADSHEET. DO NOT USE THIS SPREADSHEET FOR ACTUAL DESIGN. IT IS ONLY USED TO SIMULATE AN ACTUAL DESIGN SPREADSHEET FOR PfSE WORKBOOK_08. THERE ARE SEVERAL THINGS LEFT UNCHECKED AND THE STRUT AND TIE MODEL IS NOT RIGOROUS.
</t>
  </si>
  <si>
    <t>Project ID:</t>
  </si>
  <si>
    <t xml:space="preserve">Date: </t>
  </si>
  <si>
    <t>Designer:</t>
  </si>
  <si>
    <t>CMF</t>
  </si>
  <si>
    <t>Basic Concrete Pad Footing Design</t>
  </si>
  <si>
    <t>INPUT CELLS</t>
  </si>
  <si>
    <t>P_DL</t>
  </si>
  <si>
    <t>=</t>
  </si>
  <si>
    <t>Column Dead Load</t>
  </si>
  <si>
    <t>kN</t>
  </si>
  <si>
    <t>P_LL</t>
  </si>
  <si>
    <t>Column Live Load</t>
  </si>
  <si>
    <t>Simplified Strut and Tie Model for Deep Footings</t>
  </si>
  <si>
    <t>Q_r</t>
  </si>
  <si>
    <t>Factored Soil Bearing Pressure Capacity</t>
  </si>
  <si>
    <t>kPa</t>
  </si>
  <si>
    <t>f’c</t>
  </si>
  <si>
    <t>Concrete compressive strength</t>
  </si>
  <si>
    <t>Mpa</t>
  </si>
  <si>
    <t>fy</t>
  </si>
  <si>
    <t>Reinforcing steel yield strength</t>
  </si>
  <si>
    <t>gamma_c</t>
  </si>
  <si>
    <t>Density of concrete</t>
  </si>
  <si>
    <t>kN/m3</t>
  </si>
  <si>
    <t>cover</t>
  </si>
  <si>
    <t>Cover to bottom layer of reinforcing steel</t>
  </si>
  <si>
    <t>mm</t>
  </si>
  <si>
    <t>d_ftg</t>
  </si>
  <si>
    <t>Depth of footing</t>
  </si>
  <si>
    <t>L_col</t>
  </si>
  <si>
    <t>Length (x) dimension of column</t>
  </si>
  <si>
    <t>B_col</t>
  </si>
  <si>
    <t>Depth (y) dimension of column</t>
  </si>
  <si>
    <t>P_f</t>
  </si>
  <si>
    <t>Factored Column Load</t>
  </si>
  <si>
    <t>q_f_sw</t>
  </si>
  <si>
    <t>Factored self-weight of footing</t>
  </si>
  <si>
    <t>A_ftg_min</t>
  </si>
  <si>
    <t>Minimum Area of Footing, Total Load</t>
  </si>
  <si>
    <t>mm2</t>
  </si>
  <si>
    <t>b_ftg_suggested</t>
  </si>
  <si>
    <t>Suggested square edge of footing</t>
  </si>
  <si>
    <t>L_ftg_select</t>
  </si>
  <si>
    <t>Length (x) dimension of footing</t>
  </si>
  <si>
    <t>b_ftg_select</t>
  </si>
  <si>
    <t>Depth (y) dimension of footing</t>
  </si>
  <si>
    <t>A_ftg_select</t>
  </si>
  <si>
    <t>Area of footing</t>
  </si>
  <si>
    <t>Q_f</t>
  </si>
  <si>
    <t>Factored pressure load</t>
  </si>
  <si>
    <t>CHECK SOIL PRESSURE</t>
  </si>
  <si>
    <t>DCR → Q_f / Q_r</t>
  </si>
  <si>
    <t>Check Analysis Type</t>
  </si>
  <si>
    <t>d_eff</t>
  </si>
  <si>
    <t>Effective depth of concrete (estimated)</t>
  </si>
  <si>
    <t>L_critical</t>
  </si>
  <si>
    <t>MAX((L_ftg_select – L_col)/2, (b_ftg_select – B_col)/2))</t>
  </si>
  <si>
    <t>b_critical</t>
  </si>
  <si>
    <t>MIN((L_ftg_select – L_col)/2, (b_ftg_select – B_col)/2))</t>
  </si>
  <si>
    <t>Deep Member, L dim?</t>
  </si>
  <si>
    <t>L_critical / d_ftg &gt; 2 → Deep footing, flexural assumption does not apply</t>
  </si>
  <si>
    <t>Deep Member, b dim?</t>
  </si>
  <si>
    <t>B_critical / d_ftg &gt; 2 → Deep footing, flexural assumption does not apply</t>
  </si>
  <si>
    <t>Check One Way Shear</t>
  </si>
  <si>
    <t>b_w</t>
  </si>
  <si>
    <t>MIN(L_ftg_select, b_ftg_select)</t>
  </si>
  <si>
    <t>d_v</t>
  </si>
  <si>
    <t>Min(0.72 * d_ftg, 0.9 * d_eff)</t>
  </si>
  <si>
    <t>min_critical</t>
  </si>
  <si>
    <t>MIN(L_critical, b_critical)</t>
  </si>
  <si>
    <t>CHECK_BETA</t>
  </si>
  <si>
    <t>min_critical &lt; 3 * d_eff</t>
  </si>
  <si>
    <t>beta</t>
  </si>
  <si>
    <t>IF(CHECK_BETA, 0.21, 230 / (1000 + d_v))</t>
  </si>
  <si>
    <t>V_c</t>
  </si>
  <si>
    <t>0.65 * beta * sqrt(f’c) * min(L_ftg_select, b_ftg_select) * d_v</t>
  </si>
  <si>
    <t>CHECK SHEAR</t>
  </si>
  <si>
    <t>DCR → V_f / V_c</t>
  </si>
  <si>
    <t>Flexural Reinforcement, Shallow Reinforcement</t>
  </si>
  <si>
    <t>M_f_critical</t>
  </si>
  <si>
    <t>Q_f * L_critical ^ 2 * b_critical / 2</t>
  </si>
  <si>
    <t>KN-m</t>
  </si>
  <si>
    <t>alpha</t>
  </si>
  <si>
    <t>0.85 – 0.0015 * fc</t>
  </si>
  <si>
    <t>As_flex</t>
  </si>
  <si>
    <t>(0.65 * alpha) / (0.85 * fy) * f’c * b_critical * (d – sqrt(d^2 – (3.85 * M_f_critical) / (f’c * b_critical)</t>
  </si>
  <si>
    <t>As_min</t>
  </si>
  <si>
    <t xml:space="preserve"> 0.002 * b_critical * d_ftg</t>
  </si>
  <si>
    <t>As_req</t>
  </si>
  <si>
    <t>MAX(As_flex, As_min)</t>
  </si>
  <si>
    <t>N_bars_20M</t>
  </si>
  <si>
    <t>Number of 20M bars to provide in each direction</t>
  </si>
  <si>
    <t>Strut and Tie, L Dimension</t>
  </si>
  <si>
    <t>alpha_L</t>
  </si>
  <si>
    <t>arctan((d_eff – L_col/4) / (L_critical – cover))</t>
  </si>
  <si>
    <t>Degrees</t>
  </si>
  <si>
    <t>P_strut</t>
  </si>
  <si>
    <t>T_Tie_L</t>
  </si>
  <si>
    <t>As_S&amp;T_L</t>
  </si>
  <si>
    <t>T_Tie_L / (0.85 * fy)</t>
  </si>
  <si>
    <t>N_bars_20M, S&amp;T_L</t>
  </si>
  <si>
    <t>Number of hooked 20M bars in L dimension</t>
  </si>
  <si>
    <t>Strut and Tie, B Dimension</t>
  </si>
  <si>
    <t>alpha_B</t>
  </si>
  <si>
    <t>arctan((d_eff – B_col/4) / (B_critical – cover))</t>
  </si>
  <si>
    <t>(P_f / 3) / sin(alpha_L)</t>
  </si>
  <si>
    <t>P_strut * cos(alpha_L)</t>
  </si>
  <si>
    <t>N_bars_20M, S&amp;T_B</t>
  </si>
  <si>
    <t>Number of hooked 20M bars in B dimension</t>
  </si>
  <si>
    <t>Design Summary</t>
  </si>
  <si>
    <t>Bars Long Direction (X)</t>
  </si>
  <si>
    <t>Number of Bars in Long Direction</t>
  </si>
  <si>
    <t>Bars Width Direction (Y)</t>
  </si>
  <si>
    <t>Number of Bars in Short Direction</t>
  </si>
  <si>
    <t>Bar Type Long Direction (X)</t>
  </si>
  <si>
    <t>Bar Type Short Direction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</si>
</sst>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%"/>
    <numFmt numFmtId="167" formatCode="0.000"/>
  </numFmts>
  <fonts count="8" x14ac:knownFonts="1"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b/>
      <sz val="10"/>
      <color rgb="FF80008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FFFFD7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  <xf numFmtId="166" fontId="5" fillId="0" borderId="0" xfId="0" applyNumberFormat="1" applyFont="1"/>
    <xf numFmtId="0" fontId="5" fillId="0" borderId="0" xfId="0" applyFont="1"/>
    <xf numFmtId="167" fontId="5" fillId="0" borderId="0" xfId="0" applyNumberFormat="1" applyFont="1"/>
    <xf numFmtId="167" fontId="0" fillId="2" borderId="0" xfId="0" applyNumberFormat="1" applyFill="1"/>
    <xf numFmtId="2" fontId="0" fillId="2" borderId="0" xfId="0" applyNumberFormat="1" applyFill="1"/>
    <xf numFmtId="3" fontId="0" fillId="2" borderId="0" xfId="0" applyNumberFormat="1" applyFill="1"/>
    <xf numFmtId="0" fontId="5" fillId="2" borderId="0" xfId="0" applyFont="1" applyFill="1"/>
    <xf numFmtId="165" fontId="0" fillId="0" borderId="0" xfId="0" applyNumberForma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006600"/>
      </font>
      <fill>
        <patternFill>
          <bgColor rgb="FFCC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9</xdr:row>
      <xdr:rowOff>0</xdr:rowOff>
    </xdr:from>
    <xdr:to>
      <xdr:col>10</xdr:col>
      <xdr:colOff>744135</xdr:colOff>
      <xdr:row>27</xdr:row>
      <xdr:rowOff>93585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784800" y="2359800"/>
          <a:ext cx="3981960" cy="3033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="110" zoomScaleNormal="110" workbookViewId="0">
      <selection activeCell="E12" sqref="E12"/>
    </sheetView>
  </sheetViews>
  <sheetFormatPr defaultColWidth="11.5546875" defaultRowHeight="12.3" x14ac:dyDescent="0.4"/>
  <cols>
    <col min="1" max="1" width="23.109375" customWidth="1"/>
    <col min="2" max="2" width="3.5546875" customWidth="1"/>
    <col min="3" max="3" width="64.109375" customWidth="1"/>
    <col min="4" max="4" width="2.6640625" customWidth="1"/>
    <col min="5" max="5" width="16.6640625" customWidth="1"/>
    <col min="6" max="6" width="28.5546875" customWidth="1"/>
  </cols>
  <sheetData>
    <row r="1" spans="1:11" ht="64.95" customHeight="1" x14ac:dyDescent="0.6">
      <c r="A1" s="1" t="s">
        <v>0</v>
      </c>
      <c r="C1" s="21" t="s">
        <v>1</v>
      </c>
      <c r="D1" s="21"/>
    </row>
    <row r="2" spans="1:11" ht="15" x14ac:dyDescent="0.5">
      <c r="A2" s="2" t="s">
        <v>2</v>
      </c>
      <c r="C2" s="3">
        <v>1232323</v>
      </c>
    </row>
    <row r="3" spans="1:11" ht="12.75" customHeight="1" x14ac:dyDescent="0.5">
      <c r="A3" s="2" t="s">
        <v>3</v>
      </c>
      <c r="C3" s="4">
        <v>44337</v>
      </c>
    </row>
    <row r="4" spans="1:11" ht="12.75" customHeight="1" x14ac:dyDescent="0.5">
      <c r="A4" s="2" t="s">
        <v>4</v>
      </c>
      <c r="C4" t="s">
        <v>5</v>
      </c>
    </row>
    <row r="5" spans="1:11" ht="29.1" customHeight="1" x14ac:dyDescent="0.65">
      <c r="A5" s="22" t="s">
        <v>6</v>
      </c>
      <c r="B5" s="22"/>
      <c r="C5" s="22"/>
      <c r="D5" s="22"/>
      <c r="E5" s="22"/>
    </row>
    <row r="6" spans="1:11" x14ac:dyDescent="0.4">
      <c r="A6" s="19" t="s">
        <v>7</v>
      </c>
      <c r="B6" s="19"/>
      <c r="C6" s="19"/>
      <c r="D6" s="19"/>
      <c r="E6" s="19"/>
    </row>
    <row r="7" spans="1:11" x14ac:dyDescent="0.4">
      <c r="A7" t="s">
        <v>8</v>
      </c>
      <c r="B7" t="s">
        <v>9</v>
      </c>
      <c r="C7" t="s">
        <v>10</v>
      </c>
      <c r="D7" t="s">
        <v>9</v>
      </c>
      <c r="E7" s="5">
        <v>600</v>
      </c>
      <c r="F7" t="s">
        <v>11</v>
      </c>
    </row>
    <row r="8" spans="1:11" x14ac:dyDescent="0.4">
      <c r="A8" t="s">
        <v>12</v>
      </c>
      <c r="B8" t="s">
        <v>9</v>
      </c>
      <c r="C8" t="s">
        <v>13</v>
      </c>
      <c r="D8" t="str">
        <f>D7</f>
        <v>=</v>
      </c>
      <c r="E8" s="5">
        <v>500</v>
      </c>
      <c r="F8" t="s">
        <v>11</v>
      </c>
      <c r="G8" s="23" t="s">
        <v>14</v>
      </c>
      <c r="H8" s="23"/>
      <c r="I8" s="23"/>
      <c r="J8" s="23"/>
      <c r="K8" s="23"/>
    </row>
    <row r="9" spans="1:11" x14ac:dyDescent="0.4">
      <c r="A9" t="s">
        <v>15</v>
      </c>
      <c r="B9" t="s">
        <v>9</v>
      </c>
      <c r="C9" t="s">
        <v>16</v>
      </c>
      <c r="D9" t="s">
        <v>9</v>
      </c>
      <c r="E9" s="5">
        <v>400</v>
      </c>
      <c r="F9" t="s">
        <v>17</v>
      </c>
      <c r="G9" s="23"/>
      <c r="H9" s="23"/>
      <c r="I9" s="23"/>
      <c r="J9" s="23"/>
      <c r="K9" s="23"/>
    </row>
    <row r="10" spans="1:11" x14ac:dyDescent="0.4">
      <c r="A10" t="s">
        <v>18</v>
      </c>
      <c r="B10" t="s">
        <v>9</v>
      </c>
      <c r="C10" t="s">
        <v>19</v>
      </c>
      <c r="D10" t="s">
        <v>9</v>
      </c>
      <c r="E10" s="5">
        <v>50</v>
      </c>
      <c r="F10" t="s">
        <v>20</v>
      </c>
    </row>
    <row r="11" spans="1:11" x14ac:dyDescent="0.4">
      <c r="A11" t="s">
        <v>21</v>
      </c>
      <c r="B11" t="s">
        <v>9</v>
      </c>
      <c r="C11" t="s">
        <v>22</v>
      </c>
      <c r="D11" t="s">
        <v>9</v>
      </c>
      <c r="E11" s="5">
        <v>400</v>
      </c>
      <c r="F11" t="s">
        <v>20</v>
      </c>
    </row>
    <row r="12" spans="1:11" x14ac:dyDescent="0.4">
      <c r="A12" t="s">
        <v>23</v>
      </c>
      <c r="B12" t="s">
        <v>9</v>
      </c>
      <c r="C12" t="s">
        <v>24</v>
      </c>
      <c r="D12" t="s">
        <v>9</v>
      </c>
      <c r="E12" s="5">
        <v>24.5</v>
      </c>
      <c r="F12" t="s">
        <v>25</v>
      </c>
    </row>
    <row r="13" spans="1:11" x14ac:dyDescent="0.4">
      <c r="A13" t="s">
        <v>26</v>
      </c>
      <c r="B13" t="s">
        <v>9</v>
      </c>
      <c r="C13" t="s">
        <v>27</v>
      </c>
      <c r="D13" t="s">
        <v>9</v>
      </c>
      <c r="E13" s="5">
        <v>75</v>
      </c>
      <c r="F13" t="s">
        <v>28</v>
      </c>
    </row>
    <row r="14" spans="1:11" x14ac:dyDescent="0.4">
      <c r="A14" t="s">
        <v>29</v>
      </c>
      <c r="B14" t="s">
        <v>9</v>
      </c>
      <c r="C14" t="s">
        <v>30</v>
      </c>
      <c r="D14" t="s">
        <v>9</v>
      </c>
      <c r="E14" s="5">
        <v>950</v>
      </c>
      <c r="F14" t="s">
        <v>28</v>
      </c>
    </row>
    <row r="15" spans="1:11" x14ac:dyDescent="0.4">
      <c r="A15" t="s">
        <v>31</v>
      </c>
      <c r="B15" t="s">
        <v>9</v>
      </c>
      <c r="C15" t="s">
        <v>32</v>
      </c>
      <c r="D15" t="s">
        <v>9</v>
      </c>
      <c r="E15" s="5">
        <v>400</v>
      </c>
      <c r="F15" t="s">
        <v>28</v>
      </c>
    </row>
    <row r="16" spans="1:11" x14ac:dyDescent="0.4">
      <c r="A16" t="s">
        <v>33</v>
      </c>
      <c r="B16" t="s">
        <v>9</v>
      </c>
      <c r="C16" t="s">
        <v>34</v>
      </c>
      <c r="D16" t="s">
        <v>9</v>
      </c>
      <c r="E16" s="5">
        <v>400</v>
      </c>
      <c r="F16" t="s">
        <v>28</v>
      </c>
    </row>
    <row r="17" spans="1:6" x14ac:dyDescent="0.4">
      <c r="A17" s="19"/>
      <c r="B17" s="19"/>
      <c r="C17" s="19"/>
      <c r="D17" s="19"/>
      <c r="E17" s="19"/>
    </row>
    <row r="18" spans="1:6" x14ac:dyDescent="0.4">
      <c r="A18" t="s">
        <v>35</v>
      </c>
      <c r="B18" t="s">
        <v>9</v>
      </c>
      <c r="C18" t="s">
        <v>36</v>
      </c>
      <c r="D18" t="s">
        <v>9</v>
      </c>
      <c r="E18" s="6">
        <f>MAX(1.25*E7+1.5*E8, 1.4*E7)</f>
        <v>1500</v>
      </c>
      <c r="F18" t="s">
        <v>11</v>
      </c>
    </row>
    <row r="19" spans="1:6" x14ac:dyDescent="0.4">
      <c r="A19" t="s">
        <v>37</v>
      </c>
      <c r="B19" t="s">
        <v>9</v>
      </c>
      <c r="C19" t="s">
        <v>38</v>
      </c>
      <c r="D19" t="s">
        <v>9</v>
      </c>
      <c r="E19" s="7">
        <f>IF(E18=1.4*E7, 1.4*E14/1000*E12, 1.25*E14/1000*E12)</f>
        <v>29.09375</v>
      </c>
      <c r="F19" t="s">
        <v>17</v>
      </c>
    </row>
    <row r="20" spans="1:6" x14ac:dyDescent="0.4">
      <c r="A20" t="s">
        <v>39</v>
      </c>
      <c r="B20" t="s">
        <v>9</v>
      </c>
      <c r="C20" t="s">
        <v>40</v>
      </c>
      <c r="D20" t="s">
        <v>9</v>
      </c>
      <c r="E20" s="8">
        <f>E18 / (E9 - E19) * 1000000</f>
        <v>4044148.6224618759</v>
      </c>
      <c r="F20" t="s">
        <v>41</v>
      </c>
    </row>
    <row r="21" spans="1:6" x14ac:dyDescent="0.4">
      <c r="A21" t="s">
        <v>42</v>
      </c>
      <c r="B21" t="s">
        <v>9</v>
      </c>
      <c r="C21" t="s">
        <v>43</v>
      </c>
      <c r="D21" t="s">
        <v>9</v>
      </c>
      <c r="E21" s="8">
        <f>SQRT(E20)</f>
        <v>2011.0068678306088</v>
      </c>
      <c r="F21" t="s">
        <v>28</v>
      </c>
    </row>
    <row r="23" spans="1:6" x14ac:dyDescent="0.4">
      <c r="A23" t="s">
        <v>44</v>
      </c>
      <c r="B23" t="s">
        <v>9</v>
      </c>
      <c r="C23" t="s">
        <v>45</v>
      </c>
      <c r="D23" t="s">
        <v>9</v>
      </c>
      <c r="E23" s="5">
        <v>3500</v>
      </c>
      <c r="F23" t="s">
        <v>28</v>
      </c>
    </row>
    <row r="24" spans="1:6" x14ac:dyDescent="0.4">
      <c r="A24" t="s">
        <v>46</v>
      </c>
      <c r="B24" t="s">
        <v>9</v>
      </c>
      <c r="C24" t="s">
        <v>47</v>
      </c>
      <c r="D24" t="s">
        <v>9</v>
      </c>
      <c r="E24" s="5">
        <v>3500</v>
      </c>
      <c r="F24" t="s">
        <v>28</v>
      </c>
    </row>
    <row r="25" spans="1:6" x14ac:dyDescent="0.4">
      <c r="A25" t="s">
        <v>48</v>
      </c>
      <c r="B25" t="s">
        <v>9</v>
      </c>
      <c r="C25" t="s">
        <v>49</v>
      </c>
      <c r="D25" t="s">
        <v>9</v>
      </c>
      <c r="E25" s="6">
        <f>E23*E24</f>
        <v>12250000</v>
      </c>
      <c r="F25" t="s">
        <v>28</v>
      </c>
    </row>
    <row r="26" spans="1:6" x14ac:dyDescent="0.4">
      <c r="A26" t="s">
        <v>50</v>
      </c>
      <c r="B26" t="s">
        <v>9</v>
      </c>
      <c r="C26" t="s">
        <v>51</v>
      </c>
      <c r="D26" t="s">
        <v>9</v>
      </c>
      <c r="E26" s="7">
        <f>E18/(E23*E24/1000000)+E19</f>
        <v>151.54272959183675</v>
      </c>
      <c r="F26" t="s">
        <v>17</v>
      </c>
    </row>
    <row r="27" spans="1:6" x14ac:dyDescent="0.4">
      <c r="A27" t="s">
        <v>52</v>
      </c>
      <c r="B27" t="s">
        <v>9</v>
      </c>
      <c r="C27" t="s">
        <v>53</v>
      </c>
      <c r="D27" t="s">
        <v>9</v>
      </c>
      <c r="E27" s="9">
        <f>E26/E9</f>
        <v>0.37885682397959186</v>
      </c>
      <c r="F27" s="10" t="str">
        <f>IF(E27&lt;=1, "OK", "FAIL, REVISE DIMENSIONS")</f>
        <v>OK</v>
      </c>
    </row>
    <row r="29" spans="1:6" x14ac:dyDescent="0.4">
      <c r="A29" s="19" t="s">
        <v>54</v>
      </c>
      <c r="B29" s="19"/>
      <c r="C29" s="19"/>
      <c r="D29" s="19"/>
      <c r="E29" s="19"/>
    </row>
    <row r="30" spans="1:6" x14ac:dyDescent="0.4">
      <c r="A30" t="s">
        <v>55</v>
      </c>
      <c r="B30" t="s">
        <v>9</v>
      </c>
      <c r="C30" t="s">
        <v>56</v>
      </c>
      <c r="D30" t="s">
        <v>9</v>
      </c>
      <c r="E30" s="6">
        <f>E14-E13-20/2</f>
        <v>865</v>
      </c>
      <c r="F30" t="s">
        <v>28</v>
      </c>
    </row>
    <row r="31" spans="1:6" x14ac:dyDescent="0.4">
      <c r="A31" t="s">
        <v>57</v>
      </c>
      <c r="B31" t="s">
        <v>9</v>
      </c>
      <c r="C31" t="s">
        <v>58</v>
      </c>
      <c r="D31" t="s">
        <v>9</v>
      </c>
      <c r="E31" s="6">
        <f>MAX(($E$23-$E$15)/2, ($E$24-$E$16)/2)</f>
        <v>1550</v>
      </c>
      <c r="F31" t="s">
        <v>28</v>
      </c>
    </row>
    <row r="32" spans="1:6" x14ac:dyDescent="0.4">
      <c r="A32" t="s">
        <v>59</v>
      </c>
      <c r="B32" t="s">
        <v>9</v>
      </c>
      <c r="C32" t="s">
        <v>60</v>
      </c>
      <c r="D32" t="s">
        <v>9</v>
      </c>
      <c r="E32" s="6">
        <f>MIN(($E$23-$E$15)/2, ($E$24-$E$16)/2)</f>
        <v>1550</v>
      </c>
      <c r="F32" t="s">
        <v>28</v>
      </c>
    </row>
    <row r="33" spans="1:6" x14ac:dyDescent="0.4">
      <c r="A33" s="10" t="s">
        <v>61</v>
      </c>
      <c r="B33" s="10" t="s">
        <v>9</v>
      </c>
      <c r="C33" s="10" t="s">
        <v>62</v>
      </c>
      <c r="D33" t="s">
        <v>9</v>
      </c>
      <c r="E33" s="11">
        <f>E31/E14</f>
        <v>1.631578947368421</v>
      </c>
      <c r="F33" s="10" t="str">
        <f>IF(E33&lt;2, "DEEP FOOTING, L DIM", "SHALLOW FOOTING, L DIM")</f>
        <v>DEEP FOOTING, L DIM</v>
      </c>
    </row>
    <row r="34" spans="1:6" x14ac:dyDescent="0.4">
      <c r="A34" s="10" t="s">
        <v>63</v>
      </c>
      <c r="B34" s="10" t="s">
        <v>9</v>
      </c>
      <c r="C34" s="10" t="s">
        <v>64</v>
      </c>
      <c r="E34" s="11">
        <f>E32/E14</f>
        <v>1.631578947368421</v>
      </c>
      <c r="F34" s="10" t="str">
        <f>IF(E34&lt;2, "DEEP FOOTING, B DIM", "SHALLOW FOOTING, B DIM")</f>
        <v>DEEP FOOTING, B DIM</v>
      </c>
    </row>
    <row r="36" spans="1:6" x14ac:dyDescent="0.4">
      <c r="A36" s="19" t="s">
        <v>65</v>
      </c>
      <c r="B36" s="19"/>
      <c r="C36" s="19"/>
      <c r="D36" s="19"/>
      <c r="E36" s="19"/>
    </row>
    <row r="37" spans="1:6" x14ac:dyDescent="0.4">
      <c r="A37" t="s">
        <v>66</v>
      </c>
      <c r="B37" t="s">
        <v>9</v>
      </c>
      <c r="C37" t="s">
        <v>67</v>
      </c>
      <c r="D37" t="s">
        <v>9</v>
      </c>
      <c r="E37" s="6">
        <f>MIN(E23,E24)</f>
        <v>3500</v>
      </c>
    </row>
    <row r="38" spans="1:6" x14ac:dyDescent="0.4">
      <c r="A38" t="s">
        <v>68</v>
      </c>
      <c r="B38" t="s">
        <v>9</v>
      </c>
      <c r="C38" t="s">
        <v>69</v>
      </c>
      <c r="D38" t="s">
        <v>9</v>
      </c>
      <c r="E38" s="6">
        <f>MIN(0.72 * E14, 0.9*E30)</f>
        <v>684</v>
      </c>
      <c r="F38" t="s">
        <v>28</v>
      </c>
    </row>
    <row r="39" spans="1:6" x14ac:dyDescent="0.4">
      <c r="A39" t="s">
        <v>70</v>
      </c>
      <c r="B39" t="s">
        <v>9</v>
      </c>
      <c r="C39" t="s">
        <v>71</v>
      </c>
      <c r="D39" t="s">
        <v>9</v>
      </c>
      <c r="E39" s="6">
        <f>MIN(E31,E32)</f>
        <v>1550</v>
      </c>
    </row>
    <row r="40" spans="1:6" x14ac:dyDescent="0.4">
      <c r="A40" t="s">
        <v>72</v>
      </c>
      <c r="B40" t="s">
        <v>9</v>
      </c>
      <c r="C40" t="s">
        <v>73</v>
      </c>
      <c r="D40" t="s">
        <v>9</v>
      </c>
      <c r="E40" s="6" t="b">
        <f>E39&lt;3*E30</f>
        <v>1</v>
      </c>
    </row>
    <row r="41" spans="1:6" x14ac:dyDescent="0.4">
      <c r="A41" t="s">
        <v>74</v>
      </c>
      <c r="B41" t="s">
        <v>9</v>
      </c>
      <c r="C41" t="s">
        <v>75</v>
      </c>
      <c r="D41" t="s">
        <v>9</v>
      </c>
      <c r="E41" s="12">
        <f>IF(E40,0.21,230/(1000 + E38))</f>
        <v>0.21</v>
      </c>
    </row>
    <row r="42" spans="1:6" x14ac:dyDescent="0.4">
      <c r="A42" t="s">
        <v>76</v>
      </c>
      <c r="B42" t="s">
        <v>9</v>
      </c>
      <c r="C42" t="s">
        <v>77</v>
      </c>
      <c r="D42" t="s">
        <v>9</v>
      </c>
      <c r="E42" s="7">
        <f>0.65*E41*SQRT(E10)*E38*E37/1000</f>
        <v>2310.6906106292126</v>
      </c>
      <c r="F42" t="s">
        <v>11</v>
      </c>
    </row>
    <row r="43" spans="1:6" x14ac:dyDescent="0.4">
      <c r="A43" t="s">
        <v>78</v>
      </c>
      <c r="C43" t="s">
        <v>79</v>
      </c>
      <c r="D43" t="s">
        <v>9</v>
      </c>
      <c r="E43" s="9">
        <f>E18/E42</f>
        <v>0.64915657383986269</v>
      </c>
      <c r="F43" s="10" t="str">
        <f>IF(E43&gt;1, "FAIL, REVISE DIMENSIONS", "OK")</f>
        <v>OK</v>
      </c>
    </row>
    <row r="45" spans="1:6" x14ac:dyDescent="0.4">
      <c r="A45" s="20" t="s">
        <v>80</v>
      </c>
      <c r="B45" s="20"/>
      <c r="C45" s="20"/>
      <c r="D45" s="20"/>
      <c r="E45" s="20"/>
      <c r="F45" s="10"/>
    </row>
    <row r="46" spans="1:6" x14ac:dyDescent="0.4">
      <c r="A46" t="s">
        <v>81</v>
      </c>
      <c r="B46" t="s">
        <v>9</v>
      </c>
      <c r="C46" t="s">
        <v>82</v>
      </c>
      <c r="D46" t="s">
        <v>9</v>
      </c>
      <c r="E46" s="7">
        <f>E26*(E31/1000)^2*(E32/1000)/2</f>
        <v>282.1630910794006</v>
      </c>
      <c r="F46" t="s">
        <v>83</v>
      </c>
    </row>
    <row r="47" spans="1:6" x14ac:dyDescent="0.4">
      <c r="A47" t="s">
        <v>84</v>
      </c>
      <c r="B47" t="s">
        <v>9</v>
      </c>
      <c r="C47" t="s">
        <v>85</v>
      </c>
      <c r="D47" t="s">
        <v>9</v>
      </c>
      <c r="E47" s="13">
        <f>0.85-0.0015*E10</f>
        <v>0.77500000000000002</v>
      </c>
    </row>
    <row r="48" spans="1:6" x14ac:dyDescent="0.4">
      <c r="A48" t="s">
        <v>86</v>
      </c>
      <c r="B48" t="s">
        <v>9</v>
      </c>
      <c r="C48" t="s">
        <v>87</v>
      </c>
      <c r="D48" t="s">
        <v>9</v>
      </c>
      <c r="E48" s="14">
        <f>(0.65 * E47) / (0.85 * E11)  *E10*E32*(E30-SQRT(E30^2 - (3.85*E46*1000000)/(E10*E32)))</f>
        <v>934.75848168277946</v>
      </c>
      <c r="F48" t="s">
        <v>41</v>
      </c>
    </row>
    <row r="49" spans="1:6" x14ac:dyDescent="0.4">
      <c r="A49" t="s">
        <v>88</v>
      </c>
      <c r="B49" t="s">
        <v>9</v>
      </c>
      <c r="C49" t="s">
        <v>89</v>
      </c>
      <c r="D49" t="s">
        <v>9</v>
      </c>
      <c r="E49" s="6">
        <f>0.002*E14*E32</f>
        <v>2945</v>
      </c>
      <c r="F49" t="s">
        <v>41</v>
      </c>
    </row>
    <row r="50" spans="1:6" x14ac:dyDescent="0.4">
      <c r="A50" s="10" t="s">
        <v>90</v>
      </c>
      <c r="B50" s="10" t="s">
        <v>9</v>
      </c>
      <c r="C50" s="10" t="s">
        <v>91</v>
      </c>
      <c r="D50" s="10" t="s">
        <v>9</v>
      </c>
      <c r="E50" s="15">
        <f>MAX(E48,E49)</f>
        <v>2945</v>
      </c>
      <c r="F50" s="10" t="s">
        <v>41</v>
      </c>
    </row>
    <row r="51" spans="1:6" x14ac:dyDescent="0.4">
      <c r="A51" t="s">
        <v>92</v>
      </c>
      <c r="B51" t="s">
        <v>9</v>
      </c>
      <c r="C51" t="s">
        <v>93</v>
      </c>
      <c r="D51" t="s">
        <v>9</v>
      </c>
      <c r="E51" s="15">
        <f>_xlfn.CEILING.MATH(E50/300, 1)</f>
        <v>10</v>
      </c>
    </row>
    <row r="53" spans="1:6" x14ac:dyDescent="0.4">
      <c r="A53" s="20" t="s">
        <v>94</v>
      </c>
      <c r="B53" s="20"/>
      <c r="C53" s="20"/>
      <c r="D53" s="20"/>
      <c r="E53" s="20"/>
    </row>
    <row r="54" spans="1:6" x14ac:dyDescent="0.4">
      <c r="A54" t="s">
        <v>95</v>
      </c>
      <c r="B54" t="s">
        <v>9</v>
      </c>
      <c r="C54" t="s">
        <v>96</v>
      </c>
      <c r="D54" t="s">
        <v>9</v>
      </c>
      <c r="E54" s="16">
        <f>DEGREES(ATAN((E30-E15/4)/(E31-E13)))</f>
        <v>27.413244358301846</v>
      </c>
      <c r="F54" t="s">
        <v>97</v>
      </c>
    </row>
    <row r="55" spans="1:6" x14ac:dyDescent="0.4">
      <c r="A55" t="s">
        <v>98</v>
      </c>
      <c r="B55" t="s">
        <v>9</v>
      </c>
      <c r="C55" t="s">
        <v>107</v>
      </c>
      <c r="D55" t="s">
        <v>9</v>
      </c>
      <c r="E55" s="16">
        <f>(E18/3)/SIN(RADIANS(E54))</f>
        <v>1086.0003743974987</v>
      </c>
      <c r="F55" t="s">
        <v>11</v>
      </c>
    </row>
    <row r="56" spans="1:6" x14ac:dyDescent="0.4">
      <c r="A56" t="s">
        <v>99</v>
      </c>
      <c r="B56" t="s">
        <v>9</v>
      </c>
      <c r="C56" t="s">
        <v>108</v>
      </c>
      <c r="D56" t="s">
        <v>9</v>
      </c>
      <c r="E56" s="16">
        <f>E55*COS(RADIANS(E54))</f>
        <v>964.05228758169926</v>
      </c>
      <c r="F56" t="s">
        <v>11</v>
      </c>
    </row>
    <row r="57" spans="1:6" x14ac:dyDescent="0.4">
      <c r="A57" t="s">
        <v>100</v>
      </c>
      <c r="B57" t="s">
        <v>9</v>
      </c>
      <c r="C57" t="s">
        <v>101</v>
      </c>
      <c r="D57" t="s">
        <v>9</v>
      </c>
      <c r="E57" s="16">
        <f>E56* 1000/(0.85 * E11)</f>
        <v>2835.4479046520569</v>
      </c>
      <c r="F57" t="s">
        <v>41</v>
      </c>
    </row>
    <row r="58" spans="1:6" x14ac:dyDescent="0.4">
      <c r="A58" t="s">
        <v>102</v>
      </c>
      <c r="B58" t="s">
        <v>9</v>
      </c>
      <c r="C58" t="s">
        <v>103</v>
      </c>
      <c r="D58" t="s">
        <v>9</v>
      </c>
      <c r="E58" s="10">
        <f>_xlfn.CEILING.MATH(E57/300, 1)</f>
        <v>10</v>
      </c>
    </row>
    <row r="59" spans="1:6" x14ac:dyDescent="0.4">
      <c r="A59" s="20" t="s">
        <v>104</v>
      </c>
      <c r="B59" s="20"/>
      <c r="C59" s="20"/>
      <c r="D59" s="20"/>
      <c r="E59" s="20"/>
    </row>
    <row r="60" spans="1:6" x14ac:dyDescent="0.4">
      <c r="A60" t="s">
        <v>105</v>
      </c>
      <c r="B60" t="s">
        <v>9</v>
      </c>
      <c r="C60" t="s">
        <v>106</v>
      </c>
      <c r="D60" t="s">
        <v>9</v>
      </c>
      <c r="E60" s="16">
        <f>DEGREES(ATAN((E30-E16/4)/(E32-E13)))</f>
        <v>27.413244358301846</v>
      </c>
      <c r="F60" t="s">
        <v>97</v>
      </c>
    </row>
    <row r="61" spans="1:6" x14ac:dyDescent="0.4">
      <c r="A61" t="s">
        <v>98</v>
      </c>
      <c r="B61" t="s">
        <v>9</v>
      </c>
      <c r="C61" t="s">
        <v>107</v>
      </c>
      <c r="D61" t="s">
        <v>9</v>
      </c>
      <c r="E61" s="16">
        <f>(E18/3)/SIN(RADIANS(E60))</f>
        <v>1086.0003743974987</v>
      </c>
      <c r="F61" t="s">
        <v>11</v>
      </c>
    </row>
    <row r="62" spans="1:6" x14ac:dyDescent="0.4">
      <c r="A62" t="s">
        <v>99</v>
      </c>
      <c r="B62" t="s">
        <v>9</v>
      </c>
      <c r="C62" t="s">
        <v>108</v>
      </c>
      <c r="D62" t="s">
        <v>9</v>
      </c>
      <c r="E62" s="16">
        <f>E61*COS(RADIANS(E60))</f>
        <v>964.05228758169926</v>
      </c>
      <c r="F62" t="s">
        <v>11</v>
      </c>
    </row>
    <row r="63" spans="1:6" x14ac:dyDescent="0.4">
      <c r="A63" t="s">
        <v>100</v>
      </c>
      <c r="B63" t="s">
        <v>9</v>
      </c>
      <c r="C63" t="s">
        <v>101</v>
      </c>
      <c r="D63" t="s">
        <v>9</v>
      </c>
      <c r="E63" s="16">
        <f>E62* 1000/(0.85 * E11)</f>
        <v>2835.4479046520569</v>
      </c>
      <c r="F63" t="s">
        <v>41</v>
      </c>
    </row>
    <row r="64" spans="1:6" x14ac:dyDescent="0.4">
      <c r="A64" t="s">
        <v>109</v>
      </c>
      <c r="B64" t="s">
        <v>9</v>
      </c>
      <c r="C64" t="s">
        <v>110</v>
      </c>
      <c r="D64" t="s">
        <v>9</v>
      </c>
      <c r="E64" s="10">
        <f>_xlfn.CEILING.MATH(E63/300)</f>
        <v>10</v>
      </c>
    </row>
    <row r="66" spans="1:5" ht="17.7" x14ac:dyDescent="0.4">
      <c r="A66" s="18" t="s">
        <v>111</v>
      </c>
      <c r="B66" s="18"/>
      <c r="C66" s="18"/>
      <c r="D66" s="18"/>
      <c r="E66" s="18"/>
    </row>
    <row r="67" spans="1:5" x14ac:dyDescent="0.4">
      <c r="A67" t="s">
        <v>112</v>
      </c>
      <c r="C67" t="s">
        <v>113</v>
      </c>
      <c r="D67" t="s">
        <v>9</v>
      </c>
      <c r="E67" s="10">
        <f>IF(E33&lt;2, MAX(E58,E51), E51)</f>
        <v>10</v>
      </c>
    </row>
    <row r="68" spans="1:5" x14ac:dyDescent="0.4">
      <c r="A68" t="s">
        <v>114</v>
      </c>
      <c r="C68" t="s">
        <v>115</v>
      </c>
      <c r="D68" t="s">
        <v>9</v>
      </c>
      <c r="E68" s="10">
        <f>IF(E34&lt;2, MAX(E64,E51), E51)</f>
        <v>10</v>
      </c>
    </row>
    <row r="69" spans="1:5" x14ac:dyDescent="0.4">
      <c r="A69" t="s">
        <v>116</v>
      </c>
      <c r="D69" t="s">
        <v>9</v>
      </c>
      <c r="E69" t="str">
        <f>IF(AND(E33&lt;2, E57&gt;E50),"HOOKED", "STRAIGHT")</f>
        <v>STRAIGHT</v>
      </c>
    </row>
    <row r="70" spans="1:5" x14ac:dyDescent="0.4">
      <c r="A70" t="s">
        <v>117</v>
      </c>
      <c r="D70" t="s">
        <v>9</v>
      </c>
      <c r="E70" t="str">
        <f>IF(AND(E34&lt;2, E63&gt;E50),"HOOKED", "STRAIGHT")</f>
        <v>STRAIGHT</v>
      </c>
    </row>
    <row r="72" spans="1:5" ht="17.7" x14ac:dyDescent="0.4">
      <c r="C72" s="17" t="str">
        <f>"USE "&amp;E67&amp;"-20M "&amp;E69&amp;" BARS, LONG DIRECTION"</f>
        <v>USE 10-20M STRAIGHT BARS, LONG DIRECTION</v>
      </c>
    </row>
    <row r="73" spans="1:5" ht="17.7" x14ac:dyDescent="0.4">
      <c r="C73" s="17" t="str">
        <f>"USE "&amp;E68&amp;"-20M "&amp;E70&amp;" BARS, WIDTH DIRECTION"</f>
        <v>USE 10-20M STRAIGHT BARS, WIDTH DIRECTION</v>
      </c>
    </row>
  </sheetData>
  <mergeCells count="11">
    <mergeCell ref="C1:D1"/>
    <mergeCell ref="A5:E5"/>
    <mergeCell ref="A6:E6"/>
    <mergeCell ref="G8:K9"/>
    <mergeCell ref="A17:E17"/>
    <mergeCell ref="A66:E66"/>
    <mergeCell ref="A29:E29"/>
    <mergeCell ref="A36:E36"/>
    <mergeCell ref="A45:E45"/>
    <mergeCell ref="A53:E53"/>
    <mergeCell ref="A59:E59"/>
  </mergeCells>
  <conditionalFormatting sqref="E27">
    <cfRule type="cellIs" dxfId="3" priority="4" operator="lessThanOrEqual">
      <formula>1</formula>
    </cfRule>
    <cfRule type="cellIs" dxfId="2" priority="5" operator="greaterThan">
      <formula>1</formula>
    </cfRule>
  </conditionalFormatting>
  <conditionalFormatting sqref="E43">
    <cfRule type="cellIs" dxfId="1" priority="2" operator="greaterThan">
      <formula>1</formula>
    </cfRule>
    <cfRule type="cellIs" dxfId="0" priority="3" operator="lessThanOr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Lantsoght</cp:lastModifiedBy>
  <cp:revision>14</cp:revision>
  <dcterms:created xsi:type="dcterms:W3CDTF">2023-04-28T05:40:35Z</dcterms:created>
  <dcterms:modified xsi:type="dcterms:W3CDTF">2023-10-29T00:15:21Z</dcterms:modified>
  <dc:language>en-US</dc:language>
</cp:coreProperties>
</file>