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195" windowHeight="9660"/>
  </bookViews>
  <sheets>
    <sheet name="World Bank IP Plans" sheetId="2" r:id="rId1"/>
  </sheets>
  <definedNames>
    <definedName name="komi">#REF!</definedName>
    <definedName name="nenets">#REF!</definedName>
    <definedName name="other">#REF!</definedName>
    <definedName name="sami">#REF!</definedName>
    <definedName name="veps">#REF!</definedName>
  </definedNames>
  <calcPr calcId="145621"/>
</workbook>
</file>

<file path=xl/calcChain.xml><?xml version="1.0" encoding="utf-8"?>
<calcChain xmlns="http://schemas.openxmlformats.org/spreadsheetml/2006/main">
  <c r="E695" i="2" l="1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<sst xmlns="http://schemas.openxmlformats.org/spreadsheetml/2006/main" count="10090" uniqueCount="3481">
  <si>
    <t>1 of 1</t>
  </si>
  <si>
    <t>Rural Dev, Nat Res &amp; Envmt (EASRE)</t>
  </si>
  <si>
    <t>Culture and Development;Social Development</t>
  </si>
  <si>
    <t>Cultural Policy;Cultural Heritage &amp; Preservation;Community Development and Empowerment;Anthropology;Social Capital</t>
  </si>
  <si>
    <t>General agriculture, fishing and forestry sector</t>
  </si>
  <si>
    <t>Global - Second Critical Ecosystem Partnership Fund Project : indigenous peoples planning framework</t>
  </si>
  <si>
    <t>The World Region</t>
  </si>
  <si>
    <t>1W-Critical Ecosystem Partnership Fund 2 -- P100198</t>
  </si>
  <si>
    <t>Agriculture, fishing, and forestry</t>
  </si>
  <si>
    <t>Critical Ecosystem Partnership Fund (CEPF)</t>
  </si>
  <si>
    <t>Indigenous Peoples Plan</t>
  </si>
  <si>
    <t>IPP225</t>
  </si>
  <si>
    <t>English</t>
  </si>
  <si>
    <t>World</t>
  </si>
  <si>
    <t>Capacity Development Unit (WBICD)</t>
  </si>
  <si>
    <t>Environmental policies and institutions</t>
  </si>
  <si>
    <t>Environment;Transport;Gender;Private Sector Development;Communities and Human Settlements</t>
  </si>
  <si>
    <t>Environmental Economics &amp; Policies;Transport Economics Policy &amp; Planning;Housing &amp; Human Habitats;Gender and Law;Business Environment</t>
  </si>
  <si>
    <t>Secondary education</t>
  </si>
  <si>
    <t>Cambodia - Road Asset Management Project : indigenous peoples plan</t>
  </si>
  <si>
    <t>1W-Cie/Wis Symposium 2008 -- P106600</t>
  </si>
  <si>
    <t>Education</t>
  </si>
  <si>
    <t>IPP262</t>
  </si>
  <si>
    <t>Human Development Sector Dept (EASHD)</t>
  </si>
  <si>
    <t>TF038171-VIETNAM: PRIMARY EDUCATION FOR THE DISADVANTAGED CHILDREN;TF029271-PHRD - SECOND PRIMARY EDUCATION PROJ.;TF026248-PHRD-PRIMARY EDUCATION FOR DISADVANTAGED CHILDREN PROJECT;TF038158-VIETNAM - IMPROVING EDUCATION FOR DISADVANTAGED CHILDREN;TF051873-VIETNAM PRIMARY EDUCATION FOR DISADVANTAGED CHILDREN</t>
  </si>
  <si>
    <t>Gender</t>
  </si>
  <si>
    <t>Primary Education;Teaching and Learning;Curriculum &amp; Instruction;Health Monitoring &amp; Evaluation;Gender and Education</t>
  </si>
  <si>
    <t>Primary education</t>
  </si>
  <si>
    <t>Viet Nam - Primary Education for Disadvantaged Children Project : indigenous peoples plan</t>
  </si>
  <si>
    <t>East Asia and Pacific</t>
  </si>
  <si>
    <t>VN-Primary Education For Disadvantaged Children Project -- P044803</t>
  </si>
  <si>
    <t>S.N.</t>
  </si>
  <si>
    <t>IPP33</t>
  </si>
  <si>
    <t>01/24/2003</t>
  </si>
  <si>
    <t>Vietnam</t>
  </si>
  <si>
    <t>1 of 3</t>
  </si>
  <si>
    <t>Trnsprt, Energy &amp; Mining Sector (EASTE)</t>
  </si>
  <si>
    <t>TF030330-JAPAN CTF FY03 - GENERAL;TF026348-PHRD-ROAD NETWORK IMPROVEMENT PROJECT;TF030386-JAPAN CTF - FY03 GENERAL: EAP (ALL COUNTRIES IN EAST ASIA AND PACIFIC/A;TF030314-DANISH CTF GENERAL FY03 - (ALL EXCEPT SUB-SAHARAN AFRICA)</t>
  </si>
  <si>
    <t>Gender;Urban Development;Poverty Reduction;Finance and Financial Sector Development;Rural Development</t>
  </si>
  <si>
    <t>Poverty Assessment;Banks &amp; Banking Reform;Municipal Financial Management;Gender and Education;Rural Education</t>
  </si>
  <si>
    <t>Roads and highways;Sub-national government administration</t>
  </si>
  <si>
    <t>Vietnam - Road Network Improvement Project : indigenous peoples plan</t>
  </si>
  <si>
    <t>VN-Road Network Improvement Project -- P059663</t>
  </si>
  <si>
    <t>Public Administration, Law, and Justice;Transportation</t>
  </si>
  <si>
    <t>Louis Berger Group Inc.</t>
  </si>
  <si>
    <t>IPP55</t>
  </si>
  <si>
    <t>07/30/2003</t>
  </si>
  <si>
    <t>TF050719-GEF2-PDFB:VIETNAM PREPARATION OF FOREST SECTOR DEVELOPMENT PROJECT;TF030374-CIDA GEF (GEN) CTF FY03 - EAST ASIA &amp; PACIFIC REGION</t>
  </si>
  <si>
    <t>Water Resources</t>
  </si>
  <si>
    <t>Environmental Economics &amp; Policies;Wetlands;Agricultural Research;Poverty Assessment;Forestry</t>
  </si>
  <si>
    <t>Forestry</t>
  </si>
  <si>
    <t>Vietnam - Forest Sector Development Project : indigenous peoples development plan</t>
  </si>
  <si>
    <t>VN-- Gef Forest Sector Development Proj -- P074414</t>
  </si>
  <si>
    <t>Ministry of Agriculture and Rural Development</t>
  </si>
  <si>
    <t>IPP61</t>
  </si>
  <si>
    <t>2 of 3</t>
  </si>
  <si>
    <t>Transport;Macroeconomics and Economic Growth;Health, Nutrition and Population;Poverty Reduction;Education</t>
  </si>
  <si>
    <t>Regional Economic Development;Transport Economics Policy &amp; Planning;Rural Poverty Reduction;Education For All;Population Policies</t>
  </si>
  <si>
    <t>08/29/2003</t>
  </si>
  <si>
    <t>2 of 2</t>
  </si>
  <si>
    <t>TF050252-WORLD COMMISSION ON DAMS - ACTION PLAN;TF050933-BNWPP-DAMS PLANNING AND MANAGEMENT;TF026252-PHRD-VIETNAM: NATIONAL WATER RESOURCES MANAGEMENT PROJECT;TF030356-AUSTRALIA CTF FY03 - MEKONG BASIN (CAMBODIA, LAOS, THAILAND AND VIETNAM;TF036528-MENA REGION - IRRIGATION IMPROVEMENT;TF040047-VIETNAM-NATIONAL WATER RESOURCES MANAGEMENT PROJECT;TF038737-VIETNAM - PREPARATION OF WATER RESOURCES ASSISTANCE PROJECT;TF030314-DANISH CTF GENERAL FY03 - (ALL EXCEPT SUB-SAHARAN AFRICA);TF040143-VIETNAM: EVALUATION OF IRRIGATION SCHEMES;TF040234-VIETNAM - NATIONAL WATER RESOURCES MANAGEMENT PROJECT -CENTRAL COAST BA</t>
  </si>
  <si>
    <t>Finance and Financial Sector Development</t>
  </si>
  <si>
    <t>Environmental Economics &amp; Policies;Drylands &amp; Desertification;Banks &amp; Banking Reform;Municipal Financial Management;Urban Housing</t>
  </si>
  <si>
    <t>Central government administration;General water, sanitation and flood protection sector;Irrigation and drainage</t>
  </si>
  <si>
    <t>Viet Nam - Water Resources Assistance Project</t>
  </si>
  <si>
    <t>VN-Vietnam Water Resources Assistance -- P065898</t>
  </si>
  <si>
    <t>Public Administration, Law, and Justice;Agriculture, fishing, and forestry;Water, sanitation and flood protection</t>
  </si>
  <si>
    <t>Nippon Koei / Haskoning; Government of Viet Nam;</t>
  </si>
  <si>
    <t>IPP59</t>
  </si>
  <si>
    <t>08/30/2003</t>
  </si>
  <si>
    <t>1 of 2</t>
  </si>
  <si>
    <t>Demographics;Banks &amp; Banking Reform;Municipal Financial Management;Gender and Education;Agricultural Knowledge &amp; Information Systems</t>
  </si>
  <si>
    <t>4 of 13</t>
  </si>
  <si>
    <t>Energy &amp; Mining Sector Unit (EASEG)</t>
  </si>
  <si>
    <t>TF051555-PHRD-VIETNAM: RURAL ENERGY PROJECT II</t>
  </si>
  <si>
    <t>Environment;Urban Development;Finance and Financial Sector Development</t>
  </si>
  <si>
    <t>Climate Change and Environment;Environmental Economics &amp; Policies;Banks &amp; Banking Reform;Municipal Financial Management;Urban Housing</t>
  </si>
  <si>
    <t>Power</t>
  </si>
  <si>
    <t>Vietnam - Second Rural Energy Project : indigenous peoples development plan</t>
  </si>
  <si>
    <t>VN-Second Rural Energy Project -- P074688</t>
  </si>
  <si>
    <t>Energy and mining</t>
  </si>
  <si>
    <t>Power Design Center (PDC); Power Construction Consulting Center 1 (PCCC1); Power Engineering &amp; Consulting Enterprise</t>
  </si>
  <si>
    <t>IPP87</t>
  </si>
  <si>
    <t>13 of 13</t>
  </si>
  <si>
    <t>Social Protections and Labor;Health, Nutrition and Population;Finance and Financial Sector Development;Education;Communities and Human Settlements</t>
  </si>
  <si>
    <t>Access to Finance;Housing &amp; Human Habitats;Education For All;Population Policies;Disability</t>
  </si>
  <si>
    <t>3 of 13</t>
  </si>
  <si>
    <t>Environment;Agriculture;Urban Development;Poverty Reduction;Finance and Financial Sector Development</t>
  </si>
  <si>
    <t>Environmental Economics &amp; Policies;Banks &amp; Banking Reform;Poverty Assessment;Municipal Financial Management;Agricultural Knowledge &amp; Information Systems</t>
  </si>
  <si>
    <t>2 of 13</t>
  </si>
  <si>
    <t>Agriculture;Urban Development;Health, Nutrition and Population;Poverty Reduction;Finance and Financial Sector Development</t>
  </si>
  <si>
    <t>Demographics;Banks &amp; Banking Reform;Poverty Assessment;Municipal Financial Management;Agricultural Knowledge &amp; Information Systems</t>
  </si>
  <si>
    <t>1 of 13</t>
  </si>
  <si>
    <t>3 of 3</t>
  </si>
  <si>
    <t>Transport;Culture and Development;Health, Nutrition and Population;Education;Communities and Human Settlements</t>
  </si>
  <si>
    <t>Cultural Policy;Transport Economics Policy &amp; Planning;Housing &amp; Human Habitats;Education For All;Population Policies</t>
  </si>
  <si>
    <t>TF026108-PHRD-SYSTEM AND ENERGY EFFICIENCY IMPROVEMENT PROJECT</t>
  </si>
  <si>
    <t>Central government administration;Renewable energy;Power</t>
  </si>
  <si>
    <t>Vietnam - System Efficiency Improvement, Equitization Renewables Project : Ethnic Minority Development Plan</t>
  </si>
  <si>
    <t>VN-System Efficiency Improvement, Equitization &amp; Renewables Project -- P066396</t>
  </si>
  <si>
    <t>Energy and mining;Public Administration, Law, and Justice</t>
  </si>
  <si>
    <t>Power Engineering and Consulting Center (PC2)</t>
  </si>
  <si>
    <t>IPP137</t>
  </si>
  <si>
    <t>TF052924-PHRD-VIETNAM: HIV/AIDS PREVENTION PROJECT</t>
  </si>
  <si>
    <t>Gender;Information and Communication Technologies;Health, Nutrition and Population;Rural Development;Education</t>
  </si>
  <si>
    <t>Health Monitoring &amp; Evaluation;Gender and Education;Educational Sciences;ICT Policy and Strategies;Rural Education</t>
  </si>
  <si>
    <t>Health;Other social services</t>
  </si>
  <si>
    <t>Vietnam - HIV/AIDS Prevention Project : ethnic minority policy framework</t>
  </si>
  <si>
    <t>VN-Hiv/Aids Prevention -- P082604</t>
  </si>
  <si>
    <t>Health and other social services</t>
  </si>
  <si>
    <t>Ministry of Health</t>
  </si>
  <si>
    <t>IPP99</t>
  </si>
  <si>
    <t>Urban Development Sector Unit (EASUR)</t>
  </si>
  <si>
    <t>TF051881-PHRD-VIETNAM: RURAL WATER SUPPLY AND SANITATION;TF030314-DANISH CTF GENERAL FY03 - (ALL EXCEPT SUB-SAHARAN AFRICA)</t>
  </si>
  <si>
    <t>Town Water Supply and Sanitation;Water and Industry;Poverty Assessment;Water Supply and Sanitation Governance and Institutions;Health Economics &amp; Finance</t>
  </si>
  <si>
    <t>Health;Water supply;Sanitation</t>
  </si>
  <si>
    <t>Vietnam - Red River Delta Rural Water Supply and Sanitation Project : strategy and guidelines for ethnic minority development plan</t>
  </si>
  <si>
    <t>VN-Red River Delta Rural Water Supply And Sanitation Project -- P077287</t>
  </si>
  <si>
    <t>Health and other social services;Water, sanitation and flood protection</t>
  </si>
  <si>
    <t>IPP102</t>
  </si>
  <si>
    <t>Vietnam Sustainable Development (EASVS)</t>
  </si>
  <si>
    <t>TF051881-PHRD-VIETNAM: RURAL WATER SUPPLY AND SANITATION;TF030633-DANISH CTF - FY05 (SECTOR - EDUCATION/WSF/L,J, PUBLIC ADMIN/ENV &amp; NATUR;TF030314-DANISH CTF GENERAL FY03 - (ALL EXCEPT SUB-SAHARAN AFRICA)</t>
  </si>
  <si>
    <t>Other human development;Rural services and infrastructure;Administrative and civil service reform</t>
  </si>
  <si>
    <t>Health, Nutrition and Population;Water Supply and Sanitation;Education;Communities and Human Settlements</t>
  </si>
  <si>
    <t>Town Water Supply and Sanitation;Housing &amp; Human Habitats;Water Supply and Sanitation Governance and Institutions;Education For All;Population Policies</t>
  </si>
  <si>
    <t>Central government administration;Sub-national government administration;Water supply;Sanitation;Sewerage</t>
  </si>
  <si>
    <t>Vietnam - Red River Delta Rural Water Supply and Sanitation Project : indigenous peoples plan</t>
  </si>
  <si>
    <t>VN-Vietnam Red River Delta Rural Water Supply And Sanitation Project -- P113496</t>
  </si>
  <si>
    <t>Public Administration, Law, and Justice;Water, sanitation and flood protection</t>
  </si>
  <si>
    <t>IPP390</t>
  </si>
  <si>
    <t>9 of 13</t>
  </si>
  <si>
    <t>Energy</t>
  </si>
  <si>
    <t>Energy and Poverty Alleviation;Energy and Environment;Rural Energy;Energy Policies &amp; Economics;Energy and Economic Development</t>
  </si>
  <si>
    <t>8 of 13</t>
  </si>
  <si>
    <t>Electric Power;Energy Consumption;Rural Energy;Energy and Economic Development;Power &amp; Energy Conversion</t>
  </si>
  <si>
    <t>TF020484-BNPP-ENERGY : THE NETHERLANDS ALTERNATIVE ENERGY POLICY, ASIA ALTERNATI;TF034731-ASIA REGION - COASTAL ZONE MANAGEMENT;TFS50554-TRANSMISSION, DISTRIBUTION, &amp; DISASTER RECOVERY-DSM COMPONENT - US $-D-;TF034756-VIETNAM - TRANSMISSION &amp; DISTRIBUTION PROJECT;TF050554-TRANSMISSION, DISTRIBUTION, &amp; DISASTER RECOVERY-DSM COMPONENT - US $-DE;TF022228-TRANSMISSION, DISTRIBUTION, &amp; DISASTER RECOVERY-DSM COMPONENT. SEK-DENO;TF022865-ALTERNATIVE ENERGY POLICY &amp; PROJECT DEV.;TF023485-USDOE-ALTERNATIVE ENERGY ACTIVITIES;TF033487-ASIA - HYDROPOWER PROJECT DY;TFM22228-TRANSMISSION, DISTRIBUTION, &amp; DISASTER RECOVERY-DSM COMPONENT. SEK-DEN-;TFM50554-TRANSMISSION, DISTRIBUTION, &amp; DISASTER RECOVERY-DSM COMPONENT - US $-D-;TFS22228-TRANSMISSION, DISTRIBUTION, &amp; DISASTER RECOVERY-DSM COMPONENT. SEK-DEN-;TF029620-PHRD-TRANSMISSION &amp; DISTRIBUTION DEV.PROJ.</t>
  </si>
  <si>
    <t>Vietnam - Transmission and Distribution Development Project : indigenous peoples plan</t>
  </si>
  <si>
    <t>VN-Transmission, Distribution And Disaster -- P045628</t>
  </si>
  <si>
    <t>Power Engineering and Consulting Company No. 3</t>
  </si>
  <si>
    <t>IPP130</t>
  </si>
  <si>
    <t>TF030451-AUSTRALIA CTF FY04: EAP, AFRICA &amp; GLOBAL (WATER, SANITATION,&amp; FLOOD PRO;TF053466-JSDF SEED-VIETNAM: COMMUNITY-BASED DISASTER MANAGEMENT PILOT PROJECT;TF054753-JSDF-VIETNAM:INNOVATIVE APPROACHES TO COMMUNITY-BASED DISASTER RISK MAN;TF054754-JSDF-VIETNAM:INNOVATIVE APPROACHES TO COMMUNITY-BASED DISASTER RISK MAN;TF030599-AUSTRALIA CTF FY05: EAP, AFRICA &amp; GLOBAL (WATER, SANITATION,&amp; FLOOD PRO;TF026834-PHRD-VIETNAM: NATURAL DISASTERS MITIGATION PROJECT;TF051920-JSDF SEED-VIETNAM: COMMUNITY BASED DISASTER MANAGEMENT PROJECT</t>
  </si>
  <si>
    <t>Demographics;Poverty Assessment;Health Monitoring &amp; Evaluation;Gender and Education;Rural Education</t>
  </si>
  <si>
    <t>General water, sanitation and flood protection sector</t>
  </si>
  <si>
    <t>Vietnam - Natural Disaster Mitigation Project : indigenous peoples plan</t>
  </si>
  <si>
    <t>VN-Natural Disaster Risk Management Project -- P073361</t>
  </si>
  <si>
    <t>Water, sanitation and flood protection</t>
  </si>
  <si>
    <t>Ministry of Agriculture and Rural Development, Vietnam</t>
  </si>
  <si>
    <t>IPP118</t>
  </si>
  <si>
    <t>1 of 6</t>
  </si>
  <si>
    <t>TF053146-PHRD-VIETNAM: SECOND TRANSMISSION AND DISTRIBUTION PROJECT</t>
  </si>
  <si>
    <t>Vietnam - Second Transmission and Distribution Project</t>
  </si>
  <si>
    <t>VN-Second Transmission And Distribution Project -- P084871</t>
  </si>
  <si>
    <t>IPP136</t>
  </si>
  <si>
    <t>7 of 13</t>
  </si>
  <si>
    <t>Energy;Rural Development</t>
  </si>
  <si>
    <t>Electric Power;Rural Energy;Energy Sector Regulation;Energy Technology &amp; Transmission;Rural and Renewable Energy</t>
  </si>
  <si>
    <t>6 of 13</t>
  </si>
  <si>
    <t>Electric Power;Energy Consumption;Rural Energy;Energy Sector Regulation;Energy Technology &amp; Transmission</t>
  </si>
  <si>
    <t>5 of 13</t>
  </si>
  <si>
    <t>Poverty Reduction;Energy;Rural Development</t>
  </si>
  <si>
    <t>Rural Poverty Reduction;Rural Communications;Rural Energy;Rural and Renewable Energy;Power &amp; Energy Conversion</t>
  </si>
  <si>
    <t>Roads and highways</t>
  </si>
  <si>
    <t>Vietnam - Third Rural Transport Project : policy framework for ethnic minority development</t>
  </si>
  <si>
    <t>VN-Third Rural Transport Project -- P075407</t>
  </si>
  <si>
    <t>Transportation</t>
  </si>
  <si>
    <t>Roughton International</t>
  </si>
  <si>
    <t>IPP134</t>
  </si>
  <si>
    <t>TF020484-BNPP-ENERGY : THE NETHERLANDS ALTERNATIVE ENERGY POLICY, ASIA ALTERNATI;TF026489-PHRD-VIETNAM: RURAL ENERGY PROJECT;TF025428-PHRD-RURAL ENERGY PROJECT;TF039095-VIETNAM - RURAL ENERGY - SETTING UP MICRO HYDRO MANUFACTURING;TF021847-FINNISH SUPPORT OF THE ASIA ALTERNATIVE ENERGY PROGRAM (ASTAE)</t>
  </si>
  <si>
    <t>Vietnam - Rural Energy Project : ethnic minority development plan</t>
  </si>
  <si>
    <t>VN-Rural Energy -- P056452</t>
  </si>
  <si>
    <t>Power Design Center (PC3)</t>
  </si>
  <si>
    <t>IPP139</t>
  </si>
  <si>
    <t>Transport;Urban Development;Rural Development</t>
  </si>
  <si>
    <t>Rural Roads &amp; Transport;Regional Rural Development;Municipal Housing and Land;Roads &amp; Highways;Municipal Financial Management</t>
  </si>
  <si>
    <t>11 of 13</t>
  </si>
  <si>
    <t>Culture and Development;Poverty Reduction;Energy;Social Development;Communities and Human Settlements</t>
  </si>
  <si>
    <t>Electric Power;Indigenous Communities;Indigenous Peoples;Poverty Assessment;Rural Energy;Poverty and Social Impact Analysis</t>
  </si>
  <si>
    <t>TF052109-PHRD-VIETNAM: MEKONG HEALTH SUPPORT PROJECT</t>
  </si>
  <si>
    <t>Culture and Development;Health, Nutrition and Population;Poverty Reduction;Rural Development</t>
  </si>
  <si>
    <t>Cultural Policy;Poverty Reduction Strategies;Rural Poverty Reduction;Health Monitoring &amp; Evaluation;Services &amp; Transfers to Poor</t>
  </si>
  <si>
    <t>Health;Non-compulsory health finance</t>
  </si>
  <si>
    <t>Vietnam - Mekong Health Support Project : indigenous peoples plan</t>
  </si>
  <si>
    <t>VN-Mekong Regional Health Support Project -- P079663</t>
  </si>
  <si>
    <t>Health and other social services;Finance</t>
  </si>
  <si>
    <t>IPP135</t>
  </si>
  <si>
    <t>2 of 6</t>
  </si>
  <si>
    <t>Culture and Development;Health, Nutrition and Population;Communities and Human Settlements</t>
  </si>
  <si>
    <t>Indigenous Communities;Indigenous Peoples;Population &amp; Development;Cultural Heritage &amp; Preservation</t>
  </si>
  <si>
    <t>TF053120-PHRD-VIETNAM: MEKONG TRANSPORT INFRASTRUCTURE DEVELOPMENT PROJECT</t>
  </si>
  <si>
    <t>Transport;Health, Nutrition and Population;Social Development;Rural Development;Finance and Financial Sector Development</t>
  </si>
  <si>
    <t>Rural Roads &amp; Transport;Transport Economics Policy &amp; Planning;Banks &amp; Banking Reform;Population Policies;Social Accountability</t>
  </si>
  <si>
    <t>Roads and highways;General transportation sector;Ports, waterways and shipping</t>
  </si>
  <si>
    <t>Vietnam - Mekong Transport Infrastructure Development Project : indigenous peoples development plan</t>
  </si>
  <si>
    <t>VN-Mekong Delta Transport Infrastructure Development Project -- P083588</t>
  </si>
  <si>
    <t>Royal Haskoning;The Louis Berger Group</t>
  </si>
  <si>
    <t>IPP182</t>
  </si>
  <si>
    <t>12 of 13</t>
  </si>
  <si>
    <t>Poverty Reduction;Energy;Social Development;Communities and Human Settlements</t>
  </si>
  <si>
    <t>Electric Power;Indigenous Communities;Poverty Assessment;Rural Energy;Poverty and Social Impact Analysis</t>
  </si>
  <si>
    <t>10 of 13</t>
  </si>
  <si>
    <t>Energy and Poverty Alleviation;Energy and Environment;Energy Policies &amp; Economics;Rural Energy;Energy and Economic Development;Rural Development Knowledge &amp; Information Systems</t>
  </si>
  <si>
    <t>General finance sector</t>
  </si>
  <si>
    <t>Vietnam - HIFU Development Project : indigenous peoples plan</t>
  </si>
  <si>
    <t>VN-Ho Chi Minh City Investment Fund For Urban Development Project -- P104848</t>
  </si>
  <si>
    <t>Finance</t>
  </si>
  <si>
    <t>IPP211</t>
  </si>
  <si>
    <t>02/18/2007</t>
  </si>
  <si>
    <t>Transport;Culture and Development;Health, Nutrition and Population;Finance and Financial Sector Development;Education</t>
  </si>
  <si>
    <t>Cultural Policy;Transport Economics Policy &amp; Planning;Banks &amp; Banking Reform;Education For All;Population Policies</t>
  </si>
  <si>
    <t>03/15/2007</t>
  </si>
  <si>
    <t>TF020484-BNPP-ENERGY : THE NETHERLANDS ALTERNATIVE ENERGY POLICY, ASIA ALTERNATI;TF051229-GEF2 FSP - VIETNAM : SYSTEM EFFICIENCY IMPROVEMENT, EQUITIZATION AND RE;TF028286-GEF2 PDF B - VIETNAM : PREPARATION OF SYSTEM EFFICIENCY IMPROVEMENT, EQ</t>
  </si>
  <si>
    <t>Culture and Development;Energy;Communities and Human Settlements</t>
  </si>
  <si>
    <t>Electric Power;Ethics &amp; Belief Systems;Indigenous Communities;Indigenous Peoples;Hydro Power</t>
  </si>
  <si>
    <t>Central government administration;Renewable energy</t>
  </si>
  <si>
    <t>Vietnam - System Efficiency Improvement, Equitization, and Renewables Project (SEIERP), additional financing : report on ethnic minority development plan</t>
  </si>
  <si>
    <t>VN-System Efficiency Improvement, Equitization &amp; Renewables Project ( -- P073778</t>
  </si>
  <si>
    <t>ENTEC Consulting and Engineering for the Government of Vietnam</t>
  </si>
  <si>
    <t>IPP236</t>
  </si>
  <si>
    <t>7 of 12</t>
  </si>
  <si>
    <t>Culture and Development;Energy;Social Development;Communities and Human Settlements</t>
  </si>
  <si>
    <t>Electric Power;Indigenous Communities;Land Use and Policies;Indigenous Peoples;Social Assessment</t>
  </si>
  <si>
    <t>Vietnam - Rural Distribution Project : indigenous peoples plan</t>
  </si>
  <si>
    <t>VN-Rural Distribution Project -- P099211</t>
  </si>
  <si>
    <t>Electricity of Vietnam, Power Company No. 1;Electricity of Vietnam, Power Company No. 3</t>
  </si>
  <si>
    <t>IPP254</t>
  </si>
  <si>
    <t>3 of 6</t>
  </si>
  <si>
    <t>08/28/2007</t>
  </si>
  <si>
    <t>8 of 12</t>
  </si>
  <si>
    <t>Energy;Social Development;Communities and Human Settlements</t>
  </si>
  <si>
    <t>Electric Power;Indigenous Communities;Energy and Economic Development;Community Driven Development;Social Assessment</t>
  </si>
  <si>
    <t>6 of 12</t>
  </si>
  <si>
    <t>Energy;Poverty Reduction;Social Development;Communities and Human Settlements</t>
  </si>
  <si>
    <t>Indigenous Communities;Land Use and Policies;Rural Energy;Inequality;Social Assessment</t>
  </si>
  <si>
    <t>5 of 12</t>
  </si>
  <si>
    <t>Energy;Health, Nutrition and Population;Social Development;Communities and Human Settlements</t>
  </si>
  <si>
    <t>Electric Power;Indigenous Communities;Land Use and Policies;Population &amp; Development;Social Assessment</t>
  </si>
  <si>
    <t>3 of 12</t>
  </si>
  <si>
    <t>2 of 12</t>
  </si>
  <si>
    <t>Energy;Rural Development;Communities and Human Settlements</t>
  </si>
  <si>
    <t>Rural Development Strategy &amp; Policy;Electric Power;Indigenous Communities;Land Use and Policies;Rural Communities</t>
  </si>
  <si>
    <t>1 of 12</t>
  </si>
  <si>
    <t>11 of 12</t>
  </si>
  <si>
    <t>Culture and Development;Health, Nutrition and Population;Finance and Financial Sector Development;Communities and Human Settlements</t>
  </si>
  <si>
    <t>Access to Finance;Housing &amp; Human Habitats;;Population Policies;Anthropology</t>
  </si>
  <si>
    <t>4 of 12</t>
  </si>
  <si>
    <t>Energy;Social Development;Rural Development;Communities and Human Settlements</t>
  </si>
  <si>
    <t>Rural Development Strategy &amp; Policy;Indigenous Communities;Land Use and Policies;Energy and Environment;Social Assessment</t>
  </si>
  <si>
    <t>Trnsprt, Energy &amp; Mining Sector (EASTE);Financial &amp; Private Sector Unit (EASFP)</t>
  </si>
  <si>
    <t>TF055396-PHRD-VIETNAM: MULTI-SECTORAL HA LONG CORRIDOR PROJECT (NORTHERN DELTA I</t>
  </si>
  <si>
    <t>Regional integration;Infrastructure services for private sector development;Trade facilitation and market access</t>
  </si>
  <si>
    <t>Environment;Transport;Water Resources</t>
  </si>
  <si>
    <t>Wetlands;Environmental Economics &amp; Policies;Transport Economics Policy &amp; Planning;Roads &amp; Highways;River Basin Management</t>
  </si>
  <si>
    <t>Vietnam - Northern Delta Transport Development Project : indigenous peoples plan</t>
  </si>
  <si>
    <t>VN-Northern Delta Transport Development Project -- P095129</t>
  </si>
  <si>
    <t>IPP260</t>
  </si>
  <si>
    <t>12/31/2007</t>
  </si>
  <si>
    <t>Vietnamese</t>
  </si>
  <si>
    <t>Transport;Health, Nutrition and Population;Finance and Financial Sector Development;Education;Communities and Human Settlements</t>
  </si>
  <si>
    <t>Access to Finance;Transport Economics Policy &amp; Planning;Housing &amp; Human Habitats;Education For All;Population Policies</t>
  </si>
  <si>
    <t>TF055143-PHRD-VIETNAM: AGRICULTURAL DIVERSIFICATION PROJECT 2</t>
  </si>
  <si>
    <t>Small and medium enterprise support;Rural services and infrastructure;Infrastructure services for private sector development;Trade facilitation and market access</t>
  </si>
  <si>
    <t>Health, Nutrition and Population;Social Development;Finance and Financial Sector Development;Education;Communities and Human Settlements</t>
  </si>
  <si>
    <t>Access to Finance;Housing &amp; Human Habitats;Education For All;Population Policies;Social Cohesion</t>
  </si>
  <si>
    <t>General agriculture, fishing and forestry sector;General public administration sector;General transportation sector</t>
  </si>
  <si>
    <t>Vietnam - Agriculture Competitiveness Project : policy framework for ethnic minority development</t>
  </si>
  <si>
    <t>VN-- Agriculture Competitiveness Project -- P108885</t>
  </si>
  <si>
    <t>Public Administration, Law, and Justice;Agriculture, fishing, and forestry;Transportation</t>
  </si>
  <si>
    <t>IPP258</t>
  </si>
  <si>
    <t>Transport Economics Policy &amp; Planning;Access to Finance;Housing &amp; Human Habitats;Education For All;Population Policies</t>
  </si>
  <si>
    <t>02/22/2008</t>
  </si>
  <si>
    <t>10 of 12</t>
  </si>
  <si>
    <t>Urban Development;Health, Nutrition and Population;Finance and Financial Sector Development;Communities and Human Settlements</t>
  </si>
  <si>
    <t>Access to Finance;Housing &amp; Human Habitats;;Population Policies;Urban Housing</t>
  </si>
  <si>
    <t>6 of 9</t>
  </si>
  <si>
    <t>TF057088-BNPP-ENERGY: ASIA SUSTAINABLE AND ALTERNATIVE ENERGY PROGRAM II (ASTAE</t>
  </si>
  <si>
    <t>Infrastructure services for private sector development;Climate change</t>
  </si>
  <si>
    <t>Social Protections and Labor;Health, Nutrition and Population;Social Development;Finance and Financial Sector Development;Communities and Human Settlements</t>
  </si>
  <si>
    <t>Access to Finance;Housing &amp; Human Habitats;Population Policies;Social Cohesion;Disability</t>
  </si>
  <si>
    <t>Renewable energy</t>
  </si>
  <si>
    <t>Vietnam - Renewable Energy Development Project : indigenous peoples plan</t>
  </si>
  <si>
    <t>VN-Vietnam Renewable Energy Development Project -- P103238</t>
  </si>
  <si>
    <t>Sung Vui small Hydro Power Project Management Board;Long Hung Joint Stock Company;Can Ho Small Hydro Power Project Management Board;Subproject Management Board of Nam Tang small hydropower;Song Da - Tay Nguyen Hydropower Joint Stock Company</t>
  </si>
  <si>
    <t>IPP329</t>
  </si>
  <si>
    <t>9 of 12</t>
  </si>
  <si>
    <t>Access to Finance;Housing &amp; Human Habitats;Race in Society;Education For All;Population Policies</t>
  </si>
  <si>
    <t>3 of 9</t>
  </si>
  <si>
    <t>Transport;Health, Nutrition and Population;Poverty Reduction;Finance and Financial Sector Development;Communities and Human Settlements</t>
  </si>
  <si>
    <t>Access to Finance;Transport Economics Policy &amp; Planning;Rural Poverty Reduction;Housing &amp; Human Habitats;Population Policies</t>
  </si>
  <si>
    <t>2 of 9</t>
  </si>
  <si>
    <t>Access to Finance;Housing &amp; Human Habitats;Population Policies;Disability;Social Cohesion</t>
  </si>
  <si>
    <t>1 of 9</t>
  </si>
  <si>
    <t>Transport;Health, Nutrition and Population;Social Development;Finance and Financial Sector Development;Communities and Human Settlements</t>
  </si>
  <si>
    <t>Access to Finance;Transport Economics Policy &amp; Planning;Housing &amp; Human Habitats;Population Policies;Social Cohesion</t>
  </si>
  <si>
    <t>5 of 9</t>
  </si>
  <si>
    <t>Transport Economics Policy &amp; Planning;Access to Finance;Housing &amp; Human Habitats;Population Policies;Social Cohesion</t>
  </si>
  <si>
    <t>4 of 9</t>
  </si>
  <si>
    <t>Environment;Transport;Health, Nutrition and Population;Finance and Financial Sector Development;Communities and Human Settlements</t>
  </si>
  <si>
    <t>Environmental Economics &amp; Policies;Access to Finance;Transport Economics Policy &amp; Planning;Housing &amp; Human Habitats;Population Policies</t>
  </si>
  <si>
    <t>Rural services and infrastructure</t>
  </si>
  <si>
    <t>Environment;Culture and Development;Health, Nutrition and Population;Finance and Financial Sector Development;Communities and Human Settlements</t>
  </si>
  <si>
    <t>Cultural Policy;Climate Change and Environment;Access to Finance;Housing &amp; Human Habitats;Population Policies</t>
  </si>
  <si>
    <t>Vietnam - Additional financing for Second Rural Energy Project : indigenous peoples plan</t>
  </si>
  <si>
    <t>VN-Rural Energy Ii-Additional Financing -- P113495</t>
  </si>
  <si>
    <t>IPP340</t>
  </si>
  <si>
    <t>12 of 12</t>
  </si>
  <si>
    <t>Culture and Development;Health, Nutrition and Population;Rural Development;Finance and Financial Sector Development;Communities and Human Settlements</t>
  </si>
  <si>
    <t>Cultural Policy;Access to Finance;Housing &amp; Human Habitats;Population Policies;Rural Development Knowledge &amp; Information Systems</t>
  </si>
  <si>
    <t>11/17/2008</t>
  </si>
  <si>
    <t>3 of 4</t>
  </si>
  <si>
    <t>Health, Nutrition and Population;Energy;Finance and Financial Sector Development;Education;Communities and Human Settlements</t>
  </si>
  <si>
    <t>Energy Production and Transportation;Housing &amp; Human Habitats;Banks &amp; Banking Reform;Education For All;Population Policies</t>
  </si>
  <si>
    <t>IPP387</t>
  </si>
  <si>
    <t>2 of 4</t>
  </si>
  <si>
    <t>Agriculture;Culture and Development;Health, Nutrition and Population;Finance and Financial Sector Development;Communities and Human Settlements</t>
  </si>
  <si>
    <t>Cultural Policy;Access to Finance;Housing &amp; Human Habitats;Population Policies;Agricultural Knowledge &amp; Information Systems</t>
  </si>
  <si>
    <t>TF092018-PHRD STAFF GRANT PROGRAM - MASAHIRO MATSUMOTO - 2;TF058270-PHRD STAFF GRANT PROGRAM - MASAHIRO MATSUMOTO;TF090311-PHRD VIETNAM: VIETNAM SCHOOL EDUCATION QUALITY ASSURANCE</t>
  </si>
  <si>
    <t>Education for all</t>
  </si>
  <si>
    <t>Primary Education;Teaching and Learning;Tertiary Education;Secondary Education;Education For All</t>
  </si>
  <si>
    <t>Vietnam - School Education Quality Assurance Project : indigenous peoples plan</t>
  </si>
  <si>
    <t>VN-School Education Quality Assurance -- P091747</t>
  </si>
  <si>
    <t>IPP336</t>
  </si>
  <si>
    <t>Gender;Social Protections and Labor;Health, Nutrition and Population;Finance and Financial Sector Development;Education</t>
  </si>
  <si>
    <t>Access to Finance;Education For All;Population Policies;Disability;Gender and Education</t>
  </si>
  <si>
    <t>6 of 6</t>
  </si>
  <si>
    <t>Cultural Policy;Access to Finance;Housing &amp; Human Habitats;Banks &amp; Banking Reform;Population Policies</t>
  </si>
  <si>
    <t>5 of 6</t>
  </si>
  <si>
    <t>Health, Nutrition and Population;Rural Development;Finance and Financial Sector Development;Communities and Human Settlements</t>
  </si>
  <si>
    <t>Access to Finance;Housing &amp; Human Habitats;Banks &amp; Banking Reform;Population Policies;Rural Development Knowledge &amp; Information Systems</t>
  </si>
  <si>
    <t>4 of 6</t>
  </si>
  <si>
    <t>Gender;Education</t>
  </si>
  <si>
    <t>Primary Education;Access &amp; Equity in Basic Education;Tertiary Education;Education For All;Gender and Education</t>
  </si>
  <si>
    <t>TF030622-IDA CONSULTANTS POOLED CTF - FY05;TF030767-IDA CONSULTANTS POOLED CTF - FY06;TF055395-PHRD-VIETNAM: LIVESTOCK COMPETITIVENESS AND FOOD SAFETY PROJECT</t>
  </si>
  <si>
    <t>Rural policies and institutions;Other rural development;Rural services and infrastructure</t>
  </si>
  <si>
    <t>Agriculture;Health, Nutrition and Population;Poverty Reduction;Finance and Financial Sector Development;Communities and Human Settlements</t>
  </si>
  <si>
    <t>Access to Finance;Rural Poverty Reduction;Livestock &amp; Animal Husbandry;Housing &amp; Human Habitats;Population Policies</t>
  </si>
  <si>
    <t>Health;Animal production;Agricultural extension and research</t>
  </si>
  <si>
    <t>Vietnam - Livestock Competitiveness and Food Safety Project : indigenous peoples plan</t>
  </si>
  <si>
    <t>VN-Vietnam Livestock Competitiveness And Food Safety -- P090723</t>
  </si>
  <si>
    <t>Agriculture, fishing, and forestry;Health and other social services</t>
  </si>
  <si>
    <t>IPP354</t>
  </si>
  <si>
    <t>Social Protections and Labor;Health, Nutrition and Population;Education;Finance and Financial Sector Development;Communities and Human Settlements</t>
  </si>
  <si>
    <t>Agriculture;Culture and Development;Rural Development;Finance and Financial Sector Development;Communities and Human Settlements</t>
  </si>
  <si>
    <t>Cultural Policy;Access to Finance;Housing &amp; Human Habitats;Rural Development Knowledge &amp; Information Systems;Agricultural Knowledge &amp; Information Systems</t>
  </si>
  <si>
    <t>03/17/2009</t>
  </si>
  <si>
    <t>4 of 4</t>
  </si>
  <si>
    <t>Agriculture;Macroeconomics and Economic Growth;Rural Development;Communities and Human Settlements</t>
  </si>
  <si>
    <t>Common Property Resource Development;Economic Theory &amp; Research;Housing &amp; Human Habitats;Rural Development Knowledge &amp; Information Systems;Agricultural Knowledge &amp; Information Systems</t>
  </si>
  <si>
    <t>1 of 4</t>
  </si>
  <si>
    <t>Cultural Policy;Housing &amp; Human Habitats;Banks &amp; Banking Reform;Population Policies;Agricultural Knowledge &amp; Information Systems</t>
  </si>
  <si>
    <t>HNP Sector Unit (EASHH)</t>
  </si>
  <si>
    <t>TF055394-PHRD-VIETNAM: REGIONAL HEALTH SUPPORT PROJECT;TF091558-VIETNAM- HRBF PROPOSAL PREPARATION</t>
  </si>
  <si>
    <t>Population and reproductive health;Health system performance</t>
  </si>
  <si>
    <t>Health, Nutrition and Population;Communities and Human Settlements</t>
  </si>
  <si>
    <t>Housing &amp; Human Habitats;Health Monitoring &amp; Evaluation;Health Systems Development &amp; Reform;Disease Control &amp; Prevention;Population Policies</t>
  </si>
  <si>
    <t>Vietnam - Central North Health Support Project : indigenous peoples plan</t>
  </si>
  <si>
    <t>VN-Central North Health Support Project -- P095275</t>
  </si>
  <si>
    <t>IPP380</t>
  </si>
  <si>
    <t>Health, Nutrition and Population;Finance and Financial Sector Development;Communities and Human Settlements</t>
  </si>
  <si>
    <t>Access to Finance;Housing &amp; Human Habitats;Health Monitoring &amp; Evaluation;Health Systems Development &amp; Reform;Population Policies</t>
  </si>
  <si>
    <t>Social Protections and Labor;Health, Nutrition and Population;Social Development;Education;Communities and Human Settlements</t>
  </si>
  <si>
    <t>Housing &amp; Human Habitats;Education For All;Population Policies;Disability;Social Cohesion</t>
  </si>
  <si>
    <t>TF090495-HYDROELECTRIC POWER PROJECT;TF090945-WBI-SPAIN: ENHANCING TRANSPARENCY AND ACCOUNTABILITY FOR INCLUSIVE GOVE</t>
  </si>
  <si>
    <t>Other rural development;Infrastructure services for private sector development</t>
  </si>
  <si>
    <t>Culture and Development;Urban Development;Health, Nutrition and Population;Energy;Communities and Human Settlements</t>
  </si>
  <si>
    <t>Housing &amp; Human Habitats;Health Monitoring &amp; Evaluation;Hydro Power;Urban Housing;Anthropology</t>
  </si>
  <si>
    <t>Vietnam - Trung Son Hydropower Project : indigenous peoples plan</t>
  </si>
  <si>
    <t>VN-Trung Son Hydropower Project -- P084773</t>
  </si>
  <si>
    <t>IPP396</t>
  </si>
  <si>
    <t>Infrastructure services for private sector development</t>
  </si>
  <si>
    <t>Macroeconomics and Economic Growth;Health, Nutrition and Population;Poverty Reduction;Education;Communities and Human Settlements</t>
  </si>
  <si>
    <t>Regional Economic Development;Rural Poverty Reduction;Housing &amp; Human Habitats;Education For All;Population Policies</t>
  </si>
  <si>
    <t>Vietnam - Additional Financing for the Second Transmission and Distribution Project : indigenous peoples plan</t>
  </si>
  <si>
    <t>VN-Second Transmission And Distribution Project Additional Financing -- P114875</t>
  </si>
  <si>
    <t>IPP411</t>
  </si>
  <si>
    <t>Gender;Social Protections and Labor;Social Development;Communities and Human Settlements</t>
  </si>
  <si>
    <t>Housing &amp; Human Habitats;Gender and Law;Community Development and Empowerment;Disability;Social Cohesion</t>
  </si>
  <si>
    <t>Social Protections and Labor;Health, Nutrition and Population;Education;Communities and Human Settlements</t>
  </si>
  <si>
    <t>Housing &amp; Human Habitats;Health Monitoring &amp; Evaluation;Education For All;Population Policies;Disability</t>
  </si>
  <si>
    <t>7 of 9</t>
  </si>
  <si>
    <t>Transport;Health, Nutrition and Population;Rural Development;Finance and Financial Sector Development;Communities and Human Settlements</t>
  </si>
  <si>
    <t>Access to Finance;Transport Economics Policy &amp; Planning;Housing &amp; Human Habitats;Population Policies;Rural Development Knowledge &amp; Information Systems</t>
  </si>
  <si>
    <t>9 of 9</t>
  </si>
  <si>
    <t>Health, Nutrition and Population;Energy;Communities and Human Settlements</t>
  </si>
  <si>
    <t>Energy Production and Transportation;Housing &amp; Human Habitats;Hydro Power;Population Policies;Renewable Energy</t>
  </si>
  <si>
    <t>8 of 9</t>
  </si>
  <si>
    <t>Culture and Development;Health, Nutrition and Population;Social Development;Education;Communities and Human Settlements</t>
  </si>
  <si>
    <t>Cultural Policy;Housing &amp; Human Habitats;Race in Society;Education For All;Population Policies</t>
  </si>
  <si>
    <t>Transport;Private Sector Development;Urban Development;Health, Nutrition and Population;Communities and Human Settlements</t>
  </si>
  <si>
    <t>Housing &amp; Human Habitats;Municipal Housing and Land;Roads &amp; Highways;Population Policies;Land and Real Estate Development</t>
  </si>
  <si>
    <t>AFT: Urban/Water Francophone (AFTU2)</t>
  </si>
  <si>
    <t>Access to urban services and housing</t>
  </si>
  <si>
    <t>Health, Nutrition and Population;Finance and Financial Sector Development;Education;Communities and Human Settlements</t>
  </si>
  <si>
    <t>Primary Education;Access to Finance;Housing &amp; Human Habitats;Population Policies</t>
  </si>
  <si>
    <t>District heating and energy efficiency services</t>
  </si>
  <si>
    <t>Mexico - Support to Oportunidades Project : indigenous peoples instrument</t>
  </si>
  <si>
    <t>Africa</t>
  </si>
  <si>
    <t>TG-Togo Efficient Lighting Program -- P115066</t>
  </si>
  <si>
    <t>IPP337</t>
  </si>
  <si>
    <t>Spanish</t>
  </si>
  <si>
    <t>Togo</t>
  </si>
  <si>
    <t>Climate change;Pollution management and environmental health</t>
  </si>
  <si>
    <t>Environment;Water Supply and Sanitation;Energy;Water Resources</t>
  </si>
  <si>
    <t>Energy Production and Transportation;Environmental Economics &amp; Policies;Water and Industry;Wastewater Treatment;Sanitation and Sewerage</t>
  </si>
  <si>
    <t>Renewable energy;Animal production</t>
  </si>
  <si>
    <t>Thailand - Small Scale Livestock Waste Management Program Project : indigenous peoples plan</t>
  </si>
  <si>
    <t>TH-Thailand Small Scale Livestock Waste Management Program -- P112092</t>
  </si>
  <si>
    <t>Energy and mining;Agriculture, fishing, and forestry</t>
  </si>
  <si>
    <t>IPP363</t>
  </si>
  <si>
    <t>Thailand</t>
  </si>
  <si>
    <t>Urban, Water+Sanitation, HRM (SASDU)</t>
  </si>
  <si>
    <t>Conflict prevention and post-conflict reconstruction</t>
  </si>
  <si>
    <t>Gender;Urban Development;Rural Development;Finance and Financial Sector Development;Communities and Human Settlements</t>
  </si>
  <si>
    <t>Access to Finance;Housing &amp; Human Habitats;Gender and Law;Rural Development Knowledge &amp; Information Systems;Urban Housing</t>
  </si>
  <si>
    <t>Housing construction</t>
  </si>
  <si>
    <t>Sri Lanka - North East Housing Reconstruction Program : social safeguard framework</t>
  </si>
  <si>
    <t>South Asia</t>
  </si>
  <si>
    <t>LK-Sri Lanka: Second North East Housing Reconstruction Program -- P110317</t>
  </si>
  <si>
    <t>Industry and trade</t>
  </si>
  <si>
    <t>IPP294</t>
  </si>
  <si>
    <t>Sri Lanka</t>
  </si>
  <si>
    <t>Transport (SASDT)</t>
  </si>
  <si>
    <t>Rural services and infrastructure;Infrastructure services for private sector development;Public expenditure, financial management and procurement</t>
  </si>
  <si>
    <t>Transport;Gender;Health, Nutrition and Population;Finance and Financial Sector Development;Communities and Human Settlements</t>
  </si>
  <si>
    <t>Transport Economics Policy &amp; Planning;Housing &amp; Human Habitats;Banks &amp; Banking Reform;Gender and Law;Population Policies</t>
  </si>
  <si>
    <t>Sri Lanka - Provincial Roads Project : indigenous peoples plan</t>
  </si>
  <si>
    <t>LK-Provincial Roads -- P107847</t>
  </si>
  <si>
    <t>IPP383</t>
  </si>
  <si>
    <t>Env., Water Resources &amp; Climate (SASDI)</t>
  </si>
  <si>
    <t>Environment;Rural Development;Communities and Human Settlements</t>
  </si>
  <si>
    <t>Wildlife Resources;Ecosystems and Natural Habitats;Housing &amp; Human Habitats;Biodiversity;Forestry</t>
  </si>
  <si>
    <t>Sri Lanka - Eco-Systems Conservation and Management Project : indigenous peoples framework</t>
  </si>
  <si>
    <t>LK-Eco-Systems Conservation And Management Project (Escamp) -- P112933</t>
  </si>
  <si>
    <t>IPP472</t>
  </si>
  <si>
    <t>Culture and Development;Social Development;Communities and Human Settlements</t>
  </si>
  <si>
    <t>Cultural Policy;Housing &amp; Human Habitats;Cultural Heritage &amp; Preservation;Community Development and Empowerment;Anthropology</t>
  </si>
  <si>
    <t>General agriculture, fishing and forestry sector;General public administration sector</t>
  </si>
  <si>
    <t>Bangladesh, Nepal - Strengthening Regional Enforcement for Wildlife Protection Project : indigenous peoples planning framework</t>
  </si>
  <si>
    <t>Strengthening Reg Cooperation for Wildlife Protection in Asia</t>
  </si>
  <si>
    <t>Public Administration, Law, and Justice;Agriculture, fishing, and forestry</t>
  </si>
  <si>
    <t>IPP473</t>
  </si>
  <si>
    <t>01/25/2011</t>
  </si>
  <si>
    <t>Energy (SASDE)</t>
  </si>
  <si>
    <t>Environment;Gender;Health, Nutrition and Population;Finance and Financial Sector Development;Communities and Human Settlements</t>
  </si>
  <si>
    <t>Environmental Economics &amp; Policies;Housing &amp; Human Habitats;Banks &amp; Banking Reform;Gender and Law;Population Policies</t>
  </si>
  <si>
    <t>Renewable energy;Power</t>
  </si>
  <si>
    <t>South Asia - Nepal-India Electricity Transmission and Trade Project</t>
  </si>
  <si>
    <t>8S-Nepal-India Electricity Transmission And Trade Project -- P115767</t>
  </si>
  <si>
    <t>IPP476</t>
  </si>
  <si>
    <t>TF026432-PHRD-PHILIPPINES: SECOND AGRARIAN REFORM COMMUNITIES DEVELOPMENT PROJEC;TF051601-JSDF-PHILIPPINES: COMMUNITY-MANAGED AGRARIAN REFORM AND POVERTY REDUCTI;TF038898-PHILIPPINES - PREPARATION OF THE SECOND AGRARIAN REFORM DEVELOPMENT PRO;TF026542-PHRD-PHILIPPINES: SECOND AGRARIAN REFORM COMMUNITIES DEV.(BANK-EXECUTED</t>
  </si>
  <si>
    <t>Education and Society;Banks &amp; Banking Reform;Health Economics &amp; Finance;Municipal Financial Management;ICT Policy and Strategies</t>
  </si>
  <si>
    <t>Water supply;Roads and highways;General public administration sector;Agricultural marketing and trade</t>
  </si>
  <si>
    <t>Philippines - Second Agrarian Reform Communities Project : indigenous peoples plan</t>
  </si>
  <si>
    <t>PH-Second Agrarian Reform Communities Development Project -- P071007</t>
  </si>
  <si>
    <t>Department of Agrarian Reform, Philippines</t>
  </si>
  <si>
    <t>IPP11</t>
  </si>
  <si>
    <t>02/28/2002</t>
  </si>
  <si>
    <t>Philippines</t>
  </si>
  <si>
    <t>Environmt &amp; Social Devl Sctr Dpt (EASES)</t>
  </si>
  <si>
    <t>TF030330-JAPAN CTF FY03 - GENERAL;TF050944-JSDF-PHILIPPINES: DEVELOPING COMMUNITY CAPACITIES FOR PRO-POOR BUDGETIN</t>
  </si>
  <si>
    <t>Civil Society;Education and Society;Community Development and Empowerment;Gender and Education;ICT Policy and Strategies</t>
  </si>
  <si>
    <t>Other social services</t>
  </si>
  <si>
    <t>Philippines - KALAHI-CIDSS Project : indigenous peoples plan</t>
  </si>
  <si>
    <t>PH-Kapitbisig Laban Sa Kahirapan-Comprehensive And Integrated Deliver -- P077012</t>
  </si>
  <si>
    <t>(Historic)Social Protection</t>
  </si>
  <si>
    <t>IPP19</t>
  </si>
  <si>
    <t>06/30/2002</t>
  </si>
  <si>
    <t>TF038713-PHILIPPINES: ARMM PEACE AND SOCIAL FUND;TF026887-PHRD-PHILIPPINES: SZOPAD SOCIAL FUND PROJECT (BANK-EXECUTED);TF026833-PHRD-PHILIPPINES: SZOPAD SOCIAL FUND II (RECIPIENT-EXECUTED)</t>
  </si>
  <si>
    <t>Education and Society;Banks &amp; Banking Reform;Municipal Financial Management;Community Development and Empowerment;ICT Policy and Strategies</t>
  </si>
  <si>
    <t>Philippines - ARMM Social Fund for Peace and Development Project : indigenous peoples plan</t>
  </si>
  <si>
    <t>PH-Armm Social Fund Project -- P073488</t>
  </si>
  <si>
    <t>IPP20</t>
  </si>
  <si>
    <t>07/31/2002</t>
  </si>
  <si>
    <t>TF038723-PHILIPPINES: RURAL POWER PROJECT;TF020484-BNPP-ENERGY : THE NETHERLANDS ALTERNATIVE ENERGY POLICY, ASIA ALTERNATI;TF026103-PHRD-RURAL ELECTRIFICATION PROJECT;TF026668-PHRD-PHILIPPINES: RURAL POWER PROJECT;TF040330-PHILIPPINES - PREPARATION OF THE RURAL ELECTRIFICATION PROJECT</t>
  </si>
  <si>
    <t>Environmental Economics &amp; Policies;Climate Change and Environment;Banks &amp; Banking Reform;Municipal Housing and Land;Municipal Financial Management</t>
  </si>
  <si>
    <t>Philippines - Rural Power Project : indigenous peoples plan - project policy framework</t>
  </si>
  <si>
    <t>PH-Rural Power Project -- P066397</t>
  </si>
  <si>
    <t>(Historic)Electric Power &amp; Other Energy</t>
  </si>
  <si>
    <t>IPP53</t>
  </si>
  <si>
    <t>07/31/2003</t>
  </si>
  <si>
    <t>TF050628-PHRD-PHILIPPINES: DIVERSIFIED FARM INCOME AND MARKET DEVELOPMENT (RECIP;TF051040-PHRD-PHILIPPINES: DIVERSIFIED FARM INCOME AND MARKET DEVELOPMENT (BANK</t>
  </si>
  <si>
    <t>Indigenous Peoples;Banks &amp; Banking Reform;Cultural Heritage &amp; Preservation;Municipal Financial Management;Culture in Sustainable Development</t>
  </si>
  <si>
    <t>Sub-national government administration;Agricultural marketing and trade</t>
  </si>
  <si>
    <t>Philippines - Diversified Farm Income and Market Development Project : indigenous peoples plan</t>
  </si>
  <si>
    <t>PH-Diversified Farm Income And Market Development Project -- P075184</t>
  </si>
  <si>
    <t>Public Administration, Law, and Justice;Industry and trade</t>
  </si>
  <si>
    <t>IPP74</t>
  </si>
  <si>
    <t>TF051880-PHRD-PHILIPPINES: SECOND WOMEN'S HEALTH AND SAFE MOTHERHOOD PROJECT</t>
  </si>
  <si>
    <t>Health, Nutrition and Population</t>
  </si>
  <si>
    <t>Housing &amp; Human Habitats;Health Monitoring &amp; Evaluation;Environmental Governance;Adolescent Health;Health Economics &amp; Finance</t>
  </si>
  <si>
    <t>Health</t>
  </si>
  <si>
    <t>Philippines - Second Women's Health and Safe Motherhood Project : indigenous peoples development plan (IPDP)</t>
  </si>
  <si>
    <t>PH-Second Women'S Health &amp; Safe Motherhood -- P079628</t>
  </si>
  <si>
    <t>Government</t>
  </si>
  <si>
    <t>IPP92</t>
  </si>
  <si>
    <t>09/27/2004</t>
  </si>
  <si>
    <t>Housing &amp; Human Habitats;Health Monitoring &amp; Evaluation;Adolescent Health;Community Development and Empowerment;Agricultural Knowledge &amp; Information Systems</t>
  </si>
  <si>
    <t>TF056027-NCDF - NASULO GEOTHERMAL POWER PROJECT</t>
  </si>
  <si>
    <t>Environment;Energy;Social Development;Communities and Human Settlements</t>
  </si>
  <si>
    <t>Montreal Protocol;Indigenous Communities;Land Use and Policies;Energy Conservation &amp; Efficiency;Social Inclusion &amp; Institutions</t>
  </si>
  <si>
    <t>Philippines - Nasulo Geothermal Power Project : indigenous peoples plan</t>
  </si>
  <si>
    <t>PH-20 Mw Palinpinon II Geothermal Optimization Project -- P089576</t>
  </si>
  <si>
    <t>IPP138</t>
  </si>
  <si>
    <t>06/30/2005</t>
  </si>
  <si>
    <t>Environment Sector Unit (EASEN)</t>
  </si>
  <si>
    <t>Culture and Development;Industry;Poverty Reduction;Water Resources</t>
  </si>
  <si>
    <t>Poverty Lines;River Basin Management;Language &amp; Communication;Mining &amp; Extractive Industry (Non-Energy);Anthropology</t>
  </si>
  <si>
    <t>General water, sanitation and flood protection sector;Forestry</t>
  </si>
  <si>
    <t>Philippines - Laguna de Bay Community Watershed Rehabilitation Project : Indigenous Peoples Plan</t>
  </si>
  <si>
    <t>PH-Laguna De Bay Community Watershed Rehab -- P094573</t>
  </si>
  <si>
    <t>Agriculture, fishing, and forestry;Water, sanitation and flood protection</t>
  </si>
  <si>
    <t>IPP155</t>
  </si>
  <si>
    <t>11/29/2005</t>
  </si>
  <si>
    <t>Environment;Private Sector Development;Rural Development</t>
  </si>
  <si>
    <t>Environmental Economics &amp; Policies;Business in Development;Environmental Governance;Biodiversity;Forestry</t>
  </si>
  <si>
    <t>Solid waste management;General water, sanitation and flood protection sector</t>
  </si>
  <si>
    <t>Philippines - Laguna de Bay Community Carbon Project : Indigenous Peoples Plan</t>
  </si>
  <si>
    <t>PH-Laguna De Bay Community Carbon Finance Project -- P088002</t>
  </si>
  <si>
    <t>IPP154</t>
  </si>
  <si>
    <t>TF026664-PHRD-PHILIPPINES: LAGUNA DE BAY ENVIRONMENT AND WATERSHED MANAGEMENT;TF030435-NETHERLANDS (MDC) CONSULTANT TRUST FUND - FY04 - IDA ELIGIBLE COUNTRIES</t>
  </si>
  <si>
    <t>Sub-national government administration</t>
  </si>
  <si>
    <t>Philippines - Laguna de Bay Institutional Strengthening and Community Participation Project : Indigenous peoples plan</t>
  </si>
  <si>
    <t>PH-Laguna De Bay Institutional Strengthening And Community Participat -- P070899</t>
  </si>
  <si>
    <t>(Historic)Environment</t>
  </si>
  <si>
    <t>IPP58</t>
  </si>
  <si>
    <t>TF030747-DANISH CTF - FY06 (THEME - DAC PART 1 COUNTRIES GNP PER CAPITA BELOW US;TF030699-DANISH CTF - FY05 (THEME - DAC PART 1 COUNTRIES GNP PER CAPITA BELOW US;TF030753-GERMAN CTF FY06 - ENVIRONMENT &amp; NATURAL RESOURCE MANAGEMENT</t>
  </si>
  <si>
    <t>Environment;Health, Nutrition and Population;Finance and Financial Sector Development;Communities and Human Settlements</t>
  </si>
  <si>
    <t>Environmental Economics &amp; Policies;Access to Finance;Housing &amp; Human Habitats;;Population Policies</t>
  </si>
  <si>
    <t>General agriculture, fishing and forestry sector;Mining and other extractive;General public administration sector</t>
  </si>
  <si>
    <t>Philippines - National Program for Environment and Natural Resources Project : indigenous peoples plan</t>
  </si>
  <si>
    <t>PH-National Program Support For Environment And Natural Resources Man -- P096174</t>
  </si>
  <si>
    <t>Energy and mining;Public Administration, Law, and Justice;Agriculture, fishing, and forestry</t>
  </si>
  <si>
    <t>IPP196</t>
  </si>
  <si>
    <t>TF050629-PHRD-PHILIPPINES: HEALTH SECTOR REFORM PROJECT;TF038667-PHILIPPINES: HEALTH SECTOR REFORM PROJECT</t>
  </si>
  <si>
    <t>Law and Development;Culture and Development;Health, Nutrition and Population</t>
  </si>
  <si>
    <t>Health Insurance;Indigenous Peoples;Indigenous Peoples Law;Health Monitoring &amp; Evaluation;Health Service Management and Delivery;Public Health Promotion</t>
  </si>
  <si>
    <t>Central government administration;Health;Non-compulsory health finance</t>
  </si>
  <si>
    <t>Philippines - National Program Support for Health Sector Reform Project : indigenous peoples planning framework</t>
  </si>
  <si>
    <t>PH-National Sector Support For Health Reform -- P075464</t>
  </si>
  <si>
    <t>Public Administration, Law, and Justice;Health and other social services;Finance</t>
  </si>
  <si>
    <t>IPP169</t>
  </si>
  <si>
    <t>03/28/2006</t>
  </si>
  <si>
    <t>TF053119-PHRD-PHILIPPINES: MINDANO RURAL DEVELOPMENT PROJECT - ADAPTABLE PROGRAM</t>
  </si>
  <si>
    <t>Cultural Policy;Civil Society;Cultural Heritage &amp; Preservation;Community Development and Empowerment;Anthropology</t>
  </si>
  <si>
    <t>General agriculture, fishing and forestry sector;Roads and highways;Sub-national government administration;Water supply</t>
  </si>
  <si>
    <t>Philippines - Second Mindanao Rural Development Project : Indigenous peoples plan</t>
  </si>
  <si>
    <t>PH-Mindanao Rural Development Project - Phase 2 -- P084967</t>
  </si>
  <si>
    <t>Public Administration, Law, and Justice;Agriculture, fishing, and forestry;Transportation;Water, sanitation and flood protection</t>
  </si>
  <si>
    <t>IPP184</t>
  </si>
  <si>
    <t>08/28/2006</t>
  </si>
  <si>
    <t>Culture and Development;Information and Communication Technologies;Health, Nutrition and Population;Poverty Reduction</t>
  </si>
  <si>
    <t>Cultural Policy;Poverty Monitoring &amp; Analysis;Population Policies;Cultural Heritage &amp; Preservation;ICT Policy and Strategies</t>
  </si>
  <si>
    <t>Lots of really good info.  This has the results of a number of surveys conducted on IP communities, concerning poverty, education, health, development, etc. I did not incorporate most of the survey data into the Wiki, however.</t>
  </si>
  <si>
    <t>reviewed</t>
  </si>
  <si>
    <t>TF030781-SPANISH CTF - FY06 (CHINA, PHILIPPINES, &amp; VIETNAM/ALL SECTORS &amp; THEMES);TF055142-PHRD-PHILIPPINES: PARTICIPATORY IRRIGATION DEVELOPMENT PROJECT;TF030429-SINGAPORE CTF FY04 - GENERAL;TF030796-JAPAN CTF - FY06 GENERAL: EAP (ALL COUNTRIES IN EAST ASIA AND PACIFIC/A</t>
  </si>
  <si>
    <t>Water resource management;Administrative and civil service reform</t>
  </si>
  <si>
    <t>Agriculture;Industry;Water Supply and Sanitation;Water Resources</t>
  </si>
  <si>
    <t>Agricultural Irrigation and Drainage;Water Use;Irrigation and Drainage;Water Supply and Systems;Technology Industry</t>
  </si>
  <si>
    <t>Irrigation and drainage</t>
  </si>
  <si>
    <t>Philippines - Participatory Irrigation Development Project : indigenous peoples plan</t>
  </si>
  <si>
    <t>PH-Participatory Irrigation Development Project -- P088926</t>
  </si>
  <si>
    <t>IPP314</t>
  </si>
  <si>
    <t>Culture and Development;Health, Nutrition and Population;Social Development</t>
  </si>
  <si>
    <t>Cultural Policy;Cultural Heritage &amp; Preservation;Population Policies;Anthropology;Social Capital</t>
  </si>
  <si>
    <t>12/18/2006</t>
  </si>
  <si>
    <t>TF055610-PHRD-PHILIPPINES: NATIONAL ROADS IMPROVEMENT AND MANAGEMENT PROGRAM - P</t>
  </si>
  <si>
    <t>Environment;Transport;Culture and Development;Water Resources;Social Development</t>
  </si>
  <si>
    <t>Voluntary and Involuntary Resettlement;Roads &amp; Highways;Environmental Governance;River Basin Management;Anthropology</t>
  </si>
  <si>
    <t>Central government administration;Roads and highways</t>
  </si>
  <si>
    <t>Philippines - Second National Roads Improvement Project : indigenous peoples plan</t>
  </si>
  <si>
    <t>PH-National Roads Improvement And Management (Apl) Phase 2 -- P079935</t>
  </si>
  <si>
    <t>IPP227</t>
  </si>
  <si>
    <t>05/22/2007</t>
  </si>
  <si>
    <t>Energy;Water Resources;Rural Development;Finance and Financial Sector Development;Communities and Human Settlements</t>
  </si>
  <si>
    <t>Common Property Resource Development;Access to Finance;Housing &amp; Human Habitats;Hydro Power;Irrigation and Drainage</t>
  </si>
  <si>
    <t>TF030781-SPANISH CTF - FY06 (CHINA, PHILIPPINES, &amp; VIETNAM/ALL SECTORS &amp; THEMES);TF056971-PHRD: PHILLIPINES NATIONAL SECTOR SUPPORT FOR SOCIAL WELFARE AND DEVEL</t>
  </si>
  <si>
    <t>Social safety nets</t>
  </si>
  <si>
    <t>Macroeconomics and Economic Growth;Governance;Health, Nutrition and Population</t>
  </si>
  <si>
    <t>Governance Indicators;Economic Theory &amp; Research;Health Monitoring &amp; Evaluation;Health Economics &amp; Finance</t>
  </si>
  <si>
    <t>Philippines - Social Welfare and Development Reform Project : indigenous peoples plan</t>
  </si>
  <si>
    <t>PH-Social Welfare And Development Reform -- P082144</t>
  </si>
  <si>
    <t>IPP335</t>
  </si>
  <si>
    <t>Can't open the file</t>
  </si>
  <si>
    <t>Culture and Development;Private Sector Development;Water Resources;Social Development;Communities and Human Settlements</t>
  </si>
  <si>
    <t>Housing &amp; Human Habitats;River Basin Management;E-Business;Anthropology;Social Capital</t>
  </si>
  <si>
    <t>Philippines - Participatory Irrigation Development Project (PIDP) : indigenous peoples planning framework</t>
  </si>
  <si>
    <t>IPP313</t>
  </si>
  <si>
    <t>03/23/2009</t>
  </si>
  <si>
    <t xml:space="preserve">repetion of information </t>
  </si>
  <si>
    <t>TF090180-PHILIPPINES HEALTH SECTOR REFORM PROJECT - SUPERVISION;TF090182-PHILIPPINES HEALTH SECTOR REFORM PROJECT</t>
  </si>
  <si>
    <t>Decentralization;Population and reproductive health;Health system performance;Other communicable diseases;Public expenditure, financial management and procurement</t>
  </si>
  <si>
    <t>Central government administration;Health;Sub-national government administration</t>
  </si>
  <si>
    <t>Philippines - Multi-Donor Trust Fund for Health Sector Reform Project : indigenous peoples policy framework</t>
  </si>
  <si>
    <t>PH-Ec Tf For Health Sector Reform -- P102513</t>
  </si>
  <si>
    <t>Public Administration, Law, and Justice;Health and other social services</t>
  </si>
  <si>
    <t>IPP376</t>
  </si>
  <si>
    <t>09/14/2009</t>
  </si>
  <si>
    <t>Some limited info on IP healthcare</t>
  </si>
  <si>
    <t>Philippines Sustainable Dev (EASPS)</t>
  </si>
  <si>
    <t>Climate change</t>
  </si>
  <si>
    <t>Environment;Gender;Finance and Financial Sector Development;Communities and Human Settlements</t>
  </si>
  <si>
    <t>Environmental Economics &amp; Policies;Housing &amp; Human Habitats;Banks &amp; Banking Reform;Environmental Governance;Gender and Law</t>
  </si>
  <si>
    <t>Solid waste management</t>
  </si>
  <si>
    <t>Philippines - Methane Recovery from Waste Management Project : indigenous peoples plan</t>
  </si>
  <si>
    <t>PH-Philippines: Methane Recovery From Waste Management Project -- P115080</t>
  </si>
  <si>
    <t>IPP385</t>
  </si>
  <si>
    <t>Nothing new</t>
  </si>
  <si>
    <t>TF090241-PHILIPPINE: PREPARATION OF CLIMATE CHANGE ADAPTATION PHASE I PROJECT;TF030747-DANISH CTF - FY06 (THEME - DAC PART 1 COUNTRIES GNP PER CAPITA BELOW US;TF030865-DANISH CTF - FY07 (DAC PART I COUNTRIES WITH ANNUAL PER-CAPITA GNP OF L</t>
  </si>
  <si>
    <t>Other environment and natural resources management;Other rural development;Climate change</t>
  </si>
  <si>
    <t>Cultural Policy;Housing &amp; Human Habitats;Cultural Heritage &amp; Preservation;Population Policies;Anthropology</t>
  </si>
  <si>
    <t>General agriculture, fishing and forestry sector;Sub-national government administration;Flood protection</t>
  </si>
  <si>
    <t>Philippines - Climate Change Adaptation Project : indigenous peoples policy framework</t>
  </si>
  <si>
    <t>PH-Climate Change Adaptation Program -- P101076</t>
  </si>
  <si>
    <t>IPP407</t>
  </si>
  <si>
    <t xml:space="preserve">Repetion of information </t>
  </si>
  <si>
    <t>Conflict prevention and post-conflict reconstruction;Other rural development;Participation and civic engagement</t>
  </si>
  <si>
    <t>Social Development;Education;Communities and Human Settlements</t>
  </si>
  <si>
    <t>Education and Society;Housing &amp; Human Habitats;Community Development and Empowerment;Social Cohesion;Social Capital</t>
  </si>
  <si>
    <t>Philippines - Additional Financing for the Autonomous Region in Muslim Mindanao (ARMM) Social Fund Project : indigenous peoples plan</t>
  </si>
  <si>
    <t>ARMM Social Fund Project-P118910</t>
  </si>
  <si>
    <t>IPP417</t>
  </si>
  <si>
    <t>A little bit more in depth info on relevant provisions for IPs in the Law</t>
  </si>
  <si>
    <t>Conflict prevention and post-conflict reconstruction;Indigenous peoples;Rural services and infrastructure;Participation and civic engagement</t>
  </si>
  <si>
    <t>Civil Society;Education and Society;Housing &amp; Human Habitats;Community Development and Empowerment;Social Cohesion</t>
  </si>
  <si>
    <t>Other social services;Water supply;General transportation sector</t>
  </si>
  <si>
    <t>Philippines - Additional Financing for the Kapitbisig Laban sa Kahirapan-Comprehensive and Integrated Delivery of Social Services (KALAHI-CIDSS) Project : indigenous peoples planning framework</t>
  </si>
  <si>
    <t>PH-Poor &amp; Disadvanted Areas (Kalahi-Cidss2) Additional Financing Proj -- P114048</t>
  </si>
  <si>
    <t>Health and other social services;Transportation;Water, sanitation and flood protection</t>
  </si>
  <si>
    <t>IPP421</t>
  </si>
  <si>
    <t>04/15/2010</t>
  </si>
  <si>
    <t>Baic info on IPs in general</t>
  </si>
  <si>
    <t>Education Sector (LCSHE)</t>
  </si>
  <si>
    <t>TF025902-PHRD-RURAL EDUCATION &amp; TEACHER DEV. PROJECT(RECIPIENT-EXEC.);TF026867-PHRD-PERU: RURAL EDUCATION AND TEACHER DEVELOPMENT PROJECT;TF025935-PHRD-RURAL EDUCATION &amp; TEACHER DEV. PROJ. (BANK-EXECUTED)</t>
  </si>
  <si>
    <t>Central government administration;Pre-primary education;Primary education;Secondary education;Tertiary education</t>
  </si>
  <si>
    <t>Peru - Rural Education and Teacher Development Project : indigenous peoples plan</t>
  </si>
  <si>
    <t>Latin America &amp; Caribbean</t>
  </si>
  <si>
    <t>PE-Rural Education Project-P055232</t>
  </si>
  <si>
    <t>IPP16</t>
  </si>
  <si>
    <t>05/31/2002</t>
  </si>
  <si>
    <t>Peru</t>
  </si>
  <si>
    <t>Environment (LCSEN)</t>
  </si>
  <si>
    <t>TF024108-GEF2 PDF B - PERU : STRENTHENING BIODIVIERSITY CONSERVATION + PROTECTED;TF051285-GEF3 FSP-PERU:PARTICIPATORY MANAGEMENT OF PROTECTED AREAS (PROFONAPE II</t>
  </si>
  <si>
    <t>Environmental Economics &amp; Policies;Agricultural Research;Health Monitoring &amp; Evaluation;TF054599-PHRD-KYRGYZ REPUBLIC: WATER MANAGEMENT IMPROVEMENT PROJECT;Community Development and Empowerment</t>
  </si>
  <si>
    <t>Central government administration;Other social services;Sub-national government administration;Forestry</t>
  </si>
  <si>
    <t>Peru - Participatory Management of Protected Areas Project : social assessment and strategy</t>
  </si>
  <si>
    <t>PE-Participatory Management Of Protected Areas -- P068250</t>
  </si>
  <si>
    <t>Tolmos, Raul A.</t>
  </si>
  <si>
    <t>IPP24</t>
  </si>
  <si>
    <t>10/21/2002</t>
  </si>
  <si>
    <t>Private Sector Cluster (LCSFR)</t>
  </si>
  <si>
    <t>Environmental Economics &amp; Policies;Education and Society;National Governance;Social Capital;ICT Policy and Strategies</t>
  </si>
  <si>
    <t>Oil and gas;Sewerage;General transportation sector;Capital markets</t>
  </si>
  <si>
    <t>Peru - Guarantee Facility Project : indigenous peoples plan</t>
  </si>
  <si>
    <t>PE-(Crl) Guarantee Facility-P088923</t>
  </si>
  <si>
    <t>Energy and mining;Finance;Transportation;Water, sanitation and flood protection</t>
  </si>
  <si>
    <t>IPP119</t>
  </si>
  <si>
    <t>Transport (LCSTR)</t>
  </si>
  <si>
    <t>TF053335-PHRD-PERU: REGIONAL ROADS DECENTRALIZATION</t>
  </si>
  <si>
    <t>Roads and highways;General public administration sector;General transportation sector</t>
  </si>
  <si>
    <t>Peru - Regional Transport Infrastructure Decentralization Project : indigenous peoples plan</t>
  </si>
  <si>
    <t>PE-Regional Transport Infrastructure Decentralization -- P078813</t>
  </si>
  <si>
    <t>PROVIAS - Ministry of Transport and Communications</t>
  </si>
  <si>
    <t>IPP125</t>
  </si>
  <si>
    <t>Energy (LCSEG)</t>
  </si>
  <si>
    <t>TF030658-ITALIAN CTF FY05: LAC - ENERGY/TRANSPORTATION/WATER/IT;TF054624-PHRD-PERU: RURAL ELECTRIFICATION PROJECT;TF030648-SPANISH CTF - FY05 ( LATIN AMERICA &amp; CARIBBEAN REGION/FINANCIAL &amp; PRIVA</t>
  </si>
  <si>
    <t>Poverty Reduction;Energy;Social Development;Rural Development;Communities and Human Settlements</t>
  </si>
  <si>
    <t>Nationalities &amp; Ethnic Groups;Rural Poverty Reduction;Indigenous Communities;Rural Energy;Social Assessment</t>
  </si>
  <si>
    <t>Renewable energy;General public administration sector;Power</t>
  </si>
  <si>
    <t>Peru - Rural Electrification Project : indigenous peoples plan</t>
  </si>
  <si>
    <t>PE-Rural Electrification -- P090116</t>
  </si>
  <si>
    <t>IPP150</t>
  </si>
  <si>
    <t>Agriculture &amp; Rural Dev (LCSAR)</t>
  </si>
  <si>
    <t>TF051888-PHRD-PERU: SIERRA AREA DEVELOPMENT PROJECT;TF030325-GERMAN CTF FY03 - ENVIRONMENT &amp; PUBLIC SECTOR MANAGEMENT</t>
  </si>
  <si>
    <t>Development Economics &amp; Aid Effectiveness; Environmental Economics &amp; Policies; Regional Rural Development; Health Economics &amp; Finance; Poverty Assessment</t>
  </si>
  <si>
    <t>General agriculture, fishing and forestry sector;Sub-national government administration</t>
  </si>
  <si>
    <t>Peru - Sierra Rural Development Project : indigenous peoples plan</t>
  </si>
  <si>
    <t>PE-Sierra Rural Development Project -- P079165</t>
  </si>
  <si>
    <t>IPP194</t>
  </si>
  <si>
    <t>TF056582-PHRD-PERU: DECENTERALIZED RURAL INFRASTRUCTURE</t>
  </si>
  <si>
    <t>Governance;Social Development;Rural Development;Communities and Human Settlements</t>
  </si>
  <si>
    <t>Regional Rural Development;Nationalities &amp; Ethnic Groups;Local Government;Indigenous Communities</t>
  </si>
  <si>
    <t>Peru - Decentralized Rural Infrastructure Project : indigenous peoples plan</t>
  </si>
  <si>
    <t>PE-Peru Decentralized Rural Transport Project -- P095570</t>
  </si>
  <si>
    <t>Ministerio de Transporte y Comunicaciones / PROVIAS Rural</t>
  </si>
  <si>
    <t>IPP183</t>
  </si>
  <si>
    <t>Health Sector (LCSHH)</t>
  </si>
  <si>
    <t>Health system performance</t>
  </si>
  <si>
    <t>Housing &amp; Human Habitats;Disease Control &amp; Prevention;Health Systems Development &amp; Reform;Health Monitoring &amp; Evaluation;Population Policies</t>
  </si>
  <si>
    <t>Peru - Second Adaptable Program Loan Health Reform Program Project : indigenous peoples plan</t>
  </si>
  <si>
    <t>PE-(Apl2) Health Reform Program -- P095563</t>
  </si>
  <si>
    <t>Mora Bernasconi, Carlos;Villavicencio Rivera, Alberto</t>
  </si>
  <si>
    <t>IPP326</t>
  </si>
  <si>
    <t>06/30/2006</t>
  </si>
  <si>
    <t>TF056929-BNPP-WATER: WATER RESOURCES MANAGEMENT PROGRAM II - (BNWPP)</t>
  </si>
  <si>
    <t>Central government administration;Agricultural extension and research;Irrigation and drainage</t>
  </si>
  <si>
    <t>Peru - Irrigation Subsector Supplemental Project : indigenous peoples plan</t>
  </si>
  <si>
    <t>PE-Peru Irrigation Sub-Sector Supplemental Project -- P094152</t>
  </si>
  <si>
    <t>IPP226</t>
  </si>
  <si>
    <t>05/17/2007</t>
  </si>
  <si>
    <t>TF090741-SWITZERLAND CTF - FY08 - ALL BORROWING MEMBER COUNTRIES/ALL SECTORS, AL</t>
  </si>
  <si>
    <t>Water resource management;Rural services and infrastructure</t>
  </si>
  <si>
    <t>Indigenous Communities;Indigenous Peoples;Land Use and Policies;Cultural Heritage &amp; Preservation;Social Assessment</t>
  </si>
  <si>
    <t>General water, sanitation and flood protection sector;Agricultural extension and research;Irrigation and drainage</t>
  </si>
  <si>
    <t>Peru - Sierra Irrigation Modernization Project : indigenous peoples plan</t>
  </si>
  <si>
    <t>PE-Sierra Irrigation Subsector -- P104760</t>
  </si>
  <si>
    <t>Agreda, Victor;Mendieta, Claudia</t>
  </si>
  <si>
    <t>IPP297</t>
  </si>
  <si>
    <t>Urban (LCSUW)</t>
  </si>
  <si>
    <t>TF058206-PERU: VILLCANOTA VALLEY PROJECT</t>
  </si>
  <si>
    <t>Rural non-farm income generation;Access to urban services and housing;Land administration and management;Rural services and infrastructure;Municipal governance and institution building</t>
  </si>
  <si>
    <t>Urban Development;Water Supply and Sanitation;Health, Nutrition and Population</t>
  </si>
  <si>
    <t>City Development Strategies;Water Supply and Sanitation Governance and Institutions;Health Monitoring &amp; Evaluation;Sanitation and Sewerage</t>
  </si>
  <si>
    <t>Solid waste management;Other social services;Sub-national government administration;Flood protection</t>
  </si>
  <si>
    <t>Peru - Vilcanota Valley Rehabilitation and Management Project : indigenous peoples plan</t>
  </si>
  <si>
    <t>PE-Vilcanota Valley Rehabilitation And Management Project -- P082625</t>
  </si>
  <si>
    <t>Public Administration, Law, and Justice;Health and other social services;Water, sanitation and flood protection</t>
  </si>
  <si>
    <t>IPP318</t>
  </si>
  <si>
    <t>Water resource management;Environmental policies and institutions;Pollution management and environmental health</t>
  </si>
  <si>
    <t>Environment;Water Supply and Sanitation;Water Resources</t>
  </si>
  <si>
    <t>Environmental Economics &amp; Policies;Water and Industry;Town Water Supply and Sanitation;Water Supply and Sanitation Governance and Institutions;River Basin Management</t>
  </si>
  <si>
    <t>General water, sanitation and flood protection sector;Irrigation and drainage</t>
  </si>
  <si>
    <t>Peru - Water Resources Management Project : indigenous peoples instrument</t>
  </si>
  <si>
    <t>PE-Water Resources Management Modernization -- P107666</t>
  </si>
  <si>
    <t>IPP334</t>
  </si>
  <si>
    <t>TF091166-GEF PPG - REPUBLIC OF PERU: GRANT FOR THE PREPARATION OF THE STRENGTHEN</t>
  </si>
  <si>
    <t>Environmental policies and institutions;Other environment and natural resources management;Biodiversity</t>
  </si>
  <si>
    <t>Environment</t>
  </si>
  <si>
    <t>Wildlife Resources;Ecosystems and Natural Habitats;Natural Resources Management;Environmental Management;Biodiversity</t>
  </si>
  <si>
    <t>General agriculture, fishing and forestry sector;Sub-national government administration;General public administration sector</t>
  </si>
  <si>
    <t>Peru - Strengthening Biodiversity Conservation through the National Protected Areas Project : indigenous peoples plan</t>
  </si>
  <si>
    <t>PE-Strengthening Biodiversity Conservation Through The National Prote -- P095424</t>
  </si>
  <si>
    <t>Chavez, Heinrich Helberg</t>
  </si>
  <si>
    <t>IPP352</t>
  </si>
  <si>
    <t>Export development and competitiveness;Injuries and non-communicable diseases;Infrastructure services for private sector development</t>
  </si>
  <si>
    <t>Transport;Rural Development;Finance and Financial Sector Development</t>
  </si>
  <si>
    <t>Rural Roads &amp; Transport;Transport Economics Policy &amp; Planning;Road Safety;Banks &amp; Banking Reform;Roads &amp; Highways</t>
  </si>
  <si>
    <t>Roads and highways;General transportation sector</t>
  </si>
  <si>
    <t>Peru - Safe and Sustainable Transport Project: indigenous peoples plan</t>
  </si>
  <si>
    <t>PE-Peru Safe And Sustainable Transport Swap -- P116929</t>
  </si>
  <si>
    <t>Bedoya Garland, Eduardo</t>
  </si>
  <si>
    <t>IPP374</t>
  </si>
  <si>
    <t>11/20/2009</t>
  </si>
  <si>
    <t>11/23/2009</t>
  </si>
  <si>
    <t>Social Protection Sector (LCSHS)</t>
  </si>
  <si>
    <t>Nutrition and food security;Social safety nets</t>
  </si>
  <si>
    <t>Health, Nutrition and Population;Poverty Reduction;Finance and Financial Sector Development;Communities and Human Settlements</t>
  </si>
  <si>
    <t>Rural Poverty Reduction;Housing &amp; Human Habitats;Debt Markets;Population Policies</t>
  </si>
  <si>
    <t>Peru - Results in Nutrition for Juntos Project : indigenous peoples planning framework</t>
  </si>
  <si>
    <t>PE-Results In Nutrition For Juntos -- P117310</t>
  </si>
  <si>
    <t>IPP399</t>
  </si>
  <si>
    <t>Macroeconomics and Economic Growth;Health, Nutrition and Population;Poverty Reduction;Finance and Financial Sector Development;Communities and Human Settlements</t>
  </si>
  <si>
    <t>Regional Economic Development;Rural Poverty Reduction;Housing &amp; Human Habitats;Debt Markets;Population Policies</t>
  </si>
  <si>
    <t>Poverty Reduction;Water Supply and Sanitation;Social Development;Communities and Human Settlements</t>
  </si>
  <si>
    <t>Poverty Monitoring &amp; Analysis;Town Water Supply and Sanitation;Housing &amp; Human Habitats;Water Supply and Sanitation Governance and Institutions;Social Accountability</t>
  </si>
  <si>
    <t>Central government administration;Sub-national government administration;Water supply;Sanitation</t>
  </si>
  <si>
    <t>Peru - Additional Financing for the National Rural Water Supply and Sanitation Project : indigenous peoples plan</t>
  </si>
  <si>
    <t>PE-National Rural Water Supply And Sanitation Additional Financing -- P117314</t>
  </si>
  <si>
    <t>IPP456</t>
  </si>
  <si>
    <t>Social Protections and Labor;Energy;Finance and Financial Sector Development;Communities and Human Settlements</t>
  </si>
  <si>
    <t>Energy Production and Transportation;Access to Finance;Housing &amp; Human Habitats;Banks &amp; Banking Reform;Labor Policies</t>
  </si>
  <si>
    <t>Peru - Second Rural Electrification Project : indigenous peoples plan</t>
  </si>
  <si>
    <t>PE-Peru Rural Electrification Additional Financing -- P117864</t>
  </si>
  <si>
    <t>IPP468</t>
  </si>
  <si>
    <t>TF053771-PHRD-PARAGUAY: PARAGUAY MOTHER &amp; CHILD BASIC HEALTH INSURANCE PROJECT</t>
  </si>
  <si>
    <t>Hygiene Promotion and Social Marketing;Housing &amp; Human Habitats;Health Monitoring &amp; Evaluation;Health Systems Development &amp; Reform;Agricultural Knowledge &amp; Information Systems</t>
  </si>
  <si>
    <t>Paraguay - Second Health Project : indigenous peoples plan</t>
  </si>
  <si>
    <t>PY-Paraguay Mother &amp; Child Basic Health Insurance -- P082056</t>
  </si>
  <si>
    <t>IPP104</t>
  </si>
  <si>
    <t>Paraguay</t>
  </si>
  <si>
    <t>Water &amp; Sanitation Cluster (LCSFW)</t>
  </si>
  <si>
    <t>Law and Development;Social Protections and Labor;Water Resources;Rural Development;Finance and Financial Sector Development</t>
  </si>
  <si>
    <t>Banks &amp; Banking Reform;Dams and Reservoirs;Labor Markets;Corporate Law;Rural Development Knowledge &amp; Information Systems</t>
  </si>
  <si>
    <t>Water supply;Sewerage</t>
  </si>
  <si>
    <t>Argentina and Paraguay - Fifth SEGBA Power Distribution and Reform Project for the Water and Telecommunications Sectors : Inspection Panel Review of management progress report</t>
  </si>
  <si>
    <t>PY-Asuncion Sewerage -- P007926</t>
  </si>
  <si>
    <t>3842;P188</t>
  </si>
  <si>
    <t>TF054760-PHRD-PARAGUAY: ROAD MAINTENANCE PROJECT</t>
  </si>
  <si>
    <t>Transport;Social Development;Rural Development</t>
  </si>
  <si>
    <t>Rural Roads &amp; Transport;Participations and Civic Engagement;Roads &amp; Highways;Community Development and Empowerment;Social Assessment</t>
  </si>
  <si>
    <t>Paraguay - Road Maintenance Project : indigenous peoples plan</t>
  </si>
  <si>
    <t>PY-Road Maintenance -- P082026</t>
  </si>
  <si>
    <t>Ministerio de Obras Publicas y Comunicaciones / Maria Elizabeth Renhnfeldt, Antropologa</t>
  </si>
  <si>
    <t>IPP177</t>
  </si>
  <si>
    <t>Culture and Development;Education;Communities and Human Settlements</t>
  </si>
  <si>
    <t>Indigenous Communities;Indigenous Peoples;Cultural Heritage &amp; Preservation;Community Driven Development;Vocational Education &amp; Technical Training</t>
  </si>
  <si>
    <t>TF055242-GEF PDFB-REPUBLIC OF PARAGUAY: IMPROVING THE CONSERVATION OF BIODIVERSI</t>
  </si>
  <si>
    <t>Biodiversity</t>
  </si>
  <si>
    <t>Culture and Development;Private Sector Development;Gender;Social Development;Communities and Human Settlements</t>
  </si>
  <si>
    <t>Civic Participation and Corporate Governance;Housing &amp; Human Habitats;Gender and Law;Social Accountability;Anthropology</t>
  </si>
  <si>
    <t>Paraguay - Biodiversity Conservation Project : indigenous peoples plan</t>
  </si>
  <si>
    <t>PY-Paraguay Biodiversity Conservation Project -- P094335</t>
  </si>
  <si>
    <t>IPP286</t>
  </si>
  <si>
    <t>TF053772-PHRD-PARAGUAY: RURAL SUSTAINABLE DEVELOPMENT</t>
  </si>
  <si>
    <t>Health, Nutrition and Population;Poverty Reduction;Social Development;Communities and Human Settlements</t>
  </si>
  <si>
    <t>Poverty Reduction Strategies;Indigenous Communities;Land Use and Policies;Population &amp; Development;Community Development and Empowerment</t>
  </si>
  <si>
    <t>Paraguay : Sustainable Agricultural Rural Development Project : indigenous peoples plan</t>
  </si>
  <si>
    <t>PY-Paraguay Sustainable Agriculture &amp; Rural Development Project -- P088799</t>
  </si>
  <si>
    <t>Rehnfeldt, Marilin for the Ministry of Agriculture and Livestock</t>
  </si>
  <si>
    <t>IPP230</t>
  </si>
  <si>
    <t>Social Development (LCSSO)</t>
  </si>
  <si>
    <t>Rural non-farm income generation;Social risk mitigation;Social safety nets;Other social development;Participation and civic engagement</t>
  </si>
  <si>
    <t>Health, Nutrition and Population;Social Development;Education;Communities and Human Settlements</t>
  </si>
  <si>
    <t>Education and Society;Housing &amp; Human Habitats;Population Policies;Community Development and Empowerment;Social Capital</t>
  </si>
  <si>
    <t>General agriculture, fishing and forestry sector;Other social services;Sub-national government administration</t>
  </si>
  <si>
    <t>Paraguay - Additional Financing for Pilot Community Development Project : indigenous people's plans</t>
  </si>
  <si>
    <t>PY-Pilot Community Development Additional Financing -- P106433</t>
  </si>
  <si>
    <t>Public Administration, Law, and Justice;Agriculture, fishing, and forestry;Health and other social services</t>
  </si>
  <si>
    <t>IPP264</t>
  </si>
  <si>
    <t>04/17/2008</t>
  </si>
  <si>
    <t>TF054315-NTFPSI: DEVELOPMENT IMPACT EVALUATION OF INFRASTRUCTURE PROJECTS;TF057087-BNPP-WATER: WATER SUPPLY AND SANITATION II (BNWP-WSS)</t>
  </si>
  <si>
    <t>Access to urban services and housing;Rural services and infrastructure;Infrastructure services for private sector development</t>
  </si>
  <si>
    <t>Culture and Development;Water Supply and Sanitation;Health, Nutrition and Population;Communities and Human Settlements</t>
  </si>
  <si>
    <t>Cultural Policy;Town Water Supply and Sanitation;Housing &amp; Human Habitats;Cultural Heritage &amp; Preservation;Population Policies</t>
  </si>
  <si>
    <t>Paraguay - Water and Sanitation Sector Modernization Program Project : indigenous peoples management framework</t>
  </si>
  <si>
    <t>PY-Paraguay Water &amp; Sanitation Sector Modernization -- P095235</t>
  </si>
  <si>
    <t>IPP298</t>
  </si>
  <si>
    <t>Environment;Infrastructure Economics and Finance;Private Sector Development;Energy;Science and Technology Development</t>
  </si>
  <si>
    <t>Energy Production and Transportation;Environment and Energy Efficiency;Infrastructure Economics;E-Business;Engineering</t>
  </si>
  <si>
    <t>General energy sector</t>
  </si>
  <si>
    <t>Paraguay - Marco de Planificación para pueblos indígenas (MPPI) : indigenous peoples plan</t>
  </si>
  <si>
    <t>PY-Energy Sector Strengthening Project -- P114971</t>
  </si>
  <si>
    <t>IPP433</t>
  </si>
  <si>
    <t>TF055725-PF III PNG-EASRD;TF030464-IRISH CTF FY04 - EAST ASIA &amp; PACIFIC;TF055214-PAPUA NEW GUINEA TECHNICAL ASSISTANCE;TF030302-AUSTRIA GENERAL CTF FY03 - ALL BUT ECA;TF030327-IRISH CTF FY03 - EAST ASIA &amp; PACIFIC;TF030314-DANISH CTF GENERAL FY03 - (ALL EXCEPT SUB-SAHARAN AFRICA);TF030432-AUSTRALIA CTF FYO4 - PAPAU NEW GUINEA;TF030598-AUSTRALIA CTF FY05 - PAPAU NEW GUINEA;TF052416-PHRD-PAPUA NEW GUINEA: PROPOSED SMALLHOLDER AGRICULTURE DEVELOPMENT PRO;TF030301-AUSTRALIA CTF FYO3 - PAPAU NEW GUINEA</t>
  </si>
  <si>
    <t>Agriculture;Social Development;Communities and Human Settlements</t>
  </si>
  <si>
    <t>Agricultural Sector Economics;Indigenous Communities;Agriculture &amp; Farming Systems;Community Development and Empowerment;Social Assessment</t>
  </si>
  <si>
    <t>Crops</t>
  </si>
  <si>
    <t>Papua New Guinea - Smallholder Agriculture Development Project : social assessment</t>
  </si>
  <si>
    <t>PG-Png-Smallholder Agriculture Development -- P079140</t>
  </si>
  <si>
    <t>G. Koczberski and G . N. Cury, Curtin University of Technology, Perth, Western Australia</t>
  </si>
  <si>
    <t>IPP205</t>
  </si>
  <si>
    <t>Papua New Guinea</t>
  </si>
  <si>
    <t>Policy Div (IBRD Telecom &amp; Inf) (CITPO)</t>
  </si>
  <si>
    <t>TF091247-PACIFIC FACILITIES III (TF055181)-963806</t>
  </si>
  <si>
    <t>Rural policies and institutions;Regulation and competition policy;Rural services and infrastructure</t>
  </si>
  <si>
    <t>Private Sector Development;Industry;Social Development;Finance and Financial Sector Development;Communities and Human Settlements</t>
  </si>
  <si>
    <t>Access to Finance;Housing &amp; Human Habitats;E-Business;Technology Industry;Community Development and Empowerment</t>
  </si>
  <si>
    <t>Telecommunications</t>
  </si>
  <si>
    <t>Papua New Guinea - Rural Telecommunications Project : indigenous peoples plan</t>
  </si>
  <si>
    <t>PG-Rural Communications -- P107782</t>
  </si>
  <si>
    <t>Information and communications</t>
  </si>
  <si>
    <t>IPP422</t>
  </si>
  <si>
    <t>Pacific Islands Sustainable Dev (EASNS)</t>
  </si>
  <si>
    <t>Governance;Health, Nutrition and Population;Education;Communities and Human Settlements</t>
  </si>
  <si>
    <t>Primary Education;Housing &amp; Human Habitats;Youth and Governance;Adolescent Health;Population Policies</t>
  </si>
  <si>
    <t>Adult literacy/non-formal education;General water, sanitation and flood protection sector;Other social services;Roads and highways</t>
  </si>
  <si>
    <t>Papua New Guinea - Urban Youth Employment Project : indigenous peoples plan</t>
  </si>
  <si>
    <t>PG-Urban Youth Employment Project -- P114042</t>
  </si>
  <si>
    <t>Education;Health and other social services;Water, sanitation and flood protection;Transportation</t>
  </si>
  <si>
    <t>IPP428</t>
  </si>
  <si>
    <t>04/30/2010</t>
  </si>
  <si>
    <t>Social Protections and Labor;Education;Communities and Human Settlements</t>
  </si>
  <si>
    <t>Primary Education;Access &amp; Equity in Basic Education;Housing &amp; Human Habitats;Education For All;Labor Markets</t>
  </si>
  <si>
    <t>TF098659-PNG Road Maintenance and Rehabilitation Project II</t>
  </si>
  <si>
    <t>Private Sector Development;Social Development;Communities and Human Settlements</t>
  </si>
  <si>
    <t>Civic Participation and Corporate Governance;Housing &amp; Human Habitats;Participations and Civic Engagement;Community Development and Empowerment;Social Accountability</t>
  </si>
  <si>
    <t>Papua New Guinea - Second Road Maintenance and Rehabilitation Project : indigenous peoples plan</t>
  </si>
  <si>
    <t>PG-Png Road Maintenance And Rehabilitation Project II -- P119471</t>
  </si>
  <si>
    <t>IPP480</t>
  </si>
  <si>
    <t>TF030568-CIDA GEF (GEN) CTF FY04 - ALL EXCEPT ECA COUNTRIES;TF052549-GEF3 PDFB-PANAMA:SECOND RURAL POVERTY AND NATURAL RESOURCES MANAGEMENT</t>
  </si>
  <si>
    <t>Environment;Culture and Development;Social Development;Finance and Financial Sector Development</t>
  </si>
  <si>
    <t>Environmental Economics &amp; Policies;Indigenous Peoples;Finance and Development;Community Development and Empowerment;Social Capital</t>
  </si>
  <si>
    <t>Central government administration;Other social services;Sub-national government administration</t>
  </si>
  <si>
    <t>Panama - Rural Productivity and Consolidation of the Mesoamerican Biological Corridor Project : indigenous peoples plan</t>
  </si>
  <si>
    <t>PA-Rural Productivity Project (Gef) -- P083045</t>
  </si>
  <si>
    <t>Moreno, Ana Lucia</t>
  </si>
  <si>
    <t>IPP173</t>
  </si>
  <si>
    <t>Panama</t>
  </si>
  <si>
    <t>TF025846-PHRD-MUNICIPAL RURAL DEV. &amp; DE-CENTRALIZATION</t>
  </si>
  <si>
    <t>Agriculture;Social Development</t>
  </si>
  <si>
    <t>Agricultural Trade;Agribusiness;Social Risk Management;Agricultural Producer Organizations;Poverty and Social Impact Analysis;Social Capital</t>
  </si>
  <si>
    <t>General agriculture, fishing and forestry sector;Agro-industry;Agricultural marketing and trade</t>
  </si>
  <si>
    <t>Panama - Plan de Desarrollo de los Pueblos Indigenas - Proyecto Productividad Rural/ Consolidacion del Corredor Biologico Mesoamericano del Atlantico Panameno (PPR-CBMAP II)</t>
  </si>
  <si>
    <t>PA-Rural Productivity Project -- P064918</t>
  </si>
  <si>
    <t>Agriculture, fishing, and forestry;Industry and trade</t>
  </si>
  <si>
    <t>P423</t>
  </si>
  <si>
    <t>IPP201</t>
  </si>
  <si>
    <t>Cultural Heritage &amp; Preservation; Indigenous Peoples; Gender and Rural Development; Community Driven Development; Artisans</t>
  </si>
  <si>
    <t>TF056734-PHRD-PANAMA: SOCIAL PROTECTION</t>
  </si>
  <si>
    <t>Agriculture;Transport;Culture and Development;Health, Nutrition and Population</t>
  </si>
  <si>
    <t>Cultural Policy;Transport Economics Policy &amp; Planning;Health Monitoring &amp; Evaluation;Population Policies;Agricultural Knowledge &amp; Information Systems</t>
  </si>
  <si>
    <t>Panama - Social Protection Project : indigenous peoples</t>
  </si>
  <si>
    <t>PA-Social Protection Project-P098328</t>
  </si>
  <si>
    <t>IPP212</t>
  </si>
  <si>
    <t>03/21/2007</t>
  </si>
  <si>
    <t>TF056581-PHRD-PANAMA: WATER SUPPLY AND SANITATION FOR LOW-INCOME COMMUNITIES</t>
  </si>
  <si>
    <t>Water Supply and Sanitation;Health, Nutrition and Population;Social Development;Communities and Human Settlements</t>
  </si>
  <si>
    <t>Indigenous Communities;Rural Water Supply and Sanitation;Community Development and Empowerment;Community Participation in Water Supply and Sanitation;Health and Sanitation</t>
  </si>
  <si>
    <t>Water supply;Sanitation</t>
  </si>
  <si>
    <t>Panama : Water Supply and Sanitation in Low Income Communities : indigenous peoples plan</t>
  </si>
  <si>
    <t>PA-Water Supply And Sanitation In Low-Income Communities -- P082419</t>
  </si>
  <si>
    <t>IPP221</t>
  </si>
  <si>
    <t>TF058273-PHRD STAFF GRANT PROGRAM - YUKI MURAKAMI</t>
  </si>
  <si>
    <t>Social risk mitigation;Health system performance;Child health;Nutrition and food security</t>
  </si>
  <si>
    <t>Housing &amp; Human Habitats;Disease Control &amp; Prevention;Health Systems Development &amp; Reform;Health Monitoring &amp; Evaluation;Health Economics &amp; Finance</t>
  </si>
  <si>
    <t>Panama - Health Equity and Performance Improvement Project : indigenous peoples plan</t>
  </si>
  <si>
    <t>PA-Health Equity And Performance Improvement Project -- P106445</t>
  </si>
  <si>
    <t>IPP282</t>
  </si>
  <si>
    <t>Other human development;Education for the knowledge economy</t>
  </si>
  <si>
    <t>Primary Education;Access &amp; Equity in Basic Education;Teaching and Learning;Tertiary Education;Education For All</t>
  </si>
  <si>
    <t>General education sector;Pre-primary education;Secondary education</t>
  </si>
  <si>
    <t>Panama - Basic Education Quality Improvement Project : indigenous peoples plan</t>
  </si>
  <si>
    <t>PA-Basic Education Quality Improvement Project-942342 -- P106686</t>
  </si>
  <si>
    <t>IPP296</t>
  </si>
  <si>
    <t>TF025501-PHRD-LAND ADMINISTRATION;TF025367-PHRD-LAND MANAGEMENT PROJECT;TF040956-HONDURAS: LAND AMINISTRATION</t>
  </si>
  <si>
    <t>Indigenous peoples;Law reform;Land administration and management;Administrative and civil service reform;Personal and property rights</t>
  </si>
  <si>
    <t>Governance;Urban Development;Rural Development</t>
  </si>
  <si>
    <t>Urban Governance and Management;Regional Governance;Urban Housing;Rural Land Policies for Poverty Reduction</t>
  </si>
  <si>
    <t>Panama - Land Administration Project : indigenous peoples plan</t>
  </si>
  <si>
    <t>PA-Land Administration Project-P050595</t>
  </si>
  <si>
    <t>Hernandez, Teobaldo T.</t>
  </si>
  <si>
    <t>IPP400</t>
  </si>
  <si>
    <t>Gender;Water Supply and Sanitation;Communities and Human Settlements</t>
  </si>
  <si>
    <t>Town Water Supply and Sanitation;Housing &amp; Human Habitats;Water Supply and Sanitation Governance and Institutions;Urban Slums Upgrading;Gender and Law</t>
  </si>
  <si>
    <t>Panama - Metro Water and Sanitation Improvement Project : indigenous peoples planning framework</t>
  </si>
  <si>
    <t>Metro Water and Sanitation Improvement Project</t>
  </si>
  <si>
    <t>IPP416</t>
  </si>
  <si>
    <t>02/24/2010</t>
  </si>
  <si>
    <t>TF038772-NICARAGUA - PREPARATION OF LAND ADMINISTRATION PROJECT;TF040956-HONDURAS: LAND AMINISTRATION;TF025367-PHRD-LAND MANAGEMENT PROJECT</t>
  </si>
  <si>
    <t>Education and Society;Banks &amp; Banking Reform;Community Development and Empowerment;Social Capital;Urban Housing</t>
  </si>
  <si>
    <t>Central government administration;Other social services;Sub-national government administration;General agriculture, fishing and forestry sector;Law and justice</t>
  </si>
  <si>
    <t>Nicaragua - Land Administration Project (PRODEP) : indigenous peoples development plan</t>
  </si>
  <si>
    <t>NI-Land Administration-P056018</t>
  </si>
  <si>
    <t>IPP4</t>
  </si>
  <si>
    <t>01/24/2001</t>
  </si>
  <si>
    <t>Nicaragua</t>
  </si>
  <si>
    <t>TF022456-GERMAN JPO - MR. KILIAN REICHE;TF026676-PHRD-NICARAGUA: OFFGRID RURAL ELECTRIFICATION FOR DEVELOPMENT</t>
  </si>
  <si>
    <t>Renewable energy;Central government administration;Other social services;Micro- and SME finance;Other industry</t>
  </si>
  <si>
    <t>Nicaragua - Offgrid Rural Electrification Project : Indigenous Peoples Plan</t>
  </si>
  <si>
    <t>NI-Offgrid Rural Electrification (Perza) -- P073246</t>
  </si>
  <si>
    <t>Cunningham Kain, Rose</t>
  </si>
  <si>
    <t>IPP49</t>
  </si>
  <si>
    <t>02/28/2003</t>
  </si>
  <si>
    <t>TF051145-PHRD-NICARAGUA: RURAL MICROFINANCE DEVELOPMENT PROJECT</t>
  </si>
  <si>
    <t>Governance Indicators;Environmental Economics &amp; Policies;Banks &amp; Banking Reform;Health Economics &amp; Finance;ICT Policy and Strategies</t>
  </si>
  <si>
    <t>Micro- and SME finance;General finance sector</t>
  </si>
  <si>
    <t>Nicaragua - Broad Based Access to Financial Services Technical Assistance Project : indigenous peoples plan</t>
  </si>
  <si>
    <t>NI-Broad-Based Access To Financial Services -- P077826</t>
  </si>
  <si>
    <t>IPP63</t>
  </si>
  <si>
    <t>10/29/2003</t>
  </si>
  <si>
    <t>TF053140-PHRD-NICARAGUA: HEALTH SECTOR MODERNIZATION PROJECT (SECOND PHASE OF AN</t>
  </si>
  <si>
    <t>Regional Rural Development;Housing &amp; Human Habitats;Health Monitoring &amp; Evaluation;Health Systems Development &amp; Reform;Agricultural Knowledge &amp; Information Systems</t>
  </si>
  <si>
    <t>Nicaragua - Health Services Extension and Modernization project : indigenous peoples plan</t>
  </si>
  <si>
    <t>NI-Health Services Extension And Modernization (2nd Apl) -- P078991</t>
  </si>
  <si>
    <t>IPP110</t>
  </si>
  <si>
    <t>TF030662-ITALIAN CTF - FY05: LAC RURAL DEVELOPMENT;TF055359-BNPP-ENVIRONMENT: SUPPORT TO EXPORT-ORIENTED SMALLHOLDER AGRIC. IN CEN;TF053139-PHRD-NICARAGUA: AGRICULTURAL TECHNOLOGY PROJECT APL II</t>
  </si>
  <si>
    <t>Agriculture</t>
  </si>
  <si>
    <t>Agriculture &amp; Farming Systems;Agricultural Producer Organizations;Agricultural Extension;Forestry Management</t>
  </si>
  <si>
    <t>Forestry;Agricultural extension and research</t>
  </si>
  <si>
    <t>Nicaragua - Second Agricultural Technology Project : Indigenous Peoples Plan</t>
  </si>
  <si>
    <t>NI-Second Agricultural Technology Project -- P087046</t>
  </si>
  <si>
    <t>Espinosa, Carlos Alberto;argenal, Mario;Roberts, Victor;Ramirez, Eric;Lopez, Sheynny Nubia;Lara Morales, Katty</t>
  </si>
  <si>
    <t>IPP146</t>
  </si>
  <si>
    <t>Finance &amp; Private Sector (LCSPF)</t>
  </si>
  <si>
    <t>TF090907-PHRD - STAFF GRANTS - TATSUJI HAYAKAWA</t>
  </si>
  <si>
    <t>Small and medium enterprise support</t>
  </si>
  <si>
    <t>Private Sector Development;Finance and Financial Sector Development</t>
  </si>
  <si>
    <t>Debt Markets;Access to Finance;Emerging Markets;Banks &amp; Banking Reform</t>
  </si>
  <si>
    <t>Micro- and SME finance;General industry and trade sector</t>
  </si>
  <si>
    <t>Nicaragua - Micro, Small and Medium Enterprise Development Project : indigenous peoples instrument</t>
  </si>
  <si>
    <t>NI-Micro, Small And Medium Enterprise Development -- P109691</t>
  </si>
  <si>
    <t>Finance;Industry and trade</t>
  </si>
  <si>
    <t>Ortega, Marvin</t>
  </si>
  <si>
    <t>IPP284</t>
  </si>
  <si>
    <t>TF090645-NICARAGUA WATER SUPPLY AND SANITATION PROJECT</t>
  </si>
  <si>
    <t>Analysis of economic growth</t>
  </si>
  <si>
    <t>Urban Development;Water Supply and Sanitation;Education;Communities and Human Settlements</t>
  </si>
  <si>
    <t>Town Water Supply and Sanitation;Urban Slums Upgrading;Housing &amp; Human Habitats;Urban Services to the Poor;Education For All</t>
  </si>
  <si>
    <t>Water supply</t>
  </si>
  <si>
    <t>Nicaragua - Water Supply and Sanitation Project : indigenous peoples plan</t>
  </si>
  <si>
    <t>NI-Nicaragua Rural Water Supply And Sanitation Project (Prasnica) -- P106283</t>
  </si>
  <si>
    <t>IPP281</t>
  </si>
  <si>
    <t>Global food crisis response;Rural services and infrastructure</t>
  </si>
  <si>
    <t>Environment;Agriculture;Industry;Rural Development;Finance and Financial Sector Development</t>
  </si>
  <si>
    <t>Environmental Economics &amp; Policies;Access to Finance;Crops &amp; Crop Management Systems;Rural Development Knowledge &amp; Information Systems;Technology Industry</t>
  </si>
  <si>
    <t>Agricultural extension and research;Crops</t>
  </si>
  <si>
    <t>Nicaragua - Additional Financing to the 2nd Agricultural Technology Project : indigenous peoples plan</t>
  </si>
  <si>
    <t>NI-Addtional Finance To The Second Agricultural Technology Project (G -- P114375</t>
  </si>
  <si>
    <t>IPP386</t>
  </si>
  <si>
    <t>TF030622-IDA CONSULTANTS POOLED CTF - FY05;TF038772-NICARAGUA - PREPARATION OF LAND ADMINISTRATION PROJECT;TF030314-DANISH CTF GENERAL FY03 - (ALL EXCEPT SUB-SAHARAN AFRICA);TF025367-PHRD-LAND MANAGEMENT PROJECT;TF040956-HONDURAS: LAND AMINISTRATION</t>
  </si>
  <si>
    <t>Decentralization;Indigenous peoples;Land administration and management;Other rural development;Municipal governance and institution building;Personal and property rights;Biodiversity</t>
  </si>
  <si>
    <t>Private Sector Development;Urban Development;Rural Development</t>
  </si>
  <si>
    <t>Common Property Resource Development;Forestry;E-Business;Rural Land Policies for Poverty Reduction;Urban Housing</t>
  </si>
  <si>
    <t>Central government administration;General agriculture, fishing and forestry sector;Sub-national government administration;Other social services;Law and justice</t>
  </si>
  <si>
    <t>Nicaragua - Additional Financing for Land Administration Project (PRODEP) : indigenous peoples plan</t>
  </si>
  <si>
    <t>NI-Land Administration Project (Prodep) -- P117836</t>
  </si>
  <si>
    <t>IPP391</t>
  </si>
  <si>
    <t>11/24/2009</t>
  </si>
  <si>
    <t>Housing &amp; Human Habitats;Health Monitoring &amp; Evaluation;Health Systems Development &amp; Reform;Health Economics &amp; Finance;Population Policies</t>
  </si>
  <si>
    <t>Nicaragua - Improving Community and Family Health Care Services Project : indigenous peoples plan</t>
  </si>
  <si>
    <t>NI-Health Sector III (Apl-3) -- P106870</t>
  </si>
  <si>
    <t>IPP441</t>
  </si>
  <si>
    <t>07/27/2010</t>
  </si>
  <si>
    <t>Gender;Health, Nutrition and Population;Social Development;Education;Communities and Human Settlements</t>
  </si>
  <si>
    <t>Education and Society;Housing &amp; Human Habitats;Population Policies;Gender and Law;Social Inclusion &amp; Institutions</t>
  </si>
  <si>
    <t>Nicaragua - Social Protection Project : indigenous peoples plan</t>
  </si>
  <si>
    <t>Nicaragua Social Protection</t>
  </si>
  <si>
    <t>IPP461</t>
  </si>
  <si>
    <t>11/14/2010</t>
  </si>
  <si>
    <t>TF092809-DIVERSIFYING PRODUCTION AND BUSINESS FOR WOMEN, DISABLED YOUTH AND INDI;TF094393-EXPERIENCE EXCHANGE ON COMMUNITY FORESTRY BETWEEN INDIGENOUS COMMUNITIE</t>
  </si>
  <si>
    <t>Environment;Gender;Social Development;Communities and Human Settlements</t>
  </si>
  <si>
    <t>Environmental Economics &amp; Policies;Ecosystems and Natural Habitats;Housing &amp; Human Habitats;Gender and Law;Community Development and Empowerment</t>
  </si>
  <si>
    <t>Health;General agriculture, fishing and forestry sector;Housing construction;Other social services;Sub-national government administration</t>
  </si>
  <si>
    <t>Nicaragua - Hurricane Felix Emergency Recovery Project : social assessment</t>
  </si>
  <si>
    <t>NI-Nicaragua Hurricane Felix Emergency Recovery Project -- P108974</t>
  </si>
  <si>
    <t>Public Administration, Law, and Justice;Agriculture, fishing, and forestry;Health and other social services;Industry and trade</t>
  </si>
  <si>
    <t>IPP479</t>
  </si>
  <si>
    <t>Environmental Economics &amp; Policies;Town Water Supply and Sanitation;Water and Industry;Water Supply and Sanitation Governance and Institutions;Health Economics &amp; Finance</t>
  </si>
  <si>
    <t>Nepal - Second Rural Water Supply and Sanitation Project : indigenous peoples development plan</t>
  </si>
  <si>
    <t>NP-Second Rural Water Supply &amp; Sanitation Project -- P071285</t>
  </si>
  <si>
    <t>Yogendra Bahadur Gurung, SAMANATA -Institute for Social and Gender Equality, Kathmandu</t>
  </si>
  <si>
    <t>IPP64</t>
  </si>
  <si>
    <t>Nepal</t>
  </si>
  <si>
    <t>S.A. Human Development Sector (SASHD)</t>
  </si>
  <si>
    <t>Adult literacy/non-formal education;Other social services;Sub-national government administration;Pre-primary education;Primary education</t>
  </si>
  <si>
    <t>Nepal - Education for All Project : indigenous peoples plan</t>
  </si>
  <si>
    <t>NP-Education For All Project-P074633</t>
  </si>
  <si>
    <t>Education;Public Administration, Law, and Justice;Health and other social services</t>
  </si>
  <si>
    <t>IPP107</t>
  </si>
  <si>
    <t>Poverty Reduction</t>
  </si>
  <si>
    <t>Poverty Monitoring &amp; Analysis;Education and Society;Community Development and Empowerment;Educational Sciences;ICT Policy and Strategies</t>
  </si>
  <si>
    <t>Nepal - Rural Access Improvement Project : indigenous peoples plan</t>
  </si>
  <si>
    <t>NP-Rural Access Improvement And Decentralization Project -- P083923</t>
  </si>
  <si>
    <t>IPP113</t>
  </si>
  <si>
    <t>Health, Nutrition and Population;Poverty Reduction;Social Development;Education;Communities and Human Settlements</t>
  </si>
  <si>
    <t>Poverty Monitoring &amp; Analysis;Education and Society;Housing &amp; Human Habitats;Population Policies;Community Development and Empowerment</t>
  </si>
  <si>
    <t>Nepal - Road Sector Development Project : indigenous peoples plan</t>
  </si>
  <si>
    <t>ROAD SECTOR DEVELOPMENT PROJECT AF</t>
  </si>
  <si>
    <t>IPP449</t>
  </si>
  <si>
    <t>No new information</t>
  </si>
  <si>
    <t>Transport;Gender;Urban Development;Social Development;Communities and Human Settlements</t>
  </si>
  <si>
    <t>Transport Economics Policy &amp; Planning;Voluntary and Involuntary Resettlement;Housing &amp; Human Habitats;Gender and Law;Urban Housing</t>
  </si>
  <si>
    <t>Health, Nutrition and Population;Poverty Reduction;Social Development;Finance and Financial Sector Development;Communities and Human Settlements</t>
  </si>
  <si>
    <t>Poverty Monitoring &amp; Analysis;Access to Finance;Housing &amp; Human Habitats;Population Policies;Community Development and Empowerment</t>
  </si>
  <si>
    <t>Nepal - Road Sector Development Project : environmental and social management framework</t>
  </si>
  <si>
    <t>NP-Road Sector Development Project -- P095977</t>
  </si>
  <si>
    <t>IPP245</t>
  </si>
  <si>
    <t>Some info on vulnerable groups in Nepal other than indigenous people</t>
  </si>
  <si>
    <t>Environment;Transport;Gender;Social Development;Communities and Human Settlements</t>
  </si>
  <si>
    <t>Environmental Economics &amp; Policies;Transport Economics Policy &amp; Planning;Voluntary and Involuntary Resettlement;Housing &amp; Human Habitats;Gender and Law</t>
  </si>
  <si>
    <t>Agriculture &amp; Rural Development (SASDA)</t>
  </si>
  <si>
    <t>Poverty Monitoring &amp; Analysis;Indigenous Communities;Housing &amp; Human Habitats;Population Policies;Community Development and Empowerment</t>
  </si>
  <si>
    <t>Other social services;Water supply;Animal production;Irrigation and drainage</t>
  </si>
  <si>
    <t>Nepal - Second Poverty Alleviation Fund Project : indigenous peoples instrument</t>
  </si>
  <si>
    <t>NP-Poverty Alleviation Fund II -- P105860</t>
  </si>
  <si>
    <t>Agriculture, fishing, and forestry;Health and other social services;Water, sanitation and flood protection</t>
  </si>
  <si>
    <t>Poverty Alleviation Fund</t>
  </si>
  <si>
    <t>IPP242</t>
  </si>
  <si>
    <t>06/27/2007</t>
  </si>
  <si>
    <t>Primary Education;Housing &amp; Human Habitats;;Educational Sciences;Community Development and Empowerment</t>
  </si>
  <si>
    <t>Roads and highways;Agricultural extension and research;Irrigation and drainage;Flood protection</t>
  </si>
  <si>
    <t>Nepal - Irrigation and Water Resources Management Project : indigenous peoples plan</t>
  </si>
  <si>
    <t>NP-Irrigation &amp; Water Resources Management Project-P099296</t>
  </si>
  <si>
    <t>Agriculture, fishing, and forestry;Water, sanitation and flood protection;Transportation</t>
  </si>
  <si>
    <t>IPP247</t>
  </si>
  <si>
    <t>09/26/2007</t>
  </si>
  <si>
    <t>TF053743-PHRD-NEPAL: AGRICULTURAL COMMERCIALIZATION AND TRADE</t>
  </si>
  <si>
    <t>Rural markets;Trade facilitation and market access</t>
  </si>
  <si>
    <t>Agriculture;Information and Communication Technologies;Health, Nutrition and Population;Finance and Financial Sector Development;Communities and Human Settlements</t>
  </si>
  <si>
    <t>Access to Finance;Housing &amp; Human Habitats;Population Policies;ICT Policy and Strategies;Agricultural Knowledge &amp; Information Systems</t>
  </si>
  <si>
    <t>General agriculture, fishing and forestry sector;Agricultural extension and research</t>
  </si>
  <si>
    <t>Nepal - Agricultural Commercialization and Trade Project : framework for indigenous people development plan</t>
  </si>
  <si>
    <t>NP-Project For Agriculture Commercialization And Trade (Pact) -- P087140</t>
  </si>
  <si>
    <t>IPP355</t>
  </si>
  <si>
    <t>04/29/2009</t>
  </si>
  <si>
    <t>Nothing of interest</t>
  </si>
  <si>
    <t>Decentralization;Rural services and infrastructure;Other social development</t>
  </si>
  <si>
    <t>Environment;Transport;Public Sector Development;Communities and Human Settlements</t>
  </si>
  <si>
    <t>Environmental Economics &amp; Policies;Transport Economics Policy &amp; Planning;Housing &amp; Human Habitats;Roads &amp; Highways;Public Sector Economics</t>
  </si>
  <si>
    <t>Nepal - Rural Access Improvement and Decentralization Project : indigenous peoples plan</t>
  </si>
  <si>
    <t>NP-Rural Access Improvement And Decentralization Project - Addl Finan -- P107853</t>
  </si>
  <si>
    <t>IPP379</t>
  </si>
  <si>
    <t>Not much new.  There are several laws related to IPs but it is mostly repeat info</t>
  </si>
  <si>
    <t>Health, Nutrition &amp; Population (SASHN)</t>
  </si>
  <si>
    <t>Population and reproductive health;Health system performance;Other communicable diseases;Child health;HIV/AIDS</t>
  </si>
  <si>
    <t>Housing &amp; Human Habitats;Health Systems Development &amp; Reform;Health Monitoring &amp; Evaluation;Population Policies;Health Economics &amp; Finance</t>
  </si>
  <si>
    <t>Nepal - Second Health and HIV/AIDS Project : indigenous people's development framework</t>
  </si>
  <si>
    <t>NP-Nepal Second Health And Hiv/Aids Project -- P117417</t>
  </si>
  <si>
    <t>IPP408</t>
  </si>
  <si>
    <t>Nothing new just some very general repeat info on IPs</t>
  </si>
  <si>
    <t>Transport;Macroeconomics and Economic Growth;Health, Nutrition and Population;Poverty Reduction;Communities and Human Settlements</t>
  </si>
  <si>
    <t>Regional Economic Development;Transport Economics Policy &amp; Planning;Rural Poverty Reduction;Housing &amp; Human Habitats;Population Policies</t>
  </si>
  <si>
    <t>Not much on IP's per se.  It just focused on project affected people in general</t>
  </si>
  <si>
    <t>Environment;Urban Development;Rural Development;Finance and Financial Sector Development;Communities and Human Settlements</t>
  </si>
  <si>
    <t>Environmental Economics &amp; Policies;Common Property Resource Development;Housing &amp; Human Habitats;Banks &amp; Banking Reform;Urban Housing</t>
  </si>
  <si>
    <t>Nepal - Kabeli Corridor 132 kV Transmission Line Project : social management and entitlement framework</t>
  </si>
  <si>
    <t>NP-Kabeli Transmission Project -- P112893</t>
  </si>
  <si>
    <t>IPP475</t>
  </si>
  <si>
    <t>Some good information on laws relevant to land aquisition and resettlent in Nepal</t>
  </si>
  <si>
    <t>AFT: ESSD 1 (AFTS1)</t>
  </si>
  <si>
    <t>TF030568-CIDA GEF (GEN) CTF FY04 - ALL EXCEPT ECA COUNTRIES;TF040804-NAMIBIA: BIODIVERSITY CONSERVATION;TF029753-GEF2 PDF B - NAMIBIA : PREPARATION OF THE BIODIVERSITY CONSERVATION AND;TF038904-NAMIBIA - PREPARATION OF THE COASTAL BIODIVERSITY CONSERVATION AND MANA;TF030372-CIDA GEF (GEN) CTF FY03 - ALL EXCEPT ECA &amp; EAP COUNTRIES;TF040891-NAMIBIA: BIODIVERSITY CONSERVATION</t>
  </si>
  <si>
    <t>Rural Development</t>
  </si>
  <si>
    <t>Environmental Economics &amp; Policies;Land Use and Policies;Forestry;Agricultural Knowledge &amp; Information Systems;Rural Land Policies for Poverty Reduction</t>
  </si>
  <si>
    <t>Namibia - Integrated Community-Based Ecosystem Management (ICEMA) Project : indigenous peoples plan</t>
  </si>
  <si>
    <t>NA-Integrated Community-Based Ecosystem Management -- P073135</t>
  </si>
  <si>
    <t>IPP69</t>
  </si>
  <si>
    <t>01/28/2004</t>
  </si>
  <si>
    <t>Namibia</t>
  </si>
  <si>
    <t>TF026251-PHRD-SUSTAINABLE LIVELIHOODS PROJECT;TF038953-MONGOLIA - PREPARATION OF SUSTAINABLE LIVELIHOODS PROJECT</t>
  </si>
  <si>
    <t>Environment;Urban Development;Health, Nutrition and Population;Social Development</t>
  </si>
  <si>
    <t>Environmental Economics &amp; Policies;Voluntary and Involuntary Resettlement;Health Monitoring &amp; Evaluation;Community Development and Empowerment;Urban Housing</t>
  </si>
  <si>
    <t>Central government administration;Other social services;Micro- and SME finance;Animal production</t>
  </si>
  <si>
    <t>Mongolia - Sustainable Livelihoods Project : indigenous peoples plan</t>
  </si>
  <si>
    <t>MN-- Sustainable Livelihoods -- P067770</t>
  </si>
  <si>
    <t>s.n.</t>
  </si>
  <si>
    <t>IPP3</t>
  </si>
  <si>
    <t>03/31/2002</t>
  </si>
  <si>
    <t>Mongolia</t>
  </si>
  <si>
    <t>Gender;Health, Nutrition and Population;Poverty Reduction;Social Development;Education</t>
  </si>
  <si>
    <t>Poverty Assessment;Health Monitoring &amp; Evaluation;Educational Sciences;Community Development and Empowerment;Gender and Education</t>
  </si>
  <si>
    <t>No new info</t>
  </si>
  <si>
    <t>TF056905-PHRD: MONGOLIA - SUSTAINABLE LIVELIHOODS PROJECT II;TF030841-IRISH CTF FY07 - EASTERN EUROPE;TF030758-IRISH CTF FY06 - ASIA</t>
  </si>
  <si>
    <t>Other social services;Sub-national government administration;Micro- and SME finance;Animal production</t>
  </si>
  <si>
    <t>Mongolia - Sustainable Livelihoods (Phase II) Project : indigenous peoples plan</t>
  </si>
  <si>
    <t>MN-Sustainable Livelihoods Project II -- P096439</t>
  </si>
  <si>
    <t>Public Administration, Law, and Justice;Agriculture, fishing, and forestry;Health and other social services;Finance</t>
  </si>
  <si>
    <t>IPP207</t>
  </si>
  <si>
    <t>02/28/2007</t>
  </si>
  <si>
    <t>Repeated info on the Tsataan. Limited info on the Kazakh</t>
  </si>
  <si>
    <t>East Asia &amp; South Asia (LEGES)</t>
  </si>
  <si>
    <t>Judicial and other dispute resolution mechanisms;Legal services;Other rule of law;Personal and property rights</t>
  </si>
  <si>
    <t>Law and Development;Public Sector Development;Gender</t>
  </si>
  <si>
    <t>Public Sector Corruption &amp; Anticorruption Measures;Judicial System Reform;Gender and Law;Legal Institutions of the Market Economy</t>
  </si>
  <si>
    <t>Law and justice</t>
  </si>
  <si>
    <t>Mongolia - Enhanced Justice Sector Services Project : indigenous peoples plan</t>
  </si>
  <si>
    <t>MN-Enhanced Justice Sector Services Project - Mongolia -- P101446</t>
  </si>
  <si>
    <t>Public Administration, Law, and Justice</t>
  </si>
  <si>
    <t>IPP288</t>
  </si>
  <si>
    <t>04/22/2008</t>
  </si>
  <si>
    <t>Had some info on some Kazakh speaking people in Bayan-Ulgii Aimag.  Did not integrate the majority of it.</t>
  </si>
  <si>
    <t>China &amp; Mongolia Sustainable Dev (EASCS)</t>
  </si>
  <si>
    <t>TF054740-PHRD-MONGOLIA: INDEX BASED LIVESTOCK INSURANCE PROJECT;TF053738-PHRD-MONGOLIA: INDEX BASED LIVESTOCK INSURANCE PROJECT (IBLI);TF030699-DANISH CTF - FY05 (THEME - DAC PART 1 COUNTRIES GNP PER CAPITA BELOW US</t>
  </si>
  <si>
    <t>Natural disaster management;Other financial and private sector development;Regulation and competition policy;Rural services and infrastructure;Social analysis and monitoring</t>
  </si>
  <si>
    <t>Environment;Agriculture;Health, Nutrition and Population;Communities and Human Settlements</t>
  </si>
  <si>
    <t>Wildlife Resources;Livestock &amp; Animal Husbandry;Housing &amp; Human Habitats;;Population Policies</t>
  </si>
  <si>
    <t>Central government administration;General agriculture, fishing and forestry sector;Non-compulsory pensions, insurance and contractual savings</t>
  </si>
  <si>
    <t>Mongolia - Additional Financing for the Index-Based Livestock Insurance Project : indigenous peoples plan</t>
  </si>
  <si>
    <t>MN-Index Based Livestock Insurance Project Additional Financing -- P115119</t>
  </si>
  <si>
    <t>Public Administration, Law, and Justice;Agriculture, fishing, and forestry;Finance</t>
  </si>
  <si>
    <t>IPP339</t>
  </si>
  <si>
    <t>Good information on the Tsataan People</t>
  </si>
  <si>
    <t>TF021812-BNPP-ENVIRONMENT : ENVIRONMENTAL &amp; SOCIOECONOMIC IMPACT STUDY;TF040017-MEXICO - PROTECTED AREAS;TF050311-GEF2-MEXICO:CONSOLIDATION OF THE PROTECTED AREAS SYSTEM PROJECT;TF023379-GEF2 : MEXICO CONSOLIDATION OF THE PROTECTED AREAS PROGRAM (SINAP II);TF038474-MEXICO: CONSOLIDATION OF PROTECTED AREAS</t>
  </si>
  <si>
    <t>Central government administration;Other social services;Forestry</t>
  </si>
  <si>
    <t>Mexico - Consolidation of the Protected Areas System Project (GEF) : indigenous peoples development plan</t>
  </si>
  <si>
    <t>MX-Consolidation Of The Protected Areas System Project (Gef) -- P065988</t>
  </si>
  <si>
    <t>IPP6</t>
  </si>
  <si>
    <t>Mexico</t>
  </si>
  <si>
    <t>TF040889-MEXICO: MUNICIPAL DEVELOPMENT IN RURAL AREAS;TF026537-PHRD-MEXICO: MUNICIPAL DEVELOPMENT IN RURAL AREAS;TF038493-MEXICO: MUNICIPAL DEVELOPMENT IN RURAL AREAS</t>
  </si>
  <si>
    <t>Civil Society;National Governance;Banks &amp; Banking Reform;Municipal Financial Management;Community Development and Empowerment</t>
  </si>
  <si>
    <t>General water, sanitation and flood protection sector;Sub-national government administration;General industry and trade sector</t>
  </si>
  <si>
    <t>Mexico - Municipal Development in Rural Areas Project : indigenous peoples plan</t>
  </si>
  <si>
    <t>MX-Municipal Development In Rural Areas -- P060686</t>
  </si>
  <si>
    <t>IPP14</t>
  </si>
  <si>
    <t>Civil Society;Education and Society;National Governance;Community Development and Empowerment;Social Capital</t>
  </si>
  <si>
    <t>Housing construction;Roads and highways;Water supply;Sewerage;Housing finance and real estate markets</t>
  </si>
  <si>
    <t>Mexico - Decentralized Infrastructure Reform and Development Project : indigenous peoples plan</t>
  </si>
  <si>
    <t>MX-Decentralized Infrastructure Reform And Development Loan -- P080149</t>
  </si>
  <si>
    <t>Finance;Industry and trade;Transportation;Water, sanitation and flood protection</t>
  </si>
  <si>
    <t>IPP79</t>
  </si>
  <si>
    <t>TF026467-PHRD-MEXICO: FOREST RESOURCE DEVELOPMENT AND CONSERVATION PROJECT.;TF029527-PHRD-FORESTRY RESOUR.DEV.&amp; CONSER.(ORIG. REC-EXE. NOW BANK EXE);TF040950-MEXICO: POTENTIAL MARKET ECOTOURISM SERVICES IN OAXACA;TF029707-PHRD-FORESTRY RESOUR.DEV.&amp; CONSERV.(BANK-EXEC);TF030388-JAPAN CTF - FY03 GENERAL: LAC (ALL COUNTRIES IN LATIN AMERICA AND THE C</t>
  </si>
  <si>
    <t>Mexico - Second Community Forestry Project : indigenous peoples plan</t>
  </si>
  <si>
    <t>MX-Community Forestry II (Procymaf Ii) -- P035751</t>
  </si>
  <si>
    <t>IPP80</t>
  </si>
  <si>
    <t>11/17/2003</t>
  </si>
  <si>
    <t>Pre-primary education;Primary education;General public administration sector;Secondary education</t>
  </si>
  <si>
    <t>Mexico - Basic Education Development Program (Phase Three) Project : indigenous peoples plan</t>
  </si>
  <si>
    <t>MX-Basic Education Dev Phase III -- P085851</t>
  </si>
  <si>
    <t>Education;Public Administration, Law, and Justice</t>
  </si>
  <si>
    <t>IPP78</t>
  </si>
  <si>
    <t>03/24/2004</t>
  </si>
  <si>
    <t>Environmental Economics &amp; Policies;Banks &amp; Banking Reform;National Governance;Health Monitoring &amp; Evaluation;Health Economics &amp; Finance</t>
  </si>
  <si>
    <t>Adult literacy/non-formal education;General education sector</t>
  </si>
  <si>
    <t>Mexico - Lifelong Learning Project : indigenous peoples plan</t>
  </si>
  <si>
    <t>MX-Dropped-Mx Lifelong Learning Apl 1 -- P086058</t>
  </si>
  <si>
    <t>IPP96</t>
  </si>
  <si>
    <t>TF053339-PHRD-MEXICO: HIGHER EDUCATION FINANCING FOR INCLUSIVENESS AND COMPETITI</t>
  </si>
  <si>
    <t>Gender;Health, Nutrition and Population;Education</t>
  </si>
  <si>
    <t>Curriculum &amp; Instruction;Teaching and Learning;Girls Education;Health Monitoring &amp; Evaluation;Gender and Education</t>
  </si>
  <si>
    <t>General public administration sector;Secondary education;Tertiary education</t>
  </si>
  <si>
    <t>Mexico - Tertiary Education Student Assistance Project : indigenous peoples plan</t>
  </si>
  <si>
    <t>MX-(Apl I) Tertiary Educ Student Ass -- P085593</t>
  </si>
  <si>
    <t>IPP123</t>
  </si>
  <si>
    <t>TF053770-PHRD-MEXICO: ACCESS TO LAND FOR YOUNG FARMERS</t>
  </si>
  <si>
    <t>Mexico - Access to Land for Young Farmers Pilot Project : indigenous peoples plan</t>
  </si>
  <si>
    <t>MX-Access To Land For Young Farmers -- P088732</t>
  </si>
  <si>
    <t>IPP124</t>
  </si>
  <si>
    <t>06/15/2005</t>
  </si>
  <si>
    <t>TF053769-PHRD-MEXICO: QUALITY OF EDUCATION (PEC)</t>
  </si>
  <si>
    <t>Culture and Development;Gender;Education</t>
  </si>
  <si>
    <t>Primary Education;Teaching and Learning;Secondary Education;Cultural Heritage &amp; Preservation;Gender and Education</t>
  </si>
  <si>
    <t>Primary education;Secondary education</t>
  </si>
  <si>
    <t>Mexico - School-Based Management Program Project : indigenous peoples development plan</t>
  </si>
  <si>
    <t>MX-Mexico Education Quality -- P088728</t>
  </si>
  <si>
    <t>IPP145</t>
  </si>
  <si>
    <t>09/27/2005</t>
  </si>
  <si>
    <t>TF055086-GEF3 PDF B-MEXICO: ENVIRONMENTAL SERVICES OF THE FORESTPROJECT</t>
  </si>
  <si>
    <t>Environment;Agriculture;Public Sector Development;Education;Communities and Human Settlements</t>
  </si>
  <si>
    <t>Indigenous Communities;Environmental Management;Education for the Knowledge Economy;Government Diagnostic Capacity Building;Forestry Management</t>
  </si>
  <si>
    <t>Mexico - Environmental Services of the Forest (GEF) Project : indigenous peoples plan</t>
  </si>
  <si>
    <t>MX-Mexico Environmental Services Project -- P089171</t>
  </si>
  <si>
    <t>Government of Mexico</t>
  </si>
  <si>
    <t>IPP158</t>
  </si>
  <si>
    <t>TF053337-PHRD-MEXICO: FOREST ENVIRONMENTAL SERVICES PROJECT</t>
  </si>
  <si>
    <t>Agriculture;Culture and Development</t>
  </si>
  <si>
    <t>Agricultural Sector Economics;Crops &amp; Crop Management Systems;Indigenous Peoples;Cultural Heritage &amp; Preservation;Forestry Management</t>
  </si>
  <si>
    <t>General agriculture, fishing and forestry sector;Forestry</t>
  </si>
  <si>
    <t>Mexico - Environmental Services for the Forest Project : indigenous peoples plan</t>
  </si>
  <si>
    <t>MX-Environmental Services Project -- P087038</t>
  </si>
  <si>
    <t>IPP157</t>
  </si>
  <si>
    <t>TF030687-GERMAN CTF FY05 - ENVIRONMENT &amp; PUBLIC SECTOR MANAGEMENT</t>
  </si>
  <si>
    <t>Social Capital; Community Development and Empowerment; Urban Slums Upgrading; Technology Industry; Urban Services to the Poor</t>
  </si>
  <si>
    <t>General water, sanitation and flood protection sector;Roads and highways;General energy sector</t>
  </si>
  <si>
    <t>Mexico - Indigenous Communities Development Project : indigenous peoples plan</t>
  </si>
  <si>
    <t>MX-Mexico Indigenous Peoples Development Project -- P095323</t>
  </si>
  <si>
    <t>Energy and mining;Water, sanitation and flood protection;Transportation</t>
  </si>
  <si>
    <t>IPP163</t>
  </si>
  <si>
    <t>TF056206-BCF-MEXICO - LA VENTA II WIND;TF056319-SCF -LA VENTA II WIND FARM</t>
  </si>
  <si>
    <t>Environmental Economics &amp; Policies; Transport Economics Policy &amp; Planning; Energy Production and Transportation; Renewable Energy; Carbon Policy and Trading</t>
  </si>
  <si>
    <t>Mexico - Wind Umbrella (La Venta II) Carbon Finance Project : indigenous peoples plan</t>
  </si>
  <si>
    <t>MX-Mexico - Wind Umbrella -- P080104</t>
  </si>
  <si>
    <t>IPP175</t>
  </si>
  <si>
    <t>05/19/2006</t>
  </si>
  <si>
    <t>TF052918-GEF3 PDFB-MEXICO: GRID-SCALE RENEWABLE ENERGY DEVELOPMENT PROJECT;TF056781-GEF FSP-MEXICO: LARGE-SCALE RENEWABLE ENERGY DEVELOPMENT PROJECT</t>
  </si>
  <si>
    <t>Environmental Economics &amp; Policies; Environment and Energy Efficiency; Energy Production and Transportation; Energy and Environment; Renewable Energy</t>
  </si>
  <si>
    <t>Central government administration;Renewable energy;General finance sector</t>
  </si>
  <si>
    <t>Mexico - Large Scale Renewable Energy Development Project : indigenous peoples plan</t>
  </si>
  <si>
    <t>MX-Large-Scale Renewable Energy Development Project (Phase 1 = $25m; -- P077717</t>
  </si>
  <si>
    <t>Energy and mining;Public Administration, Law, and Justice;Finance</t>
  </si>
  <si>
    <t>IPP179</t>
  </si>
  <si>
    <t>TF090738-JAPAN CTF - FY08: ENERGY/MINING; TRANSPORTATION; AND WATER/SANITATION/F</t>
  </si>
  <si>
    <t>Other financial and private sector development</t>
  </si>
  <si>
    <t>Environment;Transport;Water Supply and Sanitation;Water Resources</t>
  </si>
  <si>
    <t>Environmental Economics &amp; Policies;Transport Economics Policy &amp; Planning;Water and Industry;Wastewater Treatment;Sanitation and Sewerage</t>
  </si>
  <si>
    <t>Information technology</t>
  </si>
  <si>
    <t>Mexico - Information Technology (IT) Industry Development Project : indigenous peoples plan</t>
  </si>
  <si>
    <t>MX-Information Technology Development -- P106589</t>
  </si>
  <si>
    <t>IPP299</t>
  </si>
  <si>
    <t>TF021812-BNPP-ENVIRONMENT : ENVIRONMENTAL &amp; SOCIOECONOMIC IMPACT STUDY;TF040017-MEXICO - PROTECTED AREAS;TF023379-GEF2 : MEXICO CONSOLIDATION OF THE PROTECTED AREAS PROGRAM (SINAP II);TF050311-GEF2-MEXICO:CONSOLIDATION OF THE PROTECTED AREAS SYSTEM PROJECT;TF038474-MEXICO: CONSOLIDATION OF PROTECTED AREAS</t>
  </si>
  <si>
    <t>Rural non-farm income generation;Environmental policies and institutions;Law reform;Other environment and natural resources management;Biodiversity;Participation and civic engagement</t>
  </si>
  <si>
    <t>Agriculture;Environment</t>
  </si>
  <si>
    <t>Environmental Economics &amp; Policies;Natural Resources Management;Agricultural Research;Environmental Management;Agricultural Knowledge &amp; Information Systems</t>
  </si>
  <si>
    <t>Mexico - Additional Financing for Consolidation of the Protected Areas System Project : Fourth Tranche</t>
  </si>
  <si>
    <t>MX-Supplemental Of Consolidation Of Protected Areas System Project Si -- P112327</t>
  </si>
  <si>
    <t>IPP306</t>
  </si>
  <si>
    <t>07/28/2008</t>
  </si>
  <si>
    <t>TF090643-MEXICO SUSTAINABLE RURAL DEVELOPMENT PROJECT</t>
  </si>
  <si>
    <t>Other rural development;Rural markets</t>
  </si>
  <si>
    <t>Environment;Energy;Communities and Human Settlements</t>
  </si>
  <si>
    <t>Energy Production and Transportation;Climate Change and Environment;Environmental Economics &amp; Policies;Energy and Environment;Housing &amp; Human Habitats</t>
  </si>
  <si>
    <t>Mexico - Proyecto de Desarrollo Rural Sustentable para el Fomento de las Fuentes Alternas de Energia en los Agronegocios que promuevan la Eficiencia Energetica en el sector agropecuario : estudio social</t>
  </si>
  <si>
    <t>MX-Sustainable Rural Development -- P106261</t>
  </si>
  <si>
    <t>FIRCO, Fideicomiso de Riesgo Compartido</t>
  </si>
  <si>
    <t>IPP309</t>
  </si>
  <si>
    <t>Other rural development;Climate change</t>
  </si>
  <si>
    <t>Environment;Energy;Industry</t>
  </si>
  <si>
    <t>Energy Production and Transportation;Environmental Economics &amp; Policies;Rural Energy;Technology Industry;Renewable Energy</t>
  </si>
  <si>
    <t>Mexico - GEF Sustainable Rural Development Project : indigenous peoples plan</t>
  </si>
  <si>
    <t>MX-Sustainable Rural Development-954051 -- P108766</t>
  </si>
  <si>
    <t>FIRCO Fideicomiso de Riesgo Compartido</t>
  </si>
  <si>
    <t>IPP322</t>
  </si>
  <si>
    <t>TF098119-Mexico: Scaling Up Nutrition;TF096356-Contigo Vamos Evaluation</t>
  </si>
  <si>
    <t>Health, Nutrition and Population;Education;Communities and Human Settlements</t>
  </si>
  <si>
    <t>Primary Education;Housing &amp; Human Habitats;Education For All;Health Monitoring &amp; Evaluation;Population Policies</t>
  </si>
  <si>
    <t>Mexico - Additional Financing for the Support to Oportunidades Project : indigenous peoples plan</t>
  </si>
  <si>
    <t>Additional Financing for the Support to Oportunidades</t>
  </si>
  <si>
    <t>IPP450</t>
  </si>
  <si>
    <t>Education;Communities and Human Settlements</t>
  </si>
  <si>
    <t>Primary Education;Access &amp; Equity in Basic Education;Teaching and Learning;Housing &amp; Human Habitats;Education For All</t>
  </si>
  <si>
    <t>Pre-primary education;Primary education;Secondary education</t>
  </si>
  <si>
    <t>Mexico - Compensatory Education Project : indigenous peoples plan</t>
  </si>
  <si>
    <t>MX-Compensatory Program -- P101369</t>
  </si>
  <si>
    <t>IPP392</t>
  </si>
  <si>
    <t>Curriculum &amp; Instruction;Teaching and Learning;Health Monitoring &amp; Evaluation;Gender and Education</t>
  </si>
  <si>
    <t>Managing for development results;Education for all;Participation and civic engagement</t>
  </si>
  <si>
    <t>Social Protections and Labor;Education</t>
  </si>
  <si>
    <t>Primary Education;Teaching and Learning;Access &amp; Equity in Basic Education;Education For All;Disability</t>
  </si>
  <si>
    <t>Mexico - School Based Management Project : indigenous peoples plan</t>
  </si>
  <si>
    <t>MX-School Based Management -- P115347</t>
  </si>
  <si>
    <t>IPP412</t>
  </si>
  <si>
    <t>01/25/2010</t>
  </si>
  <si>
    <t>Indigenous peoples;Health system performance;Social safety nets</t>
  </si>
  <si>
    <t>Law and Development;Health, Nutrition and Population</t>
  </si>
  <si>
    <t>Health Monitoring &amp; Evaluation;Health Systems Development &amp; Reform;Health Economics &amp; Finance;Health Law;Insurance Law</t>
  </si>
  <si>
    <t>Mexico - Support to the Social Protection System in Health Project : indigenous peoples plan</t>
  </si>
  <si>
    <t>MX-Social Protection System In Health -- P116226</t>
  </si>
  <si>
    <t>IPP413</t>
  </si>
  <si>
    <t>Mexico - Efficient Lighting and Appliances Project : indigenous peoples plan</t>
  </si>
  <si>
    <t>MX-Efficient Lighting And Appliances -- P106424</t>
  </si>
  <si>
    <t>IPP436</t>
  </si>
  <si>
    <t>6 0f 9</t>
  </si>
  <si>
    <t>03/13/2010</t>
  </si>
  <si>
    <t>Environment;Macroeconomics and Economic Growth;Energy</t>
  </si>
  <si>
    <t>Energy Production and Transportation;Environment and Energy Efficiency;Energy and Environment;Climate Change Mitigation and Green House Gases;Climate Change Economics</t>
  </si>
  <si>
    <t>Southeast Asia Sustainable Dev (EASTS)</t>
  </si>
  <si>
    <t>TF092899-MEKONG INTEGRATED WATER RESOURCES MANAGEMENT PROJECT - CAMBODIA;TF094554-(BETF) LAO PDR-STRENGTHEN THE IN-COUNTRY CAPACITY FOR DISASTER RECOVER-;TF092900-MEKONG INTEGRATED WATER RESOURCES MANAGEMENT PROJECT - LAO PDR;TF093266-LAO PDR: OPERATIONALIZING STRATEGIC PLAN FOR DIASTER MANAGEMENT (TRACK ;TF092901-MEKONG INTEGRATED WATER RESOURCES MANAGEMENT PROJECT - VIETNAM;TF095358-Cambodia: (RETF) Mainstreaming Flood and Drought Risk Mitigation in Eas;TF093109-HYDRO-AGRONOMIC-ECONOMIC MODEL FOR MEKONG RIVER BASIN AND LOCAL ADAPTAT;TF093258-Lao PDR: Operationalizing Strategic Plan for Diaster Management (Track ;TF094553-Lao PDR-Strengthen the in-country Capacity for Disaster Recovery Planni;TF094410-(BETF) LAO PDR-STRENGTHEN THE IN-COUNTRY CAPACITY FOR DISASTER RECOVERY;TF095359-Cambodia: Mainstreaming Flood and Drought Risk Mitigation in East Mekon</t>
  </si>
  <si>
    <t>Culture and Development;Health, Nutrition and Population;Social Development;Education</t>
  </si>
  <si>
    <t>Cultural Policy;Population Policies;Social Inclusion &amp; Institutions;Community Development and Empowerment;Educational Sciences</t>
  </si>
  <si>
    <t>Mekong - Integrated Water Resources Management Project : indigenous peoples plan</t>
  </si>
  <si>
    <t>4M-Mekong Integrated Water Resources Management -- P104806</t>
  </si>
  <si>
    <t>IPP445</t>
  </si>
  <si>
    <t>Mekong</t>
  </si>
  <si>
    <t>Culture and Development;Health, Nutrition and Population;Social Development;Rural Development;Communities and Human Settlements</t>
  </si>
  <si>
    <t>Housing &amp; Human Habitats;Population Policies;Community Development and Empowerment;Rural Development Knowledge &amp; Information Systems;Anthropology</t>
  </si>
  <si>
    <t>TF051121-PHRD-MADAGASCAR: THIRD ENVIRONMENT PROGRAM SUPPORT PROJECT;TF030460-FRENCH CTF FOR EXPERTISE - FY04 (AFRICA/AFTES/ENVIRONMENT &amp; NATURAL RES;TF053226-GEF3 FSP-MADAGASCAR:THIRD ENVIRONMENT PROGRAM SUPPORT PROJECT</t>
  </si>
  <si>
    <t>Renewable energy;Forestry</t>
  </si>
  <si>
    <t>Madagascar - Third Environment Program Support Project : indigenous peoples plan</t>
  </si>
  <si>
    <t>MG-Madagascar Third Environment Program Support Project -- P074236</t>
  </si>
  <si>
    <t>Ministere des Eaux et Forets et de l'Environnement</t>
  </si>
  <si>
    <t>IPP68</t>
  </si>
  <si>
    <t>10/30/2003</t>
  </si>
  <si>
    <t>French</t>
  </si>
  <si>
    <t>Madagascar</t>
  </si>
  <si>
    <t>Environment;Agriculture;Rural Development</t>
  </si>
  <si>
    <t>Environmental Economics &amp; Policies;Natural Resources Management;Environmental Management;Forestry;Agricultural Knowledge &amp; Information Systems</t>
  </si>
  <si>
    <t>TF026765-PHRD-LAO PDR: SUSTAINABLE FOREST MANAGEMENT (RECIPIENT-EXECUTED);TF025913-PHRD-SUSTAINABLE FOREST MANAGEMENT (BANK-EXECUTED);TF030356-AUSTRALIA CTF FY03 - MEKONG BASIN (CAMBODIA, LAOS, THAILAND AND VIETNAM</t>
  </si>
  <si>
    <t>Education and Society;Poverty Assessment;Forestry;Gender and Education;Educational Sciences</t>
  </si>
  <si>
    <t>Laos - Sustainable Forestry for Rural Development Project : ethnic group development plan</t>
  </si>
  <si>
    <t>LA-Sustainable Forestry For Rural Development Project -- P064886</t>
  </si>
  <si>
    <t>Ministry of Agriculture and Forestry</t>
  </si>
  <si>
    <t>IPP27</t>
  </si>
  <si>
    <t>Lao People's Democratic Republic</t>
  </si>
  <si>
    <t>Environmental Economics &amp; Policies;Climate Change and Environment;Poverty Monitoring &amp; Analysis;Banks &amp; Banking Reform;Municipal Financial Management</t>
  </si>
  <si>
    <t>Central government administration;Other social services;Sub-national government administration;General education sector;General transportation sector</t>
  </si>
  <si>
    <t>Laos - Poverty Reduction Fund Project : indigenous peoples plan</t>
  </si>
  <si>
    <t>LA-Poverty Reduction Fund -- P077326</t>
  </si>
  <si>
    <t>IPP13</t>
  </si>
  <si>
    <t>04/30/2002</t>
  </si>
  <si>
    <t>TF040905-LAO: LAND TITLING PROJECT II;TF030356-AUSTRALIA CTF FY03 - MEKONG BASIN (CAMBODIA, LAOS, THAILAND AND VIETNAM;TF050627-PHRD-LAO PEOPLE'S DEMOCRATIC REPUBLIC: LAND TITLING II PROJECT (RECIPIE;TF050715-PHRD-LAO PEOPLE'S DEMOCRATIC REPUBLIC: LAND TITLING II PROJECT (BANK EX;TF038629-LAOS: LAND TITLING PROJECT II;TF038956-LAOS - LAND TITLING PROJECT II - PREPARATION</t>
  </si>
  <si>
    <t>Education and Society;Banks &amp; Banking Reform;Municipal Financial Management;Urban Housing;Agricultural Knowledge &amp; Information Systems</t>
  </si>
  <si>
    <t>Laos - Second Land Titling Project : indigenous peoples plan</t>
  </si>
  <si>
    <t>LA-Second Land Titling Project -- P075006</t>
  </si>
  <si>
    <t>IPP54</t>
  </si>
  <si>
    <t>03/31/2003</t>
  </si>
  <si>
    <t>TF030356-AUSTRALIA CTF FY03 - MEKONG BASIN (CAMBODIA, LAOS, THAILAND AND VIETNAM;TF026344-PHRD-SECOND EDUCATION DEVELOPMENT PROJECT (RECIPIENT-EXECUTED)</t>
  </si>
  <si>
    <t>Primary Education;Curriculum &amp; Instruction;Education and Society;Gender and Education;Educational Sciences</t>
  </si>
  <si>
    <t>Laos - Second Education Development Project : indigenous peoples plan</t>
  </si>
  <si>
    <t>LA-Second Education Development Project -- P078113</t>
  </si>
  <si>
    <t>IPP50</t>
  </si>
  <si>
    <t>05/31/2003</t>
  </si>
  <si>
    <t>TF053320-PHRD-LAO PDR: SECOND ROAD MAINTENANCE PROJECT (APL)</t>
  </si>
  <si>
    <t>Poverty Monitoring &amp; Analysis;Environmental Economics &amp; Policies;Health Economics &amp; Finance;Community Development and Empowerment;ICT Policy and Strategies</t>
  </si>
  <si>
    <t>Lao - Road Maintenance Program (Phase Two) Project : indigenous peoples plan</t>
  </si>
  <si>
    <t>LA-Road Maintenance Program (Phase 2) -- P083543</t>
  </si>
  <si>
    <t>IPP90</t>
  </si>
  <si>
    <t>TF020484-BNPP-ENERGY : THE NETHERLANDS ALTERNATIVE ENERGY POLICY, ASIA ALTERNATI;TF052798-PHRD-LAO PDR: SOUTHERN PROVINCES RURAL ELECTRIFICATION II;TF050558-SCALING UP GREENHOUSE GAS MITIGATION IN ASIA: SUPPORT TO ASIA ALTERNATI</t>
  </si>
  <si>
    <t>Education and Society;Poverty Assessment;Educational Sciences;Gender and Education;ICT Policy and Strategies</t>
  </si>
  <si>
    <t>General public administration sector;Power</t>
  </si>
  <si>
    <t>Laos - The second southern provinces rural electrification Phase 1 Project (SPRE2) : indigenous people report</t>
  </si>
  <si>
    <t>LA-Rural Electrification Phase I Project Of The Rural Electrification -- P075531</t>
  </si>
  <si>
    <t>IPP93</t>
  </si>
  <si>
    <t>07/19/2004</t>
  </si>
  <si>
    <t>TF030622-IDA CONSULTANTS POOLED CTF - FY05;TF027156-PHRD-NAM THEUN 2 SOCIAL ENVIRONMENT PROJ. (BANK-EXEC.);TF036602-LAO PDR - THE NAM THEUN SOCIAL AND ENVIRONMENTAL PROJECT;TF027044-PHRD-NAM THEUN SOCIAL &amp; ENVIRON. PROJ.(RECIPIENT-EXEC.);TF035061-LAO P.D.R. - SOCIAL AND ENV. (NAM THEUN)</t>
  </si>
  <si>
    <t>Voluntary and Involuntary Resettlement;Municipal Housing and Land;Water Resources Assessment;Urban Housing;Land and Real Estate Development</t>
  </si>
  <si>
    <t>Laos - Nam Theun 2 Hydroelectric Project : Ethnic minority development plan</t>
  </si>
  <si>
    <t>LA-Nam Theun 2 Social And Environment Project -- P049290</t>
  </si>
  <si>
    <t>IPP101</t>
  </si>
  <si>
    <t>Water Conservation;Environmental Economics &amp; Policies;Poverty Monitoring &amp; Analysis;Water and Industry;Health Economics &amp; Finance</t>
  </si>
  <si>
    <t>Earth Sciences &amp; GIS;Environmental Economics &amp; Policies;Wetlands;Housing &amp; Human Habitats;Urban Housing</t>
  </si>
  <si>
    <t>Environmental Economics &amp; Policies;Voluntary and Involuntary Resettlement;Agricultural Research;Poverty Assessment;Health Economics &amp; Finance</t>
  </si>
  <si>
    <t>TF038742-LAO PEOPLES DEMOCRATIC REPUBLIC - RESEARCH - INTERNATIONAL ADVISORY GRO;TF040491-LAO PEOPLES DEMOCRATIC REPUBLIC: INTERNATIONAL ADVISORY GROUP FOR NAM ;TF038451-LAOS: NAM THEUN 2 PROJECT;TF040493-LAO PEOPLES DEMOCRATIC REPUBLIC: INTERNATIONAL ADVISORY GROUP FOR NAM T;TF038452-LAOS: NAM THEUN HYDROELECTRIC PROJECT</t>
  </si>
  <si>
    <t>Voluntary and Involuntary Resettlement;Municipal Housing and Land;Water Resources Assessment;Land and Real Estate Development;Urban Housing</t>
  </si>
  <si>
    <t>LA-Lao Nam Theun 2 Power Project (Former Was Under Pe-P004206-Len) -- P076445</t>
  </si>
  <si>
    <t>IPP100</t>
  </si>
  <si>
    <t>Environmental Economics &amp; Policies;Wetlands;Earth Sciences &amp; GIS;Housing &amp; Human Habitats;Urban Housing</t>
  </si>
  <si>
    <t>Water and Industry;Health Monitoring &amp; Evaluation;Roads &amp; Highways;Airports and Air Services;Engineering</t>
  </si>
  <si>
    <t>Information Technology;Information and Records Management;Transport Security;General Technology;Educational Technology and Distance Education</t>
  </si>
  <si>
    <t>Water Conservation;Environmental Economics &amp; Policies;Wetlands;Poverty Monitoring &amp; Analysis;Water and Industry</t>
  </si>
  <si>
    <t>Environmental Economics &amp; Policies;Poverty Monitoring &amp; Analysis;Poverty Assessment;Health Economics &amp; Finance;Agricultural Knowledge &amp; Information Systems</t>
  </si>
  <si>
    <t>Voluntary and Involuntary Resettlement;Human Migrations &amp; Resettlements;Housing &amp; Human Habitats;Health Economics &amp; Finance;Urban Housing</t>
  </si>
  <si>
    <t>Environmental Economics &amp; Policies;Municipal Housing and Land;Water Resources Assessment;Real Estate Development;Urban Housing</t>
  </si>
  <si>
    <t>TF050606-PHRD-LAO PEOPLE'S DEMOCRATIC REPUBLIC: SECOND HEALTH PROJECT(RECIPIENT-;TF026832-PHRD-LAO PEOPLE'S DEMOCRATIC REPUBLIC: SECOND HEALTH PROJECT(BANK-EXECU</t>
  </si>
  <si>
    <t>Poverty Assessment;Health Monitoring &amp; Evaluation;Educational Sciences;Gender and Education;ICT Policy and Strategies</t>
  </si>
  <si>
    <t>Central government administration;Health</t>
  </si>
  <si>
    <t>Lao Peoples Democratic Republic - Health Services Improvement Project : indigenous peoples development plan</t>
  </si>
  <si>
    <t>LA-Health Services Improvement Project -- P074027</t>
  </si>
  <si>
    <t>IPP89</t>
  </si>
  <si>
    <t>Environment;Urban Development;Water Resources;Finance and Financial Sector Development</t>
  </si>
  <si>
    <t>Wetlands;Environmental Economics &amp; Policies;Banks &amp; Banking Reform;Municipal Financial Management;TF054599-PHRD-KYRGYZ REPUBLIC: WATER MANAGEMENT IMPROVEMENT PROJECT</t>
  </si>
  <si>
    <t>Central government administration;Other social services;Sub-national government administration;Forestry;General education sector</t>
  </si>
  <si>
    <t>Lao People's Democratic Republic - Environment and Social Project : indigenous people's development plan</t>
  </si>
  <si>
    <t>LA-Lao Environment And Social Project -- P090693</t>
  </si>
  <si>
    <t>Education;Public Administration, Law, and Justice;Agriculture, fishing, and forestry;Health and other social services</t>
  </si>
  <si>
    <t>IPP144</t>
  </si>
  <si>
    <t>TF056737-PHRD-LAO PDR: AVIAN AND HUMAN INFLUENZA CONTROL AND PREPAREDNESS PROJEC;TF055558-PHRD STAFF GRANT PROGRAM - EMIKO NAKA;TF057185-AHI: AVIAN AND HUMAN INFLUENZA CONTROL AND PREPAREDNESS PROJECT IN LAO</t>
  </si>
  <si>
    <t>Access &amp; Equity in Basic Education;Education and Society;Population Policies;Gender and Education;Educational Sciences</t>
  </si>
  <si>
    <t>Health;Other social services;Animal production;Agricultural extension and research;General public administration sector</t>
  </si>
  <si>
    <t>Lao PDR - Avian and Human Influenza Control and Preparedness Emergency Project : ethnic group planning framework</t>
  </si>
  <si>
    <t>LA-Avian And Human Influenza Control And Preparedness Project -- P100081</t>
  </si>
  <si>
    <t>LAO PDR</t>
  </si>
  <si>
    <t>IPP203</t>
  </si>
  <si>
    <t>TF030769-NETHERLANDS (MDC) CONSULTANT TRUST FUND - FY06 - IDA ELIGIBLE COUNTRIES;TF090125-JAPAN CTF - FY07: GENERAL EAP (ALL COUNTRIES IN EAST ASIA AND PACIFIC/A;TF053944-BNPP-GENDER: GENDER MAINSTREAMING IN THE WORLD BANK &amp; INTERNATIONAL INI;TF090735-JAPAN CTF - FY08: GENERAL EAP (ALL COUNTRIES IN EAST ASIA AND PACIFIC/A;TF030633-DANISH CTF - FY05 (SECTOR - EDUCATION/WSF/L,J, PUBLIC ADMIN/ENV &amp; NATUR;TF055140-PHRD-LAO PDR: XEIBANGFAI RURAL LIVELIHOODS PROJECT</t>
  </si>
  <si>
    <t>Decentralization;Rural policies and institutions;Rural services and infrastructure</t>
  </si>
  <si>
    <t>Poverty Reduction;Social Development;Finance and Financial Sector Development;Communities and Human Settlements</t>
  </si>
  <si>
    <t>Poverty Monitoring &amp; Analysis;Access to Finance;Housing &amp; Human Habitats;;Social Accountability</t>
  </si>
  <si>
    <t>General agriculture, fishing and forestry sector;Sub-national government administration;Crops;Irrigation and drainage</t>
  </si>
  <si>
    <t>Laos - Khammouane Rural Livelihoods Project - indigenous peoples plan</t>
  </si>
  <si>
    <t>LA-Khammouane Development Project -- P087716</t>
  </si>
  <si>
    <t>IPP273</t>
  </si>
  <si>
    <t>02/18/2008</t>
  </si>
  <si>
    <t>Land administration and management;Other public sector governance;Biodiversity</t>
  </si>
  <si>
    <t>Urban Development;Social Development;Finance and Financial Sector Development;Communities and Human Settlements</t>
  </si>
  <si>
    <t>Access to Finance;Peri-Urban Communities;Housing &amp; Human Habitats;Rural Urban Linkages;Social Accountability</t>
  </si>
  <si>
    <t>Lao People's Democratic Republic - Second Sustainable Forestry for Rural Development Project : indigenous peoples plan</t>
  </si>
  <si>
    <t>LA-Sustainable Forestry For Rural Development II -- P108505</t>
  </si>
  <si>
    <t>IPP317</t>
  </si>
  <si>
    <t>TF090478-PHRD - LAO PDR - TRANSPORT SECTOR PROJECT</t>
  </si>
  <si>
    <t>Regional integration;Rural services and infrastructure;Infrastructure services for private sector development;Public expenditure, financial management and procurement</t>
  </si>
  <si>
    <t>Transport;Culture and Development;Health, Nutrition and Population;Finance and Financial Sector Development;Communities and Human Settlements</t>
  </si>
  <si>
    <t>Transport Economics Policy &amp; Planning;Access to Finance;Housing &amp; Human Habitats;Population Policies;Anthropology</t>
  </si>
  <si>
    <t>General transportation sector</t>
  </si>
  <si>
    <t>Lao People's Democratic Republic - Transport Sector Project : indigenous peoples plan</t>
  </si>
  <si>
    <t>LA-Road Sector -- P102398</t>
  </si>
  <si>
    <t>IPP343</t>
  </si>
  <si>
    <t>01/27/2009</t>
  </si>
  <si>
    <t>Health, Nutrition and Population;Social Development;Finance and Financial Sector Development;Communities and Human Settlements</t>
  </si>
  <si>
    <t>Access to Finance;Housing &amp; Human Habitats;Population Policies;Social Inclusion &amp; Institutions;Community Development and Empowerment</t>
  </si>
  <si>
    <t>02/15/2009</t>
  </si>
  <si>
    <t>Water resource management;Environmental policies and institutions;Biodiversity;Other social development;Participation and civic engagement</t>
  </si>
  <si>
    <t>Environment;Health, Nutrition and Population;Communities and Human Settlements</t>
  </si>
  <si>
    <t>Environmental Economics &amp; Policies;Housing &amp; Human Habitats;Environmental Governance;Biodiversity;Population Policies</t>
  </si>
  <si>
    <t>Lao People's Democratic Republic - Additional Financing for the Lao Environment and Social Project : indigenous peoples plan</t>
  </si>
  <si>
    <t>LA-Lao Environment And Social Project - Additional Financing -- P116734</t>
  </si>
  <si>
    <t>IPP375</t>
  </si>
  <si>
    <t>08/28/2009</t>
  </si>
  <si>
    <t>Education Sector Unit (EASHE)</t>
  </si>
  <si>
    <t>Primary Education;Access &amp; Equity in Basic Education;Housing &amp; Human Habitats;Education For All;Early Child and Children's Health</t>
  </si>
  <si>
    <t>Lao People's Democratic Republic - Additional Financing for the Second Education Development Project : indigenous peoples plan</t>
  </si>
  <si>
    <t>LA-Additional Financing Edp II -- P118494</t>
  </si>
  <si>
    <t>IPP389</t>
  </si>
  <si>
    <t>11/25/2009</t>
  </si>
  <si>
    <t>TF094825-Evaluating Demand-side Incentives and Community Mobilization to Expand ;TF095274-Lao People's Democratic Republic Community Nutrition Project;TF095139-Evaluating innovations to expand the uptake of preventive health servic;TF096027-Food Facility - Global Food Crisis Response Program (GFRP) Laos: Pillar</t>
  </si>
  <si>
    <t>Health, Nutrition and Population;Social Development;Communities and Human Settlements</t>
  </si>
  <si>
    <t>Housing &amp; Human Habitats;Health Monitoring &amp; Evaluation;Health Systems Development &amp; Reform;Population Policies;Community Development and Empowerment</t>
  </si>
  <si>
    <t>Lao People's Democratic Republic - Community Nutrition Project : ethnic group development framework</t>
  </si>
  <si>
    <t>LA-Community Nutrition Project -- P114863</t>
  </si>
  <si>
    <t>IPP454</t>
  </si>
  <si>
    <t>07/20/2010</t>
  </si>
  <si>
    <t>TF097998-Bank Operational Support to the Lao PDR Additional Financing for the Ru</t>
  </si>
  <si>
    <t>Education and Society;Housing &amp; Human Habitats;Population Policies;Social Inclusion &amp; Institutions;Community Development and Empowerment</t>
  </si>
  <si>
    <t>Lao People's Democratic Republic - Additional Financing of the First Phase Rural Electrification Project : indigenous peoples plan</t>
  </si>
  <si>
    <t>Lao PDR: AUSAID Grant Additional Financing of the Rural Electrificati</t>
  </si>
  <si>
    <t>IPP446</t>
  </si>
  <si>
    <t>Housing &amp; Human Habitats;Population Policies;Social Inclusion &amp; Institutions;Community Development and Empowerment;Educational Sciences</t>
  </si>
  <si>
    <t>TF098662-Global environment Facility (GEF) Additional Financing for the Lao PDR:</t>
  </si>
  <si>
    <t>Lao People's Democratic Republic - Second Phase of the Global Environment Facility (GEF) Rural Electrification Project : indigenous peoples plan</t>
  </si>
  <si>
    <t>LA-Gef Project: Lao Rural Electrification Apl Program Phase II -- P117177</t>
  </si>
  <si>
    <t>IPP470</t>
  </si>
  <si>
    <t>Library &amp; Archives ofDevelopment (ISGLA)</t>
  </si>
  <si>
    <t>TF054108-GEF3 PDF B - KENYA - GRANT AGREEMENT LAND MANAGEMENT</t>
  </si>
  <si>
    <t>Culture and Development;Health, Nutrition and Population;Rural Development</t>
  </si>
  <si>
    <t>Cultural Policy;Population Policies;Forestry;Cultural Heritage &amp; Preservation;Anthropology</t>
  </si>
  <si>
    <t>Agricultural extension and research</t>
  </si>
  <si>
    <t>Kenya - Agricultural Productivity and Sustainable Management Project : indigenous peoples plan</t>
  </si>
  <si>
    <t>KE-Kenya Agricultural Productivity And Sustainable Land Management Pr -- P088600</t>
  </si>
  <si>
    <t>IPP232</t>
  </si>
  <si>
    <t>01/20/2006</t>
  </si>
  <si>
    <t>Kenya</t>
  </si>
  <si>
    <t>AFT: ESSD 2 (AFTS2)</t>
  </si>
  <si>
    <t>TF030757-IRISH CTF FY06 - SUB-SAHARAN AFRICA;TF030797-JAPAN CTF - FY06 GENERAL: AFR (ALL COUNTRIES IN AFRICA/ALL SECTORS AND ;TF030807-JAPAN CTF - FY06 GENERAL: GENERAL</t>
  </si>
  <si>
    <t>Cultural Policy;Cultural Heritage &amp; Preservation;Population Policies;Forestry;Anthropology</t>
  </si>
  <si>
    <t>Forestry;Irrigation and drainage;Flood protection</t>
  </si>
  <si>
    <t>Kenya - Natural Resource Management project : indigenous peoples planning framework</t>
  </si>
  <si>
    <t>KE-Kenya - Natural Resource Management Project -- P095050</t>
  </si>
  <si>
    <t>Kai Schmidt-Soltau, Consultant for the Ministry of Water and Irrigation and the Ministry of Environment and Natural Resources</t>
  </si>
  <si>
    <t>IPP198</t>
  </si>
  <si>
    <t>TF053926-TFESSD SOCIAL WINDOW: ENHANCING SOCIAL ACCOUNTABILITY IN KENYA;TF054583-PHRD-KENYA: WESTERN KENYA FLOOD MITIGATION AND COMMUNITY DRIVEN DEVELOP;TF030757-IRISH CTF FY06 - SUB-SAHARAN AFRICA;TF056518-JSDF-KENYA: YOUTH DEVELOPMENT PROGRAM (BANK EXECUTED TF TO COVER INCREM;TF030797-JAPAN CTF - FY06 GENERAL: AFR (ALL COUNTRIES IN AFRICA/ALL SECTORS AND ;TF054482-TRANSBOUNDARY WATER RESOURCE MANAGEMENT - E. &amp; S. AFRICA;TF056517-JSDF-KENYA: YOUTH DEVELOPMENT PROGRAM</t>
  </si>
  <si>
    <t>General agriculture, fishing and forestry sector;General water, sanitation and flood protection sector;Other social services;Irrigation and drainage;Flood protection</t>
  </si>
  <si>
    <t>Kenya - Community-driven Development and Flood Mitigation Project : indigenous peoples plan</t>
  </si>
  <si>
    <t>KE-Western Kenya Cdd And Flood Mitigation Project -- P074106</t>
  </si>
  <si>
    <t>IPP199</t>
  </si>
  <si>
    <t>Cultural Policy;Forestry;Cultural Heritage &amp; Preservation;Population Policies;Anthropology</t>
  </si>
  <si>
    <t>08/27/2007</t>
  </si>
  <si>
    <t>AFT: Urban/Water Anglophone (AFTU1)</t>
  </si>
  <si>
    <t>Water Supply and Sanitation;Water Resources</t>
  </si>
  <si>
    <t>Water Conservation;Town Water Supply and Sanitation;Water and Industry;Water Supply and Sanitation Governance and Institutions;Water Supply and Systems</t>
  </si>
  <si>
    <t>Kenya - Water and Sanitation Service Improvement Project</t>
  </si>
  <si>
    <t>KE-Water And Sanitation Service Improvement Project -- P096367</t>
  </si>
  <si>
    <t>IPP249</t>
  </si>
  <si>
    <t>AFT: Agricultural &amp; Rural (AFTAR)</t>
  </si>
  <si>
    <t>Cultural Policy;Housing &amp; Human Habitats;Population Policies;Cultural Heritage &amp; Preservation;Anthropology</t>
  </si>
  <si>
    <t>Kenya - Agricultural Productivity and Agribusiness Project : indigenous peoples planning framework</t>
  </si>
  <si>
    <t>KE-Kenya Agricultural Productivity And Agribusiness Project -- P109683</t>
  </si>
  <si>
    <t>IPP349</t>
  </si>
  <si>
    <t>A good deal of information on the Ogiek and Sengwer.  I did not incorporate all of the info on the Wiki but I made a note about accessing the links for more info</t>
  </si>
  <si>
    <t>Education (AFTED)</t>
  </si>
  <si>
    <t>Primary Education;Access &amp; Equity in Basic Education;Education For All;Gender and Education</t>
  </si>
  <si>
    <t>Kenya - Additional Financing for the Education Sector Support Program Project for Basic Education Enhancement : indigenous peoples plan</t>
  </si>
  <si>
    <t>KE-Additional Financing Through The Kenya Education Sector Support Pr -- P110437</t>
  </si>
  <si>
    <t>IPP373</t>
  </si>
  <si>
    <t>Just a repeat of information</t>
  </si>
  <si>
    <t>TF090302-KENYA: GRANT FOR PREPARATION OF ADAPTATION TO CLIMATE CHANGE IN ARID L-;TF090301-KENYA: GRANT FOR PREPARATION OF ADAPTATION TO CLIMATE CHANGE IN ARID LA;TF058322-GEF PDF B - KENYA: GRANT FOR PREPARATION OF ADAPTATION TO CLIMATE CHANG;TF058323-GEF PDF B - KENYA: GRANT FOR PREPARATION OF ADAPTATION TO CLIMATE CHAN-</t>
  </si>
  <si>
    <t>Other environment and natural resources management;Climate change</t>
  </si>
  <si>
    <t>Housing &amp; Human Habitats;Water Supply and Sanitation Governance and Institutions;Population Policies;Community Development and Empowerment;Social Cohesion</t>
  </si>
  <si>
    <t>Kenya - Adaptation to Climate Change in Arid and Semi Arid Lands (KAACCAL) Project : indigenous peoples policy framework</t>
  </si>
  <si>
    <t>KE-Kenya: Adaptation To Climate Change In Arid And Semi-Arid Lands (K -- P091979</t>
  </si>
  <si>
    <t>IPP377</t>
  </si>
  <si>
    <t>Social Protection (AFTSP)</t>
  </si>
  <si>
    <t>Other social protection and risk management;Social safety nets</t>
  </si>
  <si>
    <t>Primary Education;Housing &amp; Human Habitats;Population Policies;Youth and Governance;Adolescent Health</t>
  </si>
  <si>
    <t>Kenya - Youth Empowerment Project : indigenous peoples policy framework</t>
  </si>
  <si>
    <t>KE-Kenya Youth Empowerment Program -- P111546</t>
  </si>
  <si>
    <t>IPP395</t>
  </si>
  <si>
    <t>Health, Nutrition &amp; Population (AFTHE)</t>
  </si>
  <si>
    <t>TF052104-PHRD-KENYA: HEALTH SECTOR WIDE APPROACH PROJECT;TF030468-DANISH CTF FY04 - AFRICA/HEALTH SECTOR (US $100,00 MINIMUM);TF090418-CAPACITY BUILDING OF RURAL TRADITIONAL HERBALISTS;TF054982-TF FOR COTERMINOUS APPOINTMENT OF A SENIOR HEALTH SPECIALIST TO THE KEN;TF055300-SIDA FUNDING OF A SR. HNP SPECIALIST - KENYA HEALTH SWAP PROJECT (DISBU;TF030730-SWEDEN CTF - FY06 (GENERAL - ALL COUNTRIES/SECTORS/THEMES);TF090490-CAPACITY BUILDING OF RURAL TRADITIONAL HERBALISTS;TF091823-PHRD - STAFF GRANTS PROGRAM - KANAKO YAMASHITA-ALLEN</t>
  </si>
  <si>
    <t>Housing &amp; Human Habitats;Health Monitoring &amp; Evaluation;Disease Control &amp; Prevention;Population Policies;Anthropology</t>
  </si>
  <si>
    <t>Kenya - Health Sector Reform Support Project : indigenous peoples plan</t>
  </si>
  <si>
    <t>KE-Health Sector Support-580437 -- P074091</t>
  </si>
  <si>
    <t>IPP431</t>
  </si>
  <si>
    <t>Little useful information.  It did contain a list of ethnic minority groups however</t>
  </si>
  <si>
    <t>AFT: Energy (AFTEG)</t>
  </si>
  <si>
    <t>Health system performance;Small and medium enterprise support;Rural services and infrastructure;Infrastructure services for private sector development;Education for the knowledge economy</t>
  </si>
  <si>
    <t>Kenya - Electricity Expansion Project : indigenous peoples planning framework</t>
  </si>
  <si>
    <t>KE-Energy Expansion -- P103037</t>
  </si>
  <si>
    <t>IPP404</t>
  </si>
  <si>
    <t>Nothing of any value.  Just a brief explanation of the term indigenous as it relates to Africa</t>
  </si>
  <si>
    <t>AFT: Environment &amp; NRM (AFTEN)</t>
  </si>
  <si>
    <t>TF090633-KENYA COASTAL DEVELOPMENT PROJECT</t>
  </si>
  <si>
    <t>Environment;Culture and Development;Health, Nutrition and Population;Communities and Human Settlements</t>
  </si>
  <si>
    <t>Environmental Economics &amp; Policies;Cultural Policy;Ecosystems and Natural Habitats;Housing &amp; Human Habitats;Population Policies</t>
  </si>
  <si>
    <t>Kenya - Coastal Development Project : indigenous peoples planning framework</t>
  </si>
  <si>
    <t>KE-Kenya Coastal Development Project -- P094692</t>
  </si>
  <si>
    <t>IPP443</t>
  </si>
  <si>
    <t>Some good info on a couple specific IP communities</t>
  </si>
  <si>
    <t>Culture and Development;Private Sector Development;Social Protections and Labor;Health, Nutrition and Population;Communities and Human Settlements</t>
  </si>
  <si>
    <t>Housing &amp; Human Habitats;Population Policies;E-Business;Disability;Anthropology</t>
  </si>
  <si>
    <t>Kenya - Additional Financing for Total War against HIV and AIDS (TOWA) Project : indigenous peoples planning framework</t>
  </si>
  <si>
    <t>KE-Total War Against HIV &amp; AIDS (TOWA) - Additional Financing</t>
  </si>
  <si>
    <t>IPP451</t>
  </si>
  <si>
    <t>10/28/2010</t>
  </si>
  <si>
    <t>Very little information, however there is a good table whish identifies several marginalized IP groups in certain Kenyan districts.  This has not been included in the Wiki.</t>
  </si>
  <si>
    <t>TF040296-INDONESIA - COMMUNITY-BASED DEVELOPMENT PROJECT</t>
  </si>
  <si>
    <t>Civil Society;Education and Society;Indigenous Peoples;Educational Sciences;Community Development and Empowerment</t>
  </si>
  <si>
    <t>Health;Roads and highways;Other social services;Sub-national government administration;General education sector</t>
  </si>
  <si>
    <t>Indonesia - Second Urban Poverty Project (UPP2) : indigenous peoples plan</t>
  </si>
  <si>
    <t>ID-Second Urban Poverty Project (Upp2) -- P072852</t>
  </si>
  <si>
    <t>(Historic)Urban Development</t>
  </si>
  <si>
    <t>IPP9</t>
  </si>
  <si>
    <t>Indonesia</t>
  </si>
  <si>
    <t>TF050430-PHRD-INDONESIA: IMPROVING DECENTRALIZED MANAGEMENT OF HEALTH WORK FORC-;TF040965-INDONESIA: HEALTH WORK FORCE AND SERVICES;TF030305-CANADIAN (GEN) CTF FY03 - EDUCATIONAL FOR ALL;TF026831-PHRD-INDONESIA: IMPROVING DECENTRALIZED MANAGEMENT OF HEALTH WORK FORCE;TF030308-CANADIAN (GEN) CTF FY03 - SOCIAL PROTECTION;TF040924-INDONESIA: HEALTH WORK FORCE AND SERVICES</t>
  </si>
  <si>
    <t>Housing &amp; Human Habitats;Gender and Health;Health Monitoring &amp; Evaluation;Health Systems Development &amp; Reform;Health Economics &amp; Finance</t>
  </si>
  <si>
    <t>Health;Central government administration;Sub-national government administration;Tertiary education</t>
  </si>
  <si>
    <t>Indonesia - Health Workforce and Services Project : indigenous peoples plan</t>
  </si>
  <si>
    <t>ID-Health Workforce &amp; Services (Php 3) -- P073772</t>
  </si>
  <si>
    <t>(Historic)Health, Nutrition &amp; Population</t>
  </si>
  <si>
    <t>IPP31</t>
  </si>
  <si>
    <t>01/31/2003</t>
  </si>
  <si>
    <t>TF037517-INDONESIA - IRRIGATION SECTOR;TF028712-IDF-VENEZUELA INST.DEV. IN SOCIAL SERV.;TF052124-INDONESIA WATER RESOURCES AND IRRIGATION SECTOR MANAGEMENT PROGRAM (WIS;TF037519-INDONESIA - IRRIGATION SECTOR;TF038595-INDONESIA - PREPARATION OF WATER RESOURCES MANAGEMENT PROGRAM;TF037518-INDONESIA - IRRIGATION SECTOR</t>
  </si>
  <si>
    <t>Poverty Monitoring &amp; Analysis;Civil Society;Water Supply and Sanitation Governance and Institutions;River Basin Management;Drought Management</t>
  </si>
  <si>
    <t>Indonesia - Water Resources and Irrigation Sector Management Program Project : indigenous peoples plan</t>
  </si>
  <si>
    <t>ID-Water Resources &amp; Irrigation Sector Management Program -- P059931</t>
  </si>
  <si>
    <t>IPP44</t>
  </si>
  <si>
    <t>04/22/2003</t>
  </si>
  <si>
    <t>Primary Education;Teaching and Learning;Curriculum &amp; Instruction;Community Development and Empowerment;Gender and Education</t>
  </si>
  <si>
    <t>Water supply;Roads and highways;Sub-national government administration;Primary education;Irrigation and drainage</t>
  </si>
  <si>
    <t>Indonesia - Third Kecamatan Development Project : indigenous peoples plan</t>
  </si>
  <si>
    <t>ID-Third Kecamatan Development Project -- P079156</t>
  </si>
  <si>
    <t>IPP41</t>
  </si>
  <si>
    <t>04/30/2003</t>
  </si>
  <si>
    <t>TF026836-PHRD-INDONESIA: URBAN LOCAL GOVERNANCE REFORM PROJECT;TF030330-JAPAN CTF FY03 - GENERAL;TF030484-JAPAN CTF - FY04 GENERAL: EAP (ALL COUNTRIES IN EAST ASIA AND PACIFIC/A;TF053555-PHRD-INDONESIA: URBAN SECTOR DEVELOPMENT AND REFORM PROJECT;TF030386-JAPAN CTF - FY03 GENERAL: EAP (ALL COUNTRIES IN EAST ASIA AND PACIFIC/A;TF030429-SINGAPORE CTF FY04 - GENERAL;TF030435-NETHERLANDS (MDC) CONSULTANT TRUST FUND - FY04 - IDA ELIGIBLE COUNTRIES</t>
  </si>
  <si>
    <t>City Development Strategies;Poverty Assessment;Urban Housing and Land Settlements;National Urban Development Policies &amp; Strategies;TF054599-PHRD-KYRGYZ REPUBLIC: WATER MANAGEMENT IMPROVEMENT PROJECT</t>
  </si>
  <si>
    <t>General water, sanitation and flood protection sector;Sub-national government administration;General transportation sector</t>
  </si>
  <si>
    <t>Indonesia - Urban Sector Development and Reform Project : indigenous peoples plan</t>
  </si>
  <si>
    <t>ID-Urban Sector Development And Reform Project -- P071296</t>
  </si>
  <si>
    <t>Public Administration, Law, and Justice;Transportation;Water, sanitation and flood protection</t>
  </si>
  <si>
    <t>IPP91</t>
  </si>
  <si>
    <t>Bahasa (Indonesian)</t>
  </si>
  <si>
    <t>Banks &amp; Banking Reform;Poverty Assessment;Health Economics &amp; Finance;TF054599-PHRD-KYRGYZ REPUBLIC: WATER MANAGEMENT IMPROVEMENT PROJECT;Development Economics &amp; Aid Effectiveness</t>
  </si>
  <si>
    <t>Environmental Economics &amp; Policies;City Development Strategies;Business in Development;Banks &amp; Banking Reform;Business Environment</t>
  </si>
  <si>
    <t>Environmental Economics &amp; Policies;Voluntary and Involuntary Resettlement;Housing &amp; Human Habitats;Banks &amp; Banking Reform;Urban Housing</t>
  </si>
  <si>
    <t>General water, sanitation and flood protection sector;Other social services;Sub-national government administration;Micro- and SME finance;General transportation sector</t>
  </si>
  <si>
    <t>Indonesia - Third Urban Poverty Project : Indigenous Peoples Plan</t>
  </si>
  <si>
    <t>ID-Third Urban Poverty Project -- P084583</t>
  </si>
  <si>
    <t>Public Administration, Law, and Justice;Health and other social services;Finance;Transportation;Water, sanitation and flood protection</t>
  </si>
  <si>
    <t>IPP76</t>
  </si>
  <si>
    <t>Urban Water Supply and Sanitation;Hygiene Promotion and Social Marketing;Town Water Supply and Sanitation;Water Supply and Sanitation Governance and Institutions;Health and Sanitation</t>
  </si>
  <si>
    <t>Indonesia - Urban Water and Sanitation Improvement and Expansion Project : indigenous peoples plan</t>
  </si>
  <si>
    <t>ID-Urban Water And Sanitation Improvement And Expansion Project -- P084872</t>
  </si>
  <si>
    <t>IPP81</t>
  </si>
  <si>
    <t>04/16/2004</t>
  </si>
  <si>
    <t>TF030620-NETHERLANDS (MDC) CONSULTANT TRUST FUND - FY05 - IDA ELIGIBLE COUNTRIES</t>
  </si>
  <si>
    <t>Gender;Social Development;Education</t>
  </si>
  <si>
    <t>Primary Education;Education and Society;Community Development and Empowerment;Educational Sciences;Gender and Education</t>
  </si>
  <si>
    <t>Pre-primary education</t>
  </si>
  <si>
    <t>Indonesia - Early Childhood Education and Development Project : indigenous peoples plan</t>
  </si>
  <si>
    <t>ID-Early Childhood Education And Development Project -- P089479</t>
  </si>
  <si>
    <t>IPP167</t>
  </si>
  <si>
    <t>TF030314-DANISH CTF GENERAL FY03 - (ALL EXCEPT SUB-SAHARAN AFRICA)</t>
  </si>
  <si>
    <t>Roads and highways;Sub-national government administration;Aviation;Ports, waterways and shipping</t>
  </si>
  <si>
    <t>Indonesia - Second Eastern Indonesia Region Transport Project : indigenous peoples plan</t>
  </si>
  <si>
    <t>ID-Second Eastern Indonesia Region Transport Project -- P074290</t>
  </si>
  <si>
    <t>IPP213</t>
  </si>
  <si>
    <t>11/21/2006</t>
  </si>
  <si>
    <t>Environment;Culture and Development;Rural Development</t>
  </si>
  <si>
    <t>Wildlife Resources;Cultural Policy;Common Property Resource Development;Forestry</t>
  </si>
  <si>
    <t>Indonesia - Partnerships for Conservation Management of Aketajawe Lolobata National Park, North Maluku : indigenous peoples plan</t>
  </si>
  <si>
    <t>ID-Partnerships For Conservation Management Of Aketajawe-Lolobata Nat -- P098308</t>
  </si>
  <si>
    <t>BirdLife Indonesia</t>
  </si>
  <si>
    <t>IPP170</t>
  </si>
  <si>
    <t>02/15/2007</t>
  </si>
  <si>
    <t>Primary Education;Teaching and Learning;Tertiary Education;Education For All;Gender and Education</t>
  </si>
  <si>
    <t>General education sector</t>
  </si>
  <si>
    <t>Indonesia - Better Education and Reformed Management for Universal Teacher Upgrading (BERMUTU) : Framework for treatment of indigenous or isolated vulnerable peoples</t>
  </si>
  <si>
    <t>ID-Bermutu-Better Education Through Reformed Management And Universal -- P097104</t>
  </si>
  <si>
    <t>IPP222</t>
  </si>
  <si>
    <t>Indonesia Sustainable Devlpmnt (EASIS)</t>
  </si>
  <si>
    <t>Other urban development</t>
  </si>
  <si>
    <t>Environment;Urban Development;Rural Development;Communities and Human Settlements</t>
  </si>
  <si>
    <t>Environmental Economics &amp; Policies;Common Property Resource Development;Housing &amp; Human Habitats;Urban Slums Upgrading;Urban Housing</t>
  </si>
  <si>
    <t>Health;Other social services;Roads and highways;Sub-national government administration;General education sector</t>
  </si>
  <si>
    <t>Indonesia - National Program for Community Empowerment in Urban Areas : indigeneous peoples plan</t>
  </si>
  <si>
    <t>ID-National Program For Community Empowerment In Urban Areas (Pnpm Up -- P096921</t>
  </si>
  <si>
    <t>Education;Public Administration, Law, and Justice;Health and other social services;Transportation</t>
  </si>
  <si>
    <t>IPP275</t>
  </si>
  <si>
    <t>Conflict and Development;Transport;Public Sector Development;Finance and Financial Sector Development</t>
  </si>
  <si>
    <t>Public Sector Corruption &amp; Anticorruption Measures;Transport Economics Policy &amp; Planning;Access to Finance;Debt Markets;Post Conflict Reconstruction</t>
  </si>
  <si>
    <t>TF091312-JSDF - INDONESIA: IMPROVING FOOD SECURITY BY EMPOWERING POOR WOMEN (REC;TF090483-JSDF-INDONESIA: IMPROVING FOOD SECURITY BY EMPOWERING POOR WOMEN</t>
  </si>
  <si>
    <t>Decentralization;Rural policies and institutions;Rural services and infrastructure;Social safety nets;Participation and civic engagement</t>
  </si>
  <si>
    <t>Culture and Development;Health, Nutrition and Population;Social Development;Finance and Financial Sector Development;Communities and Human Settlements</t>
  </si>
  <si>
    <t>Access to Finance;Housing &amp; Human Habitats;Population Policies;Community Development and Empowerment;Anthropology</t>
  </si>
  <si>
    <t>Roads and highways;Sub-national government administration;Water supply;Primary education;Irrigation and drainage</t>
  </si>
  <si>
    <t>National Program for Community Empowerment in Rural Areas (PNPM-RURAL) : indigenous peoples plan</t>
  </si>
  <si>
    <t>ID-National Program For Community Empowerment In Rural Areas -- P105002</t>
  </si>
  <si>
    <t>Education;Public Administration, Law, and Justice;Agriculture, fishing, and forestry;Transportation;Water, sanitation and flood protection</t>
  </si>
  <si>
    <t>IPP285</t>
  </si>
  <si>
    <t>04/15/2008</t>
  </si>
  <si>
    <t>Public Sector Development;Gender;Social Development;Rural Development</t>
  </si>
  <si>
    <t>Public Sector Corruption &amp; Anticorruption Measures;Common Property Resource Development;Voluntary and Involuntary Resettlement;Gender and Law;Rural Development Knowledge &amp; Information Systems</t>
  </si>
  <si>
    <t>Indonesia - Second National Program for Community Empowerment in Rural Areas Project : indigenous peoples plan - additional funding</t>
  </si>
  <si>
    <t>ID-Second National Program For Community Empowerment In Rural Areas A -- P108757</t>
  </si>
  <si>
    <t>IPP328</t>
  </si>
  <si>
    <t>12/19/2008</t>
  </si>
  <si>
    <t>Financial &amp; Private Sector Unit (EASFP)</t>
  </si>
  <si>
    <t>Other financial and private sector development;Infrastructure services for private sector development</t>
  </si>
  <si>
    <t>Environment;Public Sector Development;Urban Development;Finance and Financial Sector Development;Communities and Human Settlements</t>
  </si>
  <si>
    <t>Environmental Economics &amp; Policies;Banks &amp; Banking Reform;Urban Slums Upgrading;Urban Services to the Poor;Public Sector Economics</t>
  </si>
  <si>
    <t>Indonesia - Infrastructure Finance Facility Project : indigenous peoples plan</t>
  </si>
  <si>
    <t>ID-Indonesia Infrastructure Finance Facility -- P092218</t>
  </si>
  <si>
    <t>IPP361</t>
  </si>
  <si>
    <t>05/27/2009</t>
  </si>
  <si>
    <t>Access to urban services and housing;Municipal governance and institution building;Other urban development;Participation and civic engagement</t>
  </si>
  <si>
    <t>Education and Society;Housing &amp; Human Habitats;Social Inclusion &amp; Institutions;Community Development and Empowerment;Educational Sciences</t>
  </si>
  <si>
    <t>Health;General water, sanitation and flood protection sector;Other social services;Sub-national government administration;General transportation sector</t>
  </si>
  <si>
    <t>Indonesia - Second National Program for Community Empowerment in Urban Areas Project : indigenous peoples plan</t>
  </si>
  <si>
    <t>ID-National Program For Community Empowerment In Urban Areas -- P118113</t>
  </si>
  <si>
    <t>Public Administration, Law, and Justice;Health and other social services;Transportation;Water, sanitation and flood protection</t>
  </si>
  <si>
    <t>IPP415</t>
  </si>
  <si>
    <t>02/19/2010</t>
  </si>
  <si>
    <t>Urban Development;Health, Nutrition and Population;Social Development;Communities and Human Settlements</t>
  </si>
  <si>
    <t>Housing &amp; Human Habitats;Population Policies;Community Development and Empowerment;Social Accountability;Rural Urban Linkages</t>
  </si>
  <si>
    <t>Indonesia - Third National Community Empowerment Program in Rural Areas Project : indigenous peoples plan</t>
  </si>
  <si>
    <t>ID-Third National Program For Community Empowerment In Rural Areas (P -- P115052</t>
  </si>
  <si>
    <t>IPP418</t>
  </si>
  <si>
    <t>Primary Education;Access &amp; Equity in Basic Education;Housing &amp; Human Habitats;Education For All;Population Policies</t>
  </si>
  <si>
    <t>Adult literacy/non-formal education;Vocational training</t>
  </si>
  <si>
    <t>Indonesia - Third Life Skills Education for Employment and Entrepreneurship (LSE3) Project : indigenous peoples planning framework (IPPF)</t>
  </si>
  <si>
    <t>ID-Life Skills Education For Employment And Entrepreneurship (Lse3) -- P100763</t>
  </si>
  <si>
    <t>IPP438</t>
  </si>
  <si>
    <t>07/23/2010</t>
  </si>
  <si>
    <t>TF056198-ACEH FOREST AND ENVIRONMENT PROJECT (FFI);TF056197-ACEH FOREST AND ENVIRONMENT PROJECT (LEUSER)</t>
  </si>
  <si>
    <t>Environment;Social Development;Rural Development;Communities and Human Settlements</t>
  </si>
  <si>
    <t>Wildlife Resources;Climate Change and Environment;Housing &amp; Human Habitats;Forestry;Community Development and Empowerment</t>
  </si>
  <si>
    <t>Indonesia - Integrating Environment and Forest Protection into the Recovery and Future Development of Aceh Project : indigenous peoples planning framework</t>
  </si>
  <si>
    <t>ID-Integrating Environment And Forest Protection Into The Recovery An -- P098052</t>
  </si>
  <si>
    <t>IPP447</t>
  </si>
  <si>
    <t>09/28/2010</t>
  </si>
  <si>
    <t>Environment;Water Supply and Sanitation;Rural Development;Communities and Human Settlements</t>
  </si>
  <si>
    <t>Environmental Economics &amp; Policies;Common Property Resource Development;Housing &amp; Human Habitats;Water Supply and Sanitation Governance and Institutions;Rural Development Knowledge &amp; Information Systems</t>
  </si>
  <si>
    <t>Indonesia - Second Water Resources and Irrigation Sector Management Project : indigenous peoples plan</t>
  </si>
  <si>
    <t>4E-Water Resources And Irrigation Sector Management Project 2 -- P114348</t>
  </si>
  <si>
    <t>IPP459</t>
  </si>
  <si>
    <t>Water Conservation;Town Water Supply and Sanitation;Water and Industry;Water Supply and Sanitation Governance and Institutions;Health Economics &amp; Finance</t>
  </si>
  <si>
    <t>Water supply;General water, sanitation and flood protection sector;Other social services;Sub-national government administration;Sanitation</t>
  </si>
  <si>
    <t>India - Second Karnataka Rural Water Supply and Sanitation Project : indigenous peoples development plan</t>
  </si>
  <si>
    <t>IN-Second Karnataka Rural Water Supply And Sanitation Project -- P050653</t>
  </si>
  <si>
    <t>IPP1</t>
  </si>
  <si>
    <t>India</t>
  </si>
  <si>
    <t>Environmental Economics &amp; Policies;National Governance;Health Monitoring &amp; Evaluation;Forestry;Community Development and Empowerment</t>
  </si>
  <si>
    <t>India - Andhra Pradesh Community Forest Management Project : indigenous peoples plan</t>
  </si>
  <si>
    <t>IN-Andhra Pradesh Community Forest Management Project -- P073094</t>
  </si>
  <si>
    <t>IPP7</t>
  </si>
  <si>
    <t>02/21/2002</t>
  </si>
  <si>
    <t>TF026436-PHRD-INDIA: KARNATAKA COMMUNITY BASED TANK IMPROVEMENT PROJECT C</t>
  </si>
  <si>
    <t>Urban Development</t>
  </si>
  <si>
    <t>Agricultural Research;Housing &amp; Human Habitats;Forestry;Agricultural Knowledge &amp; Information Systems;Urban Housing</t>
  </si>
  <si>
    <t>General agriculture, fishing and forestry sector;Sub-national government administration;Other social services;Law and justice;Irrigation and drainage</t>
  </si>
  <si>
    <t>India - Karnataka Community Based Tank Management Project : indigenous peoples development plan</t>
  </si>
  <si>
    <t>IN-Karnataka Community-Based Tank Management Project -- P071033</t>
  </si>
  <si>
    <t>IPP5</t>
  </si>
  <si>
    <t>Primary Education;Curriculum &amp; Instruction;Teaching and Learning;Girls Education;Gender and Education</t>
  </si>
  <si>
    <t>Central government administration;Tertiary education</t>
  </si>
  <si>
    <t>India - Engineering and Technical Education Quality Improvement Program Project : indigenous peoples plan</t>
  </si>
  <si>
    <t>IN-Technical/Engineering Education Quality Improvement Project -- P072123</t>
  </si>
  <si>
    <t>National Project Implementation Unit</t>
  </si>
  <si>
    <t>IPP18</t>
  </si>
  <si>
    <t>TF026723-PHRD-INDIA: ANDHRA PRADESH RURAL POVERTY REDUCTION PROJECT</t>
  </si>
  <si>
    <t>Environmental Economics &amp; Policies;Poverty Assessment;Health Monitoring &amp; Evaluation;Health Economics &amp; Finance;Agricultural Knowledge &amp; Information Systems</t>
  </si>
  <si>
    <t>Other social services;Sub-national government administration;General agriculture, fishing and forestry sector</t>
  </si>
  <si>
    <t>India - Andhra Pradesh Rural Poverty Reduction Project : indigenous peoples plan</t>
  </si>
  <si>
    <t>IN-Andhra Pradesh Rural Poverty Reduction Project -- P071272</t>
  </si>
  <si>
    <t>Society for Elimination of Rural Poverty</t>
  </si>
  <si>
    <t>IPP21</t>
  </si>
  <si>
    <t>09/30/2002</t>
  </si>
  <si>
    <t>Environment;Agriculture;Governance;Health, Nutrition and Population;Rural Development</t>
  </si>
  <si>
    <t>Environmental Economics &amp; Policies;National Governance;Health Monitoring &amp; Evaluation;Forestry;Agricultural Knowledge &amp; Information Systems</t>
  </si>
  <si>
    <t>India - Chhattisgarh District Rural Poverty Project : tribal development strategy</t>
  </si>
  <si>
    <t>IN-Chhattisgarh District Rural Poverty Reduction Project -- P076467</t>
  </si>
  <si>
    <t>Department of Panchayati Raj and Rural Development</t>
  </si>
  <si>
    <t>IPP28</t>
  </si>
  <si>
    <t>11/23/2002</t>
  </si>
  <si>
    <t>TF051901-PHRD-INDIA: MAHARASHTRA RURAL WATER SUPPLY AND SANITATION PROJECT (RWSS;TF026724-PHRD-INDIA: SECOND MAHARASTRA RURAL WATER SUPPLY AND ENVIRONMENTAL SANI</t>
  </si>
  <si>
    <t>Town Water Supply and Sanitation;Water and Industry;Water Supply and Sanitation Governance and Institutions;Poverty Assessment;Health Economics &amp; Finance</t>
  </si>
  <si>
    <t>India - Maharashtra Rural Water Supply and Sanitation Project : indigenous peoples plan</t>
  </si>
  <si>
    <t>IN-Maharashtra Rural Water Supply And Sanitation "Jalswarajya" Projec -- P073369</t>
  </si>
  <si>
    <t>IPP47</t>
  </si>
  <si>
    <t>04/15/2003</t>
  </si>
  <si>
    <t>Regional Rural Development;Housing &amp; Human Habitats;Health Monitoring &amp; Evaluation;Health Systems Development &amp; Reform;Health Economics &amp; Finance</t>
  </si>
  <si>
    <t>India - Rajasthan Health Systems Development Project : indigenous peoples plan</t>
  </si>
  <si>
    <t>IN-Rajasthan Health Systems Development Project -- P050655</t>
  </si>
  <si>
    <t>IPP46</t>
  </si>
  <si>
    <t>Housing &amp; Human Habitats;Gender and Health;Health Monitoring &amp; Evaluation;Health Systems Development &amp; Reform;Agricultural Knowledge &amp; Information Systems</t>
  </si>
  <si>
    <t>Health;Central government administration;Sub-national government administration;Other industry;Information technology</t>
  </si>
  <si>
    <t>India - Integrated Disease Surveillance Project : indigenous peoples plan</t>
  </si>
  <si>
    <t>IN-Integrated Disease Surveillance Project -- P073651</t>
  </si>
  <si>
    <t>IPP45</t>
  </si>
  <si>
    <t>Macroeconomics and Economic Growth;Information and Communication Technologies;Rural Development;Education</t>
  </si>
  <si>
    <t>Knowledge Economy;Information Technology;Education for the Knowledge Economy;General Technology;Sustainable Land and Crop Management</t>
  </si>
  <si>
    <t>India - Mizoram State Roads Project (Phase II) : indigenous peoples plan</t>
  </si>
  <si>
    <t>IN-Mizoram State Roads Project -- P069889</t>
  </si>
  <si>
    <t>LEA Associates South Asia Pvt. Ltd.</t>
  </si>
  <si>
    <t>IPP57</t>
  </si>
  <si>
    <t>Environment;Transport;Urban Development;Communities and Human Settlements</t>
  </si>
  <si>
    <t>Environmental Economics &amp; Policies;Housing &amp; Human Habitats;Municipal Housing and Land;Roads &amp; Highways;Urban Housing</t>
  </si>
  <si>
    <t>TF026362-PHRD-STATE/DISTRICT ELEMENTARY EDUCATION PROJECT;TF030494-JAPAN CTF FY04 GENERAL: SAR (ALL COUNTRIES IN SOUTH ASIA/ALL SECTORS AN;TF026950-NATIONAL FORESTRY DEVELOP. &amp; CONSERV.</t>
  </si>
  <si>
    <t>India - Elementary Education Project : indigenous peoples plan</t>
  </si>
  <si>
    <t>IN-Elementary Education Project -- P055459</t>
  </si>
  <si>
    <t>IPP70</t>
  </si>
  <si>
    <t>01/15/2004</t>
  </si>
  <si>
    <t>TF030464-IRISH CTF FY04 - EAST ASIA &amp; PACIFIC;TF030571-IDA CONSULTANTS POOLED CTF - FY04;TF052506-IDA CONSULTANTS POOLED CTF</t>
  </si>
  <si>
    <t>Livestock &amp; Animal Husbandry;Agricultural Research;Crops &amp; Crop Management Systems;Drylands &amp; Desertification;Forestry</t>
  </si>
  <si>
    <t>General agriculture, fishing and forestry sector;Animal production;Crops</t>
  </si>
  <si>
    <t>India - Uttaranchal Decentralized Watershed Development Project : indigenous peoples plan</t>
  </si>
  <si>
    <t>IN-Uttaranchal Decentralized Watershed Development Project -- P078550</t>
  </si>
  <si>
    <t>Watershed Management Directorate</t>
  </si>
  <si>
    <t>IPP71</t>
  </si>
  <si>
    <t>02/21/2004</t>
  </si>
  <si>
    <t>TF052830-JSDF-INDIA: PILOT PROJECTS ON PANCHAYAT DECENTRALIZATION;TF052831-JSDF-INDIA: PILOT PROJECTS ON PANCHAYAT DECENTRALIZATION (BK-EXE TO COV;TF052880-JSDF-INDIA: PILOT PROJECTS ON PANCHAYAT DECENTRALIZATION;TF052881-JSDF-INDIA: PILOT PROJECTS ON PANCHAYAT DECENTRALIZATION(BANK-EXE TF FO;TF051479-UK-DFID AND WORLD BANK PARTNERSHIP FOR INDIA - SASRD;TF030475-DANISH CTF FY04 - SOCIAL DEVELOPMENT, GENDER &amp; INCLUSION THEME/ALL COUN;TF053162-PHRD-INDIA: TAMIL NADU EMPOWERMENT AND POVERTY REDUCTION;TF030435-NETHERLANDS (MDC) CONSULTANT TRUST FUND - FY04 - IDA ELIGIBLE COUNTRIES</t>
  </si>
  <si>
    <t>Regional Rural Development;Poverty Monitoring &amp; Analysis;Poverty Assessment;Health Monitoring &amp; Evaluation;Agricultural Knowledge &amp; Information Systems</t>
  </si>
  <si>
    <t>Other social services;Sub-national government administration;General industry and trade sector;Agricultural marketing and trade</t>
  </si>
  <si>
    <t>India - Tamil Nadu Empowerment and Poverty Reduction Project : indigenous peoples plan</t>
  </si>
  <si>
    <t>IN-Tamil Nadu Empowerment And Poverty Reduction -- P079708</t>
  </si>
  <si>
    <t>Public Administration, Law, and Justice;Health and other social services;Industry and trade</t>
  </si>
  <si>
    <t>IPP109</t>
  </si>
  <si>
    <t>01/25/2005</t>
  </si>
  <si>
    <t>TF051479-UK-DFID AND WORLD BANK PARTNERSHIP FOR INDIA - SASRD;TF030571-IDA CONSULTANTS POOLED CTF - FY04</t>
  </si>
  <si>
    <t>Environmental Economics &amp; Policies;Agricultural Research;Health Monitoring &amp; Evaluation;Health Economics &amp; Finance;Agricultural Knowledge &amp; Information Systems</t>
  </si>
  <si>
    <t>Other social services;Sub-national government administration;Agricultural extension and research;Irrigation and drainage</t>
  </si>
  <si>
    <t>India - Maharashtra Water Sector Improvement Project : indigenous peoples plan</t>
  </si>
  <si>
    <t>IN-Maharashtra Water Sector Improvement Project -- P084790</t>
  </si>
  <si>
    <t>IPP112</t>
  </si>
  <si>
    <t>02/15/2005</t>
  </si>
  <si>
    <t>TF051479-UK-DFID AND WORLD BANK PARTNERSHIP FOR INDIA - SASRD</t>
  </si>
  <si>
    <t>Poverty Monitoring &amp; Analysis;National Governance;Health Economics &amp; Finance;Community Development and Empowerment;ICT Policy and Strategies</t>
  </si>
  <si>
    <t>Other social services;Sub-national government administration</t>
  </si>
  <si>
    <t>India - Karnataka Panchayats Strengthening Project : indigenous peoples plan</t>
  </si>
  <si>
    <t>IN-Karnataka Panchayats Strengthening Project -- P078832</t>
  </si>
  <si>
    <t>IPP117</t>
  </si>
  <si>
    <t>TF051480-UK-DFID AND WORLD BANK PARTNERSHIP FOR INDIA - SASHD;TF026691-PHRD-INDIA: KARNATAKA INTEGRATED HEALTH, NUTRITION, AND FAMILY WELFARE ;TF030496-SWEDEN CTF FY04 - GENERAL;TF030571-IDA CONSULTANTS POOLED CTF - FY04</t>
  </si>
  <si>
    <t>Hygiene Promotion and Social Marketing;Water and Human Health;Housing &amp; Human Habitats;Gender and Health;Health Systems Development &amp; Reform</t>
  </si>
  <si>
    <t>India - Karnataka Health Systems Project : vulnerable communities health plan (VCHP)</t>
  </si>
  <si>
    <t>IN-Karnataka Health Systems -- P071160</t>
  </si>
  <si>
    <t>IPP126</t>
  </si>
  <si>
    <t>TF051480-UK-DFID AND WORLD BANK PARTNERSHIP FOR INDIA - SASHD;TF030632-DANISH CTF - FY05 (DAC PART COUNTRIES GNP PER CAPITA BELOW USD 2,500/AL</t>
  </si>
  <si>
    <t>Health Information &amp; Communications Technologies;;Livestock &amp; Animal Husbandry;Health Service Management and Delivery;Poverty and Health</t>
  </si>
  <si>
    <t>India - Second National Tuberculosis Control Project : tribal action plan</t>
  </si>
  <si>
    <t>IN-Second National Tuberculosis Control Project -- P078539</t>
  </si>
  <si>
    <t>IPP127</t>
  </si>
  <si>
    <t>04/28/2005</t>
  </si>
  <si>
    <t>TF051480-UK-DFID AND WORLD BANK PARTNERSHIP FOR INDIA - SASHD;TF054595-PHRD-INDIA: HIV/AIDS III</t>
  </si>
  <si>
    <t>Agriculture;Health, Nutrition and Population</t>
  </si>
  <si>
    <t>Health Monitoring &amp; Evaluation;Population Policies;Adolescent Health;HIV AIDS;Agricultural Knowledge &amp; Information Systems</t>
  </si>
  <si>
    <t>India - Third National AIDS Control Project : social assessment of HIV/AIDS among tribal people in India</t>
  </si>
  <si>
    <t>IN-Third National Hiv/Aids Control Project -- P078538</t>
  </si>
  <si>
    <t>ACNielsen ORG-MARG</t>
  </si>
  <si>
    <t>IPP178</t>
  </si>
  <si>
    <t>11/15/2006</t>
  </si>
  <si>
    <t>TF055832-DFID TF TO ENHANCE BANK EFFECTIVENESS IN ENABLING REFORMS &amp; POVERTY RED;TF090736-JAPAN CTF - FY08: GENERAL SAR (ALL COUNTRIES IN SOUTH ASIA/ALL SECTORS</t>
  </si>
  <si>
    <t>Other rural development;Participation and civic engagement</t>
  </si>
  <si>
    <t>Environment;Health, Nutrition and Population;Rural Development</t>
  </si>
  <si>
    <t>Environmental Economics &amp; Policies;Wildlife Resources;Common Property Resource Development;Population Policies;Forestry</t>
  </si>
  <si>
    <t>India - Jammu and Kashmir Participatory Watershed Management Project : indigenous peoples plan</t>
  </si>
  <si>
    <t>IN-Jammu &amp; Kashmir Participatory Watershed Management -- P099857</t>
  </si>
  <si>
    <t>IPP272</t>
  </si>
  <si>
    <t>Primary Education;Teaching and Learning;Tertiary Education;Education For All;Educational Sciences</t>
  </si>
  <si>
    <t>Vocational training</t>
  </si>
  <si>
    <t>Equity assurance plan for the disadvangted groups in vocational education and training in India</t>
  </si>
  <si>
    <t>IN-India Vocational Training Improvement Project -- P099047</t>
  </si>
  <si>
    <t>IPP208</t>
  </si>
  <si>
    <t>TF030801-JAPAN CTF - FY06 GENERAL: SAR (ALL COUNTRIES IN SOUTH ASIA/ALL SECTORS ;TF056584-PHRD-INDIA: BIHAR RURAL LIVELIHOOD DEVELOPMENT PROJECT;TF055832-DFID TF TO ENHANCE BANK EFFECTIVENESS IN ENABLING REFORMS &amp; POVERTY RED;TF051479-UK-DFID AND WORLD BANK PARTNERSHIP FOR INDIA - SASRD</t>
  </si>
  <si>
    <t>Health, Nutrition and Population;Social Development;Education</t>
  </si>
  <si>
    <t>Education for Development (superceded);Education and Society;Population Policies;Community Development and Empowerment;Social Cohesion</t>
  </si>
  <si>
    <t>General agriculture, fishing and forestry sector;Other social services;Agricultural marketing and trade</t>
  </si>
  <si>
    <t>India - Bihar Rural Livelihoods Development Project : indigenous peoples development plan</t>
  </si>
  <si>
    <t>IN-Bihar Rural Livelihoods Project - "Jeevika" -- P090764</t>
  </si>
  <si>
    <t>Agriculture, fishing, and forestry;Health and other social services;Industry and trade</t>
  </si>
  <si>
    <t>Mishra, Rajeshwar (Asian Development Research Institute)</t>
  </si>
  <si>
    <t>IPP217</t>
  </si>
  <si>
    <t>Health, Nutrition and Population;Poverty Reduction;Social Development;Finance and Financial Sector Development</t>
  </si>
  <si>
    <t>Access to Finance;Rural Poverty Reduction;Population Policies;Services &amp; Transfers to Poor;Social Accountability</t>
  </si>
  <si>
    <t>05/24/2007</t>
  </si>
  <si>
    <t>TF054642-EFA FTI EDUCATION PROGRAM DEVELOPMENT FUND-SOUTH ASIA REGION</t>
  </si>
  <si>
    <t>Primary Education;Teaching and Learning;Access &amp; Equity in Basic Education;Education For All;Gender and Education</t>
  </si>
  <si>
    <t>India - Primary Education (SSA II) Project : Sarva Shiksha Abhiyan (SSA) : tribal development plan</t>
  </si>
  <si>
    <t>IN-Elementary Education (Ssa II) -- P102547</t>
  </si>
  <si>
    <t>Department of School Education and Literacy, India</t>
  </si>
  <si>
    <t>IPP244</t>
  </si>
  <si>
    <t>09/17/2007</t>
  </si>
  <si>
    <t>TF055161-DFID TRUST FUND FOR ACCELERATING THE SCALING UP OF WORLD BANK ASSISTAN-</t>
  </si>
  <si>
    <t>Private Sector Development;Health, Nutrition and Population;Communities and Human Settlements</t>
  </si>
  <si>
    <t>Housing &amp; Human Habitats;Health Monitoring &amp; Evaluation;Disease Control &amp; Prevention;Population Policies;E-Business</t>
  </si>
  <si>
    <t>India - Vector Borne Disease Control Project : indigenous peoples plan</t>
  </si>
  <si>
    <t>IN-National Vector Borne Disease Control &amp; Polio Eradication Support -- P094360</t>
  </si>
  <si>
    <t>IPP257</t>
  </si>
  <si>
    <t>TF057792-ORISSA COMMUNITY TANK MANAGEMENT PROJECT;TF055832-DFID TF TO ENHANCE BANK EFFECTIVENESS IN ENABLING REFORMS &amp; POVERTY RED</t>
  </si>
  <si>
    <t>Agriculture;Water Supply and Sanitation;Water Resources;Rural Development;Communities and Human Settlements</t>
  </si>
  <si>
    <t>Water Conservation;Town Water Supply and Sanitation;Housing &amp; Human Habitats;Rural Development Knowledge &amp; Information Systems;Agricultural Knowledge &amp; Information Systems</t>
  </si>
  <si>
    <t>General agriculture, fishing and forestry sector;Irrigation and drainage</t>
  </si>
  <si>
    <t>India - Orissa Community Tanks Management Project : indigenous peoples plan</t>
  </si>
  <si>
    <t>IN-Orissa Community Tank Management Project -- P100735</t>
  </si>
  <si>
    <t>Verve Consulting for OCTDMS Department of Water Resources, Government of Orissa</t>
  </si>
  <si>
    <t>IPP255</t>
  </si>
  <si>
    <t>Agriculture;Social Development;Rural Development;Finance and Financial Sector Development;Communities and Human Settlements</t>
  </si>
  <si>
    <t>Access to Finance;Housing &amp; Human Habitats;Rural Development Knowledge &amp; Information Systems;Community Development and Empowerment;Agricultural Knowledge &amp; Information Systems</t>
  </si>
  <si>
    <t>TF055160-DFID TRUST FUND FOR ACCELERATING THE SCALING UP OF WORLD BANK ASSISTAN-</t>
  </si>
  <si>
    <t>Public Sector Development;Urban Development;Rural Development;Communities and Human Settlements</t>
  </si>
  <si>
    <t>Housing &amp; Human Habitats;Municipal Housing and Land;Rural Development Knowledge &amp; Information Systems;Urban Housing;Public Sector Economics</t>
  </si>
  <si>
    <t>India - Pradhan Mantri Gram Sadak Yojana (PMGSY) - Social Assessment of World Bank Funded Second Rural Road Project : indigenous peoples plan</t>
  </si>
  <si>
    <t>IN-Second Rural Roads Project -- P096020</t>
  </si>
  <si>
    <t>Consulting Engineering Services (I) Pvt. Ltd;Faith Healthcare Private Limited</t>
  </si>
  <si>
    <t>IPP271</t>
  </si>
  <si>
    <t>TF055832-DFID TF TO ENHANCE BANK EFFECTIVENESS IN ENABLING REFORMS &amp; POVERTY RED;TF030745-DANISH CTF - FY06 (SECTOR - EDUCATION/WSF/L,J, PUBLIC ADMIN/ENV &amp; NATUR;TF051479-UK-DFID AND WORLD BANK PARTNERSHIP FOR INDIA - SASRD</t>
  </si>
  <si>
    <t>Governance;Health, Nutrition and Population;Finance and Financial Sector Development;Communities and Human Settlements</t>
  </si>
  <si>
    <t>Access to Finance;Housing &amp; Human Habitats;National Governance;;Population Policies</t>
  </si>
  <si>
    <t>General agriculture, fishing and forestry sector;Sub-national government administration;Micro- and SME finance;Agricultural marketing and trade</t>
  </si>
  <si>
    <t>India - Orissa Rural Livehoods Project : indigenous peoples plan</t>
  </si>
  <si>
    <t>IN-Orissa Rural Livelihoods Project -- P093478</t>
  </si>
  <si>
    <t>Public Administration, Law, and Justice;Agriculture, fishing, and forestry;Finance;Industry and trade</t>
  </si>
  <si>
    <t>IPP261</t>
  </si>
  <si>
    <t>Finance &amp; PSD Sector Unit (SASFP)</t>
  </si>
  <si>
    <t>TF056585-PHRD-INDIA: TECHNICAL ASSISTANCE FOR PUBLIC PRIVATE PARTNERSHIPS (PPP)</t>
  </si>
  <si>
    <t>Environment;Water Resources;Finance and Financial Sector Development;Communities and Human Settlements</t>
  </si>
  <si>
    <t>Environmental Economics &amp; Policies;Wetlands;Banks &amp; Banking Reform;Housing &amp; Human Habitats;Environmental Governance</t>
  </si>
  <si>
    <t>General finance sector;General energy sector;General transportation sector;Capital markets</t>
  </si>
  <si>
    <t>India - Facilitating Infrastructure Financing Project : environmental and social safeguards frameworks</t>
  </si>
  <si>
    <t>IN-Financing Public Private Partnerships (Ppps) In Infrastructure Thr -- P102771</t>
  </si>
  <si>
    <t>Energy and mining;Finance;Transportation</t>
  </si>
  <si>
    <t>IPP302</t>
  </si>
  <si>
    <t>06/19/2008</t>
  </si>
  <si>
    <t>TF055160-DFID TRUST FUND FOR ACCELERATING THE SCALING UP OF WORLD BANK ASSISTAN-;TF057800-ANDHRA PRADESH RURAL WATER SUPPLY &amp; SANITATION PROJECT</t>
  </si>
  <si>
    <t>India - Andhra Pradesh Rural Water Supply and Sanitation Project : indigenous peoples plan</t>
  </si>
  <si>
    <t>IN-Andhra Pradesh Rural Water Supply And Sanitation -- P101650</t>
  </si>
  <si>
    <t>IPP345</t>
  </si>
  <si>
    <t>TF055832-DFID TF TO ENHANCE BANK EFFECTIVENESS IN ENABLING REFORMS &amp; POVERTY RED</t>
  </si>
  <si>
    <t>Water resource management;Rural policies and institutions;Rural services and infrastructure;Participation and civic engagement</t>
  </si>
  <si>
    <t>Agriculture;Gender;Rural Development;Finance and Financial Sector Development;Communities and Human Settlements</t>
  </si>
  <si>
    <t>Access to Finance;Housing &amp; Human Habitats;Gender and Law;Rural Development Knowledge &amp; Information Systems;Agricultural Knowledge &amp; Information Systems</t>
  </si>
  <si>
    <t>India - Andhra Pradesh Water Sector Improvement Project : indigenous peoples plan</t>
  </si>
  <si>
    <t>IN-Andhra Pradesh Water Sector Improvement -- P100954</t>
  </si>
  <si>
    <t>IPP325</t>
  </si>
  <si>
    <t>Agriculture;Environment;Water Supply and Sanitation;Water Resources</t>
  </si>
  <si>
    <t>Water Conservation;Environmental Economics &amp; Policies;Crops &amp; Crop Management Systems;Water and Industry;Water Supply and Systems</t>
  </si>
  <si>
    <t>Environmental Economics &amp; Policies;Water Conservation;Town Water Supply and Sanitation;Water Supply and Sanitation Governance and Institutions;Water Supply and Systems</t>
  </si>
  <si>
    <t>Other environment and natural resources management;Other rural development;Participation and civic engagement</t>
  </si>
  <si>
    <t>Poverty Monitoring &amp; Analysis;Access to Finance;Housing &amp; Human Habitats;;Population Policies</t>
  </si>
  <si>
    <t>General agriculture, fishing and forestry sector;Agricultural marketing and trade</t>
  </si>
  <si>
    <t>India - Second Madhya Pradesh District Poverty Initiatives Project (MP-DPIP II) : indigenous peoples plan</t>
  </si>
  <si>
    <t>IN-Second Madhya Pradesh District Poverty Initiatives Project (Mpdpip -- P102331</t>
  </si>
  <si>
    <t>IPP331</t>
  </si>
  <si>
    <t>12/21/2008</t>
  </si>
  <si>
    <t>Access to Finance;Rural Poverty Reduction;Housing &amp; Human Habitats;Health Monitoring &amp; Evaluation;Population Policies</t>
  </si>
  <si>
    <t>8 of 8</t>
  </si>
  <si>
    <t>Infrastructure services for private sector development;Public expenditure, financial management and procurement;Trade facilitation and market access</t>
  </si>
  <si>
    <t>Gender;Rural Development;Finance and Financial Sector Development;Communities and Human Settlements</t>
  </si>
  <si>
    <t>Access to Finance;Common Property Resource Development;Housing &amp; Human Habitats;Gender and Law;Rural Development Knowledge &amp; Information Systems</t>
  </si>
  <si>
    <t>India - Andhra Pradesh Road Sector Project : indigenous peoples plan</t>
  </si>
  <si>
    <t>IN-Andhra Pradesh Road Sector Project -- P096021</t>
  </si>
  <si>
    <t>IPP346</t>
  </si>
  <si>
    <t>03/27/2009</t>
  </si>
  <si>
    <t>7 of 8</t>
  </si>
  <si>
    <t>Conflict and Development;Transport;Rural Development;Communities and Human Settlements</t>
  </si>
  <si>
    <t>Rural Roads &amp; Transport;Transport Economics Policy &amp; Planning;Housing &amp; Human Habitats;Roads &amp; Highways;Post Conflict Reconstruction</t>
  </si>
  <si>
    <t>5 of 8</t>
  </si>
  <si>
    <t>4 of 8</t>
  </si>
  <si>
    <t>Conflict and Development;Water Supply and Sanitation;Rural Development;Finance and Financial Sector Development</t>
  </si>
  <si>
    <t>Geographical Information Systems;Access to Finance;Common Property Resource Development;Rural Water Supply and Sanitation;Post Conflict Reconstruction</t>
  </si>
  <si>
    <t>3 of 8</t>
  </si>
  <si>
    <t>Transport;Urban Development;Rural Development;Communities and Human Settlements</t>
  </si>
  <si>
    <t>Rural Roads &amp; Transport;Transport Economics Policy &amp; Planning;Housing &amp; Human Habitats;Roads &amp; Highways;Urban Housing</t>
  </si>
  <si>
    <t>2 of 8</t>
  </si>
  <si>
    <t>Gender;Health, Nutrition and Population;Rural Development;Finance and Financial Sector Development;Communities and Human Settlements</t>
  </si>
  <si>
    <t>Access to Finance;Common Property Resource Development;Housing &amp; Human Habitats;Gender and Law;Population Policies</t>
  </si>
  <si>
    <t>1 of 8</t>
  </si>
  <si>
    <t>TF026690-PHRD-INDIA: ANDHRA PRADESH URBAN POVERTY REDUCTION PROJECT;TF090900-ANDHRA PRADESH URBAN REFORM MONITORING AND FISCAL TRANSFER REDESIGN</t>
  </si>
  <si>
    <t>Access to urban services and housing;Municipal finance;Municipal governance and institution building</t>
  </si>
  <si>
    <t>Social Development;Communities and Human Settlements</t>
  </si>
  <si>
    <t>Housing &amp; Human Habitats;Participations and Civic Engagement;Community Development and Empowerment;Social Capital;Social Accountability</t>
  </si>
  <si>
    <t>General water, sanitation and flood protection sector;Roads and highways;Sub-national government administration</t>
  </si>
  <si>
    <t>India - Andhra Pradesh Municipal Development Project : indigenous peoples plan</t>
  </si>
  <si>
    <t>IN-Andhra Pradesh Municipal Development Project -- P071250</t>
  </si>
  <si>
    <t>Public Administration, Law, and Justice;Water, sanitation and flood protection;Transportation</t>
  </si>
  <si>
    <t>IPP362</t>
  </si>
  <si>
    <t>06/19/2009</t>
  </si>
  <si>
    <t>TF053954-GEF3 PDF B INDIA - BIODIVERSITY CONSERVATION AND RURAL LIVELIHOOD IMPRO</t>
  </si>
  <si>
    <t>Rural policies and institutions;Environmental policies and institutions;Biodiversity;Participation and civic engagement</t>
  </si>
  <si>
    <t>Environment;Private Sector Development;Social Development;Communities and Human Settlements</t>
  </si>
  <si>
    <t>Civic Participation and Corporate Governance;Ecosystems and Natural Habitats;Housing &amp; Human Habitats;Participations and Civic Engagement;Social Accountability</t>
  </si>
  <si>
    <t>Central government administration;General agriculture, fishing and forestry sector;Other social services;Sub-national government administration</t>
  </si>
  <si>
    <t>India - Biodiversity Conservation and Rural Livelihood Improvement Project : indigenous peoples planning framework</t>
  </si>
  <si>
    <t>IN-Biodiversity Conservation And Rural Livelihoods Improvement -- P088598</t>
  </si>
  <si>
    <t>IPP368</t>
  </si>
  <si>
    <t>07/22/2009</t>
  </si>
  <si>
    <t>IPP367</t>
  </si>
  <si>
    <t>Soc., Env. &amp; Water Resources (SASDI)</t>
  </si>
  <si>
    <t>TF055159-DFID TRUST FUND FOR ACCELERATING THE SCALING UP OF WORLD BANK ASSISTANC;TF091901-GUDC CF INTERMEDIARY CAPACITY DEVELOPMENT FUND</t>
  </si>
  <si>
    <t>Environmental policies and institutions;Other environment and natural resources management;Biodiversity;Other urban development;Pollution management and environmental health</t>
  </si>
  <si>
    <t>Environment;Health, Nutrition and Population;Water Resources</t>
  </si>
  <si>
    <t>Environmental Economics &amp; Policies;Wetlands;Wildlife Resources;Coastal and Marine Environment;Population Policies</t>
  </si>
  <si>
    <t>Solid waste management;General agriculture, fishing and forestry sector;General water, sanitation and flood protection sector;General public administration sector;Ports, waterways and shipping</t>
  </si>
  <si>
    <t>India - Integrated Coastal Zone Management Project : indigenous peoples plan</t>
  </si>
  <si>
    <t>IN-Integrated Coastal Zone Management -- P097985</t>
  </si>
  <si>
    <t>Public Administration, Law, and Justice;Agriculture, fishing, and forestry;Water, sanitation and flood protection;Transportation</t>
  </si>
  <si>
    <t>IPP388</t>
  </si>
  <si>
    <t>Decentralization;Export development and competitiveness;Technology diffusion;Education for the knowledge economy</t>
  </si>
  <si>
    <t>Primary Education;Access &amp; Equity in Basic Education;Teaching and Learning;Tertiary Education;Secondary Education</t>
  </si>
  <si>
    <t>General industry and trade sector;General public administration sector;Tertiary education</t>
  </si>
  <si>
    <t>India - Second Technical Engineering Education Quality Improvement Project : indigenous peoples plan</t>
  </si>
  <si>
    <t>IN-Tech Engr Educ Quality Improvement II -- P102549</t>
  </si>
  <si>
    <t>Education;Public Administration, Law, and Justice;Industry and trade</t>
  </si>
  <si>
    <t>IPP393</t>
  </si>
  <si>
    <t>12/22/2009</t>
  </si>
  <si>
    <t>TF095332-Adaptation of Rural Livelihoods to Climate Change: Learning from the Po</t>
  </si>
  <si>
    <t>Culture and Development;Health, Nutrition and Population;Poverty Reduction;Communities and Human Settlements</t>
  </si>
  <si>
    <t>Poverty Monitoring &amp; Analysis;Rural Poverty Reduction;Housing &amp; Human Habitats;Population Policies;Anthropology</t>
  </si>
  <si>
    <t>India - Rajasthan Rural Livelihood Project : social assessment</t>
  </si>
  <si>
    <t>IN-Rajasthan Livelihood/Watershed II -- P102329</t>
  </si>
  <si>
    <t>IPP455</t>
  </si>
  <si>
    <t>Transport;Poverty Reduction;Rural Development;Communities and Human Settlements</t>
  </si>
  <si>
    <t>Rural Roads &amp; Transport;Transport Economics Policy &amp; Planning;Rural Poverty Reduction;Housing &amp; Human Habitats;Roads &amp; Highways</t>
  </si>
  <si>
    <t>India - Pradhan Mantri Gram Sadak Yojana (PMGSY) Second Rural Roads Project : indigenous peoples planning framework</t>
  </si>
  <si>
    <t>PMGSY Rural Roads Project</t>
  </si>
  <si>
    <t>IPP453</t>
  </si>
  <si>
    <t>TF097611-Financial and Institutional Capacity Building for WSS service provision;TF096603-Institutional Development &amp; Strategic Communications for the National G;TF097143-Support to NGRBA for Urban Investments, Services, and Institutional Arr;TF097814-Support for the National Ganga River Basin Project in India</t>
  </si>
  <si>
    <t>Poverty Monitoring &amp; Analysis;Civil Society;Housing &amp; Human Habitats;Population Policies;Community Development and Empowerment</t>
  </si>
  <si>
    <t>General water, sanitation and flood protection sector;Sewerage;Public administration- Water, sanitation and flood protection</t>
  </si>
  <si>
    <t>India - National Ganga River Basin Project : indigenous peoples plan</t>
  </si>
  <si>
    <t>National Ganga River Basin Project</t>
  </si>
  <si>
    <t>IPP474</t>
  </si>
  <si>
    <t>TF098591-Enabling Innovation in Gender-Inclusive Financial Service Delivery</t>
  </si>
  <si>
    <t>Social Protections and Labor;Health, Nutrition and Population;Poverty Reduction;Communities and Human Settlements</t>
  </si>
  <si>
    <t>Rural Poverty Reduction;Housing &amp; Human Habitats;Health Monitoring &amp; Evaluation;Population Policies;Disability</t>
  </si>
  <si>
    <t>General agriculture, fishing and forestry sector;Public administration- Agriculture, fishing and forestry;Agricultural marketing and trade</t>
  </si>
  <si>
    <t>India - National Rural Livelihood Project : social assessment report</t>
  </si>
  <si>
    <t>IN-National Rural Livelihoods Project -- P104164</t>
  </si>
  <si>
    <t>Public Administration, Law, and Justice;Agriculture, fishing, and forestry;Industry and trade</t>
  </si>
  <si>
    <t>IPP478</t>
  </si>
  <si>
    <t>TF037029-LAC REGION - HEALTH FOR COSTA RICA, HONDURAS, NICARAGUA, BRAZIL;TF029595-PHRD-HEALTH SECTOR REFORM PROJECT</t>
  </si>
  <si>
    <t>Housing &amp; Human Habitats;Health Monitoring &amp; Evaluation;Health Systems Development &amp; Reform;Adolescent Health;Health Economics &amp; Finance</t>
  </si>
  <si>
    <t>Health;Central government administration;Non-compulsory health finance</t>
  </si>
  <si>
    <t>Honduras - Health System Reform Project : indigenous peoples development plan</t>
  </si>
  <si>
    <t>HN-Health System Reform Project -- P053575</t>
  </si>
  <si>
    <t>IPP10</t>
  </si>
  <si>
    <t>Honduras</t>
  </si>
  <si>
    <t>TF026307-PHRD-HONDURAS: COMPETITIVENESS PROJECT</t>
  </si>
  <si>
    <t>Environment;Social Development;Finance and Financial Sector Development;Communities and Human Settlements</t>
  </si>
  <si>
    <t>Environmental Economics &amp; Policies;Housing &amp; Human Habitats;Banks &amp; Banking Reform;Community Development and Empowerment;Social Capital</t>
  </si>
  <si>
    <t>Micro- and SME finance;General industry and trade sector;Ports, waterways and shipping;Information technology;Vocational training</t>
  </si>
  <si>
    <t>Honduras - Enhancing Competitiveness : Trade Facilitation and Productivity Improvement Project : indigenous peoples plan</t>
  </si>
  <si>
    <t>HN-Enhancing Competitiveness: Trade Facilitation And Productivity Imp -- P070038</t>
  </si>
  <si>
    <t>(Historic)Industry</t>
  </si>
  <si>
    <t>IPP56</t>
  </si>
  <si>
    <t>08/31/2003</t>
  </si>
  <si>
    <t>TF026309-PHRD-LAND ADMINISTRATION AND LAND FUND PROJECT;TF040956-HONDURAS: LAND AMINISTRATION</t>
  </si>
  <si>
    <t>Environment;Public Sector Development;Urban Development;Finance and Financial Sector Development</t>
  </si>
  <si>
    <t>Environmental Economics &amp; Policies;Banks &amp; Banking Reform;Municipal Financial Management;Public Sector Management and Reform;Urban Housing</t>
  </si>
  <si>
    <t>Honduras - Land Administration Program Project : indigenous peoples plan</t>
  </si>
  <si>
    <t>HN-Land Administration Program -- P055991</t>
  </si>
  <si>
    <t>IPP65</t>
  </si>
  <si>
    <t>11/22/2003</t>
  </si>
  <si>
    <t>TF026464-PHRD-HONDURAS: WATERSHED AND RURAL AREAS RECONSTRUCTION (BANK-EXECUTED);TF026768-PHRD-HONDURAS: WATERSHED AND RURAL AREAS RECONSTRUCTION (RECIPIENT-EXEC;TF030309-CANADIAN (GEN) CTF FY03 - ENVIRONMENT/NAT RES.;TF030388-JAPAN CTF - FY03 GENERAL: LAC (ALL COUNTRIES IN LATIN AMERICA AND THE C;TF030477-GERMAN CTF FY04 - ENVIRONMENT &amp; PUBLIC SECTOR MANAGEMENT;TF025841-PHRD-WATERSHED &amp; RURAL AREAS RECONSTRUCTION</t>
  </si>
  <si>
    <t>Honduras - Forests and Rural Productivity Project : indigenous peoples plan</t>
  </si>
  <si>
    <t>HN-Forests And Rural Productivity -- P064914</t>
  </si>
  <si>
    <t>IPP67</t>
  </si>
  <si>
    <t>11/30/2003</t>
  </si>
  <si>
    <t>Transport (LCSTR);Energy (LCSEG)</t>
  </si>
  <si>
    <t>TF053138-PHRD-HONDURAS: RURAL INFRASTRUCTURE</t>
  </si>
  <si>
    <t>Honduras - Rural Infrastructure Project</t>
  </si>
  <si>
    <t>HN-Rural Infrastructure Project -- P086775</t>
  </si>
  <si>
    <t>Honduras, LAVIAL S.A.;Duron, Miguel;Armijo, Roberto, et al</t>
  </si>
  <si>
    <t>IPP121</t>
  </si>
  <si>
    <t>TF052533-PHRD-HONDURAS: NUTRITION AND SOCIAL PROTECTION PROJECT</t>
  </si>
  <si>
    <t>Regional Rural Development;Housing &amp; Human Habitats;Poverty Assessment;Health Monitoring &amp; Evaluation;Gender and Education</t>
  </si>
  <si>
    <t>Other social services;Vocational training</t>
  </si>
  <si>
    <t>Honduras - Nutrition and Social Protection Project : indigenous peoples plan</t>
  </si>
  <si>
    <t>HN-Nutrition And Social Protection Project -- P082242</t>
  </si>
  <si>
    <t>Education;Health and other social services</t>
  </si>
  <si>
    <t>IPP122</t>
  </si>
  <si>
    <t>Public Sector (LCSPS)</t>
  </si>
  <si>
    <t>TF052120-PHRD-HONDURAS: JUDICIAL MODERNIZATION PROJECT;TF030388-JAPAN CTF - FY03 GENERAL: LAC (ALL COUNTRIES IN LATIN AMERICA AND THE C;TF030602-AUSTRIA GENERAL CTF FY05 - ALL BUT ECA;TF030687-GERMAN CTF FY05 - ENVIRONMENT &amp; PUBLIC SECTOR MANAGEMENT;TF030435-NETHERLANDS (MDC) CONSULTANT TRUST FUND - FY04 - IDA ELIGIBLE COUNTRIES</t>
  </si>
  <si>
    <t>Industrial Management;Education and Society;General Technology;Environmental Governance;Development Economics &amp; Aid Effectiveness</t>
  </si>
  <si>
    <t>General public administration sector</t>
  </si>
  <si>
    <t>Honduras - Judicial Branch Modernization Project : indigenous peoples plan</t>
  </si>
  <si>
    <t>HN-Judicial Branch Modernization -- P081516</t>
  </si>
  <si>
    <t>IPP129</t>
  </si>
  <si>
    <t>TF056979-BCF HONDURAS PICO BONITO SUSTAINABLE FORESTS;TF054590-PHRD CCIG-HONDURAS: PICO BONITO FOREST REGENERATION AND SUSTAINABLE LIV</t>
  </si>
  <si>
    <t>Environmental Economics &amp; Policies; Wildlife Resources; Forestry; Ecosystems and Natural Habitats</t>
  </si>
  <si>
    <t>Honduras - Pico Bonito Sustainable Forests Project : indigenous peoples plan</t>
  </si>
  <si>
    <t>HN-Pico Bonito Sustainable Forests Project -- P092987</t>
  </si>
  <si>
    <t>IPP176</t>
  </si>
  <si>
    <t>Global Partnership on OBA (GPOBA)</t>
  </si>
  <si>
    <t>TF052238-GLOBAL PARTNERSHIP ON OUTPUT BASED AID - CORE ACTIVITIES;TF052239-GLOBAL PARTNERSHIP ON OUTPUT BASED AID - NON CORE ACTIVITIES</t>
  </si>
  <si>
    <t>Honduras - Water and Sanitation Output-Based Aid Project : indigenous peoples plan</t>
  </si>
  <si>
    <t>HN-Extension Of Water And Sanitation Services (Wss) In Low Income Are -- P101461</t>
  </si>
  <si>
    <t>IPP189</t>
  </si>
  <si>
    <t>Export development and competitiveness;Rural services and infrastructure;Infrastructure services for private sector development</t>
  </si>
  <si>
    <t>Transport;Culture and Development;Communities and Human Settlements</t>
  </si>
  <si>
    <t>Indigenous Communities;Land Use and Policies;Indigenous Peoples;Roads and Highways Performance;Cultural Heritage &amp; Preservation</t>
  </si>
  <si>
    <t>Honduras - Second Road Reconstruction and Improvement Project : indigenous peoples plan</t>
  </si>
  <si>
    <t>HN-Honduras Road Reconstruction And Improvement II -- P109058</t>
  </si>
  <si>
    <t>P441</t>
  </si>
  <si>
    <t>Cacho Gil, Omar</t>
  </si>
  <si>
    <t>IPP291</t>
  </si>
  <si>
    <t>TF057790-WATER AND SANITATION PROGRAM</t>
  </si>
  <si>
    <t>Water Supply and Sanitation;Social Development;Communities and Human Settlements</t>
  </si>
  <si>
    <t>Water Utility Services to the Poor;Indigenous Communities;Rural Settlements;Sanitation and Sewerage;Social Assessment</t>
  </si>
  <si>
    <t>Honduras - Water and Sanitation Sector Modernization Project : indigenous peoples plan</t>
  </si>
  <si>
    <t>HN-Honduras Water And Sanitation Sector Modernization Project -- P103881</t>
  </si>
  <si>
    <t>IPP234</t>
  </si>
  <si>
    <t>Conflict and Development;Environment;Culture and Development;Poverty Reduction</t>
  </si>
  <si>
    <t>Poverty Monitoring &amp; Analysis;Indigenous Peoples;Disaster Management;Cultural Heritage &amp; Preservation;Natural Disasters</t>
  </si>
  <si>
    <t>Sub-national government administration;Flood protection</t>
  </si>
  <si>
    <t>Honduras - Proyecto Mitigacion de Desastres Naturales : indigenous peoples plan</t>
  </si>
  <si>
    <t>HN-Natural Disaster Mitigation - Additional Scale Up Financing -- P105386</t>
  </si>
  <si>
    <t>Watson, Ricardo Lara</t>
  </si>
  <si>
    <t>IPP224</t>
  </si>
  <si>
    <t>Primary Education;Teaching and Learning;Access &amp; Equity in Basic Education;Tertiary Education;Education For All</t>
  </si>
  <si>
    <t>General education sector;Pre-primary education;Primary education</t>
  </si>
  <si>
    <t>Honduras - Education Project</t>
  </si>
  <si>
    <t>HN-Honduras Education Quality, Governance, &amp; Institutional Strengthen -- P101218</t>
  </si>
  <si>
    <t>IPP235</t>
  </si>
  <si>
    <t>TF057808-RURAL PRODUCTIVITY PROJECT;TF090153-JAPAN CTF - FY07: GENERAL BBMC (ALL BANK BORROWING MEMBER COUNTRIES/ALL</t>
  </si>
  <si>
    <t>Rural non-farm income generation;Rural policies and institutions;Rural services and infrastructure;Rural markets</t>
  </si>
  <si>
    <t>Agriculture;Law and Development;Culture and Development;Social Development;Communities and Human Settlements</t>
  </si>
  <si>
    <t>Indigenous Communities;Culture and Cultural Practice;Indigenous Peoples Law;Agricultural Producer Organizations;Social Inclusion &amp; Institutions;Social Assessment</t>
  </si>
  <si>
    <t>Central government administration;General agriculture, fishing and forestry sector;Agro-industry;Agricultural marketing and trade</t>
  </si>
  <si>
    <t>Honduras - Rural Competitiveness Project : indigenous peoples development plan</t>
  </si>
  <si>
    <t>HN-Honduras Rural Competitiveness Project -- P101209</t>
  </si>
  <si>
    <t>Gil, Omar Cacho</t>
  </si>
  <si>
    <t>IPP267</t>
  </si>
  <si>
    <t>Culture and Development;Health, Nutrition and Population;Social Development;Communities and Human Settlements</t>
  </si>
  <si>
    <t>Voluntary and Involuntary Resettlement;Indigenous Communities;Land Use and Policies;Population &amp; Development;Indigenous Peoples</t>
  </si>
  <si>
    <t>Transport;Culture and Development;Social Development;Communities and Human Settlements</t>
  </si>
  <si>
    <t>Voluntary and Involuntary Resettlement;Indigenous Communities;Indigenous Peoples;Roads and Highways Performance;Cultural Heritage &amp; Preservation</t>
  </si>
  <si>
    <t>Transport;Culture and Development;Health, Nutrition and Population;Communities and Human Settlements</t>
  </si>
  <si>
    <t>Indigenous Peoples;Indigenous Communities;Population &amp; Development;Roads &amp; Highways;Cultural Heritage &amp; Preservation</t>
  </si>
  <si>
    <t>Population and reproductive health;Indigenous peoples;Health system performance;Regulation and competition policy;HIV/AIDS</t>
  </si>
  <si>
    <t>Gender;Health, Nutrition and Population;Communities and Human Settlements</t>
  </si>
  <si>
    <t>Gender and Health;Housing &amp; Human Habitats;Health Monitoring &amp; Evaluation;Health Systems Development &amp; Reform;Population Policies</t>
  </si>
  <si>
    <t>Honduras - Improving Access and Quality of Basic Health Care Services Project : indigenous peoples plan</t>
  </si>
  <si>
    <t>HN-Improving Access And Quality Of Basic Health Care Services -- P112090</t>
  </si>
  <si>
    <t>IPP358</t>
  </si>
  <si>
    <t>04/28/2009</t>
  </si>
  <si>
    <t>TF091505-GENDER ACTION PLAN- LCR 2: IMPROVING LAND TENURE FOR WOMEN IN HONDURAS</t>
  </si>
  <si>
    <t>Decentralization;Land administration and management;Other rural development;Other urban development;Personal and property rights</t>
  </si>
  <si>
    <t>Environment;Health, Nutrition and Population;Rural Development;Finance and Financial Sector Development;Communities and Human Settlements</t>
  </si>
  <si>
    <t>Environmental Economics &amp; Policies;Common Property Resource Development;Access to Finance;Housing &amp; Human Habitats;Population Policies</t>
  </si>
  <si>
    <t>Central government administration;General agriculture, fishing and forestry sector;Sub-national government administration</t>
  </si>
  <si>
    <t>Honduras - Second Phase of Land Administration Program Project : indigenous peoples plan</t>
  </si>
  <si>
    <t>HN-Land Administration Program-942336 -- P106680</t>
  </si>
  <si>
    <t>IPP356</t>
  </si>
  <si>
    <t>05/22/2009</t>
  </si>
  <si>
    <t>Primary Education;Housing &amp; Human Habitats;Health Monitoring &amp; Evaluation;Health Systems Development &amp; Reform;Population Policies</t>
  </si>
  <si>
    <t>Honduras - Social Protection Project : indigenous peoples plan</t>
  </si>
  <si>
    <t>HN-Social Protection -- P115592</t>
  </si>
  <si>
    <t>IPP429</t>
  </si>
  <si>
    <t>05/14/2010</t>
  </si>
  <si>
    <t>12/16/2010</t>
  </si>
  <si>
    <t>TF026629-PHRD-GUYANA: CARIBBEAN HIV/AIDS PREVENTION AND CONTROL (APL);TF030571-IDA CONSULTANTS POOLED CTF - FY04</t>
  </si>
  <si>
    <t>Guyana - HIV/AIDS Prevention and Control Project : indigenous peoples plan</t>
  </si>
  <si>
    <t>GY-Hiv/Aids Prevention &amp; Control Project -- P076722</t>
  </si>
  <si>
    <t>IPP72</t>
  </si>
  <si>
    <t>02/20/2004</t>
  </si>
  <si>
    <t>Guyana</t>
  </si>
  <si>
    <t>TF053696-TRUST FUND FOR SUPERVISION OF CATALYTIC FUND GRANTS TO LAC COUNTRIES;TF053679-GUYANA EFA-FTI MULTI DONOR TRUST FUND</t>
  </si>
  <si>
    <t>Primary Education;Curriculum &amp; Instruction;Teaching and Learning;Health Monitoring &amp; Evaluation;Gender and Education</t>
  </si>
  <si>
    <t>Guyana - Education For All (EFA) Fast Track Intitiative (FTI) Program</t>
  </si>
  <si>
    <t>GY-Guyana - Education For All - Fast Track Initiative -- P089324</t>
  </si>
  <si>
    <t>IPP95</t>
  </si>
  <si>
    <t>09/17/2004</t>
  </si>
  <si>
    <t>TF028451-GEF1 PDF B: N'TL PROTECTED AREA SYSTEM PROJECT</t>
  </si>
  <si>
    <t>Civic Participation and Corporate Governance;Environmental Economics &amp; Policies;BD-Lcg Activities For Bd -- 2031288;TF054599-PHRD-KYRGYZ REPUBLIC: WATER MANAGEMENT IMPROVEMENT PROJECT;Community Development and Empowerment</t>
  </si>
  <si>
    <t>Central government administration;General agriculture, fishing and forestry sector;Forestry</t>
  </si>
  <si>
    <t>Guyana - Protected Areas System Project : indigenous peoples development plan</t>
  </si>
  <si>
    <t>GY-National Protected Areas (Gef) -- P037003</t>
  </si>
  <si>
    <t>IPP75</t>
  </si>
  <si>
    <t>TF026462-PHRD-GUATEMALA: WESTERN ALTIPLANO NATURAL RESOURCES MGMT. PROJ.;TF030388-JAPAN CTF - FY03 GENERAL: LAC (ALL COUNTRIES IN LATIN AMERICA AND THE C;TF030309-CANADIAN (GEN) CTF FY03 - ENVIRONMENT/NAT RES.;TF040190-GUATEMALA - RESEARCH ON COMMUNITY DRIVEN APPROACHES;TF025611-PHRD-WESTERN ALTIPLANO NATURAL RESOURCES MGMT. PROJECT</t>
  </si>
  <si>
    <t>Guatemala - Western Altiplano Natural Resources Management Project : indigenous peoples development plan</t>
  </si>
  <si>
    <t>GT-Western Altiplano Natural Resources Management Project -- P064883</t>
  </si>
  <si>
    <t>Lorena Lopez Mejia*Benneditja Catanhede</t>
  </si>
  <si>
    <t>IPP43</t>
  </si>
  <si>
    <t>Guatemala</t>
  </si>
  <si>
    <t>TF023952-GEF2 PDF B - GUATEMALA : WESTERN ALTIPLANO INTEGRATED NATURAL RESOURCE</t>
  </si>
  <si>
    <t>Guatemala - Supplementary Project to the Western Altiplano Natural Resources Management Project : indigenous peoples development plan</t>
  </si>
  <si>
    <t>GT-Western Altiplano Natural Resources Management Project - Gef -- P068292</t>
  </si>
  <si>
    <t>IPP48</t>
  </si>
  <si>
    <t>TF051359-PHRD-GUATEMALA: BASIC HEALTH FOR VULNERABLE GROUPS</t>
  </si>
  <si>
    <t>Gender;Health, Nutrition and Population;Rural Development</t>
  </si>
  <si>
    <t>Gender and Health;Health Monitoring &amp; Evaluation;Health Systems Development &amp; Reform;Adolescent Health;Rural Development Knowledge &amp; Information Systems</t>
  </si>
  <si>
    <t>Guatemala - Maternal and Infant Health and Nutrition Project : indigenous peoples plan</t>
  </si>
  <si>
    <t>GT-Guatemala Maternal And Infant Health And Nutrition -- P077756</t>
  </si>
  <si>
    <t>IPP153</t>
  </si>
  <si>
    <t>TF057250-JSDF: GUATEMALA - IMPROVING ECONOMIC DIVERSIFICATION AND GOVERNANCE FOR;TF095881-Poverty and Social Impact Assessment of Agricultural Policies as Supply;TF055405-PHRD-GAUTEMALA: LOCAL DEVELOPMENT AND RURAL GROWTH PROJECT;TF057254-JSDF: GUATEMALA - IMPROVING ECONOMIC DIVERSIFICATION AND GOVERNANCE FO-</t>
  </si>
  <si>
    <t>Culture and Development;Gender;Communities and Human Settlements</t>
  </si>
  <si>
    <t>Artisans;Indigenous Peoples;Gender and Rural Development;Cultural Heritage &amp; Preservation;Community Driven Development</t>
  </si>
  <si>
    <t>Telecommunications;Roads and highways;General public administration sector;Information technology;Agricultural marketing and trade</t>
  </si>
  <si>
    <t>Guatemala - Territorial Rural Development Project : indigenous peoples plan</t>
  </si>
  <si>
    <t>GT-Project To Support A Rural Economic Development Program -- P094321</t>
  </si>
  <si>
    <t>Public Administration, Law, and Justice;Information and communications;Industry and trade;Transportation</t>
  </si>
  <si>
    <t>Orozco Godinez, osberto Moises;Orozo Orozco, Robin Rodrigo;Velasquez Fuentes, Arlindo Antonio;Grisales Cardona, Ricardo Antonio</t>
  </si>
  <si>
    <t>IPP159</t>
  </si>
  <si>
    <t>TF055125-PHRD-GUATEMALA: EDUCATION QUALITY AND SECONDARY EDUCATION PROJECT;TF056784-IMPACT EVALUATION READING GUATEMALA</t>
  </si>
  <si>
    <t>Guatemala - Education Quality and Secondary Education Project : safeguard policy issues</t>
  </si>
  <si>
    <t>GT-Education Quality And Secondary Education -- P089898</t>
  </si>
  <si>
    <t>IPP180</t>
  </si>
  <si>
    <t>TF054848-GPOBA - W1&amp;W2 (TECHNICAL ASSISTANCE)</t>
  </si>
  <si>
    <t>Guatemala - Rural Electrification Project : indigenous peoples</t>
  </si>
  <si>
    <t>GT-Guatemala Rural Electrification Program -- P103193</t>
  </si>
  <si>
    <t>IPP209</t>
  </si>
  <si>
    <t>11/13/2006</t>
  </si>
  <si>
    <t>TF055126-PHRD-GUATEMALA: GUATEMALA LAND ADMINISTRATION PROJECT (SECOND PHASE, AP</t>
  </si>
  <si>
    <t>Regional Governance; Common Property Resource Development; Public Sector Management and Reform; Urban Governance and Management; Banks &amp; Banking Reform</t>
  </si>
  <si>
    <t>Guatemala - Land Administration Project : indigenous peoples plan</t>
  </si>
  <si>
    <t>GT-Land Administration II Apl -- P087106</t>
  </si>
  <si>
    <t>IPP190</t>
  </si>
  <si>
    <t>Vulnerability assessment and monitoring;Rural services and infrastructure;Child health;Nutrition and food security;Social safety nets</t>
  </si>
  <si>
    <t>Health, Nutrition and Population;Poverty Reduction;Communities and Human Settlements</t>
  </si>
  <si>
    <t>Rural Poverty Reduction;Housing &amp; Human Habitats;Health Monitoring &amp; Evaluation;Population Policies</t>
  </si>
  <si>
    <t>Health;Other social services;Roads and highways</t>
  </si>
  <si>
    <t>Guatemala - Expanding Opportunities for Vulnerable Groups Project : indigenous peoples plan</t>
  </si>
  <si>
    <t>GT-Expanding Opportunities For Vunerable Groups -- P107416</t>
  </si>
  <si>
    <t>Health and other social services;Transportation</t>
  </si>
  <si>
    <t>IPP371</t>
  </si>
  <si>
    <t>Gender;Private Sector Development;Macroeconomics and Economic Growth;Social Protections and Labor;Communities and Human Settlements</t>
  </si>
  <si>
    <t>Climate Change Economics;Housing &amp; Human Habitats;Labor Policies;Gender and Law;E-Business</t>
  </si>
  <si>
    <t>General industry and trade sector</t>
  </si>
  <si>
    <t>Guatemala - Enhancing Small and Medium Enterprise Productivity Project : indigenous peoples planning framework</t>
  </si>
  <si>
    <t>GT-Guatemala Rural Competitiveness -- P112011</t>
  </si>
  <si>
    <t>IPP458</t>
  </si>
  <si>
    <t>AFT: ESSD 3 (AFTS3)</t>
  </si>
  <si>
    <t>TF026389-PHRD-GABON: FORESTRY &amp; ENVIRONMENT SECTORAL PROGRAM (PSFE);TF038875-GABON - FORESTRY AND ENVIRONMENT SECTOR PROJECT;TF038829-GABON - APPRAISAL FORESTRY &amp; ENVIRONMENT SECTOR PROJECT;TF040335-GABON - SECTOR WORK, PREPARATION - FORESTRY/ENVIRONMENT SECTORIAL PROGR;TF038891-GABON - PREPARATION OF SECTORAL PROGRAM FOR FORESTS AND ENVIRONMENT;TF040090-GABON-PROJECT FORESTRY AND ENVIRONMENT II-SECTOR WORK AND PREPARATION</t>
  </si>
  <si>
    <t>Coastal and Marine Resources;Indigenous Peoples;Fisheries &amp; Aquaculture;Biodiversity;Coastal and Marine Environment;Environmental Protection;Natural Resources Management and Rural Issues</t>
  </si>
  <si>
    <t>General agriculture, fishing and forestry sector;Mining and other extractive;Forestry</t>
  </si>
  <si>
    <t>Gabon - Natural Resources Management Development Policy Loan Project : indigenous peoples development plan</t>
  </si>
  <si>
    <t>GA-Gabon Natural Resources Management Development Policy Loan -- P070196</t>
  </si>
  <si>
    <t>P393</t>
  </si>
  <si>
    <t>Schmidt-Soltau, Dr. Kai</t>
  </si>
  <si>
    <t>IPP142</t>
  </si>
  <si>
    <t>Gabon</t>
  </si>
  <si>
    <t>TF052007-FOREST LAW ENFORCEMENT AND GOVERNANCE - BANK EXECUTED PORTION OF THE FU;TF029773-GEF2 PDF B - GABON : FORESTRY AND ENVIRONMENT SUPPORT PROJECT</t>
  </si>
  <si>
    <t>Forests and Forestry;Indigenous Peoples;Coastal and Marine Resources;Fisheries &amp; Aquaculture;Biodiversity</t>
  </si>
  <si>
    <t>Gabon - Forest and Environmental Sectpr (GEF) (PSFE) Project : indigenous peoples development plan</t>
  </si>
  <si>
    <t>GA-Gabon: Strengthening Capacity For Managing National Parks And Biod -- P070232</t>
  </si>
  <si>
    <t>IPP143</t>
  </si>
  <si>
    <t>2 of 1</t>
  </si>
  <si>
    <t>TF053136-PHRD-EL SALVADOR: LAND ADMINISTRATION PROJECT II</t>
  </si>
  <si>
    <t>El Salvador - Second Land Administration Project : indigenous peoples plan</t>
  </si>
  <si>
    <t>SV-Land Administration II -- P086953</t>
  </si>
  <si>
    <t>IPP103</t>
  </si>
  <si>
    <t>El Salvador</t>
  </si>
  <si>
    <t>TF030667-JAPAN CTF - FY05 GENERAL: LAC (ALL COUNTRIES IN LATIN AMERICA AND THE C;TF053765-PHRD-EL SALVADOR: SOCIAL PROTECTION AND LOCAL DEVELOPMENT (FISDL)</t>
  </si>
  <si>
    <t>Primary Education;Education and Society;Housing &amp; Human Habitats;Health Monitoring &amp; Evaluation;Community Development and Empowerment</t>
  </si>
  <si>
    <t>El Salvador - Social Protection and Local Development Project : indigenous peoples plan</t>
  </si>
  <si>
    <t>SV-Social Protection Project -- P088642</t>
  </si>
  <si>
    <t>IPP140</t>
  </si>
  <si>
    <t>08/19/2005</t>
  </si>
  <si>
    <t>Transport;Public Sector Development;Urban Development;Finance and Financial Sector Development</t>
  </si>
  <si>
    <t>Non Bank Financial Institutions;Transport Economics Policy &amp; Planning;Debt Markets;Municipal Financial Management;Public Sector Economics</t>
  </si>
  <si>
    <t>Public administration- Finance;Sub-national government administration</t>
  </si>
  <si>
    <t>El Salvador - Local Government Strengthening Project : indigenous peoples planning framework</t>
  </si>
  <si>
    <t>SV-El Salvador Rural Development Project -- P118026</t>
  </si>
  <si>
    <t>Donis, Jorge</t>
  </si>
  <si>
    <t>IPP427</t>
  </si>
  <si>
    <t>TF021967-DUTCH PARTNERSHIP - BANK/WWF ALLIANCE (LCSES);TF038769-ECUADOR - PREPARATION OF RAINFOREST CONSERVATION PROJECT;TF023418-GEF2 : ECUADOR - NATIONAL PROTECTED AREAS SYSTEM OF ECUADOR</t>
  </si>
  <si>
    <t>Indigenous Peoples;Health Monitoring &amp; Evaluation;Community Development and Empowerment;ICT Policy and Strategies;Social Capital</t>
  </si>
  <si>
    <t>Ecuador - National System of Protected Areas Project : indigenous peoples plan</t>
  </si>
  <si>
    <t>EC-National System Of Protected Areas -- P066752</t>
  </si>
  <si>
    <t>IPP23</t>
  </si>
  <si>
    <t>10/31/2002</t>
  </si>
  <si>
    <t>Ecuador</t>
  </si>
  <si>
    <t>Primary Education;Governance Indicators;Teaching and Learning;Health Monitoring &amp; Evaluation;Gender and Education</t>
  </si>
  <si>
    <t>Health;Other social services;General education sector;Compulsory pension and unemployment insurance;Non-compulsory health finance</t>
  </si>
  <si>
    <t>Ecuador - Programmatic Human Development Reform Loan Project : indigenous peoples plan</t>
  </si>
  <si>
    <t>EC-First Programmatic Human Dev. Reform -- P082395</t>
  </si>
  <si>
    <t>IPP40</t>
  </si>
  <si>
    <t>TF025833-PHRD-ECUADOR: RURAL ROADS PROJECT</t>
  </si>
  <si>
    <t>Central government administration;Roads and highways;Sub-national government administration</t>
  </si>
  <si>
    <t>Ecuador - Rural Roads Project : indigenous peoples plan</t>
  </si>
  <si>
    <t>EC-Rural Roads -- P007077</t>
  </si>
  <si>
    <t>IPP82</t>
  </si>
  <si>
    <t>04/13/2004</t>
  </si>
  <si>
    <t>TF053763-PHRD-ECUADOR: PUBLIC HEALTH AND SOCIAL SECURITY REFORM</t>
  </si>
  <si>
    <t>Health Insurance;Health and Poverty;Environment and Health;Health Monitoring &amp; Evaluation;Health Service Management and Delivery</t>
  </si>
  <si>
    <t>Ecuador - Health Insurance Project : indigenous peoples plan</t>
  </si>
  <si>
    <t>EC-Health Insurance Strategy For The Poor Support Project -- P088575</t>
  </si>
  <si>
    <t>IPP147</t>
  </si>
  <si>
    <t>Water Conservation;Urban Water Supply and Sanitation;Town Water Supply and Sanitation;Water and Industry;Water Supply and Sanitation Governance and Institutions</t>
  </si>
  <si>
    <t>Central government administration;Solid waste management;Water supply;Sanitation</t>
  </si>
  <si>
    <t>Ecuador - Second Rural and Small Towns Water Supply and Sanitation (PRAGUAS) Project : social assessment and indigenous peoples plan</t>
  </si>
  <si>
    <t>EC-Rural And Small Towns Water Supply And Sanitation Project II (Pra -- P095555</t>
  </si>
  <si>
    <t>IPP171</t>
  </si>
  <si>
    <t>TF053134-PHRD-ECUADOR: RURAL PRODUCTIVITY AND SUSTAINABILITY</t>
  </si>
  <si>
    <t>Gender;Health, Nutrition and Population;Poverty Reduction;Social Development;Communities and Human Settlements</t>
  </si>
  <si>
    <t>Indigenous Communities;Population &amp; Development;Inequality;Gender and Social Development;Social Inclusion &amp; Institutions;Community Driven Development</t>
  </si>
  <si>
    <t>Ecuador - Agricultural Competitiveness and Sustainable Rural Development Project (CADERS) : Indigenous peoples plan</t>
  </si>
  <si>
    <t>EC-Agricultural Competitiveness And Sustainable Rural Development (Ca -- P086626</t>
  </si>
  <si>
    <t>IPP187</t>
  </si>
  <si>
    <t>09/16/2006</t>
  </si>
  <si>
    <t>TF055402-PHRD-ECUADOR: CHIMBORAZO DEVELOPMENT PROJECT;TF055593-TFESSD SOCIAL WINDOW: ANDEAN SOCIAL ACCOUNTABILITY INITIATIVE</t>
  </si>
  <si>
    <t>Environment;Culture and Development;Social Development;Communities and Human Settlements</t>
  </si>
  <si>
    <t>Wildlife Resources;Indigenous Communities;Human Migrations &amp; Resettlements;Indigenous Peoples;Social Inclusion &amp; Institutions</t>
  </si>
  <si>
    <t>Roads and highways;Irrigation and drainage</t>
  </si>
  <si>
    <t>Ecuador - Chimborazo Productive Investments (PIDD) Project : indigenous peoples plan</t>
  </si>
  <si>
    <t>EC-Ecuador - Chimborazo Development Investment Project (Pidd) -- P094784</t>
  </si>
  <si>
    <t>Agriculture, fishing, and forestry;Transportation</t>
  </si>
  <si>
    <t>Ministerio de Agricultura y Ganaderia</t>
  </si>
  <si>
    <t>IPP231</t>
  </si>
  <si>
    <t>07/15/2007</t>
  </si>
  <si>
    <t>TF090849-GEF PPG - ECUADOR-CHIMBORAZO: MANAGEMENT OF CHIMBORAZO'S NATURAL RESOUR</t>
  </si>
  <si>
    <t>Other environment and natural resources management;Biodiversity</t>
  </si>
  <si>
    <t>Environmental Economics &amp; Policies;Wildlife Resources;Natural Resources Management;Ecosystems and Natural Habitats;Environmental Governance</t>
  </si>
  <si>
    <t>Ecuador - Chimborazo Natural Resources Management Project : social assessment</t>
  </si>
  <si>
    <t>EC-Chimborazo Natural Resources Management Project (Gef) -- P105550</t>
  </si>
  <si>
    <t>Munoz, Eduardo J.</t>
  </si>
  <si>
    <t>IPP305</t>
  </si>
  <si>
    <t>07/17/2008</t>
  </si>
  <si>
    <t>TF056813-TANZANIA:LAKE VICTORIA TRUST FUND;TF090883-MULTI DONOR TRUST FUND (MDTF) FOR BRIDGING ACTIVITIES BETWEEN LAKE VICT;TF056929-BNPP-WATER: WATER RESOURCES MANAGEMENT PROGRAM II - (BNWPP);TF056814-UGANDA:LAKE VICTORIA TRUST FUND;TF092163-GEF PPG-EASTERN AFRICA: LAKE VICTORIA ENVIRONMENTAL MANAGEMENT PROJECT ;TF056812-KENYA:LAKE VICTORIA TRUST FUND</t>
  </si>
  <si>
    <t>Water resource management;Other environment and natural resources management;Small and medium enterprise support;Other rural development;Biodiversity</t>
  </si>
  <si>
    <t>Environment;Health, Nutrition and Population;Water Resources;Rural Development</t>
  </si>
  <si>
    <t>Environmental Economics &amp; Policies;Wetlands;Population Policies;River Basin Management;Forestry</t>
  </si>
  <si>
    <t>General water, sanitation and flood protection sector;Agricultural extension and research</t>
  </si>
  <si>
    <t>Kenya - Eastern Africa Lake Victoria Environmental Management (Phase 2) Project : indigenous peoples plan</t>
  </si>
  <si>
    <t>3A-Lake Victoria Environmental Management Project Phase II -- P100406</t>
  </si>
  <si>
    <t>IPP274</t>
  </si>
  <si>
    <t>Eastern Africa;Africa</t>
  </si>
  <si>
    <t>TF030708-DANISH CTF - FY05 - EAS (SPECIAL/REGIONAL WINDOW);TF030566-CANADA GENERAL CTF - FY04 - EAST ASIA (WATER SUPPLY AND SANITATION);TF052775-GEF3 PDFB-FAO:LIVESTOCK WASTE MANAGEMENT IN EAST ASIA PROJECT;TF030699-DANISH CTF - FY05 (THEME - DAC PART 1 COUNTRIES GNP PER CAPITA BELOW US;TF030593-KOREAN CTF FY04 - KNOWLEDGE PARTNERSHIP - EAP (ENVIRONMENT &amp; NATURAL RE</t>
  </si>
  <si>
    <t>Environmental Economics &amp; Policies;National Governance;Poverty Assessment;Health Monitoring &amp; Evaluation;Health Economics &amp; Finance</t>
  </si>
  <si>
    <t>Animal production;Sewerage</t>
  </si>
  <si>
    <t>East Asia and Pacific - Livestock Waste Management in East Asia : strategy and guidelines for ethnic minority development</t>
  </si>
  <si>
    <t>4E-Livestock Waste Management In East Asia Project -- P079610</t>
  </si>
  <si>
    <t>IPP133</t>
  </si>
  <si>
    <t>08/31/2004</t>
  </si>
  <si>
    <t>Cultural Policy;Livestock &amp; Animal Husbandry;Agricultural Research;Health Monitoring &amp; Evaluation;Agricultural Knowledge &amp; Information Systems</t>
  </si>
  <si>
    <t>Environmental Economics &amp; Policies;Livestock &amp; Animal Husbandry;Poverty Assessment;Health Monitoring &amp; Evaluation;Rural Education</t>
  </si>
  <si>
    <t>TF037366-LATIN AMERICA - SECONDARY EDUCATION (CARIBBEAN);TF025607-PHRD-EDUCATION DEVELOPMENT PROJECT;TF037551-LAC REGION - PRIMARY EDU DEV</t>
  </si>
  <si>
    <t>Costa Rica - Equity and Efficiency of Education Project : indigenous peoples plan</t>
  </si>
  <si>
    <t>CR-Equity And Efficiency Of Education -- P057857</t>
  </si>
  <si>
    <t>Defense of the Children International (DNI)</t>
  </si>
  <si>
    <t>IPP73</t>
  </si>
  <si>
    <t>Costa Rica</t>
  </si>
  <si>
    <t>TF054616-PHRD-COSTA RICA: SCALING UP AND MAINSTREAMING PAYMENT FOR ENVIRONMENTAL</t>
  </si>
  <si>
    <t>Costa Rica - Mainstreaming Market Based Instruments for Environmental Management Project : indigenous peoples plan</t>
  </si>
  <si>
    <t>CR-Mainstreaming Market-Based Instruments For Environmental Managemen -- P093384</t>
  </si>
  <si>
    <t>Borge Carvajal, Carlos</t>
  </si>
  <si>
    <t>IPP165</t>
  </si>
  <si>
    <t>CR-Gef - Mainstreaming Market-Based Instruments For Environmental Man -- P098838</t>
  </si>
  <si>
    <t>IPP166</t>
  </si>
  <si>
    <t>TF030802-JAPAN CTF - FY06 GENERAL: INF (INFRASTRUCTURE NETWORK);TF057797-COSTA RICA TELECOM SECTOR MODERNIZATION PROJECT;TF030695-NETHERLANDS CTF- FY05 - PRIVATE SECTOR AND INFRASTRUCTURE;TF030771-NETHERLANDS CTF- FY06 - PRIVATE SECTOR AND INFRASTRUCTURE</t>
  </si>
  <si>
    <t>Regional integration;Regulation and competition policy;Other public sector governance;Rural services and infrastructure;Infrastructure services for private sector development</t>
  </si>
  <si>
    <t>Housing &amp; Human Habitats;Population Policies;Community Development and Empowerment;Anthropology;Social Capital</t>
  </si>
  <si>
    <t>Costa Rica - Telecom Sector Modernization Project : indigenous peoples planning framework</t>
  </si>
  <si>
    <t>CR-Telecom Sector Modernization -- P101718</t>
  </si>
  <si>
    <t>IPP304</t>
  </si>
  <si>
    <t>07/18/2008</t>
  </si>
  <si>
    <t>AFT: Human Development 3 (AFTH3)</t>
  </si>
  <si>
    <t>Population and reproductive health;Health system performance;Other communicable diseases;Child health</t>
  </si>
  <si>
    <t>Housing &amp; Human Habitats;Health Monitoring &amp; Evaluation;Health Systems Development &amp; Reform;Population Policies;Adolescent Health</t>
  </si>
  <si>
    <t>Congo - Health Sector Services Development Project : indigenous peoples plan</t>
  </si>
  <si>
    <t>CG-Health Sector Services Development -- P106851</t>
  </si>
  <si>
    <t>Ndeko Longonda, Gertrude</t>
  </si>
  <si>
    <t>IPP276</t>
  </si>
  <si>
    <t>Congo, Republic of</t>
  </si>
  <si>
    <t>Urban Development;Water Resources;Rural Development;Communities and Human Settlements</t>
  </si>
  <si>
    <t>Common Property Resource Development;Land Use and Policies;Water Resources Assessment;Urban Housing;Rural Land Policies for Poverty Reduction</t>
  </si>
  <si>
    <t>Decentralization;Conflict prevention and post-conflict reconstruction;Education for all;Participation and civic engagement</t>
  </si>
  <si>
    <t>Environment;Information and Communication Technologies;Finance and Financial Sector Development</t>
  </si>
  <si>
    <t>Climate Change and Environment;Information Security &amp; Privacy;Drylands &amp; Desertification;Payment Systems &amp; Infrastructure;Telecommunications Infrastructure</t>
  </si>
  <si>
    <t>Central government administration;Sub-national government administration;Primary education;Secondary education;Vocational training</t>
  </si>
  <si>
    <t>Republic of Congo - Additional Financing for Support to Basic Education Project : indigenous peoples plan</t>
  </si>
  <si>
    <t>CG-Republic Of Congo Support To Basic Education Project Additional Fi -- P113508</t>
  </si>
  <si>
    <t>Ambianzi, Itoua Yoyo</t>
  </si>
  <si>
    <t>IPP341</t>
  </si>
  <si>
    <t>Decentralization;Health system performance;Other public sector governance;HIV/AIDS</t>
  </si>
  <si>
    <t>Central government administration;Health;Other social services;Sub-national government administration</t>
  </si>
  <si>
    <t>Congo, Republic of - Additional Financing for the HIV/AIDS and Health Project : indigenous peoples planning framework</t>
  </si>
  <si>
    <t>CG-Hiv/Aids &amp; Health - Additional Financing -- P116637</t>
  </si>
  <si>
    <t>IPP360</t>
  </si>
  <si>
    <t>05/15/2009</t>
  </si>
  <si>
    <t>TF030773-NORWEGIAN CTF FY06 - GENERAL (IDA ELIGIBLE COUNTRIES, ALL SECTORS, ALL</t>
  </si>
  <si>
    <t>Access to urban services and housing;Other social protection and risk management;Conflict prevention and post-conflict reconstruction;Gender;Improving labor markets;Rural services and infrastructure;Social safety nets;Participation and civic engagement</t>
  </si>
  <si>
    <t>Governance;Social Development;Education</t>
  </si>
  <si>
    <t>Governance Indicators;Civil Society;Education and Society;Community Development and Empowerment;Social Capital</t>
  </si>
  <si>
    <t>Health;General water, sanitation and flood protection sector;Other social services;Roads and highways;Primary education</t>
  </si>
  <si>
    <t>Congo, Democratic Republic of - Emergency Social Action Program Project : indigenous peoples plan</t>
  </si>
  <si>
    <t>ZR-Democratic Republic Of Congo Emergency Social Action Project -- P086874</t>
  </si>
  <si>
    <t>IPP405</t>
  </si>
  <si>
    <t>Congo, Democratic Republic of</t>
  </si>
  <si>
    <t>AFT: Transport (AFTTR)</t>
  </si>
  <si>
    <t>TF058301-APPRAISAL OF PRO-ROUTES PROJECT IN DRC</t>
  </si>
  <si>
    <t>Agriculture;Conflict and Development;Transport;Culture and Development</t>
  </si>
  <si>
    <t>Crops &amp; Crop Management Systems;Indigenous Peoples;Transport Poverty and Social Responsibility;Roads &amp; Highways;Post Conflict Reconstruction</t>
  </si>
  <si>
    <t>Democratic Republic of Congo - Pro-Routes Project : indigenous peoples plan indigenous peoples plan</t>
  </si>
  <si>
    <t>ZR-Congo Drc - Pro-Routes Project -- P101745</t>
  </si>
  <si>
    <t>EDG Consult for the Ministere des Travaux Publics et Infrastructure</t>
  </si>
  <si>
    <t>IPP250</t>
  </si>
  <si>
    <t>Indigenous Peoples;Indigenous Communities;Transport Poverty and Social Responsibility;Cultural Heritage &amp; Preservation;Community Driven Development</t>
  </si>
  <si>
    <t>Central government administration;Other social services;General education sector;General transportation sector</t>
  </si>
  <si>
    <t>Congo - PUSPRES Projet d'urgence et de soutien au processus de reunification economique et sociale Composante 3 : Rehabilitation des axes de transport prioritaires : indigenous people's plan</t>
  </si>
  <si>
    <t>ZR-Drc Emergency Economic And Social Reunification Support Project -- P081850</t>
  </si>
  <si>
    <t>Schmidt-Soltau, Kai</t>
  </si>
  <si>
    <t>IPP248</t>
  </si>
  <si>
    <t>TF054463-GEF-PDF B: DEMOCRATIC REPUBLIC OF CONGO: PREPARATION OF THE NATIONAL PA</t>
  </si>
  <si>
    <t>Environmental policies and institutions;Land administration and management;Other rural development;Biodiversity</t>
  </si>
  <si>
    <t>Environment;Gender;Communities and Human Settlements</t>
  </si>
  <si>
    <t>Environmental Economics &amp; Policies;Wildlife Resources;Housing &amp; Human Habitats;Biodiversity;Gender and Law</t>
  </si>
  <si>
    <t>Congo, Democratic Republic of - Support for the Rehabilitation of the Protected Areas System Project : indigenous peoples plan</t>
  </si>
  <si>
    <t>ZR-Support For The Rehabilitation Of The Protected Areas System -- P083813</t>
  </si>
  <si>
    <t>Congo</t>
  </si>
  <si>
    <t>IPP300</t>
  </si>
  <si>
    <t>TF053693-BNPP-ENVIRONMENT: FOREST LAW &amp; GOVERNANCE PROGRAM</t>
  </si>
  <si>
    <t>Environmental policies and institutions;Indigenous peoples;Other environment and natural resources management;Biodiversity</t>
  </si>
  <si>
    <t>Environment;Rural Development</t>
  </si>
  <si>
    <t>Environmental Economics &amp; Policies;Wildlife Resources;Ecosystems and Natural Habitats;Biodiversity;Forestry</t>
  </si>
  <si>
    <t>Congo, Democratic Republic of - Forest and Environment Sector Project : indigenous peoples planning framework</t>
  </si>
  <si>
    <t>ZR-Forest And Nature Conservation Project -- P100620</t>
  </si>
  <si>
    <t>IPP324</t>
  </si>
  <si>
    <t>TF057809-AGRICULTURE REHABILITATION AND RECOVERY SUPPORT;TF057966-AGRICULTURE REHABILITATION RECOVERY SUPPORT PROJECT</t>
  </si>
  <si>
    <t>Rural non-farm income generation;Other rural development;Rural markets</t>
  </si>
  <si>
    <t>Environment;Information and Communication Technologies;Industry;Poverty Reduction;Rural Development</t>
  </si>
  <si>
    <t>Environmental Economics &amp; Policies;Rural Poverty Reduction;Rural Development Knowledge &amp; Information Systems;Technology Industry;ICT Policy and Strategies</t>
  </si>
  <si>
    <t>Congo, Democratic Republic of - Agriculture Rehabilitation and Recovery Support Project : indigenous peoples plan</t>
  </si>
  <si>
    <t>ZR-Drc - Agriculture Rehabilitation And Recovery Support -- P092724</t>
  </si>
  <si>
    <t>IPP359</t>
  </si>
  <si>
    <t>TF091604-DRC - HRBF PROPOSAL PREPARATION;TF091909-TECHNICAL ASSISTANCE ON IMPLEMENTING THE GAVI HEALTH SYSTEMS PROJECT IN;TF092458-DRC HRBF DESIGN - BANK EXECUTED;TF095892-DRC - HRBF Implementation</t>
  </si>
  <si>
    <t>Health;Central government administration;Sub-national government administration</t>
  </si>
  <si>
    <t>Congo, Democratic Republic of - Malaria additional financing to the Health Sector Rehabilitation Support Project : indigenous peoples planning framework</t>
  </si>
  <si>
    <t>DRC additional financing malaria control</t>
  </si>
  <si>
    <t>IPP460</t>
  </si>
  <si>
    <t>11/25/2010</t>
  </si>
  <si>
    <t>Renewable energy;Water supply</t>
  </si>
  <si>
    <t>Colombia - Jepirachi Carbon Off-set Project : Indigenous Peoples Plan</t>
  </si>
  <si>
    <t>CO-Jepirachi Carbon Off Set Project -- P074426</t>
  </si>
  <si>
    <t>Gerencia de Generacion de Energia - Empresas Publicas de Medellin</t>
  </si>
  <si>
    <t>IPP22</t>
  </si>
  <si>
    <t>Colombia</t>
  </si>
  <si>
    <t>TF025569-PHRD-CALI VIOLENCE CONTROL AND PREVENTION PROJECT;TF052530-PHRD-COLOMBIA: PEACE AND DEVELOPMENT PROJECT</t>
  </si>
  <si>
    <t>Public Sector Development</t>
  </si>
  <si>
    <t>International Affairs;Post Conflict Reconstruction;Politics and Government;Decentralization</t>
  </si>
  <si>
    <t>Adult literacy/non-formal education;General agriculture, fishing and forestry sector;Other social services;Law and justice</t>
  </si>
  <si>
    <t>Colombia - Peace and Development Project : indigenous peoples plan</t>
  </si>
  <si>
    <t>CO-Peace And Development Project (1st Phase Apl) -- P051306</t>
  </si>
  <si>
    <t>IPP84</t>
  </si>
  <si>
    <t>No new information of substance in this report.  It is only 4 pages long</t>
  </si>
  <si>
    <t>Other social services;Primary education</t>
  </si>
  <si>
    <t>Colombia - Social Safety Net Project : indigenous peoples plan</t>
  </si>
  <si>
    <t>CO-Social Safety Net Project -- P089443</t>
  </si>
  <si>
    <t>IPP132</t>
  </si>
  <si>
    <t>Some general information on IP's. Plan had a strong emphasis on the Afro-Columbian population</t>
  </si>
  <si>
    <t>TF054533-GEF-PDF B: COLOMBIA: NATIONAL PROTECTED AREAS CONSERVATION PROJECT;TF056351-GEF FSP-COLOMBIA: NATIONAL PROTECTED AREAS PROJECT</t>
  </si>
  <si>
    <t>Law and Development;Environment;Culture and Development;Social Development;Rural Development;Communities and Human Settlements</t>
  </si>
  <si>
    <t>Nationalities &amp; Ethnic Groups;Indigenous Peoples;Indigenous Communities;Indigenous Peoples Law;Biodiversity;Natural Resources Management and Rural Issues</t>
  </si>
  <si>
    <t>Water supply;Forestry;Agricultural extension and research;Flood protection;Vocational training</t>
  </si>
  <si>
    <t>Colombia - Colombian National Protected Areas Trust Fund Project : indigenous peoples and Afro Colombian communities plan</t>
  </si>
  <si>
    <t>CO-Colombian National Protected Areas Conservation Trust Fund -- P091932</t>
  </si>
  <si>
    <t>Education;Agriculture, fishing, and forestry;Water, sanitation and flood protection</t>
  </si>
  <si>
    <t>IPP160</t>
  </si>
  <si>
    <t>Law and Development;Environment;Social Development;Rural Development;Communities and Human Settlements</t>
  </si>
  <si>
    <t>Nationalities &amp; Ethnic Groups;Indigenous Communities;Biodiversity;Indigenous Peoples Law;Natural Resources Management and Rural Issues</t>
  </si>
  <si>
    <t>12/28/2005</t>
  </si>
  <si>
    <t>Law and Development;Social Development;Communities and Human Settlements</t>
  </si>
  <si>
    <t>Indigenous Communities;Human Migrations &amp; Resettlements;Indigenous Peoples Law;Human Rights;Poverty and Social Impact Analysis</t>
  </si>
  <si>
    <t>Colombia - Caribbean Savannah Carbon Sink Project : indigenous peoples plan</t>
  </si>
  <si>
    <t>CO-Caribbean Savannah Carbon Sink Project -- P100738</t>
  </si>
  <si>
    <t>IPP193</t>
  </si>
  <si>
    <t>11/27/2006</t>
  </si>
  <si>
    <t>Environmental Economics &amp; Policies;Water Conservation;Town Water Supply and Sanitation;Water and Industry;Water Supply and Sanitation Governance and Institutions</t>
  </si>
  <si>
    <t>Colombia - La Guajira Water and Sanitation Infrastructure and Service Management Project : indigenous peoples planning framework</t>
  </si>
  <si>
    <t>CO-La Guajira Water And Sanitation Infrastructure And Service Managem -- P096965</t>
  </si>
  <si>
    <t>IPP200</t>
  </si>
  <si>
    <t>A  20 page summary of the IP population in La Guajira with a specific emphasis on the Wayuu people and their water supply. A good source of information. I did not include all of the Wayuu People specific material on the Wiki.</t>
  </si>
  <si>
    <t>Environment;Water Supply and Sanitation;Social Development;Communities and Human Settlements</t>
  </si>
  <si>
    <t>Environmental Economics &amp; Policies;Voluntary and Involuntary Resettlement;Indigenous Communities;Town Water Supply and Sanitation;Water Supply and Sanitation Governance and Institutions;Social Assessment</t>
  </si>
  <si>
    <t>01/29/2007</t>
  </si>
  <si>
    <t>TF030799-JAPAN CTF - FY06 GENERAL: LAC (ALL COUNTRIES IN LATIN AMERICA AND THE C</t>
  </si>
  <si>
    <t>Colombia - Additional financing for the Social Safety Net Project : indigenous peoples plan</t>
  </si>
  <si>
    <t>CO-Additional Financing For Colombia Social Safety Net Project (Ln. 7 -- P104507</t>
  </si>
  <si>
    <t>IPP210</t>
  </si>
  <si>
    <t>TF037678-COLOMBIA - DECENTRALIZED ED MGT;TF054613-PHRD-COLUMBIA: DECENTRALIZED EDUCATION PROJECT-APL 1ST PHASE-ANTIOQUIA ;TF025828-PHRD-DECENTRALIZED HUMAN CAPITAL DEV.</t>
  </si>
  <si>
    <t>Indigenous Communities;Education For All;Poverty and Social Impact Analysis;Vocational Education &amp; Technical Training;Social Assessment</t>
  </si>
  <si>
    <t>Colombia - Antioquia Secondary Education Project : indigenous peoples plan</t>
  </si>
  <si>
    <t>CO-Antioquia Upper Secondary Education -- P052608</t>
  </si>
  <si>
    <t>IPP214</t>
  </si>
  <si>
    <t>Poverty Reduction;Rural Development</t>
  </si>
  <si>
    <t>Regional Rural Development;Rural Development Strategy &amp; Policy;Rural Poverty Reduction;Agribusiness &amp; Markets;Rural Development Knowledge &amp; Information Systems</t>
  </si>
  <si>
    <t>General agriculture, fishing and forestry sector;Agro-industry</t>
  </si>
  <si>
    <t>Colombia - Second Rural Productive Partnerships Project : indigenous peoples plan</t>
  </si>
  <si>
    <t>CO-Second Rural Productive Partnerships Project -- P104567</t>
  </si>
  <si>
    <t>IPP223</t>
  </si>
  <si>
    <t>Colombia : First Water and Sanitation Departmental Modernization (APL Phase I) Project : indigenous peoples planning framework.</t>
  </si>
  <si>
    <t>CO-First Water And Sanitation Departmental Modernization Adaptable Le -- P106143</t>
  </si>
  <si>
    <t>Minisetry of Environment, Housing and Territorial Development</t>
  </si>
  <si>
    <t>IPP241</t>
  </si>
  <si>
    <t>08/14/2007</t>
  </si>
  <si>
    <t>General Overview of the Indigenous Population in Colombia, and a brief summary of current social and environmental problems affected the IP Community.</t>
  </si>
  <si>
    <t>Reviewed</t>
  </si>
  <si>
    <t>TF090320-PHRD COLOMBIA: ACCES II</t>
  </si>
  <si>
    <t>Indigenous Communities;Indigenous Peoples;Tertiary Education;Vocational Education &amp; Technical Training;Educational Policy and Planning</t>
  </si>
  <si>
    <t>Secondary education;Tertiary education</t>
  </si>
  <si>
    <t>Colombia - Scaling up Student Loans to Promote Equitable Access Project : indigenous peoples plan</t>
  </si>
  <si>
    <t>CO-Second Student Loan Support Project, Apl Phase I -- P105164</t>
  </si>
  <si>
    <t>Colombia, Ministerio de Educación Nacional (MEN)</t>
  </si>
  <si>
    <t>IPP253</t>
  </si>
  <si>
    <t>Access &amp; Equity in Basic Education;Indigenous Communities;Indigenous Peoples;Language &amp; Communication;Educational Technology and Distance Education</t>
  </si>
  <si>
    <t>General education sector;Primary education;Secondary education;Vocational training</t>
  </si>
  <si>
    <t>Colombia - Second APL for Rural Education Project : indigenous peoples plan</t>
  </si>
  <si>
    <t>CO-Colombia Rural Education Project (Apl Phase II) -- P082908</t>
  </si>
  <si>
    <t>Ministerio de Educación Nacional (MEN)</t>
  </si>
  <si>
    <t>IPP256</t>
  </si>
  <si>
    <t>11/19/2007</t>
  </si>
  <si>
    <t>Other social protection and risk management;Gender;Education for all;Nutrition and food security;Social safety nets</t>
  </si>
  <si>
    <t>Access to Finance;Education and Society;Housing &amp; Human Habitats;Population Policies</t>
  </si>
  <si>
    <t>Health;Other social services;Primary education;Secondary education</t>
  </si>
  <si>
    <t>Colombia - Second Social Safety Net Project : indigenous peoples plan</t>
  </si>
  <si>
    <t>CO-Support For The Second Phase Of The Expansion Of The Program Of Co -- P101211</t>
  </si>
  <si>
    <t>IPP316</t>
  </si>
  <si>
    <t>09/26/2008</t>
  </si>
  <si>
    <t>Law and Development;Environment</t>
  </si>
  <si>
    <t>Environmental Economics &amp; Policies;Natural Resources Management;Environmental &amp; Natural Resources Law;Environmental Management;Environmentally Protected Areas</t>
  </si>
  <si>
    <t>Colombia - Protection Land and Patrimony of Internally Displaced Persons Project : indigenous peoples plan</t>
  </si>
  <si>
    <t>CO-Protection Land And Patrimony Of Idp -- P115630</t>
  </si>
  <si>
    <t>IPP330</t>
  </si>
  <si>
    <t>Access to urban services and housing;Conflict prevention and post-conflict reconstruction;Improving labor markets;Other public sector governance;Participation and civic engagement</t>
  </si>
  <si>
    <t>Urban Development;Social Development;Communities and Human Settlements</t>
  </si>
  <si>
    <t>Housing &amp; Human Habitats;Urban Poverty;Social Cohesion;Community Development and Empowerment;Social Capital</t>
  </si>
  <si>
    <t>Adult literacy/non-formal education;Other social services;Sub-national government administration;Other industry;Crops</t>
  </si>
  <si>
    <t>Colombia - Additional Financing for Peace and Development Project : indigenous peoples plan</t>
  </si>
  <si>
    <t>CO-Additional Financing For Peace And Development Project -- P101277</t>
  </si>
  <si>
    <t>Education;Public Administration, Law, and Justice;Agriculture, fishing, and forestry;Health and other social services;Industry and trade</t>
  </si>
  <si>
    <t>IPP366</t>
  </si>
  <si>
    <t>07/16/2009</t>
  </si>
  <si>
    <t>A brief overview of IP's in Colombia, in general, and a very brief description of IP's in Alto Patía y Macizo Colombiano</t>
  </si>
  <si>
    <t>Export development and competitiveness;Other financial and private sector development;Technology diffusion;Other public sector governance;Education for the knowledge economy</t>
  </si>
  <si>
    <t>Agriculture;Private Sector Development;Macroeconomics and Economic Growth;Information and Communication Technologies;Education</t>
  </si>
  <si>
    <t>Knowledge Economy;Knowledge for Development;E-Business;ICT Policy and Strategies;Agricultural Knowledge &amp; Information Systems</t>
  </si>
  <si>
    <t>Central government administration;General industry and trade sector;Tertiary education</t>
  </si>
  <si>
    <t>Colombia - Science, Technology, and Innovation Project : indigenous peoples planning framework</t>
  </si>
  <si>
    <t>CO-Science, Technology And Innovation -- P117590</t>
  </si>
  <si>
    <t>IPP425</t>
  </si>
  <si>
    <t>02/15/2010</t>
  </si>
  <si>
    <t>Gender;Education;Communities and Human Settlements</t>
  </si>
  <si>
    <t>Primary Education;Access &amp; Equity in Basic Education;Teaching and Learning;Housing &amp; Human Habitats;Gender and Education</t>
  </si>
  <si>
    <t>Colombia - Education System Modernization Project : indigenous peoples planning framework</t>
  </si>
  <si>
    <t>CO-Education System Modernization -- P106693</t>
  </si>
  <si>
    <t>IPP471</t>
  </si>
  <si>
    <t>TF040722-CHINA: THIRD XINJIANG HIGHWAY PROJECT;TF038822-CHINA - PREPARATION O FJAIANGXI II, II AND INNER MONGOLIA;TF026427-PHRD-CHINA: THIRD XINJIANG HIGHWAY PROJECT (RECIPIENT-EXECUTED);TF026642-PHRD-CHINA: THIRD XINJIANG HIGHWAY PROJECT (BANK-EXECUTED)</t>
  </si>
  <si>
    <t>Transport</t>
  </si>
  <si>
    <t>Environmental Economics &amp; Policies;National Governance;Roads &amp; Highways;Airports and Air Services;Urban Housing</t>
  </si>
  <si>
    <t>China - Third Xinjiang Highway Project : indigenous peoples plan</t>
  </si>
  <si>
    <t>CN-3rd Xinjiang Hwy Project -- P058847</t>
  </si>
  <si>
    <t>IPP15</t>
  </si>
  <si>
    <t>China</t>
  </si>
  <si>
    <t>TF038542-CHINA: JIANGXI INTEGRATED AGRICULTURAL MODERNIZATION;TF040727-CHINA: BUSINESS MANAGEMENT AND FINANCIAL SPECIALIST;TF038548-CHINA: JIANGXI INTEGRATED AG. MODERNIZATION PROJECT;TF040487-CHINA: JIANGXI INTEGRATED AGRICULTURAL MODERNIZATIOIN, WESTERN POVERTY;TF039051-CHINA - JIANGXI INTEGRATED AGRICULTURE PROJECT - AGRICULTURE MARKETS SP;TF038133-CHINA - LIVESTOCK AND AQUCULTURE BREEDING IMPROVEMENT;TF025997-PHRD-JIANGXI INTEGRATED AGRICULTURAL MODERNIZATION PROJ.(BANK-EXEC.);TF038174-CHINA: GANSU AND XINJIANG PASTORAL DEVELOPMENT;TF038716-CHINA: JIANGXI INTEGRATED AGRICULTURAL MODERNIZATION;TF038161-CHINA: ENVIRONMENT SPECIALIST - JIANGXI AGRICULTURAL PROJECT;TF026208-PHRD-JIANGXI INTEGRATED AGRICULTURAL MODERNIZATION PROJ. (RECIPIENT-EXE;TF038023-CHINA - JIANGXI INTEGRATED AGR. MD;TF038020-CHINA - JIANGXI INTEGRATED AG. MODERNIZATION;TF038180-CHINA: JIANGXI INTEGRATED AGRICULTURAL MODERNIZATION;TF040194-CHINA - INTEGRATED AGRICULTURAL MODERNIZATION PROJECT- APPRAISAL &amp; SPN</t>
  </si>
  <si>
    <t>Demographics;Agricultural Research;Health Indicators;Health Monitoring &amp; Evaluation;Agricultural Knowledge &amp; Information Systems</t>
  </si>
  <si>
    <t>Sub-national government administration;Roads and highways;General agriculture, fishing and forestry sector;Agricultural marketing and trade</t>
  </si>
  <si>
    <t>China - Jiangxi Integrated Agricultural Modernization Project : indigenous peoples plan</t>
  </si>
  <si>
    <t>CN-Jiangxi Integrated Agricultural Modernization Project -- P065463</t>
  </si>
  <si>
    <t>IPP12</t>
  </si>
  <si>
    <t>TF026649-PHRD-CHINA: BASIC EDUCATION IN WESTERN AREAS (BANK-EXECUTED);TF026772-PHRD-CHINA: BASIC EDUCATION IN WESTERN AREAS (RECIPIENT-EXECUTED)</t>
  </si>
  <si>
    <t>;Health Information &amp; Communications Technologies;Agricultural Research;Health Indicators;ICT Data and Statistics</t>
  </si>
  <si>
    <t>Central government administration;Primary education</t>
  </si>
  <si>
    <t>China - Basic Education in Western Provinces Project : indigenous peoples plan</t>
  </si>
  <si>
    <t>CN-Basic Education In Western Areas -- P073002</t>
  </si>
  <si>
    <t>IPP36</t>
  </si>
  <si>
    <t>TF030477-GERMAN CTF FY04 - ENVIRONMENT &amp; PUBLIC SECTOR MANAGEMENT;TF050219-PHRD-CHINA: AGRICULTURE TECHNOLOGY PROJECT (BANK-EXECUTED);TF026377-PHRD-CHINA: AGRICULTURE TECHNOLOGY PROJECT (RECIPIENT-EXECUTED);TF030687-GERMAN CTF FY05 - ENVIRONMENT &amp; PUBLIC SECTOR MANAGEMENT</t>
  </si>
  <si>
    <t>Environmental Economics &amp; Policies;Agricultural Research;Economic Theory &amp; Research;Health Economics &amp; Finance;Agricultural Knowledge &amp; Information Systems</t>
  </si>
  <si>
    <t>China - Agricultural Technology Transfer Project : indigenous peoples plan</t>
  </si>
  <si>
    <t>CN-Agricultural Technology Transfer Project -- P069862</t>
  </si>
  <si>
    <t>IPP114</t>
  </si>
  <si>
    <t>Curriculum &amp; Instruction;Agricultural Research;Educational Sciences;Agricultural Knowledge &amp; Information Systems;ICT Policy and Strategies</t>
  </si>
  <si>
    <t>Common Carriers Industry;Transport Economics Policy &amp; Planning;TF054105-DONOR FUNDED OPERATION ADMINISTRATION FEE INCOME AND EXPENSE ACCOUNT;Banks &amp; Banking Reform;Transport and Trade Logistics</t>
  </si>
  <si>
    <t>China - Inner Mongolia Trade and Transport Facilitation Project : indigenous peoples plan</t>
  </si>
  <si>
    <t>CN-Inner Mongolia Highway And Trade Corridor -- P068752</t>
  </si>
  <si>
    <t>IPP94</t>
  </si>
  <si>
    <t>7 of 7</t>
  </si>
  <si>
    <t>TF054747-JSDF-CHINA: INTRODUCING CDD APPROACHES IN CHINA'S RURAL POVERTY REDUCTI;TF030464-IRISH CTF FY04 - EAST ASIA &amp; PACIFIC;TF030484-JAPAN CTF - FY04 GENERAL: EAP (ALL COUNTRIES IN EAST ASIA AND PACIFIC/A;TF041039-CHINA POOR RURAL COMMUNITY DEVELOPMENT PROJECT;TF040826-CHINA: POOR RURAL COMMUNITIES DEVELOPMENT PROJECT;TF030602-AUSTRIA GENERAL CTF FY05 - ALL BUT ECA;TF040311-CHINA - PREPARATION- POOR RUAL COMMUNITIES DEVELOPMENT PROJECT;TF026424-PHRD-CHINA: POOR RURAL COMMUNITIES DEVELOPMENT PROJECT;TF030644-SINGAPORE CTF FY05 - GENERAL (ALL COUNTRIES/SECTORS);TF054748-JSDF-CHINA: INTRODUCING CDD APPROACHES IN CHINA'S RURAL POVERTY REDUCT-;TF030438-FRENCH AGRICULTURE CTF - FY04 (EAST ASIA &amp; PACIFIC/ AGRICULTURE FISHING;TF030429-SINGAPORE CTF FY04 - GENERAL</t>
  </si>
  <si>
    <t>Environmental Economics &amp; Policies;Poverty Monitoring &amp; Analysis;Health Monitoring &amp; Evaluation;Health Economics &amp; Finance;ICT Policy and Strategies</t>
  </si>
  <si>
    <t>Health;General agriculture, fishing and forestry sector;General water, sanitation and flood protection sector;Roads and highways;Primary education</t>
  </si>
  <si>
    <t>China - Poor Rural Communities Development Project : indigenous peoples plan</t>
  </si>
  <si>
    <t>CN-Poor Rural Communities Development Project -- P071094</t>
  </si>
  <si>
    <t>Education;Agriculture, fishing, and forestry;Health and other social services;Water, sanitation and flood protection;Transportation</t>
  </si>
  <si>
    <t>IPP115</t>
  </si>
  <si>
    <t>6 of 7</t>
  </si>
  <si>
    <t>Environmental Economics &amp; Policies;Demographics;Poverty Assessment;Health Monitoring &amp; Evaluation;Health Economics &amp; Finance</t>
  </si>
  <si>
    <t>5 of 7</t>
  </si>
  <si>
    <t>Environmental Economics &amp; Policies;Agricultural Research;Crops &amp; Crop Management Systems;Health Monitoring &amp; Evaluation;Health Economics &amp; Finance</t>
  </si>
  <si>
    <t>4 of 7</t>
  </si>
  <si>
    <t>3 of 7</t>
  </si>
  <si>
    <t>2 of 7</t>
  </si>
  <si>
    <t>1 of 7</t>
  </si>
  <si>
    <t>TF054446-PCF - XIAOGUSHAN RUN OF THE RIVER HYDRO PRJECT</t>
  </si>
  <si>
    <t>Environmental Economics &amp; Policies;Banks &amp; Banking Reform;National Governance;Health Monitoring &amp; Evaluation;Roads &amp; Highways</t>
  </si>
  <si>
    <t>China - PCF Xiaogushan Hydropower Project : Indigenous Peoples Plan</t>
  </si>
  <si>
    <t>CN-Pcf Xiaogushan Hydropower Project -- P087153</t>
  </si>
  <si>
    <t>IPP120</t>
  </si>
  <si>
    <t>TF030627-SWITZERLAND CTF - FY05 (TRANSPORTATION, ALL REGIONS);TF030664-JAPAN CTF - FY05 GENERAL: EAP (ALL COUNTRIES IN EAST ASIA AND PACIFIC/A;TF030690-IRISH CTF FY05 - ASIA;TF030657-ITALIAN CTF - FY05 - EAP /ENERGY &amp; MINING/TRANSPORTATION/WATER/IT;TF030796-JAPAN CTF - FY06 GENERAL: EAP (ALL COUNTRIES IN EAST ASIA AND PACIFIC/A</t>
  </si>
  <si>
    <t>Gender;Urban Development;Health, Nutrition and Population;Poverty Reduction;Rural Development</t>
  </si>
  <si>
    <t>Demographics;Poverty Assessment;Municipal Financial Management;Gender and Education;Rural Education</t>
  </si>
  <si>
    <t>General water, sanitation and flood protection sector;Roads and highways</t>
  </si>
  <si>
    <t>China - Sichuan Urban Development Project : indigenous peoples plan</t>
  </si>
  <si>
    <t>CN-Sichuan Urban Development Project -- P083322</t>
  </si>
  <si>
    <t>Water, sanitation and flood protection;Transportation</t>
  </si>
  <si>
    <t>Government of China - Sichuan Province</t>
  </si>
  <si>
    <t>IPP149</t>
  </si>
  <si>
    <t>TF030602-AUSTRIA GENERAL CTF FY05 - ALL BUT ECA;TF030699-DANISH CTF - FY05 (THEME - DAC PART 1 COUNTRIES GNP PER CAPITA BELOW US;TF030687-GERMAN CTF FY05 - ENVIRONMENT &amp; PUBLIC SECTOR MANAGEMENT</t>
  </si>
  <si>
    <t>Wildlife Resources;Environmental Economics &amp; Policies;Ecosystems and Natural Habitats;Forests and Forestry;Forestry</t>
  </si>
  <si>
    <t>China - Guangxi Integrated Forestry Development and Conservation Project : indigenous peoples plan</t>
  </si>
  <si>
    <t>CN-Guangxi Integrated Forestry Development And Conservation Project-P -- P088964</t>
  </si>
  <si>
    <t>IPP174</t>
  </si>
  <si>
    <t>Urban Development;Water Supply and Sanitation;Water Resources;Social Development;Communities and Human Settlements</t>
  </si>
  <si>
    <t>Peri-Urban Communities;Town Water Supply and Sanitation;Water and Industry;Rural Urban Linkages;Social Accountability</t>
  </si>
  <si>
    <t>China - Hubei Guangrun River Hydropower Project : community benefit development plan</t>
  </si>
  <si>
    <t>CN-China-Pcf-Cdcf Hubei Guangrun Hydropower -- P094795</t>
  </si>
  <si>
    <t>east China Investigation and Design Institute;Hubei Guangrun Electrical Power Development Co.;Jianshi County People's Government</t>
  </si>
  <si>
    <t>IPP168</t>
  </si>
  <si>
    <t>TF023706-ESMAP-ODA CONTRIBUTION 2 (ALSO TO E.E.);TF030781-SPANISH CTF - FY06 (CHINA, PHILIPPINES, &amp; VIETNAM/ALL SECTORS &amp; THEMES);TFS23895-ESMAP CORE FUNDING (FINLAND;TF023893-ESMAP-BELGIUM NON-CORE;TF022256-ESMAP - GLO ESMAP CORE FUNDING 1994;TF023892-ESMAP-BELGIUM CORE;TF023895-ESMAP CORE FUNDING (FINLAND;TF024578-ESMAP-SWEDEN (MAIN);TFS22256-ESMAP - GLO ESMAP CORE FUNDING 1994;TF054762-ESMAP-ODA CONTRIBUTION 2 (ALSO TO E.E.);TFM23895-ESMAP CORE FUNDING (FINLAND;TF030796-JAPAN CTF - FY06 GENERAL: EAP (ALL COUNTRIES IN EAST ASIA AND PACIFIC/A</t>
  </si>
  <si>
    <t>Rural services and infrastructure;Infrastructure services for private sector development</t>
  </si>
  <si>
    <t>Environment;Transport;Rural Development;Finance and Financial Sector Development</t>
  </si>
  <si>
    <t>Rural Roads &amp; Transport;Environmental Economics &amp; Policies;Transport Economics Policy &amp; Planning;Banks &amp; Banking Reform;Roads &amp; Highways</t>
  </si>
  <si>
    <t>China - Fujian Highway Sector Investment Project : indigenous peoples plan</t>
  </si>
  <si>
    <t>CN-Fujian Highway Sector Investment -- P091020</t>
  </si>
  <si>
    <t>IPP308</t>
  </si>
  <si>
    <t>Chinese</t>
  </si>
  <si>
    <t>Transport;Health, Nutrition and Population;Rural Development;Communities and Human Settlements</t>
  </si>
  <si>
    <t>Rural Roads &amp; Transport;Transport Economics Policy &amp; Planning;Housing &amp; Human Habitats;Roads &amp; Highways;Population Policies</t>
  </si>
  <si>
    <t>TF030781-SPANISH CTF - FY06 (CHINA, PHILIPPINES, &amp; VIETNAM/ALL SECTORS &amp; THEMES)</t>
  </si>
  <si>
    <t>Transport;Culture and Development;Health, Nutrition and Population;Rural Development</t>
  </si>
  <si>
    <t>Cultural Policy;Rural Roads &amp; Transport;Transport Economics Policy &amp; Planning;Demographics;Cultural Heritage &amp; Preservation</t>
  </si>
  <si>
    <t>Roads and highways;Sub-national government administration;General transportation sector</t>
  </si>
  <si>
    <t>China - Guiyang Transport Project : indigenous peoples plan</t>
  </si>
  <si>
    <t>CN-Guiyang Transport Project -- P093963</t>
  </si>
  <si>
    <t>Chinese Cross-Culture Consulting Center (CCCCC), Sun Yat Sen</t>
  </si>
  <si>
    <t>IPP220</t>
  </si>
  <si>
    <t>TF030747-DANISH CTF - FY06 (THEME - DAC PART 1 COUNTRIES GNP PER CAPITA BELOW US</t>
  </si>
  <si>
    <t>Agriculture;Urban Development;Finance and Financial Sector Development;Communities and Human Settlements</t>
  </si>
  <si>
    <t>Access to Finance;Peri-Urban Communities;Crops &amp; Crop Management Systems;Housing &amp; Human Habitats;Rural Urban Linkages</t>
  </si>
  <si>
    <t>Renewable energy;General agriculture, fishing and forestry sector;Animal production;Agricultural extension and research;Crops</t>
  </si>
  <si>
    <t>China - Eco-Farming Project : indigenous peoples plan</t>
  </si>
  <si>
    <t>CN-Eco-Farming Project -- P096556</t>
  </si>
  <si>
    <t>IPP219</t>
  </si>
  <si>
    <t>Transport;Urban Development;Finance and Financial Sector Development;Communities and Human Settlements</t>
  </si>
  <si>
    <t>Transport Economics Policy &amp; Planning;Access to Finance;Peri-Urban Communities;Housing &amp; Human Habitats;Rural Urban Linkages</t>
  </si>
  <si>
    <t>04/19/2007</t>
  </si>
  <si>
    <t>Social Protections and Labor;Social Development;Finance and Financial Sector Development;Education;Communities and Human Settlements</t>
  </si>
  <si>
    <t>Access to Finance;Housing &amp; Human Habitats;Education For All;Disability;Social Cohesion</t>
  </si>
  <si>
    <t>04/25/2007</t>
  </si>
  <si>
    <t>TF030781-SPANISH CTF - FY06 (CHINA, PHILIPPINES, &amp; VIETNAM/ALL SECTORS &amp; THEMES);TF030866-SPANISH CTF - FY07 (CHINA, PHILIPPINES, &amp; VIETNAM/ALL SECTORS &amp; THEMES);TF030646-SPANISH CTF - FY05 (CHINA, PHILIPPINES, &amp; VIETNAM/ALL SECTORS &amp; THEMES);TF030742-CIDA GEF (GEN) CTF FY06 - ALL BANK BORROWING MEMBER COUNTRIES EXCEPT EC;TF030599-AUSTRALIA CTF FY05: EAP, AFRICA &amp; GLOBAL (WATER, SANITATION,&amp; FLOOD PRO;TF030633-DANISH CTF - FY05 (SECTOR - EDUCATION/WSF/L,J, PUBLIC ADMIN/ENV &amp; NATUR;TF030657-ITALIAN CTF - FY05 - EAP /ENERGY &amp; MINING/TRANSPORTATION/WATER/IT;TF030815-ITALIAN MINISTRY OF ENVIRONMENT AND TERITORY CTF - EAP/ENVIRONMENT &amp; N-</t>
  </si>
  <si>
    <t>Cultural Policy;Access to Finance;Tourism and Ecotourism;Race in Society;Cultural Heritage &amp; Preservation</t>
  </si>
  <si>
    <t>Solid waste management;General water, sanitation and flood protection sector;Other social services;General transportation sector</t>
  </si>
  <si>
    <t>China - Gansu Cultural and Natural Heritage Protection and Development Project : indigenous peoples plan</t>
  </si>
  <si>
    <t>CN-Gansu Cultural And Natural Heritage Protection And Development Pro -- P091949</t>
  </si>
  <si>
    <t>Project Management Office</t>
  </si>
  <si>
    <t>IPP228</t>
  </si>
  <si>
    <t>TF030747-DANISH CTF - FY06 (THEME - DAC PART 1 COUNTRIES GNP PER CAPITA BELOW US;TF030699-DANISH CTF - FY05 (THEME - DAC PART 1 COUNTRIES GNP PER CAPITA BELOW US</t>
  </si>
  <si>
    <t>Culture and Development;Water Supply and Sanitation;Water Resources</t>
  </si>
  <si>
    <t>Cultural Policy;Water and Industry;Wastewater Treatment;Sanitation and Sewerage;Urban Solid Waste Management</t>
  </si>
  <si>
    <t>China - Yunnan Urban Environment Project : indigenous peoples</t>
  </si>
  <si>
    <t>CN-Yunnan Urban Environmental -- P096812</t>
  </si>
  <si>
    <t>China Cross-cultural Consulting Center, Sun Yat-sen University</t>
  </si>
  <si>
    <t>IPP252</t>
  </si>
  <si>
    <t>07/13/2007</t>
  </si>
  <si>
    <t>TF090677-GEF PPG - CHINA: GRANT FOR PREPARATION OF MAINSTREAMING ADAPTATION TO C;TF090801-CHINA: GRANT FOR PREPARATION OF MAINSTREAMING ADAPTATION TO CLIMATE CHA;TF090802-CHINA: GRANT FOR PREPARATION OF MAINSTREAMING ADAPTATION TO CLIMATE CH-;TF090678-GEF PPG - CHINA: GRANT FOR PREPARATION OF MAINSTREAMING ADAPTATION TO-9</t>
  </si>
  <si>
    <t>Water Supply and Sanitation;Water Resources;Finance and Financial Sector Development</t>
  </si>
  <si>
    <t>Water Use;Access to Finance;Town Water Supply and Sanitation;Water Supply and Sanitation Governance and Institutions;Water Supply and Systems</t>
  </si>
  <si>
    <t>Forestry;Agricultural extension and research;General public administration sector;Irrigation and drainage</t>
  </si>
  <si>
    <t>China - Mainstreaming Adaptation to Climate Change into Water Resources Management and Rural Development Project</t>
  </si>
  <si>
    <t>CN-Mainstreaming Climate Change Adaptation In Irrigated Agriculture P -- P105229</t>
  </si>
  <si>
    <t>IPP240</t>
  </si>
  <si>
    <t>08/23/2007</t>
  </si>
  <si>
    <t>Environment;Urban Development;Communities and Human Settlements</t>
  </si>
  <si>
    <t>Environmental Economics &amp; Policies;Indigenous Communities;Pollution Management &amp; Control;Urban Environment;National Urban Development Policies &amp; Strategies</t>
  </si>
  <si>
    <t>Environmental Economics &amp; Policies;Water and Industry;Town Water Supply and Sanitation;Wastewater Treatment;Sanitation and Sewerage</t>
  </si>
  <si>
    <t>Environment;Energy;Water Supply and Sanitation;Water Resources</t>
  </si>
  <si>
    <t>Renewable energy;General agriculture, fishing and forestry sector</t>
  </si>
  <si>
    <t>China - Xinjiang Aksu Pig Farm Biogas Project : indigenous peoples plan</t>
  </si>
  <si>
    <t>CN-China Xinjiang Aksu Pig Farm Biogas Project -- P106518</t>
  </si>
  <si>
    <t>IPP327</t>
  </si>
  <si>
    <t>12/23/2007</t>
  </si>
  <si>
    <t>TF030781-SPANISH CTF - FY06 (CHINA, PHILIPPINES, &amp; VIETNAM/ALL SECTORS &amp; THEMES);TF090125-JAPAN CTF - FY07: GENERAL EAP (ALL COUNTRIES IN EAST ASIA AND PACIFIC/A;TF030646-SPANISH CTF - FY05 (CHINA, PHILIPPINES, &amp; VIETNAM/ALL SECTORS &amp; THEMES);TF030764-KOREAN CTF FY06 - EAP (GENERAL);TF030745-DANISH CTF - FY06 (SECTOR - EDUCATION/WSF/L,J, PUBLIC ADMIN/ENV &amp; NATUR;TF030796-JAPAN CTF - FY06 GENERAL: EAP (ALL COUNTRIES IN EAST ASIA AND PACIFIC/A;TF030815-ITALIAN MINISTRY OF ENVIRONMENT AND TERITORY CTF - EAP/ENVIRONMENT &amp; N-;TF030865-DANISH CTF - FY07 (DAC PART I COUNTRIES WITH ANNUAL PER-CAPITA GNP OF L</t>
  </si>
  <si>
    <t>Other environment and natural resources management;Other urban development;Other social development</t>
  </si>
  <si>
    <t>Culture and Development;Industry;Finance and Financial Sector Development;Communities and Human Settlements</t>
  </si>
  <si>
    <t>Cultural Policy;Access to Finance;Housing &amp; Human Habitats;Accommodation &amp; Tourism Industry;Cultural Heritage &amp; Preservation</t>
  </si>
  <si>
    <t>China - Guizhou Cultural and Natural Heritage Protection and Development Project : indigenous peoples plan</t>
  </si>
  <si>
    <t>CN-Guizhou Cultural And Natural Heritage Protection And Development -- P091950</t>
  </si>
  <si>
    <t>IPP301</t>
  </si>
  <si>
    <t>TF054586-PHRD-CHINA: RURAL HEALTH PROJECT</t>
  </si>
  <si>
    <t>Health system performance;Social safety nets</t>
  </si>
  <si>
    <t>Housing &amp; Human Habitats;Health Monitoring &amp; Evaluation;Health Systems Development &amp; Reform;Population Policies;Social Accountability</t>
  </si>
  <si>
    <t>China - Rural Health Project : Indigenous peoples plan</t>
  </si>
  <si>
    <t>CN-Rural Health Project -- P084437</t>
  </si>
  <si>
    <t>IPP289</t>
  </si>
  <si>
    <t>TF057820-SEA MAINSTREAMING;TF090735-JAPAN CTF - FY08: GENERAL EAP (ALL COUNTRIES IN EAST ASIA AND PACIFIC/A;TF030796-JAPAN CTF - FY06 GENERAL: EAP (ALL COUNTRIES IN EAST ASIA AND PACIFIC/A;TF030865-DANISH CTF - FY07 (DAC PART I COUNTRIES WITH ANNUAL PER-CAPITA GNP OF L</t>
  </si>
  <si>
    <t>Regional integration;Trade facilitation and market access</t>
  </si>
  <si>
    <t>Transport;Urban Development;Social Protections and Labor;Finance and Financial Sector Development;Communities and Human Settlements</t>
  </si>
  <si>
    <t>Access to Finance;Transport Economics Policy &amp; Planning;Peri-Urban Communities;Labor Policies;Rural Urban Linkages</t>
  </si>
  <si>
    <t>China - Hubei Yiba Highway Project : indigenous peoples plan</t>
  </si>
  <si>
    <t>CN-Hubei Yiba Highway -- P101258</t>
  </si>
  <si>
    <t>IPP307</t>
  </si>
  <si>
    <t>Public expenditure, financial management and procurement</t>
  </si>
  <si>
    <t>Environmental Economics &amp; Policies;Cultural Policy;Housing &amp; Human Habitats;Cultural Heritage &amp; Preservation;Population Policies</t>
  </si>
  <si>
    <t>Railways</t>
  </si>
  <si>
    <t>China - Guiyang-Guangzhou New Railway Construction (GGR) Project : indigenous peoples plan</t>
  </si>
  <si>
    <t>CN-Guiyang Guangzhou Railway -- P107559</t>
  </si>
  <si>
    <t>IPP319</t>
  </si>
  <si>
    <t>Environment;Culture and Development;Health, Nutrition and Population;Finance and Financial Sector Development</t>
  </si>
  <si>
    <t>Environmental Economics &amp; Policies;Cultural Policy;Access to Finance;Population Policies;Cultural Heritage &amp; Preservation</t>
  </si>
  <si>
    <t>08/30/2008</t>
  </si>
  <si>
    <t>Cultural Policy;Environmental Economics &amp; Policies;Housing &amp; Human Habitats;Population Policies;Cultural Heritage &amp; Preservation</t>
  </si>
  <si>
    <t>China - Xinjiang Turfan Water Conservation Project : indigenous peoples plan</t>
  </si>
  <si>
    <t>CN-Xinjiang Turfan Water Conservation Project -- P111163</t>
  </si>
  <si>
    <t>IPP397</t>
  </si>
  <si>
    <t>Water Use;Town Water Supply and Sanitation;Water and Industry;Water Supply and Sanitation Governance and Institutions;Water Supply and Systems</t>
  </si>
  <si>
    <t>Access to Finance;Transport Economics Policy &amp; Planning;Peri-Urban Communities;Banks &amp; Banking Reform;Rural Urban Linkages</t>
  </si>
  <si>
    <t>09/22/2008</t>
  </si>
  <si>
    <t>Poverty strategy, analysis and monitoring;Other environment and natural resources management;Rural services and infrastructure</t>
  </si>
  <si>
    <t>Environment;Health, Nutrition and Population;Poverty Reduction;Communities and Human Settlements</t>
  </si>
  <si>
    <t>Environmental Economics &amp; Policies;Poverty Monitoring &amp; Analysis;Rural Poverty Reduction;Housing &amp; Human Habitats;Population Policies</t>
  </si>
  <si>
    <t>General agriculture, fishing and forestry sector;General water, sanitation and flood protection sector;Roads and highways;Agricultural marketing and trade</t>
  </si>
  <si>
    <t>China - Sustainable Development in Poor Rural Areas Project : indigenous peoples plan</t>
  </si>
  <si>
    <t>CN-Sustainable Development In Poor Rural Areas -- P099751</t>
  </si>
  <si>
    <t>Agriculture, fishing, and forestry;Industry and trade;Water, sanitation and flood protection;Transportation</t>
  </si>
  <si>
    <t>IPP315</t>
  </si>
  <si>
    <t>09/23/2008</t>
  </si>
  <si>
    <t>Wetlands;Town Water Supply and Sanitation;Water and Industry;Wastewater Treatment;Sanitation and Sewerage</t>
  </si>
  <si>
    <t>Environment;Energy;Water Supply and Sanitation</t>
  </si>
  <si>
    <t>Energy Production and Transportation;Environmental Economics &amp; Policies;Wastewater Treatment;Sanitation and Sewerage</t>
  </si>
  <si>
    <t>12/16/2008</t>
  </si>
  <si>
    <t>Water Conservation;Water and Industry;Wastewater Treatment;Water Supply and Systems;Sanitation and Sewerage</t>
  </si>
  <si>
    <t>Solid waste management;Sanitation;Sewerage</t>
  </si>
  <si>
    <t>China - Nanning Urban Environment Project : indigenous peoples plan</t>
  </si>
  <si>
    <t>CN-Nanning Urban Environment -- P108627</t>
  </si>
  <si>
    <t>IPP353</t>
  </si>
  <si>
    <t>Water Supply and Sanitation;Water Resources;Communities and Human Settlements</t>
  </si>
  <si>
    <t>Water and Industry;Housing &amp; Human Habitats;Wastewater Treatment;River Basin Management;Sanitation and Sewerage</t>
  </si>
  <si>
    <t>Water resource management;Other urban development</t>
  </si>
  <si>
    <t>Access to Finance;Peri-Urban Communities;Housing &amp; Human Habitats;Population Policies;Rural Urban Linkages</t>
  </si>
  <si>
    <t>Irrigation and drainage;Flood protection</t>
  </si>
  <si>
    <t>China - Xining Flood and Watershed Management Project : indigenous peoples plan</t>
  </si>
  <si>
    <t>CN-Xining Flood And Watershed Management -- P101829</t>
  </si>
  <si>
    <t>IPP350</t>
  </si>
  <si>
    <t>Social Development;Rural Development;Finance and Financial Sector Development;Communities and Human Settlements</t>
  </si>
  <si>
    <t>Access to Finance;Housing &amp; Human Habitats;Participations and Civic Engagement;Forestry;Social Accountability</t>
  </si>
  <si>
    <t>China - Integrated Forestry Development Project : indigenous peoples plan</t>
  </si>
  <si>
    <t>CN-Integrated Forestry Development Project -- P105872</t>
  </si>
  <si>
    <t>IPP364</t>
  </si>
  <si>
    <t>Culture and Development;Social Development;Rural Development;Finance and Financial Sector Development;Communities and Human Settlements</t>
  </si>
  <si>
    <t>Cultural Policy;Access to Finance;Housing &amp; Human Habitats;Forestry;Social Accountability</t>
  </si>
  <si>
    <t>Climate Change and Environment;Common Property Resource Development;Housing &amp; Human Habitats;Forestry;Rural Urban Linkages</t>
  </si>
  <si>
    <t>China - Shandong Ecological Afforestation Project : indigenous peoples plan</t>
  </si>
  <si>
    <t>CN-Shandong Ecological Afforestation -- P112759</t>
  </si>
  <si>
    <t>IPP370</t>
  </si>
  <si>
    <t>Export development and competitiveness;Technology diffusion;Rural services and infrastructure</t>
  </si>
  <si>
    <t>Environment;Social Protections and Labor;Water Resources;Rural Development;Finance and Financial Sector Development</t>
  </si>
  <si>
    <t>Environmental Economics &amp; Policies;Access to Finance;Water and Industry;Labor Policies;Rural Development Knowledge &amp; Information Systems</t>
  </si>
  <si>
    <t>Animal production;Agro-industry;Crops;Agricultural marketing and trade</t>
  </si>
  <si>
    <t>China - Jilin Agricultural Product Safety and Quality Project : indigenous peoples plan</t>
  </si>
  <si>
    <t>CN-Jilin Agricultural Product Safety And Quality -- P101716</t>
  </si>
  <si>
    <t>IPP369</t>
  </si>
  <si>
    <t>Social Protections and Labor;Water Resources;Rural Development;Finance and Financial Sector Development;Communities and Human Settlements</t>
  </si>
  <si>
    <t>Access to Finance;Water and Industry;Housing &amp; Human Habitats;Labor Policies;Rural Development Knowledge &amp; Information Systems</t>
  </si>
  <si>
    <t>Culture and Development;Social Protections and Labor;Health, Nutrition and Population;Finance and Financial Sector Development;Communities and Human Settlements</t>
  </si>
  <si>
    <t>Cultural Policy;Access to Finance;Housing &amp; Human Habitats;Population Policies;Disability</t>
  </si>
  <si>
    <t>06/26/2009</t>
  </si>
  <si>
    <t>China - Ningxia Highway Project : social assessment</t>
  </si>
  <si>
    <t>CN-Ningxia Highway Project -- P096920</t>
  </si>
  <si>
    <t>IPP378</t>
  </si>
  <si>
    <t>Agriculture;Transport;Macroeconomics and Economic Growth;Rural Development;Communities and Human Settlements</t>
  </si>
  <si>
    <t>Transport Economics Policy &amp; Planning;Economic Theory &amp; Research;Housing &amp; Human Habitats;Rural Development Knowledge &amp; Information Systems;Agricultural Knowledge &amp; Information Systems</t>
  </si>
  <si>
    <t>Town Water Supply and Sanitation;Water and Industry;Water Supply and Sanitation Governance and Institutions;Housing &amp; Human Habitats;Water Supply and Systems</t>
  </si>
  <si>
    <t>Environmental Economics &amp; Policies;Wetlands;Water Conservation;Water and Industry;Water Supply and Sanitation Governance and Institutions</t>
  </si>
  <si>
    <t>General water, sanitation and flood protection sector;Sanitation;Sewerage</t>
  </si>
  <si>
    <t>China - Jiangsu Wuxi Lake Tai Environment Project : indigenous peoples plan</t>
  </si>
  <si>
    <t>CN-Jiangsu Wuxi Lake Tai Environment Project -- P115319</t>
  </si>
  <si>
    <t>IPP434</t>
  </si>
  <si>
    <t>Water Conservation;Environmental Economics &amp; Policies;Water and Industry;Town Water Supply and Sanitation;Water Supply and Systems</t>
  </si>
  <si>
    <t>General water, sanitation and flood protection sector;Water supply</t>
  </si>
  <si>
    <t>China - Bayannaoer Water Reclamation and Environment Protection Project : indigenous peoples plan</t>
  </si>
  <si>
    <t>CN-Bayannaoer Water Resources And Environment Improvement Project -- P115695</t>
  </si>
  <si>
    <t>IPP437</t>
  </si>
  <si>
    <t>China - Additional Financing for the Fujian Highway Sector Investment Project : indigenous peoples policy framework</t>
  </si>
  <si>
    <t>Fujian Highway Sector Investment Project Additional Financing</t>
  </si>
  <si>
    <t>IPP463</t>
  </si>
  <si>
    <t>02/15/2011</t>
  </si>
  <si>
    <t>Chile - Social Protection Technical Assistance Project : indigenous peoples plan</t>
  </si>
  <si>
    <t>CL-Chile: Social Protection Technical Assistance Project -- P082037</t>
  </si>
  <si>
    <t>IPP62</t>
  </si>
  <si>
    <t>Chile</t>
  </si>
  <si>
    <t>most information found in IPP 372</t>
  </si>
  <si>
    <t>Primary Education;Teaching and Learning;Education and Society;Health Monitoring &amp; Evaluation;Gender and Education</t>
  </si>
  <si>
    <t>Tertiary education</t>
  </si>
  <si>
    <t>Chile - Tertiary Education Finance for Results Project : indigenous peoples plan</t>
  </si>
  <si>
    <t>CL-Chile- Tertiary Education Finance For Results Project- First Phase -- P088498</t>
  </si>
  <si>
    <t>IPP105</t>
  </si>
  <si>
    <t>very useful document; not all information included CCCS in wiki country profile (esp. tables and figures, but also later sections detailing educational programmes targeting indigenous populations)</t>
  </si>
  <si>
    <t>TF052919-PHRD-CHILE: RURAL INFRASTRUCTURE FOR TERRITORIAL DEVELOPMENT</t>
  </si>
  <si>
    <t>Environmental Economics &amp; Policies;Poverty Monitoring &amp; Analysis;Banks &amp; Banking Reform;Health Economics &amp; Finance;Social Capital</t>
  </si>
  <si>
    <t>General water, sanitation and flood protection sector;Roads and highways;General information and communications sector;General energy sector</t>
  </si>
  <si>
    <t>Chile - Infrastructure for Territorial Development Project : indigenous peoples plan</t>
  </si>
  <si>
    <t>CL-Chile Infrastructure For Territorial Development -- P076807</t>
  </si>
  <si>
    <t>Energy and mining;Information and communications;Water, sanitation and flood protection;Transportation</t>
  </si>
  <si>
    <t>IPP108</t>
  </si>
  <si>
    <t>some information about IP issues in national / regional contexts</t>
  </si>
  <si>
    <t>Poverty strategy, analysis and monitoring;Social risk mitigation;Indigenous peoples;Administrative and civil service reform;Social analysis and monitoring</t>
  </si>
  <si>
    <t>Access to Finance;Housing &amp; Human Habitats;Health Systems Development &amp; Reform;Health Monitoring &amp; Evaluation;Population Policies</t>
  </si>
  <si>
    <t>Chile - Additional Financing for Social Protection Technical Assistance Project : indigenous peoples plan</t>
  </si>
  <si>
    <t>IPP372</t>
  </si>
  <si>
    <t>very useful document; not all information included CCCS in wiki country profile (esp. tables and figures)</t>
  </si>
  <si>
    <t>TF030571-IDA CONSULTANTS POOLED CTF - FY04</t>
  </si>
  <si>
    <t>Central America - Regional HIV/AIDS Project : indigenous peoples plan</t>
  </si>
  <si>
    <t>6C-Central America Hiv/Aids Project -- P082243</t>
  </si>
  <si>
    <t>Traa-Valarezo, Ximena</t>
  </si>
  <si>
    <t>IPP106</t>
  </si>
  <si>
    <t>12/22/2004</t>
  </si>
  <si>
    <t>Central America</t>
  </si>
  <si>
    <t>TF053261-GEF3 PDFB-CENTRAL AMERICA:CORAZON TRANSFRONTIER BIOSPHERE RESERVE PROJE;TF056599-GEF FSP-NICARAGUA-HONDURAS CORAZï¿½N TRANSBOUNDARY BIOSPHERE RESERVE</t>
  </si>
  <si>
    <t>Wildlife Resources;Natural Resources Management;Environmental Management;Biodiversity</t>
  </si>
  <si>
    <t>Latin America and Caribbean Region - Corazon Transboundary Biosphere Reserve (Nicaragua and Honduras) Project: indigenous peoples planning framework</t>
  </si>
  <si>
    <t>6C-Corazon Transboundary Biosphere Reserve Project -- P085488</t>
  </si>
  <si>
    <t>Central American for Environment and Development;Secretariat for Natural Resources and Environment (Honduras);Ministry of of the Environment and Natural Resources (Nicaragua)</t>
  </si>
  <si>
    <t>IPP172</t>
  </si>
  <si>
    <t>Environmental Economics &amp; Policies;Wildlife Resources;Natural Resources Management;Environmental Management;Biodiversity</t>
  </si>
  <si>
    <t>Environment;Information and Communication Technologies;Poverty Reduction;Water Resources</t>
  </si>
  <si>
    <t>Climate Change and Environment;Environmental Economics &amp; Policies;Poverty Monitoring &amp; Analysis;Water Resources Assessment;Telecommunications Infrastructure</t>
  </si>
  <si>
    <t>Central African Republic - Education Sector Development Program : indigenous peoples plan</t>
  </si>
  <si>
    <t>CF-Central African Republic: Efa-Fti Catalytic Fund Preparation -- P112321</t>
  </si>
  <si>
    <t>Ndolombaye, Josue</t>
  </si>
  <si>
    <t>IPP344</t>
  </si>
  <si>
    <t>Central African Republic</t>
  </si>
  <si>
    <t>Global food crisis response</t>
  </si>
  <si>
    <t>Private Sector Development;Industry;Poverty Reduction;Finance and Financial Sector Development;Communities and Human Settlements</t>
  </si>
  <si>
    <t>Access to Finance;Rural Poverty Reduction;Housing &amp; Human Habitats;Food &amp; Beverage Industry;E-Business</t>
  </si>
  <si>
    <t>General agriculture, fishing and forestry sector;Other social services;Animal production;Crops;Agricultural marketing and trade</t>
  </si>
  <si>
    <t>Central African Republic - Emergency Food Response Project : indigenous peoples plan</t>
  </si>
  <si>
    <t>CF-Car Food Response Project -- P113221</t>
  </si>
  <si>
    <t>IPP420</t>
  </si>
  <si>
    <t>AFT: Post Conflict &amp; Social Dev (AFTCS)</t>
  </si>
  <si>
    <t>Environmental Economics &amp; Policies;Access to Finance;Housing &amp; Human Habitats;Population Policies;Gender and Law</t>
  </si>
  <si>
    <t>General agriculture, fishing and forestry sector;General water, sanitation and flood protection sector;Other social services;Roads and highways;Sub-national government administration</t>
  </si>
  <si>
    <t>Central African Republic - Support to Vulnerable Groups Community Development Project : indigenous peoples plan</t>
  </si>
  <si>
    <t>CF-Support To Vulnerable Groups Community Development Project -- P111679</t>
  </si>
  <si>
    <t>Public Administration, Law, and Justice;Agriculture, fishing, and forestry;Health and other social services;Water, sanitation and flood protection;Transportation</t>
  </si>
  <si>
    <t>IPP442</t>
  </si>
  <si>
    <t>TF055031-GEF PDFB-CAMEROON:SUSTAINABLE AGRO-PASTORAL AND LAND MANAGEMENT PROMOTI</t>
  </si>
  <si>
    <t>Other social services;Agricultural extension and research;Irrigation and drainage</t>
  </si>
  <si>
    <t>Cameroon - Sustainable Agro-Pastoral and Land Management Promotion under the PNDP Project</t>
  </si>
  <si>
    <t>CM-Sustainable Agro-Pastoral And Land Management Promotion Under The -- P089289</t>
  </si>
  <si>
    <t>IPP141</t>
  </si>
  <si>
    <t>Cameroon</t>
  </si>
  <si>
    <t>TF050810-PHRD-CAMEROON: COMMUNITY DEVELOPMENT PROJECT (RECIPIENT-EXECUTED PORTIO;TF026786-PHRD-CAMEROON: COMMUNITY DEVELOPMENT PROJECT (BANK-EXECUTED)</t>
  </si>
  <si>
    <t>Governance;Health, Nutrition and Population;Poverty Reduction;Social Development</t>
  </si>
  <si>
    <t>National Governance;Poverty Assessment;Health Monitoring &amp; Evaluation;Health Economics &amp; Finance;Community Development and Empowerment</t>
  </si>
  <si>
    <t>Sub-national government administration;Information technology</t>
  </si>
  <si>
    <t>Cameroon - Community Development Program Project : indigenous peoples plan</t>
  </si>
  <si>
    <t>CM-Community Development Program Support Project -- P073629</t>
  </si>
  <si>
    <t>(Historic)Multisector</t>
  </si>
  <si>
    <t>Cameroon;Schmidt-Soltau, Kai</t>
  </si>
  <si>
    <t>IPP52</t>
  </si>
  <si>
    <t>Poverty Assessment;National Governance;Health Monitoring &amp; Evaluation;Health Economics &amp; Finance;Community Development and Empowerment</t>
  </si>
  <si>
    <t>TF030457-FRENCH CTF FOR EXPERTISE - FY04 (AFRICA/AFTR2/RURAL DEVELOPMENT);TF041016-CAMEROON - FOREST &amp; ENVIRONMENT SECTOR PROGRAM - BUILDING PARTNERSHIP;TF026877-PHRD-CAMEROON: FORESTS AND ENVIRONMENT SECTOR PROGRAM (FESP);TF037535-CAMEROON - FORESTRY, ENVIRONMENT;TF025431-PHRD-FORESTRY AND BIODIVERSITY CONSERVATION PROJECT;TF030586-FRENCH CTF FOR EXPERTISE FY04 - AGRICULTURE/FORESTRY SECTOR REVIEW</t>
  </si>
  <si>
    <t>Environmental Economics &amp; Policies;Agricultural Research;Poverty Assessment;Health Monitoring &amp; Evaluation;Forestry</t>
  </si>
  <si>
    <t>Central government administration;Forestry</t>
  </si>
  <si>
    <t>Cameroon - Forestry and Environment Sector Program Project : indigenous peoples plan</t>
  </si>
  <si>
    <t>CM-Forest And Environment Development Program -- P070656</t>
  </si>
  <si>
    <t>Government of Cameroon</t>
  </si>
  <si>
    <t>IPP86</t>
  </si>
  <si>
    <t>08/24/2005</t>
  </si>
  <si>
    <t>Regulation and competition policy;Infrastructure services for private sector development</t>
  </si>
  <si>
    <t>Access to Finance;Housing &amp; Human Habitats;Health Monitoring &amp; Evaluation;Community Development and Empowerment;Anthropology</t>
  </si>
  <si>
    <t>General energy sector;Power</t>
  </si>
  <si>
    <t>Cameroon - Kribi Gas Power Project : indigenous peoples plan</t>
  </si>
  <si>
    <t>CM-Cameroon - Partial Risk Guarantees For Kribi Gas Power Generator -- P110177</t>
  </si>
  <si>
    <t>IPP270</t>
  </si>
  <si>
    <t>TF058012-HEALTH SECTOR SUPPORT INVESTMENT (SWAP)</t>
  </si>
  <si>
    <t>Health system performance;Other communicable diseases</t>
  </si>
  <si>
    <t>Cameroon - Health Sector Support Investment Project : indigenous peoples plan</t>
  </si>
  <si>
    <t>CM-Cameroon Health Sector Support Investment (Swap)-P104525</t>
  </si>
  <si>
    <t>IPP279</t>
  </si>
  <si>
    <t>Decentralization;Indigenous peoples;Rural services and infrastructure;Municipal governance and institution building;Participation and civic engagement</t>
  </si>
  <si>
    <t>Health;Other social services;Sub-national government administration;Water supply;General education sector</t>
  </si>
  <si>
    <t>Cameroon - Second Phase of the Community Development Program Support Project : indigenous peoples plan</t>
  </si>
  <si>
    <t>CM-Community Development Program Support Project Phase-Ii -- P113027</t>
  </si>
  <si>
    <t>Education;Public Administration, Law, and Justice;Health and other social services;Water, sanitation and flood protection</t>
  </si>
  <si>
    <t>IPP338</t>
  </si>
  <si>
    <t>Other rural development;Rural services and infrastructure;Rural markets</t>
  </si>
  <si>
    <t>Environment;Private Sector Development;Social Protections and Labor;Finance and Financial Sector Development;Communities and Human Settlements</t>
  </si>
  <si>
    <t>Environmental Economics &amp; Policies;Access to Finance;Housing &amp; Human Habitats;Labor Policies;E-Business</t>
  </si>
  <si>
    <t>General agriculture, fishing and forestry sector;Roads and highways;Animal production;Irrigation and drainage</t>
  </si>
  <si>
    <t>Cameroon - Agricultural Competitiveness and Diversification Project : indigenous peoples planning framewoek</t>
  </si>
  <si>
    <t>CM-Agricultural Competitiveness Project-1000878 -- P112635</t>
  </si>
  <si>
    <t>Boukong, Marthe Boutiom</t>
  </si>
  <si>
    <t>IPP351</t>
  </si>
  <si>
    <t>03/31/2009</t>
  </si>
  <si>
    <t>AFT: Fin&amp;PrivSecDev West&amp;Central (AFTFW)</t>
  </si>
  <si>
    <t>Export development and competitiveness</t>
  </si>
  <si>
    <t>Environment;Private Sector Development;Macroeconomics and Economic Growth;Finance and Financial Sector Development</t>
  </si>
  <si>
    <t>Environmental Economics &amp; Policies;Access to Finance;E-Business;Investment and Investment Climate</t>
  </si>
  <si>
    <t>Cameroon - Competitive Value Chains Project : indigenous peoples planning framework</t>
  </si>
  <si>
    <t>CM-Cameroon - Competitive Value Chains -- P112975</t>
  </si>
  <si>
    <t>Boutiom Boukong, Marthe</t>
  </si>
  <si>
    <t>IPP401</t>
  </si>
  <si>
    <t>TF040994-CAMBODIA: RURAL INVESTMENT AND LOCAL GOVERNANCE PROJECT;TF040514-CAMBODIA: RURAL INVESTMENT AND LOCAL GOVERNANCE;TF026423-PHRD-CAMBODIA: RURAL INVESTMENT AND LOCAL GOVERNANCE</t>
  </si>
  <si>
    <t>Macroeconomics and Economic Growth;Information and Communication Technologies;Health, Nutrition and Population;Education</t>
  </si>
  <si>
    <t>Health Economics &amp; Finance;Educational Sciences;Development Economics &amp; Aid Effectiveness;ICT Policy and Strategies</t>
  </si>
  <si>
    <t>Central government administration;General water, sanitation and flood protection sector;Roads and highways;Sub-national government administration;General agriculture, fishing and forestry sector</t>
  </si>
  <si>
    <t>Cambodia - Rural Investment and Local Governance Project : indigenous peoples plan</t>
  </si>
  <si>
    <t>KH-Rural Investment And Local Governance Project -- P071146</t>
  </si>
  <si>
    <t>Seila Task Force</t>
  </si>
  <si>
    <t>IPP29</t>
  </si>
  <si>
    <t>Cambodia</t>
  </si>
  <si>
    <t>TF040814-CAMBODIA: PROVINCIAL AND PERI-URBAN WS PROJECT;TF024014-BNPP-WATER/RES/MNGT: WATER SECTOR INITIATIVES 2000;TF026848-PHRD-CAMBODIA: PROVINCIAL AND PERI-URBAN WATER SUPPLY AND SANITATION PR;TF051613-JSDF-CAMBODIA: CAPACITY BUILDING &amp; BASIC SERVICE PROVISIONING IN CAMBOD;TF050943-JSDF-CAMBODIA: CAPACITY BUILDING AND BASIC SERVICE PROVISIONING IN CAMB;TF038835-CAMBODIA - PROVINCIAL AND PERIURBAN W&amp;S PROJECT</t>
  </si>
  <si>
    <t>Town Water Supply and Sanitation;Water and Industry;Water Supply and Sanitation Governance and Institutions;Health Economics &amp; Finance;Community Development and Empowerment</t>
  </si>
  <si>
    <t>Central government administration;Water supply;Sanitation</t>
  </si>
  <si>
    <t>Cambodia - Provincial and Peri-Urban Water Supply and Sanitation Project : indigenous peoples plan</t>
  </si>
  <si>
    <t>KH-Provincial And Peri-Urban Water And Sanitation Project -- P073311</t>
  </si>
  <si>
    <t>IPP34</t>
  </si>
  <si>
    <t>02/25/2003</t>
  </si>
  <si>
    <t>Macroeconomics and Economic Growth;Governance;Information and Communication Technologies;Education</t>
  </si>
  <si>
    <t>National Governance;Educational Sciences;Development Economics &amp; Aid Effectiveness;ICT Policy and Strategies</t>
  </si>
  <si>
    <t>TF026422-PHRD-CAMBODIA: PROVINCIAL AND RURAL INFRASTRUCTURE</t>
  </si>
  <si>
    <t>Education and Society;Poverty Assessment;Health Economics &amp; Finance;Community Development and Empowerment;ICT Policy and Strategies</t>
  </si>
  <si>
    <t>Cambodia - Provincial and Rural Infrastructure Project : indigenous peoples plan</t>
  </si>
  <si>
    <t>KH-Provincial And Rural Infrastructure Project -- P071207</t>
  </si>
  <si>
    <t>Government of Cambodia</t>
  </si>
  <si>
    <t>IPP38</t>
  </si>
  <si>
    <t>06/30/2003</t>
  </si>
  <si>
    <t>TF053036-GEF3 FSP-CAMBODIA:RURAL ELECTRIFICATION AND TRANSMISSION PROJECT;TF024868-GEF2 PDF B - CAMBODIA (RECIPIENT-EXECUTED) : PREPARATION OF RENEWABLE E;TF025765-PHRD-RURAL ELECTRIFICATION &amp; TRANSMISSION (BANK-EXECUTED);TF021847-FINNISH SUPPORT OF THE ASIA ALTERNATIVE ENERGY PROGRAM (ASTAE);TF030314-DANISH CTF GENERAL FY03 - (ALL EXCEPT SUB-SAHARAN AFRICA);TF024867-GEF2 PDF B - CAMBODIA (BANK-EXECUTED) : PREPARATION OF RENEWABLE ENERGY;TF026154-PHRD-RURAL ELECTRIFICATION AND TRANSMISSION (RECIPIENT-EXECUTED)</t>
  </si>
  <si>
    <t>Poverty Assessment;Health Monitoring &amp; Evaluation;Community Development and Empowerment;Rural Education;ICT Policy and Strategies</t>
  </si>
  <si>
    <t>Cambodia - Rural Electrification and Transmission Project : indigenous peoples plan</t>
  </si>
  <si>
    <t>KH-Rural Electrification And Transmission Project -- P064844</t>
  </si>
  <si>
    <t>IPP77</t>
  </si>
  <si>
    <t>TF055411-JSDF-CAMBODIA: CAPACITY BUILDING FOR SUSTAINABLE FOREST AND LAND MANAGE;TF030769-NETHERLANDS (MDC) CONSULTANT TRUST FUND - FY06 - IDA ELIGIBLE COUNTRIES;TF090125-JAPAN CTF - FY07: GENERAL EAP (ALL COUNTRIES IN EAST ASIA AND PACIFIC/A;TF057591-JSDF: SEED - STRENGTHENING GOOD GOVERNANCE IN LAND DISTRIBUTION;TF030742-CIDA GEF (GEN) CTF FY06 - ALL BANK BORROWING MEMBER COUNTRIES EXCEPT EC;TF090735-JAPAN CTF - FY08: GENERAL EAP (ALL COUNTRIES IN EAST ASIA AND PACIFIC/A;TF030644-SINGAPORE CTF FY05 - GENERAL (ALL COUNTRIES/SECTORS);TF030664-JAPAN CTF - FY05 GENERAL: EAP (ALL COUNTRIES IN EAST ASIA AND PACIFIC/A;TF055139-PHRD-CAMBODIA: LAND ALLOCATION FOR SOCIAL AND ECONOMIC DEVELOPMENT (LAS;TF030758-IRISH CTF FY06 - ASIA;TF030796-JAPAN CTF - FY06 GENERAL: EAP (ALL COUNTRIES IN EAST ASIA AND PACIFIC/A;TF055390-JSDF-CAMBODIA: CAPACITY BUILDING FOR SUSTAINABLE FOREST AND LAND MANAGE</t>
  </si>
  <si>
    <t>Land administration and management;Other rural development</t>
  </si>
  <si>
    <t>Culture and Development;Urban Development;Rural Development;Communities and Human Settlements</t>
  </si>
  <si>
    <t>Land Use and Policies;Forestry;Urban Housing;Anthropology;Rural Land Policies for Poverty Reduction</t>
  </si>
  <si>
    <t>Cambodia - Land Allocation for Social and Economic Development Project : indigenous peoples planning framework</t>
  </si>
  <si>
    <t>KH-Land Allocation For Social And Economic Development -- P084787</t>
  </si>
  <si>
    <t>IPP263</t>
  </si>
  <si>
    <t>Land Use and Policies;Forestry;Urban Housing;Rural Land Policies for Poverty Reduction;Anthropology</t>
  </si>
  <si>
    <t>Khmer</t>
  </si>
  <si>
    <t>Population and reproductive health;Health system performance;Administrative and civil service reform</t>
  </si>
  <si>
    <t>Housing &amp; Human Habitats;Gender and Health;Health Monitoring &amp; Evaluation;Health Systems Development &amp; Reform;Population Policies</t>
  </si>
  <si>
    <t>Cambodia - Second Health Sector Support Program (HSSP2) : indigenous peoples plan</t>
  </si>
  <si>
    <t>KH-Cambodia Second Health Sector Support Program -- P102284</t>
  </si>
  <si>
    <t>IPP278</t>
  </si>
  <si>
    <t>03/28/2008</t>
  </si>
  <si>
    <t>Housing &amp; Human Habitats;Health Monitoring &amp; Evaluation;Health Systems Development &amp; Reform;Population Policies;Health Economics &amp; Finance</t>
  </si>
  <si>
    <t>TF090735-JAPAN CTF - FY08: GENERAL EAP (ALL COUNTRIES IN EAST ASIA AND PACIFIC/A;TF092097-CAMBODIA EFA FTI CATALYTIC FUND GRANT</t>
  </si>
  <si>
    <t>Finance and Financial Sector Development;Education</t>
  </si>
  <si>
    <t>Primary Education;Access to Finance;Tertiary Education;Education For All;</t>
  </si>
  <si>
    <t>Cambodia - Fast Track Initiative Catalytic Fund Project : indigenous peoples plan</t>
  </si>
  <si>
    <t>KH--Education For All Fast Track Initiative Catalytic Trust Fund -- P109925</t>
  </si>
  <si>
    <t>IPP295</t>
  </si>
  <si>
    <t>05/27/2008</t>
  </si>
  <si>
    <t>TF058146-AVIAN AND HUMAN INFLUENZA CONTROL AND PREPAREDNESS EMERGENCY PROJECT;TF056832-PHRD-CAMBODIA: AVIAN AND HUMAN INFLUENZA CONTROL AND PREPAREDNESS EMERG</t>
  </si>
  <si>
    <t>Natural disaster management;Other communicable diseases;Rural services and infrastructure</t>
  </si>
  <si>
    <t>Cultural Policy;Housing &amp; Human Habitats;Health Monitoring &amp; Evaluation;Population Policies;Cultural Heritage &amp; Preservation</t>
  </si>
  <si>
    <t>Central government administration;Health;Sub-national government administration;Animal production;Agricultural extension and research</t>
  </si>
  <si>
    <t>Cambodia - Avian and Human Influenza Control and Preparedness Emergency Project : indigenous peoples planning framework</t>
  </si>
  <si>
    <t>KH-Avian And Human Influenza Control And Preparedness Emergency Proje -- P100084</t>
  </si>
  <si>
    <t>IPP381</t>
  </si>
  <si>
    <t>Water and Industry;Town Water Supply and Sanitation;Wastewater Treatment;Water Supply and Systems;Sanitation and Sewerage</t>
  </si>
  <si>
    <t>07/14/2008</t>
  </si>
  <si>
    <t>Avian Flu;Livestock &amp; Animal Husbandry;Health Monitoring &amp; Evaluation;Disease Control &amp; Prevention;Population Policies</t>
  </si>
  <si>
    <t>TF056500-PHRD-BURUNDI: COMMUNITY SUPPORT FOR SOCIAL RECOVERY PROJECT (RECIPIENT-;TF056151-PHRD-BURUNDI: COMMUNITY SUPPORT FOR SOCIAL RECOVERY PROJECT</t>
  </si>
  <si>
    <t>Voluntary and Involuntary Resettlement;Health and Poverty;Indigenous Communities;Indigenous Peoples;Disease Control &amp; Prevention;HIV AIDS</t>
  </si>
  <si>
    <t>Burundi - Community and Social Development Project : indigenous peoples plan</t>
  </si>
  <si>
    <t>BI-Community And Social Development Project -- P095211</t>
  </si>
  <si>
    <t>Republic of Burundi</t>
  </si>
  <si>
    <t>IPP192</t>
  </si>
  <si>
    <t>Burundi</t>
  </si>
  <si>
    <t>Rural non-farm income generation;Rural policies and institutions;Land administration and management;Rural services and infrastructure;Rural markets</t>
  </si>
  <si>
    <t>Central government administration;Animal production;Agricultural extension and research;Crops;Agricultural marketing and trade</t>
  </si>
  <si>
    <t>Burundi - Agriculture Rehabilitation Sustanaible Land Management Supplement Project : indigenous peoples plan</t>
  </si>
  <si>
    <t>BI-Agriculture Rehabilitation &amp; Sustanaible Land Management Suppleme -- P110940</t>
  </si>
  <si>
    <t>IPP287</t>
  </si>
  <si>
    <t>TF091640-GAVI TF FOR HNP STRATEGY IMPLEMENTATION - BURUNDI</t>
  </si>
  <si>
    <t>Population and reproductive health;Health system performance;Other communicable diseases;Child health;Nutrition and food security</t>
  </si>
  <si>
    <t>Housing &amp; Human Habitats;Health Monitoring &amp; Evaluation;Health Systems Development &amp; Reform;Population Policies;Gender and Law</t>
  </si>
  <si>
    <t>Burundi - Health Sector Support Project : indigenous peoples plan</t>
  </si>
  <si>
    <t>BI-Health Sector Development Support -- P101160</t>
  </si>
  <si>
    <t>Ndimurukundo, Nicephore;Sakaganwa, Jean-Pierre;Mebenga Tamba, Luc</t>
  </si>
  <si>
    <t>IPP348</t>
  </si>
  <si>
    <t>Other rural development</t>
  </si>
  <si>
    <t>Environment;Social Protections and Labor;Rural Development;Finance and Financial Sector Development;Communities and Human Settlements</t>
  </si>
  <si>
    <t>Environmental Economics &amp; Policies;Housing &amp; Human Habitats;Debt Markets;Labor Policies;Rural Development Knowledge &amp; Information Systems</t>
  </si>
  <si>
    <t>General agriculture, fishing and forestry sector;Animal production;Irrigation and drainage</t>
  </si>
  <si>
    <t>Burundi - Agro-Pastoral Productivity and Markets Development Project : indigenous peoples plan</t>
  </si>
  <si>
    <t>BI-- Agro-Pastoral Productivity And Markets Development Project -- P107343</t>
  </si>
  <si>
    <t>IPP394</t>
  </si>
  <si>
    <t>Other social services;General water, sanitation and flood protection sector;Sub-national government administration;General agriculture, fishing and forestry sector;General industry and trade sector</t>
  </si>
  <si>
    <t>Brazil - Natural Resources Management and Poverty Reduction Project - Santa Catarina : indigenous peoples development plan</t>
  </si>
  <si>
    <t>BR-Santa Catarina Natural Resources Management And Rural Poverty Redu -- P043869</t>
  </si>
  <si>
    <t>IPP2</t>
  </si>
  <si>
    <t>12/31/2001</t>
  </si>
  <si>
    <t>Portuguese</t>
  </si>
  <si>
    <t>Brazil</t>
  </si>
  <si>
    <t>TF051240-GEF2 FSP-BRAZIL:AMAZON REGION PROTECTED AREAS;TF021967-DUTCH PARTNERSHIP - BANK/WWF ALLIANCE (LCSES)</t>
  </si>
  <si>
    <t>Population</t>
  </si>
  <si>
    <t>Environmental Economics &amp; Policies;Demographics;Civil Society;Indigenous Peoples;Banks &amp; Banking Reform</t>
  </si>
  <si>
    <t>Central government administration;Sub-national government administration;General agriculture, fishing and forestry sector</t>
  </si>
  <si>
    <t>Brazil - Amazon Protected Areas Project - GEF : indigenous peoples plan</t>
  </si>
  <si>
    <t>BR-Amazon Region Protected Areas (Gef) -- P058503</t>
  </si>
  <si>
    <t>IPP17</t>
  </si>
  <si>
    <t>Water resource management;Education for all;Health system performance;Administrative and civil service reform;Rural markets</t>
  </si>
  <si>
    <t>Regional Rural Development;Transport Economics Policy &amp; Planning;Housing &amp; Human Habitats;Health Monitoring &amp; Evaluation;Population Policies</t>
  </si>
  <si>
    <t>Health;General agriculture, fishing and forestry sector;Sub-national government administration;General education sector;Sanitation</t>
  </si>
  <si>
    <t>Brazil - Acre Social and Economic Inclusion Project : social assessment</t>
  </si>
  <si>
    <t>BR-Acre Social And Economic Inclusion And Sustainable Development Pro -- P107146</t>
  </si>
  <si>
    <t>Education;Public Administration, Law, and Justice;Agriculture, fishing, and forestry;Health and other social services;Water, sanitation and flood protection</t>
  </si>
  <si>
    <t>IPP311</t>
  </si>
  <si>
    <t>Roads and highways;Sub-national government administration;General public administration sector</t>
  </si>
  <si>
    <t>Brasil - Projeto de Infra-estrutura Rural a Tocantins : diretrizes basicas para o desenvolvimento dos povos indigenas no ambito das obras rodoviarias</t>
  </si>
  <si>
    <t>BR-Tocantins Sustainable Regional Development Project -- P060573</t>
  </si>
  <si>
    <t>Governo do Tocantins</t>
  </si>
  <si>
    <t>IPP25</t>
  </si>
  <si>
    <t>Brazil - Bahia Education Program (Phase 2) Project : indigenous peoples plan</t>
  </si>
  <si>
    <t>BR-Bahia Education Project (Apl) - Second Phase -- P070827</t>
  </si>
  <si>
    <t>Bahia State Government - Brazil</t>
  </si>
  <si>
    <t>IPP30</t>
  </si>
  <si>
    <t>Housing &amp; Human Habitats;Health Monitoring &amp; Evaluation;Health Systems Development &amp; Reform;Health Economics &amp; Finance;HIV AIDS</t>
  </si>
  <si>
    <t>Brazil - Third AIDS and STD Control Project : indigenous peoples plan</t>
  </si>
  <si>
    <t>BR-Aids &amp; Std Control 3 -- P080400</t>
  </si>
  <si>
    <t>IPP37</t>
  </si>
  <si>
    <t>TF053131-PHRD-BRAZIL: PARA RURAL POVERTY ALLEVIATION AND ENVIRONMENTAL PROTECTIO</t>
  </si>
  <si>
    <t>Anthropology; Urban Slums Upgrading; Environmental Economics &amp; Policies; Public Sector Management and Reform; Urban Services to the Poor</t>
  </si>
  <si>
    <t>Brazil - Para Integrated Development Project : indigenous peoples plan</t>
  </si>
  <si>
    <t>BR-Apl 1 Para Integrated Rural Dev -- P082651</t>
  </si>
  <si>
    <t>IPP164</t>
  </si>
  <si>
    <t>General water, sanitation and flood protection sector;Sub-national government administration;General agriculture, fishing and forestry sector;Micro- and SME finance</t>
  </si>
  <si>
    <t>Brazil - Sustainable Communities (Amapa) Project : indigenous peoples plan</t>
  </si>
  <si>
    <t>BR-Amapa Sustainable Communities -- P076924</t>
  </si>
  <si>
    <t>IPP42</t>
  </si>
  <si>
    <t>Brazil - Maranhao Integrated Rural Development Project : indigenous peoples plan</t>
  </si>
  <si>
    <t>BR-Maranhao Integrated Program: Rural Poverty Reduction Project -- P080830</t>
  </si>
  <si>
    <t>Government of the State of Maranhao - Brazil</t>
  </si>
  <si>
    <t>IPP66</t>
  </si>
  <si>
    <t>Information Technology;Poverty Monitoring &amp; Analysis;Education and Society;Health Monitoring &amp; Evaluation;Community Development and Empowerment</t>
  </si>
  <si>
    <t>Health;Other social services;Primary education</t>
  </si>
  <si>
    <t>Brazil - Bolsa Familia Project : indigenous peoples plan</t>
  </si>
  <si>
    <t>BR-Bolsa Familia 1st Apl -- P087713</t>
  </si>
  <si>
    <t>Government of Brazil</t>
  </si>
  <si>
    <t>IPP85</t>
  </si>
  <si>
    <t>Brazil - Bahia State Integrated Project: Rural Poverty : indigenous peoples plan</t>
  </si>
  <si>
    <t>BR-Bahia State Integrated Project: Rural Poverty -- P093787</t>
  </si>
  <si>
    <t>IPP111</t>
  </si>
  <si>
    <t>Culture and Development;Communities and Human Settlements</t>
  </si>
  <si>
    <t>Indigenous Communities;Indigenous Peoples;Land Administration;Cultural Heritage &amp; Preservation</t>
  </si>
  <si>
    <t>Brazil - Road Transport Project</t>
  </si>
  <si>
    <t>BR-- Road Transport Project -- P092990</t>
  </si>
  <si>
    <t>Barbosa, Angela Maria;Rocha, Vanessa</t>
  </si>
  <si>
    <t>IPP128</t>
  </si>
  <si>
    <t>Brazil - Sergipe State Integrated Project : Rural Poverty</t>
  </si>
  <si>
    <t>BR-Sergipe State Integrated Project: Rural Poverty -- P094255</t>
  </si>
  <si>
    <t>IPP131</t>
  </si>
  <si>
    <t>Brazil - Bahia Integrated State Highway Management Project : indigenous peoples plan</t>
  </si>
  <si>
    <t>BR-Bahia Integrated State Highway Management Project -- P095460</t>
  </si>
  <si>
    <t>IPP156</t>
  </si>
  <si>
    <t>Environment;Culture and Development;Public Sector Development;Urban Development;Communities and Human Settlements</t>
  </si>
  <si>
    <t>Environmental Economics &amp; Policies;Urban Slums Upgrading;Urban Services to the Poor;Public Sector Management and Reform;Anthropology</t>
  </si>
  <si>
    <t>01/19/2006</t>
  </si>
  <si>
    <t>TF051729-GEF2 PDFB-BRAZIL:INTEGRATED MANAGEMENT OF FRESHWATER BIODIVERSITY AND W;TF056255-GEF FSP-BRAZIL: INTEGRATED MANAGEMENT OF AQUATIC RESOURCES IN THE AMAZO;TF030325-GERMAN CTF FY03 - ENVIRONMENT &amp; PUBLIC SECTOR MANAGEMENT</t>
  </si>
  <si>
    <t>Biodiversity; Environmental Economics &amp; Policies; Fisheries &amp; Aquaculture; Water Resources Assessment; Ecosystems and Natural Habitats</t>
  </si>
  <si>
    <t>Brazil - Integrated Management of Aquatic Resources in the Amazon Region (AquaBio) Project : indigenous peoples plan</t>
  </si>
  <si>
    <t>BR-Integrated Management Of Aquatic Resources In The Amazon (Aquabio) -- P066535</t>
  </si>
  <si>
    <t>IPP162</t>
  </si>
  <si>
    <t>01/27/2006</t>
  </si>
  <si>
    <t>Central government administration;Other social services;Sub-national government administration;Water supply</t>
  </si>
  <si>
    <t>Brazil - Additional Financing for the Federal Water Resources Management Project : policy framework for eventual impacts of PROAGUA on indigenous people</t>
  </si>
  <si>
    <t>BR-Additional Financing For The Federal Water Resources Management Pr -- P100154</t>
  </si>
  <si>
    <t>UGPO</t>
  </si>
  <si>
    <t>IPP185</t>
  </si>
  <si>
    <t>08/30/2006</t>
  </si>
  <si>
    <t>TF052810-PHRD-BRAZIL: AMAZONAS INTEGRATED DEVELOPMENT: HEALTH, WATER AND SANITAI</t>
  </si>
  <si>
    <t>Culture and Development;Health, Nutrition and Population;Water Resources;Social Development</t>
  </si>
  <si>
    <t>Civil Society;Health Monitoring &amp; Evaluation;Population Policies;River Basin Management;Anthropology</t>
  </si>
  <si>
    <t>Health;General water, sanitation and flood protection sector;Other social services</t>
  </si>
  <si>
    <t>Brazil - Alto Solimoes Basic Services and Sustainable Development Project : indigenous peoples plan</t>
  </si>
  <si>
    <t>BR-Alto Solimoes Basic Services And Sustainable Development Project I -- P083997</t>
  </si>
  <si>
    <t>IPP202</t>
  </si>
  <si>
    <t>01/31/2007</t>
  </si>
  <si>
    <t>TF054984-GEF PDF B-BRAZIL:CONSERVATION AND SUSTAINABLE MANAGEMENT OF THE CAATING</t>
  </si>
  <si>
    <t>Environment;Culture and Development;Industry;Water Resources;Education</t>
  </si>
  <si>
    <t>Education and Society;Environmental Governance;River Basin Management;Technology Industry;Anthropology</t>
  </si>
  <si>
    <t>General agriculture, fishing and forestry sector;Sub-national government administration;Agricultural extension and research</t>
  </si>
  <si>
    <t>Brazil - Caatinga Conservation and Management Project : indigenous peoples plan</t>
  </si>
  <si>
    <t>BR-Caatinga Conservation And Management - Mata Branca - (Gef) -- P070867</t>
  </si>
  <si>
    <t>IPP215</t>
  </si>
  <si>
    <t>02/21/2007</t>
  </si>
  <si>
    <t>Transport;Social Development;Rural Development;Communities and Human Settlements</t>
  </si>
  <si>
    <t>Rural Roads &amp; Transport;Transport Economics Policy &amp; Planning;Indigenous Communities;Roads &amp; Highways;Social Assessment</t>
  </si>
  <si>
    <t>Brazil - Second APL for Goias State Highway Management Project : indigenous peoples plan</t>
  </si>
  <si>
    <t>BR-Goias State Highway Management Project (Apl Ii)-P101418</t>
  </si>
  <si>
    <t>Estado de Goias, Secretaria do Estado do Meio Ambiente e dos Recursos Hidricos - Agencia Goiania do Meio Ambiente (AGMA)</t>
  </si>
  <si>
    <t>IPP233</t>
  </si>
  <si>
    <t>06/20/2007</t>
  </si>
  <si>
    <t>Agriculture;Poverty Reduction;Social Development;Communities and Human Settlements</t>
  </si>
  <si>
    <t>Achieving Shared Growth;Indigenous Communities;Land Use and Policies;Fisheries &amp; Aquaculture;Poverty and Social Impact Analysis</t>
  </si>
  <si>
    <t>General agriculture, fishing and forestry sector;Sub-national government administration;Water supply;Power</t>
  </si>
  <si>
    <t>Brazil - Second Paraiba Rural Poverty Reduction Project : indigenous peoples plan</t>
  </si>
  <si>
    <t>BR-Paraï¿½Ba Rural Poverty -- P104752</t>
  </si>
  <si>
    <t>Energy and mining;Public Administration, Law, and Justice;Agriculture, fishing, and forestry;Water, sanitation and flood protection</t>
  </si>
  <si>
    <t>IPP246</t>
  </si>
  <si>
    <t>Managing for development results;Regulation and competition policy;Administrative and civil service reform;Other economic management;Public expenditure, financial management and procurement</t>
  </si>
  <si>
    <t>Law and Development;Environment;Poverty Reduction;Finance and Financial Sector Development;Communities and Human Settlements</t>
  </si>
  <si>
    <t>Poverty Monitoring &amp; Analysis;Environmental Economics &amp; Policies;Access to Finance;Housing &amp; Human Habitats;Corporate Law</t>
  </si>
  <si>
    <t>Health;Roads and highways;Sub-national government administration;General education sector;General industry and trade sector</t>
  </si>
  <si>
    <t>Brazil - Second Minas Gerais Development Partnership Project : indigenous people's plan</t>
  </si>
  <si>
    <t>BR-Minas Gerais Partnership II Swap -- P101324</t>
  </si>
  <si>
    <t>Education;Public Administration, Law, and Justice;Health and other social services;Industry and trade;Transportation</t>
  </si>
  <si>
    <t>IPP265</t>
  </si>
  <si>
    <t>Managing for development results;Environmental policies and institutions;Regulation and competition policy;Public expenditure, financial management and procurement;Education for the knowledge economy</t>
  </si>
  <si>
    <t>Environmental Economics &amp; Policies;Access to Finance;Housing &amp; Human Habitats;Population Policies</t>
  </si>
  <si>
    <t>Health;General water, sanitation and flood protection sector;General education sector;General industry and trade sector;General public administration sector</t>
  </si>
  <si>
    <t>Brazil - Ceara Second Sector Wide Approach (SWAP) Inclusive Growth Project : indigenous peoples plan</t>
  </si>
  <si>
    <t>BR-Ceara Inclusive Growth (Swap II) -- P106765</t>
  </si>
  <si>
    <t>Education;Public Administration, Law, and Justice;Health and other social services;Industry and trade;Water, sanitation and flood protection</t>
  </si>
  <si>
    <t>IPP277</t>
  </si>
  <si>
    <t>03/14/2008</t>
  </si>
  <si>
    <t>Environmental policies and institutions;Other environment and natural resources management;Land administration and management;Biodiversity</t>
  </si>
  <si>
    <t>Indigenous Communities;Land Use and Policies;Indigenous Peoples;Cultural Heritage &amp; Preservation;Social Assessment</t>
  </si>
  <si>
    <t>Brazil - Sustainable Cerrado Initiative Project : indigenous peoples plan</t>
  </si>
  <si>
    <t>BR-Sustainable Cerrado Initiative -- P091827</t>
  </si>
  <si>
    <t>Ministerio do Meio Ambiente</t>
  </si>
  <si>
    <t>IPP292</t>
  </si>
  <si>
    <t>Rural non-farm income generation;Rural policies and institutions;Rural services and infrastructure;Participation and civic engagement</t>
  </si>
  <si>
    <t>Law and Development;Health, Nutrition and Population;Social Development;Communities and Human Settlements</t>
  </si>
  <si>
    <t>Indigenous Communities;Population &amp; Development;Rural Settlements;Indigenous Peoples Law;Social Assessment</t>
  </si>
  <si>
    <t>Brazil - Rural Poverty Reduction Project II - Sergipe- Project : indigenous peoples plan</t>
  </si>
  <si>
    <t>BR-Sergipe State Integrated Project: Rural Poverty-968093 -- P110614</t>
  </si>
  <si>
    <t>Empresa de Desenvolvimento de Sustentável do Estado de Sergipe</t>
  </si>
  <si>
    <t>IPP303</t>
  </si>
  <si>
    <t>Water resource management;Decentralization;Environmental policies and institutions;Municipal governance and institution building</t>
  </si>
  <si>
    <t>Environmental Economics &amp; Policies;Housing &amp; Human Habitats;Banks &amp; Banking Reform;Environmental Governance;Population Policies</t>
  </si>
  <si>
    <t>Central government administration;Sub-national government administration</t>
  </si>
  <si>
    <t>Brazil - Second National Environmental Project (Second Phase) : social framework</t>
  </si>
  <si>
    <t>BR-Second National Environmental Project - Phase II -- P099469</t>
  </si>
  <si>
    <t>IPP290</t>
  </si>
  <si>
    <t>04/24/2008</t>
  </si>
  <si>
    <t>TF053758-PHRD-BRAZIL: HEALTH QUALITY IMPROVEMENT PROJECT (QUALISUS)</t>
  </si>
  <si>
    <t>Decentralization;Health system performance</t>
  </si>
  <si>
    <t>Conflict and Development;Transport;Private Sector Development;Finance and Financial Sector Development</t>
  </si>
  <si>
    <t>Transport Economics Policy &amp; Planning;Debt Markets;Roads &amp; Highways;E-Business;Post Conflict Reconstruction</t>
  </si>
  <si>
    <t>Brazil - Health Network Formation and Quality Improvement Project (QUALISUS-REDE) : indigenous peoples plan</t>
  </si>
  <si>
    <t>BR-Qualisus-Rede Brazil Health Network Formation And Quality Improvem -- P088716</t>
  </si>
  <si>
    <t>IPP293</t>
  </si>
  <si>
    <t>Brazil - Acre Social and Economic Inclusion Project : indigenous peoples plan</t>
  </si>
  <si>
    <t>IPP310</t>
  </si>
  <si>
    <t>07/23/2008</t>
  </si>
  <si>
    <t>TF053952-GEF3 PDF B BRAZIL- RIO GRANDE DO SUL BIODIVERSITY PROJECT</t>
  </si>
  <si>
    <t>Land administration and management;Biodiversity</t>
  </si>
  <si>
    <t>Wildlife Resources;Ecosystems and Natural Habitats;Housing &amp; Human Habitats;Biodiversity;Population Policies</t>
  </si>
  <si>
    <t>Brazil - GEF Rio Grande do Sul Biodiversity Project : indigenous peoples plan</t>
  </si>
  <si>
    <t>BR-Gef Rio Grande Do Sul Biodiversity -- P086341</t>
  </si>
  <si>
    <t>IPP323</t>
  </si>
  <si>
    <t>TF090090-LEVELING THE PLAYING FIELD FOR QUILOMBOLA (SLAVE DESCENDENT) COMMUNITIE;TF058071-JSDF - LINKING GRASSROOTS PRODUCERS ORGANIZATIONS TO GLOBAL MARKETS;TF053504-BNPP-TRADE:MAINSTREAMING TRADE RELATED STANDARDS AND AND FOOD SAFETY MA;TF091205-LINKING GRASSROOTS PRODUCERS ORGANIZATIONS TO GLOBAL MARKETS (BANK EXEC</t>
  </si>
  <si>
    <t>Rural non-farm income generation;Rural policies and institutions;Indigenous peoples;Rural services and infrastructure;Municipal governance and institution building;Participation and civic engagement</t>
  </si>
  <si>
    <t>Environment;Poverty Reduction;Social Development;Communities and Human Settlements</t>
  </si>
  <si>
    <t>Poverty Monitoring &amp; Analysis;Environmental Economics &amp; Policies;Housing &amp; Human Habitats;Community Development and Empowerment</t>
  </si>
  <si>
    <t>General agriculture, fishing and forestry sector;Sub-national government administration;Water supply;Other social services;Power</t>
  </si>
  <si>
    <t>Brazil - Additional Financing for Bahia State Integrated Project : Rural Poverty : indigenous peoples planning framework</t>
  </si>
  <si>
    <t>Energy and mining;Public Administration, Law, and Justice;Agriculture, fishing, and forestry;Health and other social services;Water, sanitation and flood protection</t>
  </si>
  <si>
    <t>IPP312</t>
  </si>
  <si>
    <t>Rural policies and institutions;Environmental policies and institutions;Land administration and management;Rural markets;Participation and civic engagement</t>
  </si>
  <si>
    <t>Environment;Private Sector Development;Poverty Reduction;Rural Development;Communities and Human Settlements</t>
  </si>
  <si>
    <t>Environmental Economics &amp; Policies;Rural Poverty Reduction;Housing &amp; Human Habitats;Rural Development Knowledge &amp; Information Systems;Competitiveness and Competition Policy</t>
  </si>
  <si>
    <t>General agriculture, fishing and forestry sector;Agricultural extension and research;Agro-industry;Agricultural marketing and trade</t>
  </si>
  <si>
    <t>Brazil - Sao Paulo Sustainable Rural Development Project : indigenous people's planning framework</t>
  </si>
  <si>
    <t>BR-Sao Paulo Sustainable Rural Development And Access To Markets -- P108443</t>
  </si>
  <si>
    <t>Gomes Costa, Alberto Coelho</t>
  </si>
  <si>
    <t>IPP332</t>
  </si>
  <si>
    <t>12/22/2008</t>
  </si>
  <si>
    <t>Decentralization;Managing for development results;Health system performance;HIV/AIDS</t>
  </si>
  <si>
    <t>Gender;Health, Nutrition and Population</t>
  </si>
  <si>
    <t>Gender and Health;Health Monitoring &amp; Evaluation;Disease Control &amp; Prevention;Health Systems Development &amp; Reform;Population Policies</t>
  </si>
  <si>
    <t>Brazil - AIDS-SUS (National AIDS Program - National Health Service) Project : indigenous peoples plan</t>
  </si>
  <si>
    <t>BR-Aids-Sus (National Aids Program - National Health Service) -- P113540</t>
  </si>
  <si>
    <t>IPP365</t>
  </si>
  <si>
    <t>Water resource management;Rural policies and institutions;Other environment and natural resources management;Other rural development;Rural markets</t>
  </si>
  <si>
    <t>Environment;Poverty Reduction;Finance and Financial Sector Development</t>
  </si>
  <si>
    <t>Environmental Economics &amp; Policies;Ecosystems and Natural Habitats;Access to Finance;Rural Poverty Reduction</t>
  </si>
  <si>
    <t>General agriculture, fishing and forestry sector;General water, sanitation and flood protection sector;Agricultural extension and research;Public administration- Agriculture, fishing and forestry;Agricultural marketing and trade</t>
  </si>
  <si>
    <t>Brazil - Santa Catarina Rural Competitiveness Project : indigenous peoples plan</t>
  </si>
  <si>
    <t>BR-Santa Catarina Rural Competitiveness -- P118540</t>
  </si>
  <si>
    <t>Public Administration, Law, and Justice;Agriculture, fishing, and forestry;Industry and trade;Water, sanitation and flood protection</t>
  </si>
  <si>
    <t>Gerber, Rose Mary;Buogo, Geraldo;Panceri, Bernadete</t>
  </si>
  <si>
    <t>IPP409</t>
  </si>
  <si>
    <t>Education and Society;Housing &amp; Human Habitats;Population Policies;Social Cohesion;Anthropology</t>
  </si>
  <si>
    <t>Brazil - Second Bolsa Familia Adaptable Program Loan Project : social assessment and indigenous peoples plan</t>
  </si>
  <si>
    <t>BR-Second Bolsa Famï¿½Lia -- P101504</t>
  </si>
  <si>
    <t>IPP382</t>
  </si>
  <si>
    <t>10/23/2009</t>
  </si>
  <si>
    <t>Brazil - The Additional Financing for Minas Gerais Development Partnership Project : indigenous peoples planning framework</t>
  </si>
  <si>
    <t>Minas Gerais Partnership II SWAP AF</t>
  </si>
  <si>
    <t>IPP398</t>
  </si>
  <si>
    <t>TF022041-B/NPP MEXICO COMMUNITY FORESTRY INITIATIVES</t>
  </si>
  <si>
    <t>Other environment and natural resources management;Other rural development;Rural services and infrastructure;Rural markets;Participation and civic engagement</t>
  </si>
  <si>
    <t>Environment;Private Sector Development;Health, Nutrition and Population;Poverty Reduction;Finance and Financial Sector Development</t>
  </si>
  <si>
    <t>Environmental Economics &amp; Policies;Access to Finance;Rural Poverty Reduction;Population Policies;E-Business</t>
  </si>
  <si>
    <t>Brazil - Parana Central Regional Development Project : indigenous peoples planning framework</t>
  </si>
  <si>
    <t>BR-Parana Social Inclusion &amp; Sustainable Development Project In Rural -- P097305</t>
  </si>
  <si>
    <t>IPP402</t>
  </si>
  <si>
    <t>Environment;Law and Development;Infrastructure Economics and Finance;Private Sector Development;Energy</t>
  </si>
  <si>
    <t>Energy Production and Transportation;Environmental Economics &amp; Policies;Infrastructure Economics;Corporate Law;E-Business</t>
  </si>
  <si>
    <t>Brazil - Eletrobras Distribution Company Improvement Project : indigenous peoples planning framework</t>
  </si>
  <si>
    <t>BR-Eletrobras Distribution Rehabilitation -- P114204</t>
  </si>
  <si>
    <t>IPP419</t>
  </si>
  <si>
    <t>Law and Development;Health, Nutrition and Population;Communities and Human Settlements</t>
  </si>
  <si>
    <t>Housing &amp; Human Habitats;Health Monitoring &amp; Evaluation;Health Systems Development &amp; Reform;Population Policies;Health Law</t>
  </si>
  <si>
    <t>Brazil - Federal Teaching Hospitals Modernization Project : indigenous peoples planning framework</t>
  </si>
  <si>
    <t>Federal University Hospitals Modernization Project</t>
  </si>
  <si>
    <t>IPP439</t>
  </si>
  <si>
    <t>TF056575-PHRD-BRAZIL:BAHIA INTEGRATED WATER RESOURCES MANAGEMENT PROJECT</t>
  </si>
  <si>
    <t>Health, Nutrition and Population;Water Supply and Sanitation;Communities and Human Settlements</t>
  </si>
  <si>
    <t>Housing &amp; Human Habitats;Water Supply and Sanitation Governance and Institutions;Health Monitoring &amp; Evaluation;Health Systems Development &amp; Reform;Population Policies</t>
  </si>
  <si>
    <t>Health;General water, sanitation and flood protection sector;Sub-national government administration</t>
  </si>
  <si>
    <t>Brazil - Bahia Integrated Health and Water Management Project (SWAP) : indigenous peoples plan</t>
  </si>
  <si>
    <t>BR-Bahia Integrated Health And Water Management Project (Swap) -- P095171</t>
  </si>
  <si>
    <t>IPP430</t>
  </si>
  <si>
    <t>10/27/2010</t>
  </si>
  <si>
    <t>TF057046-GEF PDF B-BOTSWANA: PREPARATION OF WILDLIFE CONFLICT MANAGEMENT AND BIO</t>
  </si>
  <si>
    <t>Rural non-farm income generation;Other environment and natural resources management;Biodiversity</t>
  </si>
  <si>
    <t>Environment;Culture and Development;Health, Nutrition and Population;Water Resources;Communities and Human Settlements</t>
  </si>
  <si>
    <t>Environmental Economics &amp; Policies;Wetlands;Cultural Policy;Housing &amp; Human Habitats;Population Policies</t>
  </si>
  <si>
    <t>Botswana - Human Wildlife Conflict Management in Northern Botswana Project : indigenous peoples plan</t>
  </si>
  <si>
    <t>BW-Northern Botswana Human Wildlife Coexistence Project -- P095617</t>
  </si>
  <si>
    <t>Department of Wildlife and National Parks</t>
  </si>
  <si>
    <t>IPP347</t>
  </si>
  <si>
    <t>Botswana</t>
  </si>
  <si>
    <t>Culture and Development;Health, Nutrition and Population;Water Resources</t>
  </si>
  <si>
    <t>Wetlands;Cultural Policy;Cultural Heritage &amp; Preservation;Population Policies;Anthropology</t>
  </si>
  <si>
    <t>09/17/2009</t>
  </si>
  <si>
    <t>TF040617-BOLIVIA-INSTITUTIONAL DESIGN OF TRAFFIC SAFETY INITIATIVE</t>
  </si>
  <si>
    <t>Bolivia - Proyecto de Rrehabilitation de Carreteras : plan de desarrollo indigena</t>
  </si>
  <si>
    <t>BO-Road Rehabilitation And Maintenance Project -- P068968</t>
  </si>
  <si>
    <t>Antunez Rodriguez, Argentina</t>
  </si>
  <si>
    <t>IPP8</t>
  </si>
  <si>
    <t>Bolivia</t>
  </si>
  <si>
    <t>TF026669-PHRD-BOLIVIA: DECENTRALIZED ENERGY, INFORMATION AND COMMUNICATIONS TECH;TF022456-GERMAN JPO - MR. KILIAN REICHE</t>
  </si>
  <si>
    <t>Renewable energy;Information technology;Power</t>
  </si>
  <si>
    <t>Bolivia - Decentralized Energy, Information and Communications Technology for Rural Transformation Project : indigenous people plan</t>
  </si>
  <si>
    <t>BO-Decentralized Infrastructure For Rural Transformation -- P073367</t>
  </si>
  <si>
    <t>Ana Cristina Betancourt;Crespo Arauco, Maria;Molina Barrios, Ramiro</t>
  </si>
  <si>
    <t>IPP39</t>
  </si>
  <si>
    <t>TF030622-IDA CONSULTANTS POOLED CTF - FY05;TF053152-PHRD-BOLIVIA: SPATIAL SUSTAINABLE DEVELOPMENT;TF055277-JSDF SEED-BOLIVIA: RURAL LIVELIHOOD IMPROVEMENT;TF030571-IDA CONSULTANTS POOLED CTF - FY04</t>
  </si>
  <si>
    <t>Rural non-farm income generation;Rural policies and institutions;Rural services and infrastructure;Rural markets;Participation and civic engagement</t>
  </si>
  <si>
    <t>Environment;Poverty Reduction;Finance and Financial Sector Development;Communities and Human Settlements</t>
  </si>
  <si>
    <t>Environmental Economics &amp; Policies;Access to Finance;Rural Poverty Reduction;Housing &amp; Human Habitats</t>
  </si>
  <si>
    <t>General agriculture, fishing and forestry sector;Other industry;Agricultural extension and research;Agro-industry;Agricultural marketing and trade</t>
  </si>
  <si>
    <t>Bolivia - Additional Financing for Rural Alliances Project : indigenous peoples plan</t>
  </si>
  <si>
    <t>BO-Rural Alliances -- P083051</t>
  </si>
  <si>
    <t>IPP333</t>
  </si>
  <si>
    <t>TF030687-GERMAN CTF FY05 - ENVIRONMENT &amp; PUBLIC SECTOR MANAGEMENT;TF053151-PHRD-BOLIVIA: SECONDARY EDUCATION PROJECT</t>
  </si>
  <si>
    <t>Bolivia - Secondary Education Project : indigenous peoples report</t>
  </si>
  <si>
    <t>BO-Secondary Education Transformation -- P083965</t>
  </si>
  <si>
    <t>IPP161</t>
  </si>
  <si>
    <t>01/18/2006</t>
  </si>
  <si>
    <t>Bolivia - Decentralized Electricity for Universal Access Project : indigenous peoples framework</t>
  </si>
  <si>
    <t>BO-Bolivia Decentralized Electricity For Universal Access -- P102479</t>
  </si>
  <si>
    <t>IPP197</t>
  </si>
  <si>
    <t>English;Spanish</t>
  </si>
  <si>
    <t>Environment;Energy</t>
  </si>
  <si>
    <t>Electric Power;Environmental Management;Pollution Management &amp; Control;Air Quality &amp; Clean Air;Environmentally Protected Areas</t>
  </si>
  <si>
    <t>05/20/2007</t>
  </si>
  <si>
    <t>Environment;Social Development;Education;Communities and Human Settlements</t>
  </si>
  <si>
    <t>Environmental Economics &amp; Policies;Secondary Education;Indigenous Communities;Educational Institutions &amp; Facilities;Social Assessment</t>
  </si>
  <si>
    <t>TF054612-PHRD CCIG-BOLIVIA: CAPACITY BUILDING TO SUPPORT CARBON FINANCE TRANSACT;TF055016-CARBON FINANCE ASSIST (DISBURSING FUND UNDER TF054846);TF056929-BNPP-WATER: WATER RESOURCES MANAGEMENT PROGRAM II - (BNWPP)</t>
  </si>
  <si>
    <t>Rural non-farm income generation;Other urban development;Pollution management and environmental health</t>
  </si>
  <si>
    <t>Law and Development;Culture and Development;Health, Nutrition and Population;Industry;Social Development</t>
  </si>
  <si>
    <t>Indigenous Peoples;Population &amp; Development;Accommodation &amp; Tourism Industry;Indigenous Peoples Law;Poverty and Social Impact Analysis;Social Assessment</t>
  </si>
  <si>
    <t>Solid waste management;Other social services;Water supply;Sanitation;Other industry</t>
  </si>
  <si>
    <t>Bolivia - Lake Titicaca Local Sustainable Development Project : indigenous peoples plan</t>
  </si>
  <si>
    <t>BO-Lake Titicaca Local Sustainable Development -- P101426</t>
  </si>
  <si>
    <t>Health and other social services;Industry and trade;Water, sanitation and flood protection</t>
  </si>
  <si>
    <t>Equipo Aymara</t>
  </si>
  <si>
    <t>IPP266</t>
  </si>
  <si>
    <t>Indigenous peoples;Other environment and natural resources management;Rural services and infrastructure;Municipal governance and institution building;Participation and civic engagement</t>
  </si>
  <si>
    <t>Transport;Health, Nutrition and Population;Social Development;Rural Development</t>
  </si>
  <si>
    <t>Rural Institutions and Organizations;Population &amp; Development;Rural Transport;Community Development and Empowerment;Social Assessment</t>
  </si>
  <si>
    <t>Central government administration;General agriculture, fishing and forestry sector;Roads and highways;Sub-national government administration;Irrigation and drainage</t>
  </si>
  <si>
    <t>Bolivia - Second Participatory Rural Investment Project : indigenous peoples development plan</t>
  </si>
  <si>
    <t>BO-Secondary Participatory Rural Investment -- P101298</t>
  </si>
  <si>
    <t>Mealla Aramayo, Ariel;Soruco Mazuelos, Saul;Medieros Urioste, Gustavo;Soriano Lopez, Rodolfo</t>
  </si>
  <si>
    <t>IPP268</t>
  </si>
  <si>
    <t>09/28/2007</t>
  </si>
  <si>
    <t>TF057810-PHRD: BOLIVIA - SOCIAL PROTECTION</t>
  </si>
  <si>
    <t>Other human development</t>
  </si>
  <si>
    <t>Housing &amp; Human Habitats;Health Monitoring &amp; Evaluation;;Health Systems Development &amp; Reform;Population Policies</t>
  </si>
  <si>
    <t>Bolivia - Investing in Children and Youth Project : environmental assessment</t>
  </si>
  <si>
    <t>BO-Investing In Children And Youth -- P101084</t>
  </si>
  <si>
    <t>IPP259</t>
  </si>
  <si>
    <t>01/14/2008</t>
  </si>
  <si>
    <t>Primary Education;Housing &amp; Human Habitats;Health Monitoring &amp; Evaluation;;Population Policies</t>
  </si>
  <si>
    <t>01/24/2008</t>
  </si>
  <si>
    <t>Environment;Private Sector Development;Information and Communication Technologies;Industry;Rural Development</t>
  </si>
  <si>
    <t>Environmental Economics &amp; Policies;Rural Development Knowledge &amp; Information Systems;E-Business;Technology Industry;ICT Policy and Strategies</t>
  </si>
  <si>
    <t>Bolivia - Innovation and Agricultural Services Project : social assessment</t>
  </si>
  <si>
    <t>BO-Innovation And Agricultural Services -- P106700</t>
  </si>
  <si>
    <t>IPP469</t>
  </si>
  <si>
    <t>Poverty Sector (LCSPP)</t>
  </si>
  <si>
    <t>Information and Communication Technologies;Health, Nutrition and Population</t>
  </si>
  <si>
    <t>;Demographics;ICT Applications;Health Indicators;Population Policies</t>
  </si>
  <si>
    <t>Bolivia - Strengthening Statistical Capacity and the Informational Base for Evidence-Based Planning Project : indigenous peoples plan</t>
  </si>
  <si>
    <t>BO-Monitoring And Evaluation For Mdgs -- P101336</t>
  </si>
  <si>
    <t>IPP462</t>
  </si>
  <si>
    <t>Transport;Macroeconomics and Economic Growth;Health, Nutrition and Population;Rural Development</t>
  </si>
  <si>
    <t>Regional Economic Development;Regional Rural Development;Transport Economics Policy &amp; Planning;Population Policies;Airports and Air Services</t>
  </si>
  <si>
    <t>Roads and highways;Aviation</t>
  </si>
  <si>
    <t>Bolivia - National Roads and Airport Infrastructure Project : indigenous peoples plan</t>
  </si>
  <si>
    <t>BO-National Roads And Airport Infrastructure Project -- P122007</t>
  </si>
  <si>
    <t>IPP477</t>
  </si>
  <si>
    <t>TF026873-PHRD-BHUTAN: BHUTAN EDUCATION PROGRAM</t>
  </si>
  <si>
    <t>Primary Education;Teaching and Learning;Health Monitoring &amp; Evaluation;Gender and Education;Educational Sciences</t>
  </si>
  <si>
    <t>Other social services;Primary education;Secondary education;Tertiary education</t>
  </si>
  <si>
    <t>Bhutan - Education Development Project : indigenous peoples plan</t>
  </si>
  <si>
    <t>BT-Education Development Project-P074114</t>
  </si>
  <si>
    <t>IPP35</t>
  </si>
  <si>
    <t>Bhutan</t>
  </si>
  <si>
    <t>Bhutan - Second Rural Access Roads Project : indigenous peoples plan</t>
  </si>
  <si>
    <t>BT-Bhutan Second Rural Access Project -- P100332</t>
  </si>
  <si>
    <t>Bhutan, Ministry of Works &amp; Human Settlements, Department of Roads</t>
  </si>
  <si>
    <t>IPP188</t>
  </si>
  <si>
    <t>05/31/2006</t>
  </si>
  <si>
    <t>Transport;Public Sector Development;Urban Development;Health, Nutrition and Population</t>
  </si>
  <si>
    <t>Transport Economics Policy &amp; Planning;Health Monitoring &amp; Evaluation;Municipal Financial Management;Population Policies;Public Sector Management and Reform</t>
  </si>
  <si>
    <t>General water, sanitation and flood protection sector;Other social services;Roads and highways</t>
  </si>
  <si>
    <t>Belize - Municipal Development Project : indigenous peoples plan</t>
  </si>
  <si>
    <t>BZ-Municipal Development Project-994526 -- P111928</t>
  </si>
  <si>
    <t>Health and other social services;Water, sanitation and flood protection;Transportation</t>
  </si>
  <si>
    <t>P452</t>
  </si>
  <si>
    <t>IPP432</t>
  </si>
  <si>
    <t>Belize</t>
  </si>
  <si>
    <t>Cultural Policy;Transport Economics Policy &amp; Planning;Housing &amp; Human Habitats;Health Monitoring &amp; Evaluation;Population Policies</t>
  </si>
  <si>
    <t>TF025337-PHRD-BANGLADESH SOCIAL DEV. INVEST.PROG. FUND</t>
  </si>
  <si>
    <t>Poverty Monitoring &amp; Analysis;Poverty Assessment;Health Monitoring &amp; Evaluation;Health Economics &amp; Finance;Community Development and Empowerment</t>
  </si>
  <si>
    <t>Other social services;Media;General education sector;General transportation sector</t>
  </si>
  <si>
    <t>Bangladesh - Social Investment Program Project : tribal development plan</t>
  </si>
  <si>
    <t>BD-Social Investment Program Project -- P053578</t>
  </si>
  <si>
    <t>IPP32</t>
  </si>
  <si>
    <t>Bangladesh</t>
  </si>
  <si>
    <t>TF030494-JAPAN CTF FY04 GENERAL: SAR (ALL COUNTRIES IN SOUTH ASIA/ALL SECTORS AN</t>
  </si>
  <si>
    <t>Bangladesh - Second Primary Education Development Project : indigenous peoples development plan</t>
  </si>
  <si>
    <t>BD-Primary Education Development Project II -- P074966</t>
  </si>
  <si>
    <t>IPP60</t>
  </si>
  <si>
    <t>07/14/2003</t>
  </si>
  <si>
    <t>TF030466-DANISH CTF GEN FY04 - ALL DAC PART I BBMC'S (EXCEPT AFR) WITH GNP PER C;TF030472-DANISH CTF FY04 - HEALTH SECTOR/ALL COUNTRIES/ALL REGIONS (US $100,000 ;TF050805-PHRD-BANGLADESH: HEALTH AND POPULATION SECTOR PROGRAM PROJECT, (2003-20;TF030496-SWEDEN CTF FY04 - GENERAL</t>
  </si>
  <si>
    <t>Housing &amp; Human Habitats;Health Monitoring &amp; Evaluation;Adolescent Health;Agricultural Knowledge &amp; Information Systems;ICT Policy and Strategies</t>
  </si>
  <si>
    <t>Bangladesh - Second Health Nutrition Population Sector Program : indigenous peoples plan</t>
  </si>
  <si>
    <t>BD-Health Nutrition And Population Sector Program -- P074841</t>
  </si>
  <si>
    <t>IPP98</t>
  </si>
  <si>
    <t>Agriculture;Poverty Reduction;Rural Development;Education</t>
  </si>
  <si>
    <t>Rural Poverty Reduction;Crops &amp; Crop Management Systems;Tertiary Education;Rural Development Knowledge &amp; Information Systems</t>
  </si>
  <si>
    <t>Animal production;Agricultural extension and research;Crops</t>
  </si>
  <si>
    <t>Bangladesh - National Agricultural Technology Project : indigenous peoples plan</t>
  </si>
  <si>
    <t>BD-National Agricultural Technology Project -- P084078</t>
  </si>
  <si>
    <t>IPP206</t>
  </si>
  <si>
    <t>Education for all;Education for the knowledge economy</t>
  </si>
  <si>
    <t>Culture and Development;Health, Nutrition and Population;Social Development;Finance and Financial Sector Development;Education</t>
  </si>
  <si>
    <t>Access to Finance;Education For All;Population Policies;Social Cohesion;Anthropology</t>
  </si>
  <si>
    <t>Bangladesh - indigenous/tribal population and access to secondary schools (draft) : indigenous peoples plan</t>
  </si>
  <si>
    <t>BD-Secondary Education Quality And Access Improvement -- P106161</t>
  </si>
  <si>
    <t>IPP280</t>
  </si>
  <si>
    <t>Health, Nutrition and Population;Poverty Reduction;Social Development;Rural Development;Communities and Human Settlements</t>
  </si>
  <si>
    <t>Indigenous Communities;Rural Poverty Reduction Strategies;Inequality;Population Policies;Social Assessment</t>
  </si>
  <si>
    <t>General agriculture, fishing and forestry sector;Sub-national government administration;Agricultural extension and research;Crops;Agricultural marketing and trade</t>
  </si>
  <si>
    <t>Argentina - Additional Financing Small Farmer Development Project : indigenous peoples plan</t>
  </si>
  <si>
    <t>AR-Additional Financing Small Farmer Development Project (Proinder) -- P102446</t>
  </si>
  <si>
    <t>Secretaria de Agricultura, Ganaderia, Pesca y Alimentacion</t>
  </si>
  <si>
    <t>IPP229</t>
  </si>
  <si>
    <t>Argentina</t>
  </si>
  <si>
    <t>TF023027-PHRD-PROVINCIAL AGRICULTURAL DEVELOPMENT;TF032451-ARGENTINA - AGRICULTURE;TF033134-ARGENTINA - AGRICULTURE;TF032731-ARGENTINA - PROVENCIAL AGRICULTURAL DEVELOPMENT PROJECT;TF033090-ARGENTINA - PROVINCIAL AGRICULTURAL DEV. PROJ;TF032452-ARGENTINA - AGRICULTURE</t>
  </si>
  <si>
    <t>Culture and Development;Social Development;Rural Development;Communities and Human Settlements</t>
  </si>
  <si>
    <t>Indigenous Communities;Indigenous Peoples;Rural Settlements;Agricultural Growth and Rural Development;Social Assessment</t>
  </si>
  <si>
    <t>Central government administration;General agriculture, fishing and forestry sector;Roads and highways;Sub-national government administration;Water supply</t>
  </si>
  <si>
    <t>Argentina - Provincial Agricultural Development Project : indigenous peoples plan</t>
  </si>
  <si>
    <t>AR-Provincial Agricultural Development Project - Loan 4150 -- P006010</t>
  </si>
  <si>
    <t>Castiglioni, Guillermo L.;Rodriguez, Francisco;Sosa, Lautaro A. R.;Mailhos, Victoria</t>
  </si>
  <si>
    <t>IPP191</t>
  </si>
  <si>
    <t>03/16/2004</t>
  </si>
  <si>
    <t>TF026841-PHRD-ARGENTINA: RURAL AND TECHNICAL EDUCATION PROJECT</t>
  </si>
  <si>
    <t>Primary Education;Teaching and Learning;Curriculum &amp; Instruction;Secondary Education;Gender and Education</t>
  </si>
  <si>
    <t>Argentina - Education for a More Productive and Equitable Argentina Project</t>
  </si>
  <si>
    <t>AR-Argentina Rural Education Improvement Project - Promer -- P070963</t>
  </si>
  <si>
    <t>IPP148</t>
  </si>
  <si>
    <t>Culture and Development;Health, Nutrition and Population;Rural Development;Communities and Human Settlements</t>
  </si>
  <si>
    <t>Rural Institutions and Organizations;Indigenous Communities;Indigenous Peoples;Housing &amp; Human Habitats;Health Systems Development &amp; Reform;Health Economics &amp; Finance</t>
  </si>
  <si>
    <t>Argentina - Second Provincial Meternal Child Health Investment : indigenous peoples plan</t>
  </si>
  <si>
    <t>AR-Provincial Maternal-Child Health Investment Apl 2 -- P095515</t>
  </si>
  <si>
    <t>IPP181</t>
  </si>
  <si>
    <t>TF053081-TOBACCO CONTROL</t>
  </si>
  <si>
    <t>Environmental Economics &amp; Policies; Population Policies; Disease Control &amp; Prevention; Health Monitoring &amp; Evaluation; Brown Issues and Health</t>
  </si>
  <si>
    <t>Argentina - Essential Public Health Functions and Programs Project : indigenous peoples</t>
  </si>
  <si>
    <t>AR-Essential Public Health Functions -- P090993</t>
  </si>
  <si>
    <t>IPP186</t>
  </si>
  <si>
    <t>09/29/2006</t>
  </si>
  <si>
    <t>TF055422-GEF PDF B-ARGENTINA: SUSTAINABLE FORESTRY DEVELOPMENT PROJECT</t>
  </si>
  <si>
    <t>Argentina - Biodiversity Conservation in Productive Forestry Landscapes Project : indigenous peoples plan</t>
  </si>
  <si>
    <t>AR-Biodiversity Conservation In Productive Forestry Landscapes -- P094425</t>
  </si>
  <si>
    <t>IPP218</t>
  </si>
  <si>
    <t>Lifelong Learning;Indigenous Communities;Education For All;Education for the Knowledge Economy;Knowledge for Development</t>
  </si>
  <si>
    <t>Primary education;Secondary education;Vocational training</t>
  </si>
  <si>
    <t>Argentina - Lifelong Learning Project : indigenous peoples plan</t>
  </si>
  <si>
    <t>AR-Lifelong Learning Project -- P095514</t>
  </si>
  <si>
    <t>Ministerio del Trabajo, Empleo y Seguridad Social</t>
  </si>
  <si>
    <t>IPP216</t>
  </si>
  <si>
    <t>Water resource management;Managing for development results;Regional integration;Land administration and management;Rural services and infrastructure</t>
  </si>
  <si>
    <t>Agriculture;Culture and Development;Social Development;Communities and Human Settlements</t>
  </si>
  <si>
    <t>Indigenous Communities;Indigenous Peoples;Cultural Heritage &amp; Preservation;Social Assessment;Agricultural Knowledge &amp; Information Systems</t>
  </si>
  <si>
    <t>Argentina - Second Provincial Agricultural Development Project : indigenous peoples plan</t>
  </si>
  <si>
    <t>AR-Second Provincial Agricultural Development -- P106684</t>
  </si>
  <si>
    <t>Secretaria de Agricultura, Ganadería, Pesca y Alimentos (SAGPyA)</t>
  </si>
  <si>
    <t>IPP283</t>
  </si>
  <si>
    <t>Other financial and private sector development;Rural services and infrastructure;Other urban development</t>
  </si>
  <si>
    <t>Energy and Environment;Thermal Energy;Rural Energy;Solar Energy;Energy Conservation &amp; Efficiency</t>
  </si>
  <si>
    <t>Renewable energy;Sub-national government administration</t>
  </si>
  <si>
    <t>Argentina - PERMER Renewable Energy Additional Financing : indigenous peoples plan</t>
  </si>
  <si>
    <t>AR-Permer Renewable Energy Additional Financing -- P110498</t>
  </si>
  <si>
    <t>IPP320</t>
  </si>
  <si>
    <t>Social Protections and Labor;Health, Nutrition and Population;Finance and Financial Sector Development;Communities and Human Settlements</t>
  </si>
  <si>
    <t>Access to Finance;Housing &amp; Human Habitats;Population Policies;Labor Policies</t>
  </si>
  <si>
    <t>Argentina - Basic Protection Sector-wide Approach Project : indigenous peopls planning framework</t>
  </si>
  <si>
    <t>AR-Argentina Basic Protection Project -- P115183</t>
  </si>
  <si>
    <t>IPP342</t>
  </si>
  <si>
    <t>03/13/2009</t>
  </si>
  <si>
    <t>4 of 5</t>
  </si>
  <si>
    <t>Managing for development results;Injuries and non-communicable diseases;Other public sector governance;Infrastructure services for private sector development;Municipal governance and institution building</t>
  </si>
  <si>
    <t>Environment;Transport;Communities and Human Settlements</t>
  </si>
  <si>
    <t>Environmental Economics &amp; Policies;Road Safety;Transport Economics Policy &amp; Planning;Housing &amp; Human Habitats;Roads &amp; Highways</t>
  </si>
  <si>
    <t>Health;Roads and highways;General public administration sector;General transportation sector</t>
  </si>
  <si>
    <t>Argentina - Road Safety Project : indigenous peoples planning framework</t>
  </si>
  <si>
    <t>AR-Road Safety -- P116989</t>
  </si>
  <si>
    <t>Public Administration, Law, and Justice;Health and other social services;Transportation</t>
  </si>
  <si>
    <t>IPP414</t>
  </si>
  <si>
    <t>01/13/2010</t>
  </si>
  <si>
    <t>3 of 5</t>
  </si>
  <si>
    <t>Environmental Economics &amp; Policies;Transport Economics Policy &amp; Planning;Road Safety;Housing &amp; Human Habitats;Roads &amp; Highways</t>
  </si>
  <si>
    <t>Housing &amp; Human Habitats;Health Monitoring &amp; Evaluation;Disease Control &amp; Prevention;Health Systems Development &amp; Reform;Population Policies</t>
  </si>
  <si>
    <t>Argentina - Emergency Project for the Prevention and Management of Influenza Type Illness : indigenous peoples planning framework</t>
  </si>
  <si>
    <t>CO-(C) 3rd Social Safety Net -- P117377</t>
  </si>
  <si>
    <t>IPP406</t>
  </si>
  <si>
    <t>5 of 5</t>
  </si>
  <si>
    <t>2 of 5</t>
  </si>
  <si>
    <t>1 of 5</t>
  </si>
  <si>
    <t>Economic Policy Sector (LCSPE)</t>
  </si>
  <si>
    <t>Health system performance;Small and medium enterprise support</t>
  </si>
  <si>
    <t>Macroeconomics and Economic Growth;Health, Nutrition and Population;Communities and Human Settlements</t>
  </si>
  <si>
    <t>Housing &amp; Human Habitats;Health Monitoring &amp; Evaluation;Health Systems Development &amp; Reform;Subnational Economic Development;Population Policies</t>
  </si>
  <si>
    <t>Health;Micro- and SME finance</t>
  </si>
  <si>
    <t>Argentina - San Juan Sector-Wide Approach (SWAP) Project : social assessment</t>
  </si>
  <si>
    <t>AR-San Juan Swap -- P113896</t>
  </si>
  <si>
    <t>IPP403</t>
  </si>
  <si>
    <t>02/22/2010</t>
  </si>
  <si>
    <t>TF026296-PHRD-ARGENTINA: INTEGRATED HEALTH PROJECT</t>
  </si>
  <si>
    <t>Information and Communication Technologies;Health, Nutrition and Population;Communities and Human Settlements</t>
  </si>
  <si>
    <t>Pharmaceuticals &amp; Pharmacoeconomics;Housing &amp; Human Habitats;Health Monitoring &amp; Evaluation;Health Economics &amp; Finance;ICT Policy and Strategies</t>
  </si>
  <si>
    <t>Central government administration;Compulsory health finance;Health;Other social services;Sub-national government administration</t>
  </si>
  <si>
    <t>Argentina - First Adaptable Program Loan for the Provincial Maternal-Child Health Investment Project : indigenous peoples plan</t>
  </si>
  <si>
    <t>AR-Provincial Maternal-Child Health Investment Project (1st. Phase A -- P071025</t>
  </si>
  <si>
    <t>IPP435</t>
  </si>
  <si>
    <t>03/16/2010</t>
  </si>
  <si>
    <t>Lifelong Learning;Education For All;Education for the Knowledge Economy;Knowledge for Development</t>
  </si>
  <si>
    <t>04/27/2010</t>
  </si>
  <si>
    <t>05/28/2010</t>
  </si>
  <si>
    <t>6 of 8</t>
  </si>
  <si>
    <t>Wetlands;Water Conservation;Water and Industry;Wastewater Treatment;Sanitation and Sewerage</t>
  </si>
  <si>
    <t>Argentina - Second Norte Grande Water Infrastructure Project : indigenous peoples planning framework</t>
  </si>
  <si>
    <t>Second Norte Grande Water Infrastructure</t>
  </si>
  <si>
    <t>IPP465</t>
  </si>
  <si>
    <t>Health Monitoring &amp; Evaluation;Disease Control &amp; Prevention;Health Systems Development &amp; Reform;Population Policies;Health Economics &amp; Finance</t>
  </si>
  <si>
    <t>Health;Public administration- Health</t>
  </si>
  <si>
    <t>Argentina - Global Risk Prevention of Chronic Diseases Project (FESPII) : indigenous peoples planning framework</t>
  </si>
  <si>
    <t>AR-Additional Financing For Essential Public Health Functions And Pr -- P110599</t>
  </si>
  <si>
    <t>IPP444</t>
  </si>
  <si>
    <t>Transport;Gender;Poverty Reduction;Finance and Financial Sector Development;Communities and Human Settlements</t>
  </si>
  <si>
    <t>Poverty Monitoring &amp; Analysis;Transport Economics Policy &amp; Planning;Housing &amp; Human Habitats;Banks &amp; Banking Reform;Gender and Law</t>
  </si>
  <si>
    <t>Argentina - Norte Grande Transport Infrastructure Development Project : indigenous peoples planning framework</t>
  </si>
  <si>
    <t>Norte Grande Road Infrastructure Project</t>
  </si>
  <si>
    <t>IPP452</t>
  </si>
  <si>
    <t>11/15/2010</t>
  </si>
  <si>
    <t>Gender;Water Resources;Finance and Financial Sector Development;Communities and Human Settlements</t>
  </si>
  <si>
    <t>Wetlands;Water and Industry;Housing &amp; Human Habitats;Banks &amp; Banking Reform;Gender and Law</t>
  </si>
  <si>
    <t>General water, sanitation and flood protection sector;Water supply;Sanitation;Sewerage;Flood protection</t>
  </si>
  <si>
    <t>Argentina - Norte Grande Water Infrastructure Development Project : indigenous peoples planning framework</t>
  </si>
  <si>
    <t>Norte Grande Water Infrastructure Project</t>
  </si>
  <si>
    <t>IPP448</t>
  </si>
  <si>
    <t>11/16/2010</t>
  </si>
  <si>
    <t>Public Sector Development;Macroeconomics and Economic Growth;Finance and Financial Sector Development</t>
  </si>
  <si>
    <t>Bankruptcy and Resolution of Financial Distress;Access to Finance;Debt Markets;Subnational Economic Development;Public Sector Economics</t>
  </si>
  <si>
    <t>Public administration- Finance;Sub-national government administration;Agricultural extension and research</t>
  </si>
  <si>
    <t>Argentina - La Rioja Sector-Wide Approach (SWAP) Project : indigenous peoples planning framework</t>
  </si>
  <si>
    <t>La Rioja SWAP</t>
  </si>
  <si>
    <t>IPP464</t>
  </si>
  <si>
    <t>12/22/2010</t>
  </si>
  <si>
    <t>Housing &amp; Human Habitats;Health Monitoring &amp; Evaluation;Health Systems Development &amp; Reform;Health Economics &amp; Finance;Health Law</t>
  </si>
  <si>
    <t>AR-Strengthening Health System Performance And Provincial Health Insu -- P106735</t>
  </si>
  <si>
    <t>IPP466</t>
  </si>
  <si>
    <t>12/29/2010</t>
  </si>
  <si>
    <t>very useful document; not all information included CCCS in wiki country profile</t>
  </si>
  <si>
    <t>TF095934-Argentina Social Security Analysis and Dissemination Strategy</t>
  </si>
  <si>
    <t>Social Protections and Labor;Finance and Financial Sector Development</t>
  </si>
  <si>
    <t>Access to Finance;Banks &amp; Banking Reform;Labor Markets;Labor Policies</t>
  </si>
  <si>
    <t>Other social services;Public administration- Other social services</t>
  </si>
  <si>
    <t>Argentina - Additional Financing for the Basic Protection Project : indigenous peoples planning framework</t>
  </si>
  <si>
    <t>IPP467</t>
  </si>
  <si>
    <t>12/30/2010</t>
  </si>
  <si>
    <t>TF094428-TF080136</t>
  </si>
  <si>
    <t>Environmental Economics &amp; Policies;Wildlife Resources;Ecosystems and Natural Habitats;Natural Resources Management;Environmental Management</t>
  </si>
  <si>
    <t>Argentina - Rural Corridors and Biodiversity Project : indigenous peoples planning framework</t>
  </si>
  <si>
    <t>AR-Rural Corridors And Biodiversity -- P114294</t>
  </si>
  <si>
    <t>IPP457</t>
  </si>
  <si>
    <t>some information about legal frameworks for the protection of Indigenous Peoples (esp. parks)</t>
  </si>
  <si>
    <t>IPP457,v1</t>
  </si>
  <si>
    <t>some information about legal frameworks for the protection of Indigenous Peoples (int'l and national)</t>
  </si>
  <si>
    <t>AR-Second Norte Grande Water Infrastructure -- P125151</t>
  </si>
  <si>
    <t>02/24/2011</t>
  </si>
  <si>
    <t>AFT: Human Development 1 (AFTH1)</t>
  </si>
  <si>
    <t>Decentralization;Other social protection and risk management;Social risk mitigation;Other human development</t>
  </si>
  <si>
    <t>Urban Development;Industry;Health, Nutrition and Population;Communities and Human Settlements</t>
  </si>
  <si>
    <t>Housing &amp; Human Habitats;Population Policies;Municipal Financial Management;Technology Industry;Early Child and Children's Health</t>
  </si>
  <si>
    <t>Health;General water, sanitation and flood protection sector;Other social services;Sub-national government administration;General education sector</t>
  </si>
  <si>
    <t>Angola - Local Development Program Project : indigenous peoples planning framework</t>
  </si>
  <si>
    <t>AO-Local Development Program -- P105101</t>
  </si>
  <si>
    <t>IPP357</t>
  </si>
  <si>
    <t>Angola</t>
  </si>
  <si>
    <t>TF030799-JAPAN CTF - FY06 GENERAL: LAC (ALL COUNTRIES IN LATIN AMERICA AND THE C;TF056694-GEF PDF B-REGIONAL DESIGN AND IMPLEMENTATION OF PILOT CLIMATE CHANGE AD;TF090153-JAPAN CTF - FY07: GENERAL BBMC (ALL BANK BORROWING MEMBER COUNTRIES/ALL;TF090328-PHRD PERU: ADAPTATION TO RAPID GLACIER RETREAT IN THE TROPICAL ANDES (B</t>
  </si>
  <si>
    <t>Indigenous Peoples;Population &amp; Development;Cultural Heritage &amp; Preservation;Social Assessment</t>
  </si>
  <si>
    <t>General water, sanitation and flood protection sector;General energy sector</t>
  </si>
  <si>
    <t>Latin America and the Caribbean - Design and Implementation of Pilot Climate Change Adaptation Measures in the Andean Region to the Impacts from Glacial Melt Project : indigenous peoples plan</t>
  </si>
  <si>
    <t>6A-Adaptation To The Impact Of Rapid Glacier Retreat In The Tropical -- P098248</t>
  </si>
  <si>
    <t>Energy and mining;Water, sanitation and flood protection</t>
  </si>
  <si>
    <t>IPP237</t>
  </si>
  <si>
    <t>Andean Countries</t>
  </si>
  <si>
    <t>Indigenous Peoples;Population &amp; Development;Cultural Heritage &amp; Preservation;Community Development and Empowerment</t>
  </si>
  <si>
    <t>Tuberculosis;Health system performance;Other communicable diseases</t>
  </si>
  <si>
    <t>Kenya - Regional Health Systems Strengthening and Tuberculosis Support Project : indigenous peoples plan</t>
  </si>
  <si>
    <t>3A-Regional Health Systems Strengthening And Tb Support Project -- P111556</t>
  </si>
  <si>
    <t>IPP410</t>
  </si>
  <si>
    <t xml:space="preserve">Volume No </t>
  </si>
  <si>
    <t xml:space="preserve">Unit Owning </t>
  </si>
  <si>
    <t xml:space="preserve">TF No/Name </t>
  </si>
  <si>
    <t xml:space="preserve">Theme </t>
  </si>
  <si>
    <t xml:space="preserve">Topics </t>
  </si>
  <si>
    <t xml:space="preserve">SubTopics </t>
  </si>
  <si>
    <t xml:space="preserve">Source Citation </t>
  </si>
  <si>
    <t xml:space="preserve">Sector </t>
  </si>
  <si>
    <t xml:space="preserve">Rep Title </t>
  </si>
  <si>
    <t xml:space="preserve">Region </t>
  </si>
  <si>
    <t xml:space="preserve">Rel. Proj ID </t>
  </si>
  <si>
    <t xml:space="preserve">Major Sector </t>
  </si>
  <si>
    <t xml:space="preserve">Loan No </t>
  </si>
  <si>
    <t xml:space="preserve">Author </t>
  </si>
  <si>
    <t xml:space="preserve">Document Type </t>
  </si>
  <si>
    <t xml:space="preserve">Report Number </t>
  </si>
  <si>
    <t xml:space="preserve">Document Date </t>
  </si>
  <si>
    <t xml:space="preserve">Doc Name </t>
  </si>
  <si>
    <t xml:space="preserve">Language </t>
  </si>
  <si>
    <t xml:space="preserve">Country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</si>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</sst>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5" x14ac:knownFonts="1">
    <font>
      <sz val="10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ADCB3"/>
        <bgColor rgb="FFFADCB3"/>
      </patternFill>
    </fill>
    <fill>
      <patternFill patternType="solid">
        <fgColor rgb="FFCCFFCC"/>
        <bgColor rgb="FFCC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5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4" borderId="2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2004071311" TargetMode="External"/><Relationship Id="rId6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720161203" TargetMode="External"/><Relationship Id="rId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40901" TargetMode="External"/><Relationship Id="rId3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25650" TargetMode="External"/><Relationship Id="rId5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10307025947" TargetMode="External"/><Relationship Id="rId6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20061518" TargetMode="External"/><Relationship Id="rId1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009131024" TargetMode="External"/><Relationship Id="rId2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028134643" TargetMode="External"/><Relationship Id="rId4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23143729" TargetMode="External"/><Relationship Id="rId6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0617121110" TargetMode="External"/><Relationship Id="rId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17135426" TargetMode="External"/><Relationship Id="rId1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1212173027" TargetMode="External"/><Relationship Id="rId3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216031722" TargetMode="External"/><Relationship Id="rId5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1214162417" TargetMode="External"/><Relationship Id="rId1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218043512" TargetMode="External"/><Relationship Id="rId4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1031095355" TargetMode="External"/><Relationship Id="rId2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806155739" TargetMode="External"/><Relationship Id="rId4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13161559" TargetMode="External"/><Relationship Id="rId6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214044927" TargetMode="External"/><Relationship Id="rId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1003092930" TargetMode="External"/><Relationship Id="rId1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41604045529" TargetMode="External"/><Relationship Id="rId3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314112809" TargetMode="External"/><Relationship Id="rId5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03230418" TargetMode="External"/><Relationship Id="rId1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24060754" TargetMode="External"/><Relationship Id="rId2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327173144" TargetMode="External"/><Relationship Id="rId4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925030156" TargetMode="External"/><Relationship Id="rId4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926094043" TargetMode="External"/><Relationship Id="rId6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504021654" TargetMode="External"/><Relationship Id="rId3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92504154371" TargetMode="External"/><Relationship Id="rId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610012918" TargetMode="External"/><Relationship Id="rId2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927100746" TargetMode="External"/><Relationship Id="rId5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1208104231" TargetMode="External"/><Relationship Id="rId4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64929" TargetMode="External"/><Relationship Id="rId6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1208052604" TargetMode="External"/><Relationship Id="rId2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41704054756" TargetMode="External"/><Relationship Id="rId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120105545" TargetMode="External"/><Relationship Id="rId1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730155339" TargetMode="External"/><Relationship Id="rId3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1216235235" TargetMode="External"/><Relationship Id="rId5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4015115" TargetMode="External"/><Relationship Id="rId2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003090038" TargetMode="External"/><Relationship Id="rId4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70629" TargetMode="External"/><Relationship Id="rId6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124052712" TargetMode="External"/><Relationship Id="rId2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19093933" TargetMode="External"/><Relationship Id="rId5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25101211" TargetMode="External"/><Relationship Id="rId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224122332" TargetMode="External"/><Relationship Id="rId1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20504014850" TargetMode="External"/><Relationship Id="rId3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313063348" TargetMode="External"/><Relationship Id="rId5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1209092911" TargetMode="External"/><Relationship Id="rId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24144410" TargetMode="External"/><Relationship Id="rId2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03164540" TargetMode="External"/><Relationship Id="rId4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1011013542" TargetMode="External"/><Relationship Id="rId6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1029134512" TargetMode="External"/><Relationship Id="rId2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03155043" TargetMode="External"/><Relationship Id="rId3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1208093604" TargetMode="External"/><Relationship Id="rId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15131408" TargetMode="External"/><Relationship Id="rId5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31705" TargetMode="External"/><Relationship Id="rId5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223013703" TargetMode="External"/><Relationship Id="rId1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831123850" TargetMode="External"/><Relationship Id="rId4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43316" TargetMode="External"/><Relationship Id="rId6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620113130" TargetMode="External"/><Relationship Id="rId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118002130" TargetMode="External"/><Relationship Id="rId3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110031330" TargetMode="External"/><Relationship Id="rId5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602073126" TargetMode="External"/><Relationship Id="rId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701140445" TargetMode="External"/><Relationship Id="rId1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31106113056" TargetMode="External"/><Relationship Id="rId3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726021329" TargetMode="External"/><Relationship Id="rId2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27162815" TargetMode="External"/><Relationship Id="rId4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612040411" TargetMode="External"/><Relationship Id="rId6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028121411" TargetMode="External"/><Relationship Id="rId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614041351" TargetMode="External"/><Relationship Id="rId3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2731" TargetMode="External"/><Relationship Id="rId5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601124711" TargetMode="External"/><Relationship Id="rId1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729021247" TargetMode="External"/><Relationship Id="rId3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05105255" TargetMode="External"/><Relationship Id="rId6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624035209" TargetMode="External"/><Relationship Id="rId2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17160444" TargetMode="External"/><Relationship Id="rId4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408143626" TargetMode="External"/><Relationship Id="rId6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0617122329" TargetMode="External"/><Relationship Id="rId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613231343" TargetMode="External"/><Relationship Id="rId3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303094334" TargetMode="External"/><Relationship Id="rId5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09154941" TargetMode="External"/><Relationship Id="rId1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225110746" TargetMode="External"/><Relationship Id="rId1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929004715" TargetMode="External"/><Relationship Id="rId4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711141709" TargetMode="External"/><Relationship Id="rId3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20404013312" TargetMode="External"/><Relationship Id="rId6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11003915" TargetMode="External"/><Relationship Id="rId2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320114603" TargetMode="External"/><Relationship Id="rId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627170535" TargetMode="External"/><Relationship Id="rId1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516125905" TargetMode="External"/><Relationship Id="rId5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12144617" TargetMode="External"/><Relationship Id="rId1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117152124" TargetMode="External"/><Relationship Id="rId4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1016025958" TargetMode="External"/><Relationship Id="rId6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511045315" TargetMode="External"/><Relationship Id="rId2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310061901" TargetMode="External"/><Relationship Id="rId4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601111851" TargetMode="External"/><Relationship Id="rId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3225022" TargetMode="External"/><Relationship Id="rId1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70304122181" TargetMode="External"/><Relationship Id="rId3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4003" TargetMode="External"/><Relationship Id="rId5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10704155577" TargetMode="External"/><Relationship Id="rId4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21648" TargetMode="External"/><Relationship Id="rId6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4234907" TargetMode="External"/><Relationship Id="rId2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112153828" TargetMode="External"/><Relationship Id="rId4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408133424" TargetMode="External"/><Relationship Id="rId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131064800" TargetMode="External"/><Relationship Id="rId1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506021835" TargetMode="External"/><Relationship Id="rId5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125151017" TargetMode="External"/><Relationship Id="rId3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119044648" TargetMode="External"/><Relationship Id="rId4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21172722" TargetMode="External"/><Relationship Id="rId6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1003015622" TargetMode="External"/><Relationship Id="rId2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25122639" TargetMode="External"/><Relationship Id="rId2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202123248" TargetMode="External"/><Relationship Id="rId5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215133410" TargetMode="External"/><Relationship Id="rId4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219015834" TargetMode="External"/><Relationship Id="rId1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313081416" TargetMode="External"/><Relationship Id="rId3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419093703" TargetMode="External"/><Relationship Id="rId2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1507" TargetMode="External"/><Relationship Id="rId6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319153918" TargetMode="External"/><Relationship Id="rId2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19010156" TargetMode="External"/><Relationship Id="rId5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007152105" TargetMode="External"/><Relationship Id="rId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3230557" TargetMode="External"/><Relationship Id="rId1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530174423" TargetMode="External"/><Relationship Id="rId1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1107105300" TargetMode="External"/><Relationship Id="rId3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27031225" TargetMode="External"/><Relationship Id="rId3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00104011656" TargetMode="External"/><Relationship Id="rId4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213114605" TargetMode="External"/><Relationship Id="rId5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420040819" TargetMode="External"/><Relationship Id="rId6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225083452" TargetMode="External"/><Relationship Id="rId2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09092038" TargetMode="External"/><Relationship Id="rId4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21103016" TargetMode="External"/><Relationship Id="rId6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922151704" TargetMode="External"/><Relationship Id="rId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44525" TargetMode="External"/><Relationship Id="rId2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720153116" TargetMode="External"/><Relationship Id="rId4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219135356" TargetMode="External"/><Relationship Id="rId5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131160415" TargetMode="External"/><Relationship Id="rId1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06145712" TargetMode="External"/><Relationship Id="rId1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401025822" TargetMode="External"/><Relationship Id="rId3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115033644" TargetMode="External"/><Relationship Id="rId3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603012313" TargetMode="External"/><Relationship Id="rId5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61215155417" TargetMode="External"/><Relationship Id="rId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528174543" TargetMode="External"/><Relationship Id="rId2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20101248" TargetMode="External"/><Relationship Id="rId6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5000022" TargetMode="External"/><Relationship Id="rId6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1208171853" TargetMode="External"/><Relationship Id="rId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816160933" TargetMode="External"/><Relationship Id="rId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31128" TargetMode="External"/><Relationship Id="rId2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915153516" TargetMode="External"/><Relationship Id="rId4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708155130" TargetMode="External"/><Relationship Id="rId4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2042" TargetMode="External"/><Relationship Id="rId5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423032952" TargetMode="External"/><Relationship Id="rId6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31006180602" TargetMode="External"/><Relationship Id="rId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425160912" TargetMode="External"/><Relationship Id="rId1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212152400" TargetMode="External"/><Relationship Id="rId1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410080151" TargetMode="External"/><Relationship Id="rId3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922154842" TargetMode="External"/><Relationship Id="rId3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925154914" TargetMode="External"/><Relationship Id="rId5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119020542" TargetMode="External"/><Relationship Id="rId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403060859" TargetMode="External"/><Relationship Id="rId2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26132201" TargetMode="External"/><Relationship Id="rId3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430095947" TargetMode="External"/><Relationship Id="rId5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315141123" TargetMode="External"/><Relationship Id="rId6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2004413" TargetMode="External"/><Relationship Id="rId6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3208" TargetMode="External"/><Relationship Id="rId2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527101146" TargetMode="External"/><Relationship Id="rId2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100304224842" TargetMode="External"/><Relationship Id="rId4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71432_20110107145742" TargetMode="External"/><Relationship Id="rId4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34019" TargetMode="External"/><Relationship Id="rId4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506012956" TargetMode="External"/><Relationship Id="rId5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209145149" TargetMode="External"/><Relationship Id="rId1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208152138" TargetMode="External"/><Relationship Id="rId1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228041555" TargetMode="External"/><Relationship Id="rId3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204135909" TargetMode="External"/><Relationship Id="rId3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329154325" TargetMode="External"/><Relationship Id="rId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31015142205" TargetMode="External"/><Relationship Id="rId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113042400" TargetMode="External"/><Relationship Id="rId1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02011310" TargetMode="External"/><Relationship Id="rId3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128015413" TargetMode="External"/><Relationship Id="rId5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611085547" TargetMode="External"/><Relationship Id="rId6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14230643" TargetMode="External"/><Relationship Id="rId6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216153734" TargetMode="External"/><Relationship Id="rId2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2452" TargetMode="External"/><Relationship Id="rId2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724073742" TargetMode="External"/><Relationship Id="rId2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501165350" TargetMode="External"/><Relationship Id="rId4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408101945" TargetMode="External"/><Relationship Id="rId4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029142608" TargetMode="External"/><Relationship Id="rId5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31105150158" TargetMode="External"/><Relationship Id="rId6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922152735" TargetMode="External"/><Relationship Id="rId1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211152537" TargetMode="External"/><Relationship Id="rId1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927153442" TargetMode="External"/><Relationship Id="rId3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622090407" TargetMode="External"/><Relationship Id="rId5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60414143410" TargetMode="External"/><Relationship Id="rId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15550" TargetMode="External"/><Relationship Id="rId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23101407" TargetMode="External"/><Relationship Id="rId3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941" TargetMode="External"/><Relationship Id="rId5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218022257" TargetMode="External"/><Relationship Id="rId6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24050009" TargetMode="External"/><Relationship Id="rId2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21033846" TargetMode="External"/><Relationship Id="rId2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407114748" TargetMode="External"/><Relationship Id="rId4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73500" TargetMode="External"/><Relationship Id="rId4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1018110252" TargetMode="External"/><Relationship Id="rId1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423141904" TargetMode="External"/><Relationship Id="rId6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1110232451" TargetMode="External"/><Relationship Id="rId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35035" TargetMode="External"/><Relationship Id="rId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725160239" TargetMode="External"/><Relationship Id="rId1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20052738" TargetMode="External"/><Relationship Id="rId3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216031343" TargetMode="External"/><Relationship Id="rId3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1223032048" TargetMode="External"/><Relationship Id="rId5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1214161415" TargetMode="External"/><Relationship Id="rId5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329175456" TargetMode="External"/><Relationship Id="rId6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5234011" TargetMode="External"/><Relationship Id="rId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506030724" TargetMode="External"/><Relationship Id="rId1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100125112515" TargetMode="External"/><Relationship Id="rId2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125160554" TargetMode="External"/><Relationship Id="rId2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124140653" TargetMode="External"/><Relationship Id="rId4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630014245" TargetMode="External"/><Relationship Id="rId4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80704035552" TargetMode="External"/><Relationship Id="rId6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4927" TargetMode="External"/><Relationship Id="rId3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518120941" TargetMode="External"/><Relationship Id="rId4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24070317" TargetMode="External"/><Relationship Id="rId6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13104014262" TargetMode="External"/><Relationship Id="rId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19101541" TargetMode="External"/><Relationship Id="rId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21161719" TargetMode="External"/><Relationship Id="rId1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41604045531" TargetMode="External"/><Relationship Id="rId3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517152015" TargetMode="External"/><Relationship Id="rId3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0713153659" TargetMode="External"/><Relationship Id="rId5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11202" TargetMode="External"/><Relationship Id="rId5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15102851" TargetMode="External"/><Relationship Id="rId5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82304130138" TargetMode="External"/><Relationship Id="rId6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2003712" TargetMode="External"/><Relationship Id="rId1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808074215" TargetMode="External"/><Relationship Id="rId2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007041526" TargetMode="External"/><Relationship Id="rId2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617112846" TargetMode="External"/><Relationship Id="rId4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203021325" TargetMode="External"/><Relationship Id="rId1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222102449" TargetMode="External"/><Relationship Id="rId2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610105408" TargetMode="External"/><Relationship Id="rId4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50550" TargetMode="External"/><Relationship Id="rId4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004170600" TargetMode="External"/><Relationship Id="rId6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925142526" TargetMode="External"/><Relationship Id="rId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1118233257" TargetMode="External"/><Relationship Id="rId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610012534" TargetMode="External"/><Relationship Id="rId1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601150518" TargetMode="External"/><Relationship Id="rId3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1004110033" TargetMode="External"/><Relationship Id="rId3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92504154270" TargetMode="External"/><Relationship Id="rId3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231050226" TargetMode="External"/><Relationship Id="rId5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940" TargetMode="External"/><Relationship Id="rId5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823112351" TargetMode="External"/><Relationship Id="rId6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402000849" TargetMode="External"/><Relationship Id="rId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905095659" TargetMode="External"/><Relationship Id="rId1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813093659" TargetMode="External"/><Relationship Id="rId2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3439" TargetMode="External"/><Relationship Id="rId4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14013" TargetMode="External"/><Relationship Id="rId2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60308131607" TargetMode="External"/><Relationship Id="rId4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828143825" TargetMode="External"/><Relationship Id="rId6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20062026" TargetMode="External"/><Relationship Id="rId6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22145526" TargetMode="External"/><Relationship Id="rId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35258" TargetMode="External"/><Relationship Id="rId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213034035" TargetMode="External"/><Relationship Id="rId1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308162537" TargetMode="External"/><Relationship Id="rId3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0339" TargetMode="External"/><Relationship Id="rId3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636" TargetMode="External"/><Relationship Id="rId5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17070120" TargetMode="External"/><Relationship Id="rId5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925002614" TargetMode="External"/><Relationship Id="rId1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729052855" TargetMode="External"/><Relationship Id="rId2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1031020456" TargetMode="External"/><Relationship Id="rId2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506102902" TargetMode="External"/><Relationship Id="rId4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71327" TargetMode="External"/><Relationship Id="rId4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603105247" TargetMode="External"/><Relationship Id="rId6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305050231" TargetMode="External"/><Relationship Id="rId6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0617121357" TargetMode="External"/><Relationship Id="rId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33240" TargetMode="External"/><Relationship Id="rId1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1026021126" TargetMode="External"/><Relationship Id="rId2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1207111247" TargetMode="External"/><Relationship Id="rId3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31052353" TargetMode="External"/><Relationship Id="rId5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315134241" TargetMode="External"/><Relationship Id="rId5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423035107" TargetMode="External"/><Relationship Id="rId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112155612" TargetMode="External"/><Relationship Id="rId1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31904081256" TargetMode="External"/><Relationship Id="rId1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80110162550" TargetMode="External"/><Relationship Id="rId3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17023819" TargetMode="External"/><Relationship Id="rId4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017131514" TargetMode="External"/><Relationship Id="rId5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209135800" TargetMode="External"/><Relationship Id="rId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24141340" TargetMode="External"/><Relationship Id="rId2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224181759" TargetMode="External"/><Relationship Id="rId4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21104124741" TargetMode="External"/><Relationship Id="rId4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838" TargetMode="External"/><Relationship Id="rId6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21051936" TargetMode="External"/><Relationship Id="rId6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20160950" TargetMode="External"/><Relationship Id="rId6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516144049" TargetMode="External"/><Relationship Id="rId2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303100543" TargetMode="External"/><Relationship Id="rId3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501164125" TargetMode="External"/><Relationship Id="rId3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310053054" TargetMode="External"/><Relationship Id="rId5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12618" TargetMode="External"/><Relationship Id="rId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823132146" TargetMode="External"/><Relationship Id="rId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28135707" TargetMode="External"/><Relationship Id="rId1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70712233781" TargetMode="External"/><Relationship Id="rId3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806112337" TargetMode="External"/><Relationship Id="rId5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02221813" TargetMode="External"/><Relationship Id="rId5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90408375" TargetMode="External"/><Relationship Id="rId1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617025512" TargetMode="External"/><Relationship Id="rId2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60421124347" TargetMode="External"/><Relationship Id="rId2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108165614" TargetMode="External"/><Relationship Id="rId4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0051726" TargetMode="External"/><Relationship Id="rId4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41542" TargetMode="External"/><Relationship Id="rId4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926094501" TargetMode="External"/><Relationship Id="rId6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7002432" TargetMode="External"/><Relationship Id="rId6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118090451" TargetMode="External"/><Relationship Id="rId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118001701" TargetMode="External"/><Relationship Id="rId1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308162244" TargetMode="External"/><Relationship Id="rId2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16132427" TargetMode="External"/><Relationship Id="rId3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10211003604" TargetMode="External"/><Relationship Id="rId5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21152947" TargetMode="External"/><Relationship Id="rId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1107154743" TargetMode="External"/><Relationship Id="rId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29070440" TargetMode="External"/><Relationship Id="rId1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20604040383" TargetMode="External"/><Relationship Id="rId3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1504172878" TargetMode="External"/><Relationship Id="rId5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810163521" TargetMode="External"/><Relationship Id="rId1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210113026" TargetMode="External"/><Relationship Id="rId2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3111000" TargetMode="External"/><Relationship Id="rId4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21095239" TargetMode="External"/><Relationship Id="rId4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731101754" TargetMode="External"/><Relationship Id="rId6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24045719" TargetMode="External"/><Relationship Id="rId2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60404014229" TargetMode="External"/><Relationship Id="rId6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712132949" TargetMode="External"/><Relationship Id="rId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51815" TargetMode="External"/><Relationship Id="rId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04160239" TargetMode="External"/><Relationship Id="rId1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1026020742" TargetMode="External"/><Relationship Id="rId3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1650" TargetMode="External"/><Relationship Id="rId3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001023652" TargetMode="External"/><Relationship Id="rId5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412045019" TargetMode="External"/><Relationship Id="rId5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210040015" TargetMode="External"/><Relationship Id="rId1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729015808" TargetMode="External"/><Relationship Id="rId2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26180403" TargetMode="External"/><Relationship Id="rId3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504154816" TargetMode="External"/><Relationship Id="rId4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75347" TargetMode="External"/><Relationship Id="rId60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522051715" TargetMode="External"/><Relationship Id="rId6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618010644" TargetMode="External"/><Relationship Id="rId2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701115751" TargetMode="External"/><Relationship Id="rId4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621140533" TargetMode="External"/><Relationship Id="rId6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0014910" TargetMode="External"/><Relationship Id="rId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613232003" TargetMode="External"/><Relationship Id="rId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210223820" TargetMode="External"/><Relationship Id="rId1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324112213" TargetMode="External"/><Relationship Id="rId2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19094322" TargetMode="External"/><Relationship Id="rId3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212035115" TargetMode="External"/><Relationship Id="rId5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31118183611" TargetMode="External"/><Relationship Id="rId5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822120446" TargetMode="External"/><Relationship Id="rId5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1208140716" TargetMode="External"/><Relationship Id="rId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106142038" TargetMode="External"/><Relationship Id="rId1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422000634" TargetMode="External"/><Relationship Id="rId1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925045403" TargetMode="External"/><Relationship Id="rId3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1404055825" TargetMode="External"/><Relationship Id="rId4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126130759" TargetMode="External"/><Relationship Id="rId4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315134438" TargetMode="External"/><Relationship Id="rId6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118025738" TargetMode="External"/><Relationship Id="rId2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525054532" TargetMode="External"/><Relationship Id="rId4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211112633" TargetMode="External"/><Relationship Id="rId6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5938" TargetMode="External"/><Relationship Id="rId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207110119" TargetMode="External"/><Relationship Id="rId2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17081312" TargetMode="External"/><Relationship Id="rId3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711094011" TargetMode="External"/><Relationship Id="rId3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510172009" TargetMode="External"/><Relationship Id="rId5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33742" TargetMode="External"/><Relationship Id="rId5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430111244" TargetMode="External"/><Relationship Id="rId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06012020" TargetMode="External"/><Relationship Id="rId1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615160951" TargetMode="External"/><Relationship Id="rId1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812112417" TargetMode="External"/><Relationship Id="rId1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80110161618" TargetMode="External"/><Relationship Id="rId2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413083243" TargetMode="External"/><Relationship Id="rId3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2004071312" TargetMode="External"/><Relationship Id="rId4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0052051" TargetMode="External"/><Relationship Id="rId59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10208023011" TargetMode="External"/><Relationship Id="rId2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41604045530" TargetMode="External"/><Relationship Id="rId4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44803" TargetMode="External"/><Relationship Id="rId6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511043743" TargetMode="External"/><Relationship Id="rId6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1110153307" TargetMode="External"/><Relationship Id="rId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908141016" TargetMode="External"/><Relationship Id="rId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32604015249" TargetMode="External"/><Relationship Id="rId2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16131625" TargetMode="External"/><Relationship Id="rId3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123014113" TargetMode="External"/><Relationship Id="rId5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526022420" TargetMode="External"/><Relationship Id="rId5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408130211" TargetMode="External"/><Relationship Id="rId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502171027" TargetMode="External"/><Relationship Id="rId1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905112312" TargetMode="External"/><Relationship Id="rId1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216215720" TargetMode="External"/><Relationship Id="rId3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715042949" TargetMode="External"/><Relationship Id="rId4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05638" TargetMode="External"/><Relationship Id="rId4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815144046" TargetMode="External"/><Relationship Id="rId6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5001815" TargetMode="External"/><Relationship Id="rId6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028121837" TargetMode="External"/><Relationship Id="rId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43631" TargetMode="External"/><Relationship Id="rId2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914163720" TargetMode="External"/><Relationship Id="rId2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824153517" TargetMode="External"/><Relationship Id="rId3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3219" TargetMode="External"/><Relationship Id="rId4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0506094548" TargetMode="External"/><Relationship Id="rId5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811153547" TargetMode="External"/><Relationship Id="rId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131065838" TargetMode="External"/><Relationship Id="rId1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506014958" TargetMode="External"/><Relationship Id="rId1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805044034" TargetMode="External"/><Relationship Id="rId3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119044319" TargetMode="External"/><Relationship Id="rId5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524154340" TargetMode="External"/><Relationship Id="rId2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618005435" TargetMode="External"/><Relationship Id="rId3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03153524" TargetMode="External"/><Relationship Id="rId4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80834" TargetMode="External"/><Relationship Id="rId6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27115111" TargetMode="External"/><Relationship Id="rId6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4514" TargetMode="External"/><Relationship Id="rId6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31007171957" TargetMode="External"/><Relationship Id="rId2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430143627" TargetMode="External"/><Relationship Id="rId2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1227114719" TargetMode="External"/><Relationship Id="rId4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101040327" TargetMode="External"/><Relationship Id="rId5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302142717" TargetMode="External"/><Relationship Id="rId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320121918" TargetMode="External"/><Relationship Id="rId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2144" TargetMode="External"/><Relationship Id="rId1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928112248" TargetMode="External"/><Relationship Id="rId1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410142250" TargetMode="External"/><Relationship Id="rId5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10607_20070125144646" TargetMode="External"/><Relationship Id="rId5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106121336" TargetMode="External"/><Relationship Id="rId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23030436" TargetMode="External"/><Relationship Id="rId1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114021722" TargetMode="External"/><Relationship Id="rId3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415130550" TargetMode="External"/><Relationship Id="rId3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140421386" TargetMode="External"/><Relationship Id="rId4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10124030142" TargetMode="External"/><Relationship Id="rId4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906024351" TargetMode="External"/><Relationship Id="rId6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11005625" TargetMode="External"/><Relationship Id="rId6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319152143" TargetMode="External"/><Relationship Id="rId2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0451" TargetMode="External"/><Relationship Id="rId2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317120526" TargetMode="External"/><Relationship Id="rId2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514051714" TargetMode="External"/><Relationship Id="rId3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531114319" TargetMode="External"/><Relationship Id="rId4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50943" TargetMode="External"/><Relationship Id="rId5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428102605" TargetMode="External"/><Relationship Id="rId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07073927" TargetMode="External"/><Relationship Id="rId1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308161822" TargetMode="External"/><Relationship Id="rId3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202021744" TargetMode="External"/><Relationship Id="rId5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12143123" TargetMode="External"/><Relationship Id="rId1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327155222" TargetMode="External"/><Relationship Id="rId1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912142606" TargetMode="External"/><Relationship Id="rId3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22404053764" TargetMode="External"/><Relationship Id="rId4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0307074212" TargetMode="External"/><Relationship Id="rId62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24045357" TargetMode="External"/><Relationship Id="rId2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3004422014" TargetMode="External"/><Relationship Id="rId2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807101930" TargetMode="External"/><Relationship Id="rId4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227102640" TargetMode="External"/><Relationship Id="rId6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629095510" TargetMode="External"/><Relationship Id="rId1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613233814" TargetMode="External"/><Relationship Id="rId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3225852" TargetMode="External"/><Relationship Id="rId1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737" TargetMode="External"/><Relationship Id="rId5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30103638" TargetMode="External"/><Relationship Id="rId5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61304435133" TargetMode="External"/><Relationship Id="rId7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922162924" TargetMode="External"/><Relationship Id="rId1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621043936" TargetMode="External"/><Relationship Id="rId3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115033218" TargetMode="External"/><Relationship Id="rId3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302045653" TargetMode="External"/><Relationship Id="rId4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73640" TargetMode="External"/><Relationship Id="rId5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919075328" TargetMode="External"/><Relationship Id="rId63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4235500" TargetMode="External"/><Relationship Id="rId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223042042" TargetMode="External"/><Relationship Id="rId2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418164958" TargetMode="External"/><Relationship Id="rId4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09486_20040813140427" TargetMode="External"/><Relationship Id="rId6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1220170533" TargetMode="External"/><Relationship Id="rId2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301225441" TargetMode="External"/><Relationship Id="rId2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915154644" TargetMode="External"/><Relationship Id="rId3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525235142" TargetMode="External"/><Relationship Id="rId4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2904095878" TargetMode="External"/><Relationship Id="rId5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203224754" TargetMode="External"/><Relationship Id="rId8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607233652" TargetMode="External"/><Relationship Id="rId1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212153916" TargetMode="External"/><Relationship Id="rId1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10044808" TargetMode="External"/><Relationship Id="rId3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21122240" TargetMode="External"/><Relationship Id="rId3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60315155628" TargetMode="External"/><Relationship Id="rId5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210140819" TargetMode="External"/><Relationship Id="rId60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921022356" TargetMode="External"/><Relationship Id="rId2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25113648" TargetMode="External"/><Relationship Id="rId2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202140410" TargetMode="External"/><Relationship Id="rId64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2836" TargetMode="External"/><Relationship Id="rId6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0915020737" TargetMode="External"/><Relationship Id="rId3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113113133" TargetMode="External"/><Relationship Id="rId2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201115216" TargetMode="External"/><Relationship Id="rId4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32615" TargetMode="External"/><Relationship Id="rId4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015021023" TargetMode="External"/><Relationship Id="rId5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30144850" TargetMode="External"/><Relationship Id="rId5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128151542" TargetMode="External"/><Relationship Id="rId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41215114257" TargetMode="External"/><Relationship Id="rId1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09084722" TargetMode="External"/><Relationship Id="rId1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07070115" TargetMode="External"/><Relationship Id="rId1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031033158" TargetMode="External"/><Relationship Id="rId3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202155809" TargetMode="External"/><Relationship Id="rId3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228085912" TargetMode="External"/><Relationship Id="rId3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611023851" TargetMode="External"/><Relationship Id="rId4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71432_20110107144941" TargetMode="External"/><Relationship Id="rId5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604150956" TargetMode="External"/><Relationship Id="rId9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603020745" TargetMode="External"/><Relationship Id="rId2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2009" TargetMode="External"/><Relationship Id="rId4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913150309" TargetMode="External"/><Relationship Id="rId6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20060951" TargetMode="External"/><Relationship Id="rId65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05095054" TargetMode="External"/><Relationship Id="rId2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317143348" TargetMode="External"/><Relationship Id="rId2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501163225" TargetMode="External"/><Relationship Id="rId4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229144206" TargetMode="External"/><Relationship Id="rId5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3100829" TargetMode="External"/><Relationship Id="rId1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514153218" TargetMode="External"/><Relationship Id="rId1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530175058" TargetMode="External"/><Relationship Id="rId3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727022041" TargetMode="External"/><Relationship Id="rId3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71004093971" TargetMode="External"/><Relationship Id="rId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23095154" TargetMode="External"/><Relationship Id="rId1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926102729" TargetMode="External"/><Relationship Id="rId57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308013828" TargetMode="External"/><Relationship Id="rId6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225083138" TargetMode="External"/><Relationship Id="rId66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922152236" TargetMode="External"/><Relationship Id="rId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34120" TargetMode="External"/><Relationship Id="rId22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421140105" TargetMode="External"/><Relationship Id="rId2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1017165053" TargetMode="External"/><Relationship Id="rId43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21115512" TargetMode="External"/><Relationship Id="rId4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216133230" TargetMode="External"/><Relationship Id="rId52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15165938" TargetMode="External"/><Relationship Id="rId6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802145335" TargetMode="External"/><Relationship Id="rId3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32010" TargetMode="External"/><Relationship Id="rId1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417141830" TargetMode="External"/><Relationship Id="rId16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401030052" TargetMode="External"/><Relationship Id="rId3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216030848" TargetMode="External"/><Relationship Id="rId5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213144450" TargetMode="External"/><Relationship Id="rId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529120549" TargetMode="External"/><Relationship Id="rId37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603013132" TargetMode="External"/><Relationship Id="rId58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831113954" TargetMode="External"/><Relationship Id="rId6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716002007" TargetMode="External"/><Relationship Id="rId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816162336" TargetMode="External"/><Relationship Id="rId23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206172233" TargetMode="External"/><Relationship Id="rId2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124135816" TargetMode="External"/><Relationship Id="rId4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820062223" TargetMode="External"/><Relationship Id="rId44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70304043562" TargetMode="External"/><Relationship Id="rId4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13034311" TargetMode="External"/><Relationship Id="rId1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330125654" TargetMode="External"/><Relationship Id="rId30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439_20070814143048" TargetMode="External"/><Relationship Id="rId3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16125425" TargetMode="External"/><Relationship Id="rId6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30825145250" TargetMode="External"/><Relationship Id="rId4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525173334" TargetMode="External"/><Relationship Id="rId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1028005021" TargetMode="External"/><Relationship Id="rId17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424011143" TargetMode="External"/><Relationship Id="rId38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331114143" TargetMode="External"/><Relationship Id="rId5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15101958" TargetMode="External"/><Relationship Id="rId59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80704035551" TargetMode="External"/><Relationship Id="rId60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10302004806" TargetMode="External"/><Relationship Id="rId6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4131" TargetMode="External"/><Relationship Id="rId1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031034022" TargetMode="External"/><Relationship Id="rId2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007040135" TargetMode="External"/><Relationship Id="rId24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114133130" TargetMode="External"/><Relationship Id="rId2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100304224741" TargetMode="External"/><Relationship Id="rId4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111020025" TargetMode="External"/><Relationship Id="rId45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35137" TargetMode="External"/><Relationship Id="rId5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34721" TargetMode="External"/><Relationship Id="rId66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627112912" TargetMode="External"/><Relationship Id="rId10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914155220" TargetMode="External"/><Relationship Id="rId31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82304104390" TargetMode="External"/><Relationship Id="rId4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1001104026" TargetMode="External"/><Relationship Id="rId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1223124725" TargetMode="External"/><Relationship Id="rId5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20104012585" TargetMode="External"/><Relationship Id="rId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120103558" TargetMode="External"/><Relationship Id="rId1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831121713" TargetMode="External"/><Relationship Id="rId3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212124746" TargetMode="External"/><Relationship Id="rId39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19042958" TargetMode="External"/><Relationship Id="rId52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70104022941" TargetMode="External"/><Relationship Id="rId5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218150959" TargetMode="External"/><Relationship Id="rId61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54737" TargetMode="External"/><Relationship Id="rId2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52939" TargetMode="External"/><Relationship Id="rId25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60308133035" TargetMode="External"/><Relationship Id="rId4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18103903" TargetMode="External"/><Relationship Id="rId46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1113155915" TargetMode="External"/><Relationship Id="rId2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80501161827" TargetMode="External"/><Relationship Id="rId6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223102224" TargetMode="External"/><Relationship Id="rId1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225132439" TargetMode="External"/><Relationship Id="rId3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2043" TargetMode="External"/><Relationship Id="rId5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12010821" TargetMode="External"/><Relationship Id="rId2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109145022" TargetMode="External"/><Relationship Id="rId4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71846" TargetMode="External"/><Relationship Id="rId64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1003014840" TargetMode="External"/><Relationship Id="rId7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608144102" TargetMode="External"/><Relationship Id="rId3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422020734" TargetMode="External"/><Relationship Id="rId5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025031236" TargetMode="External"/><Relationship Id="rId5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80416114052" TargetMode="External"/><Relationship Id="rId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10302010438" TargetMode="External"/><Relationship Id="rId2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1129142536" TargetMode="External"/><Relationship Id="rId4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804102360" TargetMode="External"/><Relationship Id="rId65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214195336" TargetMode="External"/><Relationship Id="rId2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1006102054" TargetMode="External"/><Relationship Id="rId3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725175352" TargetMode="External"/><Relationship Id="rId3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806112048" TargetMode="External"/><Relationship Id="rId5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1118112002" TargetMode="External"/><Relationship Id="rId60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19044634" TargetMode="External"/><Relationship Id="rId8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311140208" TargetMode="External"/><Relationship Id="rId1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70712233780" TargetMode="External"/><Relationship Id="rId59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80904120472" TargetMode="External"/><Relationship Id="rId2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1009141319" TargetMode="External"/><Relationship Id="rId4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51544" TargetMode="External"/><Relationship Id="rId66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814123133" TargetMode="External"/><Relationship Id="rId1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118000351" TargetMode="External"/><Relationship Id="rId1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60308161522" TargetMode="External"/><Relationship Id="rId3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10223031520" TargetMode="External"/><Relationship Id="rId5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305111323" TargetMode="External"/><Relationship Id="rId9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603114843" TargetMode="External"/><Relationship Id="rId1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223093007" TargetMode="External"/><Relationship Id="rId3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925005405" TargetMode="External"/><Relationship Id="rId2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0311132659" TargetMode="External"/><Relationship Id="rId4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731100549" TargetMode="External"/><Relationship Id="rId67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16135914" TargetMode="External"/><Relationship Id="rId2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1151048" TargetMode="External"/><Relationship Id="rId1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1404055724" TargetMode="External"/><Relationship Id="rId3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31030940" TargetMode="External"/><Relationship Id="rId5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17070659" TargetMode="External"/><Relationship Id="rId1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729021825" TargetMode="External"/><Relationship Id="rId4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41015133407" TargetMode="External"/><Relationship Id="rId60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109025742" TargetMode="External"/><Relationship Id="rId68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40617122020" TargetMode="External"/><Relationship Id="rId3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623045909" TargetMode="External"/><Relationship Id="rId3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34024" TargetMode="External"/><Relationship Id="rId5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518232811" TargetMode="External"/><Relationship Id="rId1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302011615" TargetMode="External"/><Relationship Id="rId3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42404092230" TargetMode="External"/><Relationship Id="rId4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125150126" TargetMode="External"/><Relationship Id="rId61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503033831" TargetMode="External"/><Relationship Id="rId2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01112335" TargetMode="External"/><Relationship Id="rId4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404111839" TargetMode="External"/><Relationship Id="rId4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1024174154" TargetMode="External"/><Relationship Id="rId1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0109132946" TargetMode="External"/><Relationship Id="rId3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61117141000" TargetMode="External"/><Relationship Id="rId5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1110000521" TargetMode="External"/><Relationship Id="rId1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1218042614" TargetMode="External"/><Relationship Id="rId2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1025140240" TargetMode="External"/><Relationship Id="rId4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0051310" TargetMode="External"/><Relationship Id="rId62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511041826" TargetMode="External"/><Relationship Id="rId2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616132122" TargetMode="External"/><Relationship Id="rId4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1025030940" TargetMode="External"/><Relationship Id="rId5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61107155201" TargetMode="External"/><Relationship Id="rId3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1504172879" TargetMode="External"/><Relationship Id="rId5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422140349" TargetMode="External"/><Relationship Id="rId1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12104074481" TargetMode="External"/><Relationship Id="rId2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3111334" TargetMode="External"/><Relationship Id="rId4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50321115146" TargetMode="External"/><Relationship Id="rId63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90115000909" TargetMode="External"/><Relationship Id="rId6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04161959" TargetMode="External"/><Relationship Id="rId2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507123118" TargetMode="External"/><Relationship Id="rId5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0325010913" TargetMode="External"/><Relationship Id="rId1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528034140" TargetMode="External"/><Relationship Id="rId4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12742_20041214180118" TargetMode="External"/><Relationship Id="rId64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080618012605" TargetMode="External"/><Relationship Id="rId2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60821094209" TargetMode="External"/><Relationship Id="rId4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10221030847" TargetMode="External"/><Relationship Id="rId5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302142151" TargetMode="External"/><Relationship Id="rId7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2004071310" TargetMode="External"/><Relationship Id="rId1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121161127" TargetMode="External"/><Relationship Id="rId3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602113106" TargetMode="External"/><Relationship Id="rId5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1025112809" TargetMode="External"/><Relationship Id="rId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113160315" TargetMode="External"/><Relationship Id="rId2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9103611" TargetMode="External"/><Relationship Id="rId4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906022835" TargetMode="External"/><Relationship Id="rId65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810165735" TargetMode="External"/><Relationship Id="rId2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608061928" TargetMode="External"/><Relationship Id="rId3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523172856" TargetMode="External"/><Relationship Id="rId5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80430024944" TargetMode="External"/><Relationship Id="rId8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6142011" TargetMode="External"/><Relationship Id="rId1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325140942" TargetMode="External"/><Relationship Id="rId3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305200407139" TargetMode="External"/><Relationship Id="rId59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10207020842" TargetMode="External"/><Relationship Id="rId4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225153806" TargetMode="External"/><Relationship Id="rId66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802140944" TargetMode="External"/><Relationship Id="rId1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10106112606" TargetMode="External"/><Relationship Id="rId22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05090408376" TargetMode="External"/><Relationship Id="rId31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230025306" TargetMode="External"/><Relationship Id="rId52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525134027" TargetMode="External"/><Relationship Id="rId16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00715011238" TargetMode="External"/><Relationship Id="rId37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310011851" TargetMode="External"/><Relationship Id="rId67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1221040748" TargetMode="External"/><Relationship Id="rId232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70514141700" TargetMode="External"/><Relationship Id="rId2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301224514" TargetMode="External"/><Relationship Id="rId53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811154554" TargetMode="External"/><Relationship Id="rId8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918025408" TargetMode="External"/><Relationship Id="rId176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090710044448" TargetMode="External"/><Relationship Id="rId38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403153904" TargetMode="External"/><Relationship Id="rId59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160016_20050106121645" TargetMode="External"/><Relationship Id="rId60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10117051612" TargetMode="External"/><Relationship Id="rId24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4946_02101604302235" TargetMode="External"/><Relationship Id="rId45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100709114116" TargetMode="External"/><Relationship Id="rId68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31007172226" TargetMode="External"/><Relationship Id="rId3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100420000430" TargetMode="External"/><Relationship Id="rId103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70720171407" TargetMode="External"/><Relationship Id="rId310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1823_20050414162346" TargetMode="External"/><Relationship Id="rId54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12009_20050225112157" TargetMode="External"/><Relationship Id="rId9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90204142504" TargetMode="External"/><Relationship Id="rId187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114022113" TargetMode="External"/><Relationship Id="rId39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56161_20101102033457" TargetMode="External"/><Relationship Id="rId408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7_20110124030553" TargetMode="External"/><Relationship Id="rId615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91211011004" TargetMode="External"/><Relationship Id="rId25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20953_20080317140359" TargetMode="External"/><Relationship Id="rId4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70305114931" TargetMode="External"/><Relationship Id="rId114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090341_20050303102938" TargetMode="External"/><Relationship Id="rId461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4955_20100129024313" TargetMode="External"/><Relationship Id="rId559" Type="http://schemas.openxmlformats.org/officeDocument/2006/relationships/hyperlink" Target="http://www-wds.worldbank.org/external/default/main?menuPK=64187510&amp;pagePK=64193027&amp;piPK=64187937&amp;menuPK=64154159&amp;searchMenuPK=64258546&amp;theSitePK=523679&amp;entityID=000333038_20081114010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5"/>
  <sheetViews>
    <sheetView tabSelected="1" zoomScale="80" zoomScaleNormal="80" workbookViewId="0">
      <selection activeCell="B186" sqref="B186"/>
    </sheetView>
  </sheetViews>
  <sheetFormatPr defaultRowHeight="12.75" x14ac:dyDescent="0.2"/>
  <cols>
    <col min="1" max="2" width="18.140625" customWidth="1"/>
    <col min="3" max="4" width="12.42578125" customWidth="1"/>
    <col min="5" max="5" width="104.28515625" customWidth="1"/>
    <col min="6" max="7" width="10.7109375" customWidth="1"/>
    <col min="8" max="8" width="15.140625" customWidth="1"/>
    <col min="9" max="9" width="12.140625" customWidth="1"/>
    <col min="10" max="10" width="10.7109375" customWidth="1"/>
    <col min="11" max="11" width="21.5703125" customWidth="1"/>
    <col min="12" max="12" width="31.5703125" customWidth="1"/>
    <col min="13" max="13" width="10.7109375" customWidth="1"/>
    <col min="14" max="14" width="32.42578125" customWidth="1"/>
    <col min="15" max="15" width="24.42578125" customWidth="1"/>
    <col min="16" max="16" width="10.7109375" customWidth="1"/>
    <col min="17" max="19" width="38.7109375" customWidth="1"/>
    <col min="20" max="20" width="56.140625" customWidth="1"/>
    <col min="21" max="21" width="14.5703125" customWidth="1"/>
    <col min="22" max="22" width="8.42578125" bestFit="1" customWidth="1"/>
  </cols>
  <sheetData>
    <row r="1" spans="1:22" ht="30" x14ac:dyDescent="0.2">
      <c r="A1" s="4" t="s">
        <v>3480</v>
      </c>
      <c r="B1" s="4"/>
      <c r="C1" s="4" t="s">
        <v>3479</v>
      </c>
      <c r="D1" s="4" t="s">
        <v>3478</v>
      </c>
      <c r="E1" s="4" t="s">
        <v>3477</v>
      </c>
      <c r="F1" s="5" t="s">
        <v>3476</v>
      </c>
      <c r="G1" s="4" t="s">
        <v>3475</v>
      </c>
      <c r="H1" s="4" t="s">
        <v>3474</v>
      </c>
      <c r="I1" s="4" t="s">
        <v>3473</v>
      </c>
      <c r="J1" s="5" t="s">
        <v>3472</v>
      </c>
      <c r="K1" s="4" t="s">
        <v>3471</v>
      </c>
      <c r="L1" s="4" t="s">
        <v>3470</v>
      </c>
      <c r="M1" s="4" t="s">
        <v>3469</v>
      </c>
      <c r="N1" s="4" t="s">
        <v>3468</v>
      </c>
      <c r="O1" s="4" t="s">
        <v>3467</v>
      </c>
      <c r="P1" s="4" t="s">
        <v>3466</v>
      </c>
      <c r="Q1" s="4" t="s">
        <v>3465</v>
      </c>
      <c r="R1" s="4" t="s">
        <v>3464</v>
      </c>
      <c r="S1" s="4" t="s">
        <v>3463</v>
      </c>
      <c r="T1" s="4" t="s">
        <v>3462</v>
      </c>
      <c r="U1" s="4" t="s">
        <v>3461</v>
      </c>
      <c r="V1" s="4" t="s">
        <v>3460</v>
      </c>
    </row>
    <row r="2" spans="1:22" ht="60" x14ac:dyDescent="0.25">
      <c r="A2" s="7"/>
      <c r="B2" s="8"/>
      <c r="C2" s="2" t="s">
        <v>395</v>
      </c>
      <c r="D2" s="2" t="s">
        <v>12</v>
      </c>
      <c r="E2" s="1" t="str">
        <f>HYPERLINK("http://www-wds.worldbank.org/external/default/main?menuPK=64187510&amp;pagePK=64193027&amp;piPK=64187937&amp;menuPK=64154159&amp;searchMenuPK=64258546&amp;theSitePK=523679&amp;entityID=000334955_20100223042042","Vulnerable/marginalized peoples planning framework ")</f>
        <v xml:space="preserve">Vulnerable/marginalized peoples planning framework </v>
      </c>
      <c r="F2" s="9">
        <v>40179</v>
      </c>
      <c r="G2" s="2" t="s">
        <v>3459</v>
      </c>
      <c r="H2" s="2" t="s">
        <v>10</v>
      </c>
      <c r="I2" s="2"/>
      <c r="J2" s="3"/>
      <c r="K2" s="2" t="s">
        <v>109</v>
      </c>
      <c r="L2" s="2" t="s">
        <v>3458</v>
      </c>
      <c r="M2" s="2" t="s">
        <v>395</v>
      </c>
      <c r="N2" s="2" t="s">
        <v>3457</v>
      </c>
      <c r="O2" s="2" t="s">
        <v>489</v>
      </c>
      <c r="P2" s="2"/>
      <c r="Q2" s="2" t="s">
        <v>1502</v>
      </c>
      <c r="R2" s="2" t="s">
        <v>186</v>
      </c>
      <c r="S2" s="2" t="s">
        <v>3456</v>
      </c>
      <c r="T2" s="2"/>
      <c r="U2" s="2" t="s">
        <v>1500</v>
      </c>
      <c r="V2" s="2" t="s">
        <v>0</v>
      </c>
    </row>
    <row r="3" spans="1:22" ht="105" x14ac:dyDescent="0.25">
      <c r="A3" s="6"/>
      <c r="B3" s="10"/>
      <c r="C3" s="2" t="s">
        <v>3454</v>
      </c>
      <c r="D3" s="2" t="s">
        <v>398</v>
      </c>
      <c r="E3" s="1" t="str">
        <f>HYPERLINK("http://www-wds.worldbank.org/external/default/main?menuPK=64187510&amp;pagePK=64193027&amp;piPK=64187937&amp;menuPK=64154159&amp;searchMenuPK=64258546&amp;theSitePK=523679&amp;entityID=000011823_20070816160933","Plan para pueblos indigenas en al ambito de la subcuenca del Santa Teresa y zonas aledanas, Region Cusco, Peru ")</f>
        <v xml:space="preserve">Plan para pueblos indigenas en al ambito de la subcuenca del Santa Teresa y zonas aledanas, Region Cusco, Peru </v>
      </c>
      <c r="F3" s="9">
        <v>39089</v>
      </c>
      <c r="G3" s="2" t="s">
        <v>3453</v>
      </c>
      <c r="H3" s="2" t="s">
        <v>10</v>
      </c>
      <c r="I3" s="2"/>
      <c r="J3" s="3"/>
      <c r="K3" s="2" t="s">
        <v>3452</v>
      </c>
      <c r="L3" s="2" t="s">
        <v>3451</v>
      </c>
      <c r="M3" s="2" t="s">
        <v>634</v>
      </c>
      <c r="N3" s="2" t="s">
        <v>3450</v>
      </c>
      <c r="O3" s="2" t="s">
        <v>3449</v>
      </c>
      <c r="P3" s="2"/>
      <c r="Q3" s="2" t="s">
        <v>3455</v>
      </c>
      <c r="R3" s="2" t="s">
        <v>561</v>
      </c>
      <c r="S3" s="2"/>
      <c r="T3" s="2" t="s">
        <v>3447</v>
      </c>
      <c r="U3" s="2" t="s">
        <v>639</v>
      </c>
      <c r="V3" s="2" t="s">
        <v>70</v>
      </c>
    </row>
    <row r="4" spans="1:22" ht="105" x14ac:dyDescent="0.25">
      <c r="A4" s="6"/>
      <c r="B4" s="10"/>
      <c r="C4" s="2" t="s">
        <v>3454</v>
      </c>
      <c r="D4" s="2" t="s">
        <v>398</v>
      </c>
      <c r="E4" s="1" t="str">
        <f>HYPERLINK("http://www-wds.worldbank.org/external/default/main?menuPK=64187510&amp;pagePK=64193027&amp;piPK=64187937&amp;menuPK=64154159&amp;searchMenuPK=64258546&amp;theSitePK=523679&amp;entityID=000011823_20070816162336","Marco legal y organizativo existente en el Ecuador ")</f>
        <v xml:space="preserve">Marco legal y organizativo existente en el Ecuador </v>
      </c>
      <c r="F4" s="9">
        <v>39089</v>
      </c>
      <c r="G4" s="2" t="s">
        <v>3453</v>
      </c>
      <c r="H4" s="2" t="s">
        <v>10</v>
      </c>
      <c r="I4" s="2"/>
      <c r="J4" s="3"/>
      <c r="K4" s="2" t="s">
        <v>3452</v>
      </c>
      <c r="L4" s="2" t="s">
        <v>3451</v>
      </c>
      <c r="M4" s="2" t="s">
        <v>634</v>
      </c>
      <c r="N4" s="2" t="s">
        <v>3450</v>
      </c>
      <c r="O4" s="2" t="s">
        <v>3449</v>
      </c>
      <c r="P4" s="2"/>
      <c r="Q4" s="2" t="s">
        <v>3448</v>
      </c>
      <c r="R4" s="2" t="s">
        <v>561</v>
      </c>
      <c r="S4" s="2"/>
      <c r="T4" s="2" t="s">
        <v>3447</v>
      </c>
      <c r="U4" s="2" t="s">
        <v>639</v>
      </c>
      <c r="V4" s="2" t="s">
        <v>59</v>
      </c>
    </row>
    <row r="5" spans="1:22" ht="105" x14ac:dyDescent="0.25">
      <c r="A5" s="6"/>
      <c r="B5" s="10"/>
      <c r="C5" s="2" t="s">
        <v>3446</v>
      </c>
      <c r="D5" s="2" t="s">
        <v>12</v>
      </c>
      <c r="E5" s="1" t="str">
        <f>HYPERLINK("http://www-wds.worldbank.org/external/default/main?menuPK=64187510&amp;pagePK=64193027&amp;piPK=64187937&amp;menuPK=64154159&amp;searchMenuPK=64258546&amp;theSitePK=523679&amp;entityID=000333037_20090506030724","Angola - Local Development Program Project : indigenous peoples planning framework ")</f>
        <v xml:space="preserve">Angola - Local Development Program Project : indigenous peoples planning framework </v>
      </c>
      <c r="F5" s="9">
        <v>39816</v>
      </c>
      <c r="G5" s="2" t="s">
        <v>3445</v>
      </c>
      <c r="H5" s="2" t="s">
        <v>10</v>
      </c>
      <c r="I5" s="2"/>
      <c r="J5" s="3"/>
      <c r="K5" s="2" t="s">
        <v>2805</v>
      </c>
      <c r="L5" s="2" t="s">
        <v>3444</v>
      </c>
      <c r="M5" s="2" t="s">
        <v>395</v>
      </c>
      <c r="N5" s="2" t="s">
        <v>3443</v>
      </c>
      <c r="O5" s="2" t="s">
        <v>3442</v>
      </c>
      <c r="P5" s="2"/>
      <c r="Q5" s="2" t="s">
        <v>3441</v>
      </c>
      <c r="R5" s="2" t="s">
        <v>3440</v>
      </c>
      <c r="S5" s="2" t="s">
        <v>3439</v>
      </c>
      <c r="T5" s="2"/>
      <c r="U5" s="2" t="s">
        <v>3438</v>
      </c>
      <c r="V5" s="2" t="s">
        <v>0</v>
      </c>
    </row>
    <row r="6" spans="1:22" ht="60" x14ac:dyDescent="0.25">
      <c r="A6" s="11" t="s">
        <v>552</v>
      </c>
      <c r="B6" s="10"/>
      <c r="C6" s="2" t="s">
        <v>3292</v>
      </c>
      <c r="D6" s="2" t="s">
        <v>398</v>
      </c>
      <c r="E6" s="1" t="str">
        <f>HYPERLINK("http://www-wds.worldbank.org/external/default/main?menuPK=64187510&amp;pagePK=64193027&amp;piPK=64187937&amp;menuPK=64154159&amp;searchMenuPK=64258546&amp;theSitePK=523679&amp;entityID=000356161_20110302010438","Marco de planificacion para pueblos indigenas ")</f>
        <v xml:space="preserve">Marco de planificacion para pueblos indigenas </v>
      </c>
      <c r="F6" s="3" t="s">
        <v>3437</v>
      </c>
      <c r="G6" s="2" t="s">
        <v>3390</v>
      </c>
      <c r="H6" s="2" t="s">
        <v>10</v>
      </c>
      <c r="I6" s="2"/>
      <c r="J6" s="3"/>
      <c r="K6" s="2" t="s">
        <v>145</v>
      </c>
      <c r="L6" s="2" t="s">
        <v>3436</v>
      </c>
      <c r="M6" s="2" t="s">
        <v>634</v>
      </c>
      <c r="N6" s="2" t="s">
        <v>3388</v>
      </c>
      <c r="O6" s="2" t="s">
        <v>142</v>
      </c>
      <c r="P6" s="2"/>
      <c r="Q6" s="2" t="s">
        <v>3387</v>
      </c>
      <c r="R6" s="2" t="s">
        <v>1471</v>
      </c>
      <c r="S6" s="2"/>
      <c r="T6" s="2"/>
      <c r="U6" s="2" t="s">
        <v>706</v>
      </c>
      <c r="V6" s="2" t="s">
        <v>0</v>
      </c>
    </row>
    <row r="7" spans="1:22" ht="105" x14ac:dyDescent="0.25">
      <c r="A7" s="12" t="s">
        <v>552</v>
      </c>
      <c r="B7" s="10" t="s">
        <v>3435</v>
      </c>
      <c r="C7" s="2" t="s">
        <v>3292</v>
      </c>
      <c r="D7" s="2" t="s">
        <v>398</v>
      </c>
      <c r="E7" s="1" t="str">
        <f>HYPERLINK("http://www-wds.worldbank.org/external/default/main?menuPK=64187510&amp;pagePK=64193027&amp;piPK=64187937&amp;menuPK=64154159&amp;searchMenuPK=64258546&amp;theSitePK=523679&amp;entityID=000020953_20110224141340","Consultoria - evaluacion social ")</f>
        <v xml:space="preserve">Consultoria - evaluacion social </v>
      </c>
      <c r="F7" s="9">
        <v>40544</v>
      </c>
      <c r="G7" s="2" t="s">
        <v>3434</v>
      </c>
      <c r="H7" s="2" t="s">
        <v>10</v>
      </c>
      <c r="I7" s="2"/>
      <c r="J7" s="3"/>
      <c r="K7" s="2" t="s">
        <v>8</v>
      </c>
      <c r="L7" s="2" t="s">
        <v>3431</v>
      </c>
      <c r="M7" s="2" t="s">
        <v>634</v>
      </c>
      <c r="N7" s="2" t="s">
        <v>3430</v>
      </c>
      <c r="O7" s="2" t="s">
        <v>1203</v>
      </c>
      <c r="P7" s="2"/>
      <c r="Q7" s="2" t="s">
        <v>3429</v>
      </c>
      <c r="R7" s="2" t="s">
        <v>725</v>
      </c>
      <c r="S7" s="2"/>
      <c r="T7" s="2" t="s">
        <v>3428</v>
      </c>
      <c r="U7" s="2" t="s">
        <v>670</v>
      </c>
      <c r="V7" s="2" t="s">
        <v>70</v>
      </c>
    </row>
    <row r="8" spans="1:22" ht="105" x14ac:dyDescent="0.25">
      <c r="A8" s="12" t="s">
        <v>552</v>
      </c>
      <c r="B8" s="10" t="s">
        <v>3433</v>
      </c>
      <c r="C8" s="2" t="s">
        <v>3292</v>
      </c>
      <c r="D8" s="2" t="s">
        <v>398</v>
      </c>
      <c r="E8" s="1" t="str">
        <f>HYPERLINK("http://www-wds.worldbank.org/external/default/main?menuPK=64187510&amp;pagePK=64193027&amp;piPK=64187937&amp;menuPK=64154159&amp;searchMenuPK=64258546&amp;theSitePK=523679&amp;entityID=000020953_20110224144410","Marco de planificacion para los pueblos indigenas en las nuevas areas protegidas de la region Chaquenas ")</f>
        <v xml:space="preserve">Marco de planificacion para los pueblos indigenas en las nuevas areas protegidas de la region Chaquenas </v>
      </c>
      <c r="F8" s="9">
        <v>40544</v>
      </c>
      <c r="G8" s="2" t="s">
        <v>3432</v>
      </c>
      <c r="H8" s="2" t="s">
        <v>10</v>
      </c>
      <c r="I8" s="2"/>
      <c r="J8" s="3"/>
      <c r="K8" s="2" t="s">
        <v>8</v>
      </c>
      <c r="L8" s="2" t="s">
        <v>3431</v>
      </c>
      <c r="M8" s="2" t="s">
        <v>634</v>
      </c>
      <c r="N8" s="2" t="s">
        <v>3430</v>
      </c>
      <c r="O8" s="2" t="s">
        <v>1203</v>
      </c>
      <c r="P8" s="2"/>
      <c r="Q8" s="2" t="s">
        <v>3429</v>
      </c>
      <c r="R8" s="2" t="s">
        <v>725</v>
      </c>
      <c r="S8" s="2"/>
      <c r="T8" s="2" t="s">
        <v>3428</v>
      </c>
      <c r="U8" s="2" t="s">
        <v>670</v>
      </c>
      <c r="V8" s="2" t="s">
        <v>59</v>
      </c>
    </row>
    <row r="9" spans="1:22" ht="90" x14ac:dyDescent="0.25">
      <c r="A9" s="11" t="s">
        <v>552</v>
      </c>
      <c r="B9" s="13" t="s">
        <v>3420</v>
      </c>
      <c r="C9" s="2" t="s">
        <v>3292</v>
      </c>
      <c r="D9" s="2" t="s">
        <v>398</v>
      </c>
      <c r="E9" s="1" t="str">
        <f>HYPERLINK("http://www-wds.worldbank.org/external/default/main?menuPK=64187510&amp;pagePK=64193027&amp;piPK=64187937&amp;menuPK=64154159&amp;searchMenuPK=64258546&amp;theSitePK=523679&amp;entityID=000020953_20110106142038","Marco de Planificacion para Pueblos Indigenas ")</f>
        <v xml:space="preserve">Marco de Planificacion para Pueblos Indigenas </v>
      </c>
      <c r="F9" s="3" t="s">
        <v>3427</v>
      </c>
      <c r="G9" s="2" t="s">
        <v>3426</v>
      </c>
      <c r="H9" s="2" t="s">
        <v>10</v>
      </c>
      <c r="I9" s="2"/>
      <c r="J9" s="3">
        <v>7703</v>
      </c>
      <c r="K9" s="2" t="s">
        <v>593</v>
      </c>
      <c r="L9" s="2" t="s">
        <v>3344</v>
      </c>
      <c r="M9" s="2" t="s">
        <v>634</v>
      </c>
      <c r="N9" s="2" t="s">
        <v>3425</v>
      </c>
      <c r="O9" s="2" t="s">
        <v>3424</v>
      </c>
      <c r="P9" s="2"/>
      <c r="Q9" s="2" t="s">
        <v>3423</v>
      </c>
      <c r="R9" s="2" t="s">
        <v>3422</v>
      </c>
      <c r="S9" s="2"/>
      <c r="T9" s="2" t="s">
        <v>3421</v>
      </c>
      <c r="U9" s="2" t="s">
        <v>742</v>
      </c>
      <c r="V9" s="2" t="s">
        <v>0</v>
      </c>
    </row>
    <row r="10" spans="1:22" ht="90" x14ac:dyDescent="0.25">
      <c r="A10" s="11" t="s">
        <v>552</v>
      </c>
      <c r="B10" s="13" t="s">
        <v>3420</v>
      </c>
      <c r="C10" s="2" t="s">
        <v>3292</v>
      </c>
      <c r="D10" s="2" t="s">
        <v>398</v>
      </c>
      <c r="E10" s="1" t="str">
        <f>HYPERLINK("http://www-wds.worldbank.org/external/default/main?menuPK=64187510&amp;pagePK=64193027&amp;piPK=64187937&amp;menuPK=64154159&amp;searchMenuPK=64258546&amp;theSitePK=523679&amp;entityID=000020953_20110113160315","Marco de planificacion con poblacion indigena ")</f>
        <v xml:space="preserve">Marco de planificacion con poblacion indigena </v>
      </c>
      <c r="F10" s="3" t="s">
        <v>3419</v>
      </c>
      <c r="G10" s="2" t="s">
        <v>3418</v>
      </c>
      <c r="H10" s="2" t="s">
        <v>10</v>
      </c>
      <c r="I10" s="2"/>
      <c r="J10" s="3"/>
      <c r="K10" s="2" t="s">
        <v>109</v>
      </c>
      <c r="L10" s="2" t="s">
        <v>3417</v>
      </c>
      <c r="M10" s="2" t="s">
        <v>634</v>
      </c>
      <c r="N10" s="2" t="s">
        <v>1437</v>
      </c>
      <c r="O10" s="2" t="s">
        <v>489</v>
      </c>
      <c r="P10" s="2"/>
      <c r="Q10" s="2" t="s">
        <v>3416</v>
      </c>
      <c r="R10" s="2" t="s">
        <v>3130</v>
      </c>
      <c r="S10" s="2"/>
      <c r="T10" s="2"/>
      <c r="U10" s="2" t="s">
        <v>684</v>
      </c>
      <c r="V10" s="2" t="s">
        <v>0</v>
      </c>
    </row>
    <row r="11" spans="1:22" ht="75" x14ac:dyDescent="0.25">
      <c r="A11" s="6"/>
      <c r="B11" s="10"/>
      <c r="C11" s="2" t="s">
        <v>3292</v>
      </c>
      <c r="D11" s="2" t="s">
        <v>398</v>
      </c>
      <c r="E11" s="1" t="str">
        <f>HYPERLINK("http://www-wds.worldbank.org/external/default/main?menuPK=64187510&amp;pagePK=64193027&amp;piPK=64187937&amp;menuPK=64154159&amp;searchMenuPK=64258546&amp;theSitePK=523679&amp;entityID=000020953_20101223124725","Documento de politicas para pueblos indigenas ")</f>
        <v xml:space="preserve">Documento de politicas para pueblos indigenas </v>
      </c>
      <c r="F11" s="3" t="s">
        <v>3415</v>
      </c>
      <c r="G11" s="2" t="s">
        <v>3414</v>
      </c>
      <c r="H11" s="2" t="s">
        <v>10</v>
      </c>
      <c r="I11" s="2"/>
      <c r="J11" s="3"/>
      <c r="K11" s="2" t="s">
        <v>438</v>
      </c>
      <c r="L11" s="2" t="s">
        <v>3413</v>
      </c>
      <c r="M11" s="2" t="s">
        <v>634</v>
      </c>
      <c r="N11" s="2" t="s">
        <v>3412</v>
      </c>
      <c r="O11" s="2" t="s">
        <v>3411</v>
      </c>
      <c r="P11" s="2"/>
      <c r="Q11" s="2" t="s">
        <v>3410</v>
      </c>
      <c r="R11" s="2" t="s">
        <v>3409</v>
      </c>
      <c r="S11" s="2"/>
      <c r="T11" s="2"/>
      <c r="U11" s="2" t="s">
        <v>2003</v>
      </c>
      <c r="V11" s="2" t="s">
        <v>0</v>
      </c>
    </row>
    <row r="12" spans="1:22" ht="75" x14ac:dyDescent="0.25">
      <c r="A12" s="6"/>
      <c r="B12" s="10"/>
      <c r="C12" s="2" t="s">
        <v>3292</v>
      </c>
      <c r="D12" s="2" t="s">
        <v>398</v>
      </c>
      <c r="E12" s="1" t="str">
        <f>HYPERLINK("http://www-wds.worldbank.org/external/default/main?menuPK=64187510&amp;pagePK=64193027&amp;piPK=64187937&amp;menuPK=64154159&amp;searchMenuPK=64258546&amp;theSitePK=523679&amp;entityID=000333038_20101118233257","Marco de planificacion para pueblos indigenas ")</f>
        <v xml:space="preserve">Marco de planificacion para pueblos indigenas </v>
      </c>
      <c r="F12" s="3" t="s">
        <v>3408</v>
      </c>
      <c r="G12" s="2" t="s">
        <v>3407</v>
      </c>
      <c r="H12" s="2" t="s">
        <v>10</v>
      </c>
      <c r="I12" s="2"/>
      <c r="J12" s="3"/>
      <c r="K12" s="2" t="s">
        <v>145</v>
      </c>
      <c r="L12" s="2" t="s">
        <v>3406</v>
      </c>
      <c r="M12" s="2" t="s">
        <v>634</v>
      </c>
      <c r="N12" s="2" t="s">
        <v>3405</v>
      </c>
      <c r="O12" s="2" t="s">
        <v>3404</v>
      </c>
      <c r="P12" s="2"/>
      <c r="Q12" s="2" t="s">
        <v>3403</v>
      </c>
      <c r="R12" s="2" t="s">
        <v>3402</v>
      </c>
      <c r="S12" s="2"/>
      <c r="T12" s="2"/>
      <c r="U12" s="2" t="s">
        <v>706</v>
      </c>
      <c r="V12" s="2" t="s">
        <v>0</v>
      </c>
    </row>
    <row r="13" spans="1:22" ht="60" x14ac:dyDescent="0.25">
      <c r="A13" s="11" t="s">
        <v>552</v>
      </c>
      <c r="B13" s="10"/>
      <c r="C13" s="2" t="s">
        <v>3292</v>
      </c>
      <c r="D13" s="2" t="s">
        <v>398</v>
      </c>
      <c r="E13" s="1" t="str">
        <f>HYPERLINK("http://www-wds.worldbank.org/external/default/main?menuPK=64187510&amp;pagePK=64193027&amp;piPK=64187937&amp;menuPK=64154159&amp;searchMenuPK=64258546&amp;theSitePK=523679&amp;entityID=000356161_20101118000351","Marco de planificacion para pueblos indigenas ")</f>
        <v xml:space="preserve">Marco de planificacion para pueblos indigenas </v>
      </c>
      <c r="F13" s="3" t="s">
        <v>3401</v>
      </c>
      <c r="G13" s="2" t="s">
        <v>3400</v>
      </c>
      <c r="H13" s="2" t="s">
        <v>10</v>
      </c>
      <c r="I13" s="2"/>
      <c r="J13" s="3"/>
      <c r="K13" s="2" t="s">
        <v>43</v>
      </c>
      <c r="L13" s="2" t="s">
        <v>3399</v>
      </c>
      <c r="M13" s="2" t="s">
        <v>634</v>
      </c>
      <c r="N13" s="2" t="s">
        <v>3398</v>
      </c>
      <c r="O13" s="2" t="s">
        <v>2552</v>
      </c>
      <c r="P13" s="2"/>
      <c r="Q13" s="2" t="s">
        <v>3397</v>
      </c>
      <c r="R13" s="2" t="s">
        <v>3396</v>
      </c>
      <c r="S13" s="2"/>
      <c r="T13" s="2"/>
      <c r="U13" s="2" t="s">
        <v>655</v>
      </c>
      <c r="V13" s="2" t="s">
        <v>35</v>
      </c>
    </row>
    <row r="14" spans="1:22" ht="60" x14ac:dyDescent="0.25">
      <c r="A14" s="6"/>
      <c r="B14" s="10"/>
      <c r="C14" s="2" t="s">
        <v>3292</v>
      </c>
      <c r="D14" s="2" t="s">
        <v>398</v>
      </c>
      <c r="E14" s="1" t="str">
        <f>HYPERLINK("http://www-wds.worldbank.org/external/default/main?menuPK=64187510&amp;pagePK=64193027&amp;piPK=64187937&amp;menuPK=64154159&amp;searchMenuPK=64258546&amp;theSitePK=523679&amp;entityID=000356161_20101118001701","Sub-proyecto : Ruta provincial no. 3 - Tramo Pampa del Indio - Villa Rio Bermejito - provinvia de Chaco : plan de pueblos indigenas ")</f>
        <v xml:space="preserve">Sub-proyecto : Ruta provincial no. 3 - Tramo Pampa del Indio - Villa Rio Bermejito - provinvia de Chaco : plan de pueblos indigenas </v>
      </c>
      <c r="F14" s="3" t="s">
        <v>3401</v>
      </c>
      <c r="G14" s="2" t="s">
        <v>3400</v>
      </c>
      <c r="H14" s="2" t="s">
        <v>10</v>
      </c>
      <c r="I14" s="2"/>
      <c r="J14" s="3"/>
      <c r="K14" s="2" t="s">
        <v>43</v>
      </c>
      <c r="L14" s="2" t="s">
        <v>3399</v>
      </c>
      <c r="M14" s="2" t="s">
        <v>634</v>
      </c>
      <c r="N14" s="2" t="s">
        <v>3398</v>
      </c>
      <c r="O14" s="2" t="s">
        <v>2552</v>
      </c>
      <c r="P14" s="2"/>
      <c r="Q14" s="2" t="s">
        <v>3397</v>
      </c>
      <c r="R14" s="2" t="s">
        <v>3396</v>
      </c>
      <c r="S14" s="2"/>
      <c r="T14" s="2"/>
      <c r="U14" s="2" t="s">
        <v>655</v>
      </c>
      <c r="V14" s="2" t="s">
        <v>55</v>
      </c>
    </row>
    <row r="15" spans="1:22" ht="60" x14ac:dyDescent="0.25">
      <c r="A15" s="6"/>
      <c r="B15" s="10"/>
      <c r="C15" s="2" t="s">
        <v>3292</v>
      </c>
      <c r="D15" s="2" t="s">
        <v>398</v>
      </c>
      <c r="E15" s="1" t="str">
        <f>HYPERLINK("http://www-wds.worldbank.org/external/default/main?menuPK=64187510&amp;pagePK=64193027&amp;piPK=64187937&amp;menuPK=64154159&amp;searchMenuPK=64258546&amp;theSitePK=523679&amp;entityID=000356161_20101118002130","Sub-proyecto : Ruta provincial no. 3 - Tramo Pampa del Indio - Villa Rio Bermejito - provinvia de Chaco : evaluacion social ")</f>
        <v xml:space="preserve">Sub-proyecto : Ruta provincial no. 3 - Tramo Pampa del Indio - Villa Rio Bermejito - provinvia de Chaco : evaluacion social </v>
      </c>
      <c r="F15" s="3" t="s">
        <v>3401</v>
      </c>
      <c r="G15" s="2" t="s">
        <v>3400</v>
      </c>
      <c r="H15" s="2" t="s">
        <v>10</v>
      </c>
      <c r="I15" s="2"/>
      <c r="J15" s="3"/>
      <c r="K15" s="2" t="s">
        <v>43</v>
      </c>
      <c r="L15" s="2" t="s">
        <v>3399</v>
      </c>
      <c r="M15" s="2" t="s">
        <v>634</v>
      </c>
      <c r="N15" s="2" t="s">
        <v>3398</v>
      </c>
      <c r="O15" s="2" t="s">
        <v>2552</v>
      </c>
      <c r="P15" s="2"/>
      <c r="Q15" s="2" t="s">
        <v>3397</v>
      </c>
      <c r="R15" s="2" t="s">
        <v>3396</v>
      </c>
      <c r="S15" s="2"/>
      <c r="T15" s="2"/>
      <c r="U15" s="2" t="s">
        <v>655</v>
      </c>
      <c r="V15" s="2" t="s">
        <v>93</v>
      </c>
    </row>
    <row r="16" spans="1:22" ht="60" x14ac:dyDescent="0.25">
      <c r="A16" s="6"/>
      <c r="B16" s="10"/>
      <c r="C16" s="2" t="s">
        <v>3292</v>
      </c>
      <c r="D16" s="2" t="s">
        <v>398</v>
      </c>
      <c r="E16" s="1" t="str">
        <f>HYPERLINK("http://www-wds.worldbank.org/external/default/main?menuPK=64187510&amp;pagePK=64193027&amp;piPK=64187937&amp;menuPK=64154159&amp;searchMenuPK=64258546&amp;theSitePK=523679&amp;entityID=000020953_20100908141016","Marco de Planificación para Pueblos Indígenas ")</f>
        <v xml:space="preserve">Marco de Planificación para Pueblos Indígenas </v>
      </c>
      <c r="F16" s="9">
        <v>40187</v>
      </c>
      <c r="G16" s="2" t="s">
        <v>3395</v>
      </c>
      <c r="H16" s="2" t="s">
        <v>10</v>
      </c>
      <c r="I16" s="2"/>
      <c r="J16" s="3"/>
      <c r="K16" s="2" t="s">
        <v>593</v>
      </c>
      <c r="L16" s="2" t="s">
        <v>3394</v>
      </c>
      <c r="M16" s="2" t="s">
        <v>634</v>
      </c>
      <c r="N16" s="2" t="s">
        <v>3393</v>
      </c>
      <c r="O16" s="2" t="s">
        <v>3392</v>
      </c>
      <c r="P16" s="2"/>
      <c r="Q16" s="2" t="s">
        <v>3391</v>
      </c>
      <c r="R16" s="2" t="s">
        <v>487</v>
      </c>
      <c r="S16" s="2"/>
      <c r="T16" s="2"/>
      <c r="U16" s="2" t="s">
        <v>684</v>
      </c>
      <c r="V16" s="2" t="s">
        <v>0</v>
      </c>
    </row>
    <row r="17" spans="1:22" ht="60" x14ac:dyDescent="0.25">
      <c r="A17" s="6"/>
      <c r="B17" s="10"/>
      <c r="C17" s="2" t="s">
        <v>3292</v>
      </c>
      <c r="D17" s="2" t="s">
        <v>398</v>
      </c>
      <c r="E17" s="1" t="str">
        <f>HYPERLINK("http://www-wds.worldbank.org/external/default/main?menuPK=64187510&amp;pagePK=64193027&amp;piPK=64187937&amp;menuPK=64154159&amp;searchMenuPK=64258546&amp;theSitePK=523679&amp;entityID=000020953_20110106112606","Marco de Planificación para Pueblos Indígenas ")</f>
        <v xml:space="preserve">Marco de Planificación para Pueblos Indígenas </v>
      </c>
      <c r="F17" s="9">
        <v>40187</v>
      </c>
      <c r="G17" s="2" t="s">
        <v>3390</v>
      </c>
      <c r="H17" s="2" t="s">
        <v>10</v>
      </c>
      <c r="I17" s="2"/>
      <c r="J17" s="3"/>
      <c r="K17" s="2" t="s">
        <v>145</v>
      </c>
      <c r="L17" s="2" t="s">
        <v>3389</v>
      </c>
      <c r="M17" s="2" t="s">
        <v>634</v>
      </c>
      <c r="N17" s="2" t="s">
        <v>3388</v>
      </c>
      <c r="O17" s="2" t="s">
        <v>142</v>
      </c>
      <c r="P17" s="2"/>
      <c r="Q17" s="2" t="s">
        <v>3387</v>
      </c>
      <c r="R17" s="2" t="s">
        <v>1471</v>
      </c>
      <c r="S17" s="2"/>
      <c r="T17" s="2"/>
      <c r="U17" s="2" t="s">
        <v>706</v>
      </c>
      <c r="V17" s="2" t="s">
        <v>0</v>
      </c>
    </row>
    <row r="18" spans="1:22" ht="75" x14ac:dyDescent="0.25">
      <c r="A18" s="6"/>
      <c r="B18" s="10"/>
      <c r="C18" s="2" t="s">
        <v>3292</v>
      </c>
      <c r="D18" s="2" t="s">
        <v>398</v>
      </c>
      <c r="E18" s="1" t="str">
        <f>HYPERLINK("http://www-wds.worldbank.org/external/default/main?menuPK=64187510&amp;pagePK=64193027&amp;piPK=64187937&amp;menuPK=64154159&amp;searchMenuPK=64258546&amp;theSitePK=523679&amp;entityID=000333038_20100613233814","Evaluacion social de la poblacion indigena de la provincia de Chubut ")</f>
        <v xml:space="preserve">Evaluacion social de la poblacion indigena de la provincia de Chubut </v>
      </c>
      <c r="F18" s="9">
        <v>40457</v>
      </c>
      <c r="G18" s="2" t="s">
        <v>3327</v>
      </c>
      <c r="H18" s="2" t="s">
        <v>10</v>
      </c>
      <c r="I18" s="2" t="s">
        <v>3326</v>
      </c>
      <c r="J18" s="3"/>
      <c r="K18" s="2" t="s">
        <v>21</v>
      </c>
      <c r="L18" s="2" t="s">
        <v>3325</v>
      </c>
      <c r="M18" s="2" t="s">
        <v>634</v>
      </c>
      <c r="N18" s="2" t="s">
        <v>3324</v>
      </c>
      <c r="O18" s="2" t="s">
        <v>3323</v>
      </c>
      <c r="P18" s="2"/>
      <c r="Q18" s="2" t="s">
        <v>3322</v>
      </c>
      <c r="R18" s="2" t="s">
        <v>1264</v>
      </c>
      <c r="S18" s="2"/>
      <c r="T18" s="2"/>
      <c r="U18" s="2" t="s">
        <v>630</v>
      </c>
      <c r="V18" s="2" t="s">
        <v>325</v>
      </c>
    </row>
    <row r="19" spans="1:22" ht="105" x14ac:dyDescent="0.25">
      <c r="A19" s="6"/>
      <c r="B19" s="10"/>
      <c r="C19" s="2" t="s">
        <v>3292</v>
      </c>
      <c r="D19" s="2" t="s">
        <v>398</v>
      </c>
      <c r="E19" s="1" t="str">
        <f>HYPERLINK("http://www-wds.worldbank.org/external/default/main?menuPK=64187510&amp;pagePK=64193027&amp;piPK=64187937&amp;menuPK=64154159&amp;searchMenuPK=64258546&amp;theSitePK=523679&amp;entityID=000020953_20100701144525","Plan con pueblos indígenas 2010 - Plan Nacer Provincia de Salta ")</f>
        <v xml:space="preserve">Plan con pueblos indígenas 2010 - Plan Nacer Provincia de Salta </v>
      </c>
      <c r="F19" s="9">
        <v>40396</v>
      </c>
      <c r="G19" s="2" t="s">
        <v>3381</v>
      </c>
      <c r="H19" s="2" t="s">
        <v>10</v>
      </c>
      <c r="I19" s="2"/>
      <c r="J19" s="3">
        <v>7225</v>
      </c>
      <c r="K19" s="2" t="s">
        <v>593</v>
      </c>
      <c r="L19" s="2" t="s">
        <v>3380</v>
      </c>
      <c r="M19" s="2" t="s">
        <v>634</v>
      </c>
      <c r="N19" s="2" t="s">
        <v>3379</v>
      </c>
      <c r="O19" s="2" t="s">
        <v>3378</v>
      </c>
      <c r="P19" s="2"/>
      <c r="Q19" s="2" t="s">
        <v>3377</v>
      </c>
      <c r="R19" s="2" t="s">
        <v>3376</v>
      </c>
      <c r="S19" s="2"/>
      <c r="T19" s="2" t="s">
        <v>3375</v>
      </c>
      <c r="U19" s="2" t="s">
        <v>684</v>
      </c>
      <c r="V19" s="2" t="s">
        <v>3386</v>
      </c>
    </row>
    <row r="20" spans="1:22" ht="105" x14ac:dyDescent="0.25">
      <c r="A20" s="6"/>
      <c r="B20" s="10"/>
      <c r="C20" s="2" t="s">
        <v>3292</v>
      </c>
      <c r="D20" s="2" t="s">
        <v>398</v>
      </c>
      <c r="E20" s="1" t="str">
        <f>HYPERLINK("http://www-wds.worldbank.org/external/default/main?menuPK=64187510&amp;pagePK=64193027&amp;piPK=64187937&amp;menuPK=64154159&amp;searchMenuPK=64258546&amp;theSitePK=523679&amp;entityID=000020953_20100701134120","Plan con pueblos indígenas 2010 - Plan Nacer Provincia de Chaco ")</f>
        <v xml:space="preserve">Plan con pueblos indígenas 2010 - Plan Nacer Provincia de Chaco </v>
      </c>
      <c r="F20" s="3" t="s">
        <v>3385</v>
      </c>
      <c r="G20" s="2" t="s">
        <v>3381</v>
      </c>
      <c r="H20" s="2" t="s">
        <v>10</v>
      </c>
      <c r="I20" s="2"/>
      <c r="J20" s="3">
        <v>7225</v>
      </c>
      <c r="K20" s="2" t="s">
        <v>593</v>
      </c>
      <c r="L20" s="2" t="s">
        <v>3380</v>
      </c>
      <c r="M20" s="2" t="s">
        <v>634</v>
      </c>
      <c r="N20" s="2" t="s">
        <v>3379</v>
      </c>
      <c r="O20" s="2" t="s">
        <v>3378</v>
      </c>
      <c r="P20" s="2"/>
      <c r="Q20" s="2" t="s">
        <v>3377</v>
      </c>
      <c r="R20" s="2" t="s">
        <v>3376</v>
      </c>
      <c r="S20" s="2"/>
      <c r="T20" s="2" t="s">
        <v>3375</v>
      </c>
      <c r="U20" s="2" t="s">
        <v>684</v>
      </c>
      <c r="V20" s="2" t="s">
        <v>1895</v>
      </c>
    </row>
    <row r="21" spans="1:22" ht="105" x14ac:dyDescent="0.25">
      <c r="A21" s="6"/>
      <c r="B21" s="10"/>
      <c r="C21" s="2" t="s">
        <v>3292</v>
      </c>
      <c r="D21" s="2" t="s">
        <v>398</v>
      </c>
      <c r="E21" s="1" t="str">
        <f>HYPERLINK("http://www-wds.worldbank.org/external/default/main?menuPK=64187510&amp;pagePK=64193027&amp;piPK=64187937&amp;menuPK=64154159&amp;searchMenuPK=64258546&amp;theSitePK=523679&amp;entityID=000020953_20100701115550","Plan con pueblos indígenas 2010 - Plan Nacer Provincia de Catamarca ")</f>
        <v xml:space="preserve">Plan con pueblos indígenas 2010 - Plan Nacer Provincia de Catamarca </v>
      </c>
      <c r="F21" s="3" t="s">
        <v>3384</v>
      </c>
      <c r="G21" s="2" t="s">
        <v>3381</v>
      </c>
      <c r="H21" s="2" t="s">
        <v>10</v>
      </c>
      <c r="I21" s="2"/>
      <c r="J21" s="3">
        <v>7225</v>
      </c>
      <c r="K21" s="2" t="s">
        <v>593</v>
      </c>
      <c r="L21" s="2" t="s">
        <v>3380</v>
      </c>
      <c r="M21" s="2" t="s">
        <v>634</v>
      </c>
      <c r="N21" s="2" t="s">
        <v>3379</v>
      </c>
      <c r="O21" s="2" t="s">
        <v>3378</v>
      </c>
      <c r="P21" s="2"/>
      <c r="Q21" s="2" t="s">
        <v>3377</v>
      </c>
      <c r="R21" s="2" t="s">
        <v>3376</v>
      </c>
      <c r="S21" s="2"/>
      <c r="T21" s="2" t="s">
        <v>3375</v>
      </c>
      <c r="U21" s="2" t="s">
        <v>684</v>
      </c>
      <c r="V21" s="2" t="s">
        <v>1898</v>
      </c>
    </row>
    <row r="22" spans="1:22" ht="105" x14ac:dyDescent="0.25">
      <c r="A22" s="6"/>
      <c r="B22" s="10"/>
      <c r="C22" s="2" t="s">
        <v>3292</v>
      </c>
      <c r="D22" s="2" t="s">
        <v>398</v>
      </c>
      <c r="E22" s="1" t="str">
        <f>HYPERLINK("http://www-wds.worldbank.org/external/default/main?menuPK=64187510&amp;pagePK=64193027&amp;piPK=64187937&amp;menuPK=64154159&amp;searchMenuPK=64258546&amp;theSitePK=523679&amp;entityID=000020953_20100701140901","Plan con pueblos indígenas 2010 - Plan Nacer Provincia de Jujuy ")</f>
        <v xml:space="preserve">Plan con pueblos indígenas 2010 - Plan Nacer Provincia de Jujuy </v>
      </c>
      <c r="F22" s="3" t="s">
        <v>3384</v>
      </c>
      <c r="G22" s="2" t="s">
        <v>3381</v>
      </c>
      <c r="H22" s="2" t="s">
        <v>10</v>
      </c>
      <c r="I22" s="2"/>
      <c r="J22" s="3">
        <v>7225</v>
      </c>
      <c r="K22" s="2" t="s">
        <v>593</v>
      </c>
      <c r="L22" s="2" t="s">
        <v>3380</v>
      </c>
      <c r="M22" s="2" t="s">
        <v>634</v>
      </c>
      <c r="N22" s="2" t="s">
        <v>3379</v>
      </c>
      <c r="O22" s="2" t="s">
        <v>3378</v>
      </c>
      <c r="P22" s="2"/>
      <c r="Q22" s="2" t="s">
        <v>3377</v>
      </c>
      <c r="R22" s="2" t="s">
        <v>3376</v>
      </c>
      <c r="S22" s="2"/>
      <c r="T22" s="2" t="s">
        <v>3375</v>
      </c>
      <c r="U22" s="2" t="s">
        <v>684</v>
      </c>
      <c r="V22" s="2" t="s">
        <v>1889</v>
      </c>
    </row>
    <row r="23" spans="1:22" ht="105" x14ac:dyDescent="0.25">
      <c r="A23" s="6"/>
      <c r="B23" s="10"/>
      <c r="C23" s="2" t="s">
        <v>3292</v>
      </c>
      <c r="D23" s="2" t="s">
        <v>398</v>
      </c>
      <c r="E23" s="1" t="str">
        <f>HYPERLINK("http://www-wds.worldbank.org/external/default/main?menuPK=64187510&amp;pagePK=64193027&amp;piPK=64187937&amp;menuPK=64154159&amp;searchMenuPK=64258546&amp;theSitePK=523679&amp;entityID=000020953_20100701135258","Plan con pueblos indígenas 2010 - Plan Nacer Provincia de Formosa ")</f>
        <v xml:space="preserve">Plan con pueblos indígenas 2010 - Plan Nacer Provincia de Formosa </v>
      </c>
      <c r="F23" s="9">
        <v>40241</v>
      </c>
      <c r="G23" s="2" t="s">
        <v>3381</v>
      </c>
      <c r="H23" s="2" t="s">
        <v>10</v>
      </c>
      <c r="I23" s="2"/>
      <c r="J23" s="3">
        <v>7225</v>
      </c>
      <c r="K23" s="2" t="s">
        <v>593</v>
      </c>
      <c r="L23" s="2" t="s">
        <v>3380</v>
      </c>
      <c r="M23" s="2" t="s">
        <v>634</v>
      </c>
      <c r="N23" s="2" t="s">
        <v>3379</v>
      </c>
      <c r="O23" s="2" t="s">
        <v>3378</v>
      </c>
      <c r="P23" s="2"/>
      <c r="Q23" s="2" t="s">
        <v>3377</v>
      </c>
      <c r="R23" s="2" t="s">
        <v>3376</v>
      </c>
      <c r="S23" s="2"/>
      <c r="T23" s="2" t="s">
        <v>3375</v>
      </c>
      <c r="U23" s="2" t="s">
        <v>684</v>
      </c>
      <c r="V23" s="2" t="s">
        <v>1892</v>
      </c>
    </row>
    <row r="24" spans="1:22" ht="105" x14ac:dyDescent="0.25">
      <c r="A24" s="6"/>
      <c r="B24" s="10"/>
      <c r="C24" s="2" t="s">
        <v>3292</v>
      </c>
      <c r="D24" s="2" t="s">
        <v>398</v>
      </c>
      <c r="E24" s="1" t="str">
        <f>HYPERLINK("http://www-wds.worldbank.org/external/default/main?menuPK=64187510&amp;pagePK=64193027&amp;piPK=64187937&amp;menuPK=64154159&amp;searchMenuPK=64258546&amp;theSitePK=523679&amp;entityID=000020953_20100701151048","Plan con pueblos indígenas 2010 - Plan Nacer Provincia de Santiago del Estero ")</f>
        <v xml:space="preserve">Plan con pueblos indígenas 2010 - Plan Nacer Provincia de Santiago del Estero </v>
      </c>
      <c r="F24" s="9">
        <v>40241</v>
      </c>
      <c r="G24" s="2" t="s">
        <v>3381</v>
      </c>
      <c r="H24" s="2" t="s">
        <v>10</v>
      </c>
      <c r="I24" s="2"/>
      <c r="J24" s="3">
        <v>7225</v>
      </c>
      <c r="K24" s="2" t="s">
        <v>593</v>
      </c>
      <c r="L24" s="2" t="s">
        <v>3380</v>
      </c>
      <c r="M24" s="2" t="s">
        <v>634</v>
      </c>
      <c r="N24" s="2" t="s">
        <v>3379</v>
      </c>
      <c r="O24" s="2" t="s">
        <v>3378</v>
      </c>
      <c r="P24" s="2"/>
      <c r="Q24" s="2" t="s">
        <v>3377</v>
      </c>
      <c r="R24" s="2" t="s">
        <v>3376</v>
      </c>
      <c r="S24" s="2"/>
      <c r="T24" s="2" t="s">
        <v>3375</v>
      </c>
      <c r="U24" s="2" t="s">
        <v>684</v>
      </c>
      <c r="V24" s="2" t="s">
        <v>1885</v>
      </c>
    </row>
    <row r="25" spans="1:22" ht="105" x14ac:dyDescent="0.25">
      <c r="A25" s="6"/>
      <c r="B25" s="10"/>
      <c r="C25" s="2" t="s">
        <v>3292</v>
      </c>
      <c r="D25" s="2" t="s">
        <v>398</v>
      </c>
      <c r="E25" s="1" t="str">
        <f>HYPERLINK("http://www-wds.worldbank.org/external/default/main?menuPK=64187510&amp;pagePK=64193027&amp;piPK=64187937&amp;menuPK=64154159&amp;searchMenuPK=64258546&amp;theSitePK=523679&amp;entityID=000020953_20100701151815","Plan con pueblos indígenas 2010 - Plan Nacer Provincia de Tucumán ")</f>
        <v xml:space="preserve">Plan con pueblos indígenas 2010 - Plan Nacer Provincia de Tucumán </v>
      </c>
      <c r="F25" s="9">
        <v>40241</v>
      </c>
      <c r="G25" s="2" t="s">
        <v>3381</v>
      </c>
      <c r="H25" s="2" t="s">
        <v>10</v>
      </c>
      <c r="I25" s="2"/>
      <c r="J25" s="3">
        <v>7225</v>
      </c>
      <c r="K25" s="2" t="s">
        <v>593</v>
      </c>
      <c r="L25" s="2" t="s">
        <v>3380</v>
      </c>
      <c r="M25" s="2" t="s">
        <v>634</v>
      </c>
      <c r="N25" s="2" t="s">
        <v>3379</v>
      </c>
      <c r="O25" s="2" t="s">
        <v>3378</v>
      </c>
      <c r="P25" s="2"/>
      <c r="Q25" s="2" t="s">
        <v>3377</v>
      </c>
      <c r="R25" s="2" t="s">
        <v>3376</v>
      </c>
      <c r="S25" s="2"/>
      <c r="T25" s="2" t="s">
        <v>3375</v>
      </c>
      <c r="U25" s="2" t="s">
        <v>684</v>
      </c>
      <c r="V25" s="2" t="s">
        <v>1877</v>
      </c>
    </row>
    <row r="26" spans="1:22" ht="75" x14ac:dyDescent="0.25">
      <c r="A26" s="6"/>
      <c r="B26" s="10"/>
      <c r="C26" s="2" t="s">
        <v>3292</v>
      </c>
      <c r="D26" s="2" t="s">
        <v>1308</v>
      </c>
      <c r="E26" s="1" t="str">
        <f>HYPERLINK("http://www-wds.worldbank.org/external/default/main?menuPK=64187510&amp;pagePK=64193027&amp;piPK=64187937&amp;menuPK=64154159&amp;searchMenuPK=64258546&amp;theSitePK=523679&amp;entityID=000333037_20100614041351","Plan de accion para los pueblos indigenas de la provincia de Chubut ")</f>
        <v xml:space="preserve">Plan de accion para los pueblos indigenas de la provincia de Chubut </v>
      </c>
      <c r="F26" s="9">
        <v>40182</v>
      </c>
      <c r="G26" s="2" t="s">
        <v>3327</v>
      </c>
      <c r="H26" s="2" t="s">
        <v>10</v>
      </c>
      <c r="I26" s="2" t="s">
        <v>3326</v>
      </c>
      <c r="J26" s="3"/>
      <c r="K26" s="2" t="s">
        <v>21</v>
      </c>
      <c r="L26" s="2" t="s">
        <v>3325</v>
      </c>
      <c r="M26" s="2" t="s">
        <v>634</v>
      </c>
      <c r="N26" s="2" t="s">
        <v>3324</v>
      </c>
      <c r="O26" s="2" t="s">
        <v>3323</v>
      </c>
      <c r="P26" s="2"/>
      <c r="Q26" s="2" t="s">
        <v>3383</v>
      </c>
      <c r="R26" s="2" t="s">
        <v>21</v>
      </c>
      <c r="S26" s="2"/>
      <c r="T26" s="2"/>
      <c r="U26" s="2" t="s">
        <v>630</v>
      </c>
      <c r="V26" s="2" t="s">
        <v>323</v>
      </c>
    </row>
    <row r="27" spans="1:22" ht="105" x14ac:dyDescent="0.25">
      <c r="A27" s="6"/>
      <c r="B27" s="10"/>
      <c r="C27" s="2" t="s">
        <v>3292</v>
      </c>
      <c r="D27" s="2" t="s">
        <v>398</v>
      </c>
      <c r="E27" s="1" t="str">
        <f>HYPERLINK("http://www-wds.worldbank.org/external/default/main?menuPK=64187510&amp;pagePK=64193027&amp;piPK=64187937&amp;menuPK=64154159&amp;searchMenuPK=64258546&amp;theSitePK=523679&amp;entityID=000020953_20100701143631","Plan con pueblos indígenas 2010 - Plan Nacer Provincia de Misiones ")</f>
        <v xml:space="preserve">Plan con pueblos indígenas 2010 - Plan Nacer Provincia de Misiones </v>
      </c>
      <c r="F27" s="3" t="s">
        <v>3382</v>
      </c>
      <c r="G27" s="2" t="s">
        <v>3381</v>
      </c>
      <c r="H27" s="2" t="s">
        <v>10</v>
      </c>
      <c r="I27" s="2"/>
      <c r="J27" s="3">
        <v>7225</v>
      </c>
      <c r="K27" s="2" t="s">
        <v>593</v>
      </c>
      <c r="L27" s="2" t="s">
        <v>3380</v>
      </c>
      <c r="M27" s="2" t="s">
        <v>634</v>
      </c>
      <c r="N27" s="2" t="s">
        <v>3379</v>
      </c>
      <c r="O27" s="2" t="s">
        <v>3378</v>
      </c>
      <c r="P27" s="2"/>
      <c r="Q27" s="2" t="s">
        <v>3377</v>
      </c>
      <c r="R27" s="2" t="s">
        <v>3376</v>
      </c>
      <c r="S27" s="2"/>
      <c r="T27" s="2" t="s">
        <v>3375</v>
      </c>
      <c r="U27" s="2" t="s">
        <v>684</v>
      </c>
      <c r="V27" s="2" t="s">
        <v>1888</v>
      </c>
    </row>
    <row r="28" spans="1:22" ht="75" x14ac:dyDescent="0.25">
      <c r="A28" s="6"/>
      <c r="B28" s="10"/>
      <c r="C28" s="2" t="s">
        <v>3292</v>
      </c>
      <c r="D28" s="2" t="s">
        <v>398</v>
      </c>
      <c r="E28" s="1" t="str">
        <f>HYPERLINK("http://www-wds.worldbank.org/external/default/main?menuPK=64187510&amp;pagePK=64193027&amp;piPK=64187937&amp;menuPK=64154159&amp;searchMenuPK=64258546&amp;theSitePK=523679&amp;entityID=000333038_20100301224514","Resumen de la evaluacion social : caracteristicas de la comunidad huarpe en la zona rural ")</f>
        <v xml:space="preserve">Resumen de la evaluacion social : caracteristicas de la comunidad huarpe en la zona rural </v>
      </c>
      <c r="F28" s="3" t="s">
        <v>3374</v>
      </c>
      <c r="G28" s="2" t="s">
        <v>3373</v>
      </c>
      <c r="H28" s="2" t="s">
        <v>10</v>
      </c>
      <c r="I28" s="2"/>
      <c r="J28" s="3"/>
      <c r="K28" s="2" t="s">
        <v>183</v>
      </c>
      <c r="L28" s="2" t="s">
        <v>3372</v>
      </c>
      <c r="M28" s="2" t="s">
        <v>634</v>
      </c>
      <c r="N28" s="2" t="s">
        <v>3371</v>
      </c>
      <c r="O28" s="2" t="s">
        <v>3370</v>
      </c>
      <c r="P28" s="2"/>
      <c r="Q28" s="2" t="s">
        <v>3369</v>
      </c>
      <c r="R28" s="2" t="s">
        <v>3368</v>
      </c>
      <c r="S28" s="2" t="s">
        <v>3367</v>
      </c>
      <c r="T28" s="2"/>
      <c r="U28" s="2" t="s">
        <v>3366</v>
      </c>
      <c r="V28" s="2" t="s">
        <v>70</v>
      </c>
    </row>
    <row r="29" spans="1:22" ht="75" x14ac:dyDescent="0.25">
      <c r="A29" s="6"/>
      <c r="B29" s="10"/>
      <c r="C29" s="2" t="s">
        <v>3292</v>
      </c>
      <c r="D29" s="2" t="s">
        <v>398</v>
      </c>
      <c r="E29" s="1" t="str">
        <f>HYPERLINK("http://www-wds.worldbank.org/external/default/main?menuPK=64187510&amp;pagePK=64193027&amp;piPK=64187937&amp;menuPK=64154159&amp;searchMenuPK=64258546&amp;theSitePK=523679&amp;entityID=000333038_20100301225441","Caracteristicas generales de la provincia de San Juan ")</f>
        <v xml:space="preserve">Caracteristicas generales de la provincia de San Juan </v>
      </c>
      <c r="F29" s="3" t="s">
        <v>3374</v>
      </c>
      <c r="G29" s="2" t="s">
        <v>3373</v>
      </c>
      <c r="H29" s="2" t="s">
        <v>10</v>
      </c>
      <c r="I29" s="2"/>
      <c r="J29" s="3"/>
      <c r="K29" s="2" t="s">
        <v>183</v>
      </c>
      <c r="L29" s="2" t="s">
        <v>3372</v>
      </c>
      <c r="M29" s="2" t="s">
        <v>634</v>
      </c>
      <c r="N29" s="2" t="s">
        <v>3371</v>
      </c>
      <c r="O29" s="2" t="s">
        <v>3370</v>
      </c>
      <c r="P29" s="2"/>
      <c r="Q29" s="2" t="s">
        <v>3369</v>
      </c>
      <c r="R29" s="2" t="s">
        <v>3368</v>
      </c>
      <c r="S29" s="2" t="s">
        <v>3367</v>
      </c>
      <c r="T29" s="2"/>
      <c r="U29" s="2" t="s">
        <v>3366</v>
      </c>
      <c r="V29" s="2" t="s">
        <v>59</v>
      </c>
    </row>
    <row r="30" spans="1:22" ht="90" x14ac:dyDescent="0.25">
      <c r="A30" s="6"/>
      <c r="B30" s="10"/>
      <c r="C30" s="2" t="s">
        <v>3292</v>
      </c>
      <c r="D30" s="2" t="s">
        <v>398</v>
      </c>
      <c r="E30" s="1" t="str">
        <f>HYPERLINK("http://www-wds.worldbank.org/external/default/main?menuPK=64187510&amp;pagePK=64193027&amp;piPK=64187937&amp;menuPK=64154159&amp;searchMenuPK=64258546&amp;theSitePK=523679&amp;entityID=000020953_20100226131128","Marco de planification para pueblos indigenas ")</f>
        <v xml:space="preserve">Marco de planification para pueblos indigenas </v>
      </c>
      <c r="F30" s="9">
        <v>40392</v>
      </c>
      <c r="G30" s="2" t="s">
        <v>3355</v>
      </c>
      <c r="H30" s="2" t="s">
        <v>10</v>
      </c>
      <c r="I30" s="2"/>
      <c r="J30" s="3"/>
      <c r="K30" s="2" t="s">
        <v>3354</v>
      </c>
      <c r="L30" s="2" t="s">
        <v>3353</v>
      </c>
      <c r="M30" s="2" t="s">
        <v>634</v>
      </c>
      <c r="N30" s="2" t="s">
        <v>3352</v>
      </c>
      <c r="O30" s="2" t="s">
        <v>3351</v>
      </c>
      <c r="P30" s="2"/>
      <c r="Q30" s="2" t="s">
        <v>3358</v>
      </c>
      <c r="R30" s="2" t="s">
        <v>3349</v>
      </c>
      <c r="S30" s="2" t="s">
        <v>3348</v>
      </c>
      <c r="T30" s="2"/>
      <c r="U30" s="2" t="s">
        <v>655</v>
      </c>
      <c r="V30" s="2" t="s">
        <v>3365</v>
      </c>
    </row>
    <row r="31" spans="1:22" ht="90" x14ac:dyDescent="0.25">
      <c r="A31" s="6"/>
      <c r="B31" s="10"/>
      <c r="C31" s="2" t="s">
        <v>3292</v>
      </c>
      <c r="D31" s="2" t="s">
        <v>398</v>
      </c>
      <c r="E31" s="1" t="str">
        <f>HYPERLINK("http://www-wds.worldbank.org/external/default/main?menuPK=64187510&amp;pagePK=64193027&amp;piPK=64187937&amp;menuPK=64154159&amp;searchMenuPK=64258546&amp;theSitePK=523679&amp;entityID=000020953_20100226132010","Acta de consulta del MPPI a Organizaciones Indigenas de Argentina ")</f>
        <v xml:space="preserve">Acta de consulta del MPPI a Organizaciones Indigenas de Argentina </v>
      </c>
      <c r="F31" s="9">
        <v>40392</v>
      </c>
      <c r="G31" s="2" t="s">
        <v>3355</v>
      </c>
      <c r="H31" s="2" t="s">
        <v>10</v>
      </c>
      <c r="I31" s="2"/>
      <c r="J31" s="3"/>
      <c r="K31" s="2" t="s">
        <v>3354</v>
      </c>
      <c r="L31" s="2" t="s">
        <v>3353</v>
      </c>
      <c r="M31" s="2" t="s">
        <v>634</v>
      </c>
      <c r="N31" s="2" t="s">
        <v>3352</v>
      </c>
      <c r="O31" s="2" t="s">
        <v>3351</v>
      </c>
      <c r="P31" s="2"/>
      <c r="Q31" s="2" t="s">
        <v>3350</v>
      </c>
      <c r="R31" s="2" t="s">
        <v>3349</v>
      </c>
      <c r="S31" s="2" t="s">
        <v>3348</v>
      </c>
      <c r="T31" s="2"/>
      <c r="U31" s="2" t="s">
        <v>655</v>
      </c>
      <c r="V31" s="2" t="s">
        <v>3364</v>
      </c>
    </row>
    <row r="32" spans="1:22" ht="90" x14ac:dyDescent="0.25">
      <c r="A32" s="6"/>
      <c r="B32" s="10"/>
      <c r="C32" s="2" t="s">
        <v>3292</v>
      </c>
      <c r="D32" s="2" t="s">
        <v>398</v>
      </c>
      <c r="E32" s="1" t="str">
        <f>HYPERLINK("http://www-wds.worldbank.org/external/default/main?menuPK=64187510&amp;pagePK=64193027&amp;piPK=64187937&amp;menuPK=64154159&amp;searchMenuPK=64258546&amp;theSitePK=523679&amp;entityID=000020953_20100226135035","Situacion de las condiciones de salud de los Pueblos Originarios que habitan en la Provincia de La Pampa ")</f>
        <v xml:space="preserve">Situacion de las condiciones de salud de los Pueblos Originarios que habitan en la Provincia de La Pampa </v>
      </c>
      <c r="F32" s="9">
        <v>40392</v>
      </c>
      <c r="G32" s="2" t="s">
        <v>3355</v>
      </c>
      <c r="H32" s="2" t="s">
        <v>10</v>
      </c>
      <c r="I32" s="2"/>
      <c r="J32" s="3"/>
      <c r="K32" s="2" t="s">
        <v>3354</v>
      </c>
      <c r="L32" s="2" t="s">
        <v>3353</v>
      </c>
      <c r="M32" s="2" t="s">
        <v>634</v>
      </c>
      <c r="N32" s="2" t="s">
        <v>3352</v>
      </c>
      <c r="O32" s="2" t="s">
        <v>3351</v>
      </c>
      <c r="P32" s="2"/>
      <c r="Q32" s="2" t="s">
        <v>3350</v>
      </c>
      <c r="R32" s="2" t="s">
        <v>3349</v>
      </c>
      <c r="S32" s="2" t="s">
        <v>3348</v>
      </c>
      <c r="T32" s="2"/>
      <c r="U32" s="2" t="s">
        <v>655</v>
      </c>
      <c r="V32" s="2" t="s">
        <v>3363</v>
      </c>
    </row>
    <row r="33" spans="1:22" ht="75" x14ac:dyDescent="0.25">
      <c r="A33" s="6"/>
      <c r="B33" s="10"/>
      <c r="C33" s="2" t="s">
        <v>3292</v>
      </c>
      <c r="D33" s="2" t="s">
        <v>398</v>
      </c>
      <c r="E33" s="1" t="str">
        <f>HYPERLINK("http://www-wds.worldbank.org/external/default/main?menuPK=64187510&amp;pagePK=64193027&amp;piPK=64187937&amp;menuPK=64154159&amp;searchMenuPK=64258546&amp;theSitePK=523679&amp;entityID=000020953_20100217135426","Indigenous peoples planning framework ")</f>
        <v xml:space="preserve">Indigenous peoples planning framework </v>
      </c>
      <c r="F33" s="9">
        <v>40180</v>
      </c>
      <c r="G33" s="2" t="s">
        <v>3362</v>
      </c>
      <c r="H33" s="2" t="s">
        <v>10</v>
      </c>
      <c r="I33" s="2"/>
      <c r="J33" s="3"/>
      <c r="K33" s="2" t="s">
        <v>109</v>
      </c>
      <c r="L33" s="2" t="s">
        <v>3361</v>
      </c>
      <c r="M33" s="2" t="s">
        <v>634</v>
      </c>
      <c r="N33" s="2" t="s">
        <v>3360</v>
      </c>
      <c r="O33" s="2" t="s">
        <v>489</v>
      </c>
      <c r="P33" s="2"/>
      <c r="Q33" s="2" t="s">
        <v>3359</v>
      </c>
      <c r="R33" s="2" t="s">
        <v>352</v>
      </c>
      <c r="S33" s="2" t="s">
        <v>2797</v>
      </c>
      <c r="T33" s="2"/>
      <c r="U33" s="2" t="s">
        <v>684</v>
      </c>
      <c r="V33" s="2" t="s">
        <v>0</v>
      </c>
    </row>
    <row r="34" spans="1:22" ht="90" x14ac:dyDescent="0.25">
      <c r="A34" s="6"/>
      <c r="B34" s="10"/>
      <c r="C34" s="2" t="s">
        <v>3292</v>
      </c>
      <c r="D34" s="2" t="s">
        <v>398</v>
      </c>
      <c r="E34" s="1" t="str">
        <f>HYPERLINK("http://www-wds.worldbank.org/external/default/main?menuPK=64187510&amp;pagePK=64193027&amp;piPK=64187937&amp;menuPK=64154159&amp;searchMenuPK=64258546&amp;theSitePK=523679&amp;entityID=000020953_20100226133240","Situacion de las condiciones de salud de los Pueblos Originarios que habitan en la Provincia de Formosa ")</f>
        <v xml:space="preserve">Situacion de las condiciones de salud de los Pueblos Originarios que habitan en la Provincia de Formosa </v>
      </c>
      <c r="F34" s="3" t="s">
        <v>3356</v>
      </c>
      <c r="G34" s="2" t="s">
        <v>3355</v>
      </c>
      <c r="H34" s="2" t="s">
        <v>10</v>
      </c>
      <c r="I34" s="2"/>
      <c r="J34" s="3"/>
      <c r="K34" s="2" t="s">
        <v>3354</v>
      </c>
      <c r="L34" s="2" t="s">
        <v>3353</v>
      </c>
      <c r="M34" s="2" t="s">
        <v>634</v>
      </c>
      <c r="N34" s="2" t="s">
        <v>3352</v>
      </c>
      <c r="O34" s="2" t="s">
        <v>3351</v>
      </c>
      <c r="P34" s="2"/>
      <c r="Q34" s="2" t="s">
        <v>3358</v>
      </c>
      <c r="R34" s="2" t="s">
        <v>3349</v>
      </c>
      <c r="S34" s="2" t="s">
        <v>3348</v>
      </c>
      <c r="T34" s="2"/>
      <c r="U34" s="2" t="s">
        <v>655</v>
      </c>
      <c r="V34" s="2" t="s">
        <v>3357</v>
      </c>
    </row>
    <row r="35" spans="1:22" ht="90" x14ac:dyDescent="0.25">
      <c r="A35" s="6"/>
      <c r="B35" s="10"/>
      <c r="C35" s="2" t="s">
        <v>3292</v>
      </c>
      <c r="D35" s="2" t="s">
        <v>398</v>
      </c>
      <c r="E35" s="1" t="str">
        <f>HYPERLINK("http://www-wds.worldbank.org/external/default/main?menuPK=64187510&amp;pagePK=64193027&amp;piPK=64187937&amp;menuPK=64154159&amp;searchMenuPK=64258546&amp;theSitePK=523679&amp;entityID=000020953_20100226134024","Acta de consulta de los PPIs de los Corredores de la Ruta 35 y 11 a Organizaciones Indigenas de la Pampa y Formosa ")</f>
        <v xml:space="preserve">Acta de consulta de los PPIs de los Corredores de la Ruta 35 y 11 a Organizaciones Indigenas de la Pampa y Formosa </v>
      </c>
      <c r="F35" s="3" t="s">
        <v>3356</v>
      </c>
      <c r="G35" s="2" t="s">
        <v>3355</v>
      </c>
      <c r="H35" s="2" t="s">
        <v>10</v>
      </c>
      <c r="I35" s="2"/>
      <c r="J35" s="3"/>
      <c r="K35" s="2" t="s">
        <v>3354</v>
      </c>
      <c r="L35" s="2" t="s">
        <v>3353</v>
      </c>
      <c r="M35" s="2" t="s">
        <v>634</v>
      </c>
      <c r="N35" s="2" t="s">
        <v>3352</v>
      </c>
      <c r="O35" s="2" t="s">
        <v>3351</v>
      </c>
      <c r="P35" s="2"/>
      <c r="Q35" s="2" t="s">
        <v>3350</v>
      </c>
      <c r="R35" s="2" t="s">
        <v>3349</v>
      </c>
      <c r="S35" s="2" t="s">
        <v>3348</v>
      </c>
      <c r="T35" s="2"/>
      <c r="U35" s="2" t="s">
        <v>655</v>
      </c>
      <c r="V35" s="2" t="s">
        <v>3347</v>
      </c>
    </row>
    <row r="36" spans="1:22" ht="75" x14ac:dyDescent="0.25">
      <c r="A36" s="6"/>
      <c r="B36" s="10"/>
      <c r="C36" s="2" t="s">
        <v>3292</v>
      </c>
      <c r="D36" s="2" t="s">
        <v>398</v>
      </c>
      <c r="E36" s="1" t="str">
        <f>HYPERLINK("http://www-wds.worldbank.org/external/default/main?menuPK=64187510&amp;pagePK=64193027&amp;piPK=64187937&amp;menuPK=64154159&amp;searchMenuPK=64258546&amp;theSitePK=523679&amp;entityID=000333038_20100613232003","Plan de accion para los pueblos originarios de la provincia de San Juan ")</f>
        <v xml:space="preserve">Plan de accion para los pueblos originarios de la provincia de San Juan </v>
      </c>
      <c r="F36" s="9">
        <v>40179</v>
      </c>
      <c r="G36" s="2" t="s">
        <v>3327</v>
      </c>
      <c r="H36" s="2" t="s">
        <v>10</v>
      </c>
      <c r="I36" s="2" t="s">
        <v>3326</v>
      </c>
      <c r="J36" s="3"/>
      <c r="K36" s="2" t="s">
        <v>21</v>
      </c>
      <c r="L36" s="2" t="s">
        <v>3325</v>
      </c>
      <c r="M36" s="2" t="s">
        <v>634</v>
      </c>
      <c r="N36" s="2" t="s">
        <v>3324</v>
      </c>
      <c r="O36" s="2" t="s">
        <v>3323</v>
      </c>
      <c r="P36" s="2"/>
      <c r="Q36" s="2" t="s">
        <v>3322</v>
      </c>
      <c r="R36" s="2" t="s">
        <v>1264</v>
      </c>
      <c r="S36" s="2"/>
      <c r="T36" s="2"/>
      <c r="U36" s="2" t="s">
        <v>630</v>
      </c>
      <c r="V36" s="2" t="s">
        <v>328</v>
      </c>
    </row>
    <row r="37" spans="1:22" ht="75" x14ac:dyDescent="0.25">
      <c r="A37" s="6"/>
      <c r="B37" s="10"/>
      <c r="C37" s="2" t="s">
        <v>3292</v>
      </c>
      <c r="D37" s="2" t="s">
        <v>398</v>
      </c>
      <c r="E37" s="1" t="str">
        <f>HYPERLINK("http://www-wds.worldbank.org/external/default/main?menuPK=64187510&amp;pagePK=64193027&amp;piPK=64187937&amp;menuPK=64154159&amp;searchMenuPK=64258546&amp;theSitePK=523679&amp;entityID=000333038_20100613231343","Evaluacion social de la poblacion indigena de la provincia de San Juan ")</f>
        <v xml:space="preserve">Evaluacion social de la poblacion indigena de la provincia de San Juan </v>
      </c>
      <c r="F37" s="9">
        <v>39824</v>
      </c>
      <c r="G37" s="2" t="s">
        <v>3327</v>
      </c>
      <c r="H37" s="2" t="s">
        <v>10</v>
      </c>
      <c r="I37" s="2" t="s">
        <v>3326</v>
      </c>
      <c r="J37" s="3"/>
      <c r="K37" s="2" t="s">
        <v>21</v>
      </c>
      <c r="L37" s="2" t="s">
        <v>3325</v>
      </c>
      <c r="M37" s="2" t="s">
        <v>634</v>
      </c>
      <c r="N37" s="2" t="s">
        <v>3324</v>
      </c>
      <c r="O37" s="2" t="s">
        <v>3323</v>
      </c>
      <c r="P37" s="2"/>
      <c r="Q37" s="2" t="s">
        <v>3322</v>
      </c>
      <c r="R37" s="2" t="s">
        <v>1264</v>
      </c>
      <c r="S37" s="2"/>
      <c r="T37" s="2"/>
      <c r="U37" s="2" t="s">
        <v>630</v>
      </c>
      <c r="V37" s="2" t="s">
        <v>225</v>
      </c>
    </row>
    <row r="38" spans="1:22" ht="75" x14ac:dyDescent="0.25">
      <c r="A38" s="6"/>
      <c r="B38" s="10"/>
      <c r="C38" s="2" t="s">
        <v>3292</v>
      </c>
      <c r="D38" s="2" t="s">
        <v>398</v>
      </c>
      <c r="E38" s="1" t="str">
        <f>HYPERLINK("http://www-wds.worldbank.org/external/default/main?menuPK=64187510&amp;pagePK=64193027&amp;piPK=64187937&amp;menuPK=64154159&amp;searchMenuPK=64258546&amp;theSitePK=523679&amp;entityID=000020953_20090320121918","Argentina - Proyecto de Proteccion Basica : marco de planificacion para pueblos indigenas ")</f>
        <v xml:space="preserve">Argentina - Proyecto de Proteccion Basica : marco de planificacion para pueblos indigenas </v>
      </c>
      <c r="F38" s="3" t="s">
        <v>3346</v>
      </c>
      <c r="G38" s="2" t="s">
        <v>3345</v>
      </c>
      <c r="H38" s="2" t="s">
        <v>10</v>
      </c>
      <c r="I38" s="2"/>
      <c r="J38" s="3"/>
      <c r="K38" s="2" t="s">
        <v>109</v>
      </c>
      <c r="L38" s="2" t="s">
        <v>3344</v>
      </c>
      <c r="M38" s="2" t="s">
        <v>634</v>
      </c>
      <c r="N38" s="2" t="s">
        <v>3343</v>
      </c>
      <c r="O38" s="2" t="s">
        <v>460</v>
      </c>
      <c r="P38" s="2"/>
      <c r="Q38" s="2" t="s">
        <v>3342</v>
      </c>
      <c r="R38" s="2" t="s">
        <v>3341</v>
      </c>
      <c r="S38" s="2" t="s">
        <v>575</v>
      </c>
      <c r="T38" s="2"/>
      <c r="U38" s="2" t="s">
        <v>742</v>
      </c>
      <c r="V38" s="2" t="s">
        <v>0</v>
      </c>
    </row>
    <row r="39" spans="1:22" ht="75" x14ac:dyDescent="0.25">
      <c r="A39" s="6"/>
      <c r="B39" s="10"/>
      <c r="C39" s="2" t="s">
        <v>3292</v>
      </c>
      <c r="D39" s="2" t="s">
        <v>398</v>
      </c>
      <c r="E39" s="1" t="str">
        <f>HYPERLINK("http://www-wds.worldbank.org/external/default/main?menuPK=64187510&amp;pagePK=64193027&amp;piPK=64187937&amp;menuPK=64154159&amp;searchMenuPK=64258546&amp;theSitePK=523679&amp;entityID=000333038_20100420000430","Plan de accion para los pueblos originarios de la provincia de Misiones ")</f>
        <v xml:space="preserve">Plan de accion para los pueblos originarios de la provincia de Misiones </v>
      </c>
      <c r="F39" s="9">
        <v>39814</v>
      </c>
      <c r="G39" s="2" t="s">
        <v>3327</v>
      </c>
      <c r="H39" s="2" t="s">
        <v>10</v>
      </c>
      <c r="I39" s="2" t="s">
        <v>3326</v>
      </c>
      <c r="J39" s="3"/>
      <c r="K39" s="2" t="s">
        <v>21</v>
      </c>
      <c r="L39" s="2" t="s">
        <v>3325</v>
      </c>
      <c r="M39" s="2" t="s">
        <v>634</v>
      </c>
      <c r="N39" s="2" t="s">
        <v>3324</v>
      </c>
      <c r="O39" s="2" t="s">
        <v>3323</v>
      </c>
      <c r="P39" s="2"/>
      <c r="Q39" s="2" t="s">
        <v>3322</v>
      </c>
      <c r="R39" s="2" t="s">
        <v>1264</v>
      </c>
      <c r="S39" s="2"/>
      <c r="T39" s="2"/>
      <c r="U39" s="2" t="s">
        <v>630</v>
      </c>
      <c r="V39" s="2" t="s">
        <v>185</v>
      </c>
    </row>
    <row r="40" spans="1:22" ht="60" x14ac:dyDescent="0.25">
      <c r="A40" s="6"/>
      <c r="B40" s="10"/>
      <c r="C40" s="2" t="s">
        <v>3292</v>
      </c>
      <c r="D40" s="2" t="s">
        <v>398</v>
      </c>
      <c r="E40" s="1" t="str">
        <f>HYPERLINK("http://www-wds.worldbank.org/external/default/main?menuPK=64187510&amp;pagePK=64193027&amp;piPK=64187937&amp;menuPK=64154159&amp;searchMenuPK=64258546&amp;theSitePK=523679&amp;entityID=000020953_20081113113133","Marco de planificacion para pueblos indigenas (MPPI) ")</f>
        <v xml:space="preserve">Marco de planificacion para pueblos indigenas (MPPI) </v>
      </c>
      <c r="F40" s="9">
        <v>39450</v>
      </c>
      <c r="G40" s="2" t="s">
        <v>3340</v>
      </c>
      <c r="H40" s="2" t="s">
        <v>10</v>
      </c>
      <c r="I40" s="2"/>
      <c r="J40" s="3"/>
      <c r="K40" s="2" t="s">
        <v>100</v>
      </c>
      <c r="L40" s="2" t="s">
        <v>3339</v>
      </c>
      <c r="M40" s="2" t="s">
        <v>634</v>
      </c>
      <c r="N40" s="2" t="s">
        <v>3338</v>
      </c>
      <c r="O40" s="2" t="s">
        <v>3337</v>
      </c>
      <c r="P40" s="2"/>
      <c r="Q40" s="2" t="s">
        <v>3336</v>
      </c>
      <c r="R40" s="2" t="s">
        <v>131</v>
      </c>
      <c r="S40" s="2" t="s">
        <v>3335</v>
      </c>
      <c r="T40" s="2"/>
      <c r="U40" s="2" t="s">
        <v>662</v>
      </c>
      <c r="V40" s="2" t="s">
        <v>0</v>
      </c>
    </row>
    <row r="41" spans="1:22" ht="105" x14ac:dyDescent="0.25">
      <c r="A41" s="6"/>
      <c r="B41" s="10"/>
      <c r="C41" s="2" t="s">
        <v>3292</v>
      </c>
      <c r="D41" s="2" t="s">
        <v>398</v>
      </c>
      <c r="E41" s="1" t="str">
        <f>HYPERLINK("http://www-wds.worldbank.org/external/default/main?menuPK=64187510&amp;pagePK=64193027&amp;piPK=64187937&amp;menuPK=64154159&amp;searchMenuPK=64258546&amp;theSitePK=523679&amp;entityID=000011823_20080425160912","Manual de gente indigena ")</f>
        <v xml:space="preserve">Manual de gente indigena </v>
      </c>
      <c r="F41" s="9">
        <v>39450</v>
      </c>
      <c r="G41" s="2" t="s">
        <v>3334</v>
      </c>
      <c r="H41" s="2" t="s">
        <v>10</v>
      </c>
      <c r="I41" s="2" t="s">
        <v>3333</v>
      </c>
      <c r="J41" s="3"/>
      <c r="K41" s="2" t="s">
        <v>872</v>
      </c>
      <c r="L41" s="2" t="s">
        <v>3332</v>
      </c>
      <c r="M41" s="2" t="s">
        <v>634</v>
      </c>
      <c r="N41" s="2" t="s">
        <v>3331</v>
      </c>
      <c r="O41" s="2" t="s">
        <v>869</v>
      </c>
      <c r="P41" s="2"/>
      <c r="Q41" s="2" t="s">
        <v>3330</v>
      </c>
      <c r="R41" s="2" t="s">
        <v>3329</v>
      </c>
      <c r="S41" s="2" t="s">
        <v>3328</v>
      </c>
      <c r="T41" s="2"/>
      <c r="U41" s="2" t="s">
        <v>670</v>
      </c>
      <c r="V41" s="2" t="s">
        <v>0</v>
      </c>
    </row>
    <row r="42" spans="1:22" ht="75" x14ac:dyDescent="0.25">
      <c r="A42" s="6"/>
      <c r="B42" s="10"/>
      <c r="C42" s="2" t="s">
        <v>3292</v>
      </c>
      <c r="D42" s="2" t="s">
        <v>398</v>
      </c>
      <c r="E42" s="1" t="str">
        <f>HYPERLINK("http://www-wds.worldbank.org/external/default/main?menuPK=64187510&amp;pagePK=64193027&amp;piPK=64187937&amp;menuPK=64154159&amp;searchMenuPK=64258546&amp;theSitePK=523679&amp;entityID=000011823_20070525173334","Marco de planificacion para los pueblos indigenas ")</f>
        <v xml:space="preserve">Marco de planificacion para los pueblos indigenas </v>
      </c>
      <c r="F42" s="9">
        <v>39086</v>
      </c>
      <c r="G42" s="2" t="s">
        <v>3327</v>
      </c>
      <c r="H42" s="2" t="s">
        <v>10</v>
      </c>
      <c r="I42" s="2" t="s">
        <v>3326</v>
      </c>
      <c r="J42" s="3"/>
      <c r="K42" s="2" t="s">
        <v>21</v>
      </c>
      <c r="L42" s="2" t="s">
        <v>3325</v>
      </c>
      <c r="M42" s="2" t="s">
        <v>634</v>
      </c>
      <c r="N42" s="2" t="s">
        <v>3324</v>
      </c>
      <c r="O42" s="2" t="s">
        <v>3323</v>
      </c>
      <c r="P42" s="2"/>
      <c r="Q42" s="2" t="s">
        <v>3322</v>
      </c>
      <c r="R42" s="2" t="s">
        <v>1264</v>
      </c>
      <c r="S42" s="2"/>
      <c r="T42" s="2"/>
      <c r="U42" s="2" t="s">
        <v>630</v>
      </c>
      <c r="V42" s="2" t="s">
        <v>148</v>
      </c>
    </row>
    <row r="43" spans="1:22" ht="60" x14ac:dyDescent="0.25">
      <c r="A43" s="6"/>
      <c r="B43" s="10"/>
      <c r="C43" s="2" t="s">
        <v>3292</v>
      </c>
      <c r="D43" s="2" t="s">
        <v>398</v>
      </c>
      <c r="E43" s="1" t="str">
        <f>HYPERLINK("http://www-wds.worldbank.org/external/default/main?menuPK=64187510&amp;pagePK=64193027&amp;piPK=64187937&amp;menuPK=64154159&amp;searchMenuPK=64258546&amp;theSitePK=523679&amp;entityID=000090341_20070419101541","Argentina - Biodiversity Conservation in Productive Forestry Landscapes Project : indigenous peoples plan ")</f>
        <v xml:space="preserve">Argentina - Biodiversity Conservation in Productive Forestry Landscapes Project : indigenous peoples plan </v>
      </c>
      <c r="F43" s="9">
        <v>38729</v>
      </c>
      <c r="G43" s="2" t="s">
        <v>3321</v>
      </c>
      <c r="H43" s="2" t="s">
        <v>10</v>
      </c>
      <c r="I43" s="2"/>
      <c r="J43" s="3"/>
      <c r="K43" s="2" t="s">
        <v>8</v>
      </c>
      <c r="L43" s="2" t="s">
        <v>3320</v>
      </c>
      <c r="M43" s="2" t="s">
        <v>634</v>
      </c>
      <c r="N43" s="2" t="s">
        <v>3319</v>
      </c>
      <c r="O43" s="2" t="s">
        <v>1203</v>
      </c>
      <c r="P43" s="2"/>
      <c r="Q43" s="2"/>
      <c r="R43" s="2"/>
      <c r="S43" s="2"/>
      <c r="T43" s="2" t="s">
        <v>3318</v>
      </c>
      <c r="U43" s="2" t="s">
        <v>670</v>
      </c>
      <c r="V43" s="2" t="s">
        <v>0</v>
      </c>
    </row>
    <row r="44" spans="1:22" ht="60" x14ac:dyDescent="0.25">
      <c r="A44" s="6"/>
      <c r="B44" s="10"/>
      <c r="C44" s="2" t="s">
        <v>3292</v>
      </c>
      <c r="D44" s="2" t="s">
        <v>398</v>
      </c>
      <c r="E44" s="1" t="str">
        <f>HYPERLINK("http://www-wds.worldbank.org/external/default/main?menuPK=64187510&amp;pagePK=64193027&amp;piPK=64187937&amp;menuPK=64154159&amp;searchMenuPK=64258546&amp;theSitePK=523679&amp;entityID=000090341_20061003092930","Argentina - Essential Public Health Functions and Programs Project : indigenous peoples ")</f>
        <v xml:space="preserve">Argentina - Essential Public Health Functions and Programs Project : indigenous peoples </v>
      </c>
      <c r="F44" s="3" t="s">
        <v>3317</v>
      </c>
      <c r="G44" s="2" t="s">
        <v>3316</v>
      </c>
      <c r="H44" s="2" t="s">
        <v>10</v>
      </c>
      <c r="I44" s="2"/>
      <c r="J44" s="3"/>
      <c r="K44" s="2" t="s">
        <v>109</v>
      </c>
      <c r="L44" s="2" t="s">
        <v>3315</v>
      </c>
      <c r="M44" s="2" t="s">
        <v>634</v>
      </c>
      <c r="N44" s="2" t="s">
        <v>3314</v>
      </c>
      <c r="O44" s="2" t="s">
        <v>489</v>
      </c>
      <c r="P44" s="2"/>
      <c r="Q44" s="2" t="s">
        <v>3313</v>
      </c>
      <c r="R44" s="2"/>
      <c r="S44" s="2"/>
      <c r="T44" s="2" t="s">
        <v>3312</v>
      </c>
      <c r="U44" s="2" t="s">
        <v>684</v>
      </c>
      <c r="V44" s="2" t="s">
        <v>0</v>
      </c>
    </row>
    <row r="45" spans="1:22" ht="90" x14ac:dyDescent="0.25">
      <c r="A45" s="6"/>
      <c r="B45" s="10"/>
      <c r="C45" s="2" t="s">
        <v>3292</v>
      </c>
      <c r="D45" s="2" t="s">
        <v>398</v>
      </c>
      <c r="E45" s="1" t="str">
        <f>HYPERLINK("http://www-wds.worldbank.org/external/default/main?menuPK=64187510&amp;pagePK=64193027&amp;piPK=64187937&amp;menuPK=64154159&amp;searchMenuPK=64258546&amp;theSitePK=523679&amp;entityID=000011823_20060823132146","Marco de planificacion para los pueblos indigenas ")</f>
        <v xml:space="preserve">Marco de planificacion para los pueblos indigenas </v>
      </c>
      <c r="F45" s="9">
        <v>38724</v>
      </c>
      <c r="G45" s="2" t="s">
        <v>3311</v>
      </c>
      <c r="H45" s="2" t="s">
        <v>10</v>
      </c>
      <c r="I45" s="2"/>
      <c r="J45" s="3"/>
      <c r="K45" s="2" t="s">
        <v>109</v>
      </c>
      <c r="L45" s="2" t="s">
        <v>3310</v>
      </c>
      <c r="M45" s="2" t="s">
        <v>634</v>
      </c>
      <c r="N45" s="2" t="s">
        <v>3309</v>
      </c>
      <c r="O45" s="2" t="s">
        <v>489</v>
      </c>
      <c r="P45" s="2"/>
      <c r="Q45" s="2" t="s">
        <v>3308</v>
      </c>
      <c r="R45" s="2" t="s">
        <v>3307</v>
      </c>
      <c r="S45" s="2"/>
      <c r="T45" s="2"/>
      <c r="U45" s="2" t="s">
        <v>684</v>
      </c>
      <c r="V45" s="2" t="s">
        <v>0</v>
      </c>
    </row>
    <row r="46" spans="1:22" ht="60" x14ac:dyDescent="0.25">
      <c r="A46" s="11" t="s">
        <v>552</v>
      </c>
      <c r="B46" s="10"/>
      <c r="C46" s="2" t="s">
        <v>3292</v>
      </c>
      <c r="D46" s="2" t="s">
        <v>12</v>
      </c>
      <c r="E46" s="1" t="str">
        <f>HYPERLINK("http://www-wds.worldbank.org/external/default/main?menuPK=64187510&amp;pagePK=64193027&amp;piPK=64187937&amp;menuPK=64154159&amp;searchMenuPK=64258546&amp;theSitePK=523679&amp;entityID=000160016_20051024174154","Argentina - Education for a More Productive and Equitable Argentina Project ")</f>
        <v xml:space="preserve">Argentina - Education for a More Productive and Equitable Argentina Project </v>
      </c>
      <c r="F46" s="9">
        <v>38362</v>
      </c>
      <c r="G46" s="2" t="s">
        <v>3306</v>
      </c>
      <c r="H46" s="2" t="s">
        <v>10</v>
      </c>
      <c r="I46" s="2" t="s">
        <v>492</v>
      </c>
      <c r="J46" s="3"/>
      <c r="K46" s="2" t="s">
        <v>21</v>
      </c>
      <c r="L46" s="2" t="s">
        <v>3305</v>
      </c>
      <c r="M46" s="2" t="s">
        <v>634</v>
      </c>
      <c r="N46" s="2" t="s">
        <v>3304</v>
      </c>
      <c r="O46" s="2" t="s">
        <v>1598</v>
      </c>
      <c r="P46" s="2"/>
      <c r="Q46" s="2" t="s">
        <v>3303</v>
      </c>
      <c r="R46" s="2" t="s">
        <v>329</v>
      </c>
      <c r="S46" s="2"/>
      <c r="T46" s="2" t="s">
        <v>3302</v>
      </c>
      <c r="U46" s="2" t="s">
        <v>630</v>
      </c>
      <c r="V46" s="2" t="s">
        <v>0</v>
      </c>
    </row>
    <row r="47" spans="1:22" ht="135" x14ac:dyDescent="0.25">
      <c r="A47" s="6"/>
      <c r="B47" s="10"/>
      <c r="C47" s="2" t="s">
        <v>3292</v>
      </c>
      <c r="D47" s="2" t="s">
        <v>398</v>
      </c>
      <c r="E47" s="1" t="str">
        <f>HYPERLINK("http://www-wds.worldbank.org/external/default/main?menuPK=64187510&amp;pagePK=64193027&amp;piPK=64187937&amp;menuPK=64154159&amp;searchMenuPK=64258546&amp;theSitePK=523679&amp;entityID=000011823_20080207110119","Diagnostico socio-economico y cultural de la colonia aborigen Chaco : plan de desarrollo indígena ")</f>
        <v xml:space="preserve">Diagnostico socio-economico y cultural de la colonia aborigen Chaco : plan de desarrollo indígena </v>
      </c>
      <c r="F47" s="3" t="s">
        <v>3301</v>
      </c>
      <c r="G47" s="2" t="s">
        <v>3300</v>
      </c>
      <c r="H47" s="2" t="s">
        <v>10</v>
      </c>
      <c r="I47" s="2" t="s">
        <v>3299</v>
      </c>
      <c r="J47" s="3">
        <v>4150</v>
      </c>
      <c r="K47" s="2" t="s">
        <v>546</v>
      </c>
      <c r="L47" s="2" t="s">
        <v>3298</v>
      </c>
      <c r="M47" s="2" t="s">
        <v>634</v>
      </c>
      <c r="N47" s="2" t="s">
        <v>3297</v>
      </c>
      <c r="O47" s="2" t="s">
        <v>3296</v>
      </c>
      <c r="P47" s="2"/>
      <c r="Q47" s="2" t="s">
        <v>3295</v>
      </c>
      <c r="R47" s="2" t="s">
        <v>3294</v>
      </c>
      <c r="S47" s="2"/>
      <c r="T47" s="2" t="s">
        <v>3293</v>
      </c>
      <c r="U47" s="2" t="s">
        <v>670</v>
      </c>
      <c r="V47" s="2" t="s">
        <v>0</v>
      </c>
    </row>
    <row r="48" spans="1:22" ht="120" x14ac:dyDescent="0.25">
      <c r="A48" s="6"/>
      <c r="B48" s="10"/>
      <c r="C48" s="2" t="s">
        <v>3292</v>
      </c>
      <c r="D48" s="2" t="s">
        <v>398</v>
      </c>
      <c r="E48" s="1" t="str">
        <f>HYPERLINK("http://www-wds.worldbank.org/external/default/main?menuPK=64187510&amp;pagePK=64193027&amp;piPK=64187937&amp;menuPK=64154159&amp;searchMenuPK=64258546&amp;theSitePK=523679&amp;entityID=000011823_20070627170535","Estrategia de desarrollo indigena ")</f>
        <v xml:space="preserve">Estrategia de desarrollo indigena </v>
      </c>
      <c r="F48" s="9">
        <v>35801</v>
      </c>
      <c r="G48" s="2" t="s">
        <v>3291</v>
      </c>
      <c r="H48" s="2" t="s">
        <v>10</v>
      </c>
      <c r="I48" s="2" t="s">
        <v>3290</v>
      </c>
      <c r="J48" s="3"/>
      <c r="K48" s="2" t="s">
        <v>1960</v>
      </c>
      <c r="L48" s="2" t="s">
        <v>3289</v>
      </c>
      <c r="M48" s="2" t="s">
        <v>634</v>
      </c>
      <c r="N48" s="2" t="s">
        <v>3288</v>
      </c>
      <c r="O48" s="2" t="s">
        <v>3287</v>
      </c>
      <c r="P48" s="2"/>
      <c r="Q48" s="2" t="s">
        <v>3286</v>
      </c>
      <c r="R48" s="2" t="s">
        <v>3285</v>
      </c>
      <c r="S48" s="2"/>
      <c r="T48" s="2"/>
      <c r="U48" s="2" t="s">
        <v>670</v>
      </c>
      <c r="V48" s="2" t="s">
        <v>0</v>
      </c>
    </row>
    <row r="49" spans="1:22" ht="60" x14ac:dyDescent="0.25">
      <c r="A49" s="6"/>
      <c r="B49" s="10"/>
      <c r="C49" s="2" t="s">
        <v>3262</v>
      </c>
      <c r="D49" s="2" t="s">
        <v>12</v>
      </c>
      <c r="E49" s="1" t="str">
        <f>HYPERLINK("http://www-wds.worldbank.org/external/default/main?menuPK=64187510&amp;pagePK=64193027&amp;piPK=64187937&amp;menuPK=64154159&amp;searchMenuPK=64258546&amp;theSitePK=523679&amp;entityID=000334955_20080407073927","Indigenous peoples plan ")</f>
        <v xml:space="preserve">Indigenous peoples plan </v>
      </c>
      <c r="F49" s="9">
        <v>39542</v>
      </c>
      <c r="G49" s="2" t="s">
        <v>3284</v>
      </c>
      <c r="H49" s="2" t="s">
        <v>10</v>
      </c>
      <c r="I49" s="2"/>
      <c r="J49" s="3"/>
      <c r="K49" s="2" t="s">
        <v>21</v>
      </c>
      <c r="L49" s="2" t="s">
        <v>3283</v>
      </c>
      <c r="M49" s="2" t="s">
        <v>415</v>
      </c>
      <c r="N49" s="2" t="s">
        <v>3282</v>
      </c>
      <c r="O49" s="2" t="s">
        <v>18</v>
      </c>
      <c r="P49" s="2"/>
      <c r="Q49" s="2" t="s">
        <v>3281</v>
      </c>
      <c r="R49" s="2" t="s">
        <v>3280</v>
      </c>
      <c r="S49" s="2" t="s">
        <v>3279</v>
      </c>
      <c r="T49" s="2" t="s">
        <v>1807</v>
      </c>
      <c r="U49" s="2" t="s">
        <v>1011</v>
      </c>
      <c r="V49" s="2" t="s">
        <v>0</v>
      </c>
    </row>
    <row r="50" spans="1:22" ht="60" x14ac:dyDescent="0.25">
      <c r="A50" s="6"/>
      <c r="B50" s="10"/>
      <c r="C50" s="2" t="s">
        <v>3262</v>
      </c>
      <c r="D50" s="2" t="s">
        <v>12</v>
      </c>
      <c r="E50" s="1" t="str">
        <f>HYPERLINK("http://www-wds.worldbank.org/external/default/main?menuPK=64187510&amp;pagePK=64193027&amp;piPK=64187937&amp;menuPK=64154159&amp;searchMenuPK=64258546&amp;theSitePK=523679&amp;entityID=000090341_20070305114931","Bangladesh - National Agricultural Technology Project : indigenous peoples plan ")</f>
        <v xml:space="preserve">Bangladesh - National Agricultural Technology Project : indigenous peoples plan </v>
      </c>
      <c r="F50" s="9">
        <v>38724</v>
      </c>
      <c r="G50" s="2" t="s">
        <v>3278</v>
      </c>
      <c r="H50" s="2" t="s">
        <v>10</v>
      </c>
      <c r="I50" s="2"/>
      <c r="J50" s="3"/>
      <c r="K50" s="2" t="s">
        <v>8</v>
      </c>
      <c r="L50" s="2" t="s">
        <v>3277</v>
      </c>
      <c r="M50" s="2" t="s">
        <v>415</v>
      </c>
      <c r="N50" s="2" t="s">
        <v>3276</v>
      </c>
      <c r="O50" s="2" t="s">
        <v>3275</v>
      </c>
      <c r="P50" s="2"/>
      <c r="Q50" s="2" t="s">
        <v>3274</v>
      </c>
      <c r="R50" s="2" t="s">
        <v>3273</v>
      </c>
      <c r="S50" s="2"/>
      <c r="T50" s="2"/>
      <c r="U50" s="2" t="s">
        <v>1038</v>
      </c>
      <c r="V50" s="2" t="s">
        <v>0</v>
      </c>
    </row>
    <row r="51" spans="1:22" ht="90" x14ac:dyDescent="0.25">
      <c r="A51" s="6"/>
      <c r="B51" s="10"/>
      <c r="C51" s="2" t="s">
        <v>3262</v>
      </c>
      <c r="D51" s="2" t="s">
        <v>12</v>
      </c>
      <c r="E51" s="1" t="str">
        <f>HYPERLINK("http://www-wds.worldbank.org/external/default/main?menuPK=64187510&amp;pagePK=64193027&amp;piPK=64187937&amp;menuPK=64154159&amp;searchMenuPK=64258546&amp;theSitePK=523679&amp;entityID=000090341_20041215114257","Bangladesh - Second Health Nutrition Population Sector Program : indigenous peoples plan ")</f>
        <v xml:space="preserve">Bangladesh - Second Health Nutrition Population Sector Program : indigenous peoples plan </v>
      </c>
      <c r="F51" s="9">
        <v>37997</v>
      </c>
      <c r="G51" s="2" t="s">
        <v>3272</v>
      </c>
      <c r="H51" s="2" t="s">
        <v>10</v>
      </c>
      <c r="I51" s="2"/>
      <c r="J51" s="3"/>
      <c r="K51" s="2" t="s">
        <v>109</v>
      </c>
      <c r="L51" s="2" t="s">
        <v>3271</v>
      </c>
      <c r="M51" s="2" t="s">
        <v>415</v>
      </c>
      <c r="N51" s="2" t="s">
        <v>3270</v>
      </c>
      <c r="O51" s="2" t="s">
        <v>106</v>
      </c>
      <c r="P51" s="2"/>
      <c r="Q51" s="2" t="s">
        <v>3269</v>
      </c>
      <c r="R51" s="2" t="s">
        <v>487</v>
      </c>
      <c r="S51" s="2"/>
      <c r="T51" s="2" t="s">
        <v>3268</v>
      </c>
      <c r="U51" s="2" t="s">
        <v>1011</v>
      </c>
      <c r="V51" s="2" t="s">
        <v>0</v>
      </c>
    </row>
    <row r="52" spans="1:22" ht="60" x14ac:dyDescent="0.25">
      <c r="A52" s="6"/>
      <c r="B52" s="10"/>
      <c r="C52" s="2" t="s">
        <v>3262</v>
      </c>
      <c r="D52" s="2" t="s">
        <v>12</v>
      </c>
      <c r="E52" s="1" t="str">
        <f>HYPERLINK("http://www-wds.worldbank.org/external/default/main?menuPK=64187510&amp;pagePK=64193027&amp;piPK=64187937&amp;menuPK=64154159&amp;searchMenuPK=64258546&amp;theSitePK=523679&amp;entityID=000160016_20031015142205","Bangladesh - Second Primary Education Development Project : indigenous peoples development plan ")</f>
        <v xml:space="preserve">Bangladesh - Second Primary Education Development Project : indigenous peoples development plan </v>
      </c>
      <c r="F52" s="3" t="s">
        <v>3267</v>
      </c>
      <c r="G52" s="2" t="s">
        <v>3266</v>
      </c>
      <c r="H52" s="2" t="s">
        <v>10</v>
      </c>
      <c r="I52" s="2"/>
      <c r="J52" s="3"/>
      <c r="K52" s="2" t="s">
        <v>21</v>
      </c>
      <c r="L52" s="2" t="s">
        <v>3265</v>
      </c>
      <c r="M52" s="2" t="s">
        <v>415</v>
      </c>
      <c r="N52" s="2" t="s">
        <v>3264</v>
      </c>
      <c r="O52" s="2" t="s">
        <v>27</v>
      </c>
      <c r="P52" s="2"/>
      <c r="Q52" s="2" t="s">
        <v>26</v>
      </c>
      <c r="R52" s="2" t="s">
        <v>25</v>
      </c>
      <c r="S52" s="2"/>
      <c r="T52" s="2" t="s">
        <v>3263</v>
      </c>
      <c r="U52" s="2" t="s">
        <v>1011</v>
      </c>
      <c r="V52" s="2" t="s">
        <v>0</v>
      </c>
    </row>
    <row r="53" spans="1:22" ht="75" x14ac:dyDescent="0.25">
      <c r="A53" s="6"/>
      <c r="B53" s="10"/>
      <c r="C53" s="2" t="s">
        <v>3262</v>
      </c>
      <c r="D53" s="2" t="s">
        <v>12</v>
      </c>
      <c r="E53" s="1" t="str">
        <f>HYPERLINK("http://www-wds.worldbank.org/external/default/main?menuPK=64187510&amp;pagePK=64193027&amp;piPK=64187937&amp;menuPK=64154159&amp;searchMenuPK=64258546&amp;theSitePK=523679&amp;entityID=000094946_03020104012585","Bangladesh - Social Investment Program Project : tribal development plan ")</f>
        <v xml:space="preserve">Bangladesh - Social Investment Program Project : tribal development plan </v>
      </c>
      <c r="F53" s="9">
        <v>37539</v>
      </c>
      <c r="G53" s="2" t="s">
        <v>3261</v>
      </c>
      <c r="H53" s="2" t="s">
        <v>10</v>
      </c>
      <c r="I53" s="2" t="s">
        <v>31</v>
      </c>
      <c r="J53" s="3"/>
      <c r="K53" s="2" t="s">
        <v>463</v>
      </c>
      <c r="L53" s="2" t="s">
        <v>3260</v>
      </c>
      <c r="M53" s="2" t="s">
        <v>415</v>
      </c>
      <c r="N53" s="2" t="s">
        <v>3259</v>
      </c>
      <c r="O53" s="2" t="s">
        <v>3258</v>
      </c>
      <c r="P53" s="2"/>
      <c r="Q53" s="2" t="s">
        <v>3257</v>
      </c>
      <c r="R53" s="2" t="s">
        <v>1017</v>
      </c>
      <c r="S53" s="2"/>
      <c r="T53" s="2" t="s">
        <v>3256</v>
      </c>
      <c r="U53" s="2" t="s">
        <v>1038</v>
      </c>
      <c r="V53" s="2">
        <v>1</v>
      </c>
    </row>
    <row r="54" spans="1:22" ht="75" x14ac:dyDescent="0.25">
      <c r="A54" s="6"/>
      <c r="B54" s="10"/>
      <c r="C54" s="2" t="s">
        <v>3254</v>
      </c>
      <c r="D54" s="2" t="s">
        <v>12</v>
      </c>
      <c r="E54" s="1" t="str">
        <f>HYPERLINK("http://www-wds.worldbank.org/external/default/main?menuPK=64187510&amp;pagePK=64193027&amp;piPK=64187937&amp;menuPK=64154159&amp;searchMenuPK=64258546&amp;theSitePK=523679&amp;entityID=000333037_20100610012534","Indigenous peoples framework ")</f>
        <v xml:space="preserve">Indigenous peoples framework </v>
      </c>
      <c r="F54" s="3" t="s">
        <v>1644</v>
      </c>
      <c r="G54" s="2" t="s">
        <v>3253</v>
      </c>
      <c r="H54" s="2" t="s">
        <v>10</v>
      </c>
      <c r="I54" s="2"/>
      <c r="J54" s="3" t="s">
        <v>3252</v>
      </c>
      <c r="K54" s="2" t="s">
        <v>3251</v>
      </c>
      <c r="L54" s="2" t="s">
        <v>3250</v>
      </c>
      <c r="M54" s="2" t="s">
        <v>634</v>
      </c>
      <c r="N54" s="2" t="s">
        <v>3249</v>
      </c>
      <c r="O54" s="2" t="s">
        <v>3248</v>
      </c>
      <c r="P54" s="2"/>
      <c r="Q54" s="2" t="s">
        <v>3255</v>
      </c>
      <c r="R54" s="2" t="s">
        <v>2059</v>
      </c>
      <c r="S54" s="2"/>
      <c r="T54" s="2"/>
      <c r="U54" s="2" t="s">
        <v>706</v>
      </c>
      <c r="V54" s="2" t="s">
        <v>70</v>
      </c>
    </row>
    <row r="55" spans="1:22" ht="75" x14ac:dyDescent="0.25">
      <c r="A55" s="6"/>
      <c r="B55" s="10"/>
      <c r="C55" s="2" t="s">
        <v>3254</v>
      </c>
      <c r="D55" s="2" t="s">
        <v>12</v>
      </c>
      <c r="E55" s="1" t="str">
        <f>HYPERLINK("http://www-wds.worldbank.org/external/default/main?menuPK=64187510&amp;pagePK=64193027&amp;piPK=64187937&amp;menuPK=64154159&amp;searchMenuPK=64258546&amp;theSitePK=523679&amp;entityID=000333037_20100610012918","Social assessment ")</f>
        <v xml:space="preserve">Social assessment </v>
      </c>
      <c r="F55" s="3" t="s">
        <v>1644</v>
      </c>
      <c r="G55" s="2" t="s">
        <v>3253</v>
      </c>
      <c r="H55" s="2" t="s">
        <v>10</v>
      </c>
      <c r="I55" s="2"/>
      <c r="J55" s="3" t="s">
        <v>3252</v>
      </c>
      <c r="K55" s="2" t="s">
        <v>3251</v>
      </c>
      <c r="L55" s="2" t="s">
        <v>3250</v>
      </c>
      <c r="M55" s="2" t="s">
        <v>634</v>
      </c>
      <c r="N55" s="2" t="s">
        <v>3249</v>
      </c>
      <c r="O55" s="2" t="s">
        <v>3248</v>
      </c>
      <c r="P55" s="2"/>
      <c r="Q55" s="2" t="s">
        <v>3247</v>
      </c>
      <c r="R55" s="2" t="s">
        <v>3246</v>
      </c>
      <c r="S55" s="2"/>
      <c r="T55" s="2"/>
      <c r="U55" s="2" t="s">
        <v>706</v>
      </c>
      <c r="V55" s="2" t="s">
        <v>59</v>
      </c>
    </row>
    <row r="56" spans="1:22" ht="120" x14ac:dyDescent="0.25">
      <c r="A56" s="6"/>
      <c r="B56" s="10"/>
      <c r="C56" s="2" t="s">
        <v>3240</v>
      </c>
      <c r="D56" s="2" t="s">
        <v>12</v>
      </c>
      <c r="E56" s="1" t="str">
        <f>HYPERLINK("http://www-wds.worldbank.org/external/default/main?menuPK=64187510&amp;pagePK=64193027&amp;piPK=64187937&amp;menuPK=64154159&amp;searchMenuPK=64258546&amp;theSitePK=523679&amp;entityID=000011823_20061107154743","Social assessment framework ")</f>
        <v xml:space="preserve">Social assessment framework </v>
      </c>
      <c r="F56" s="3" t="s">
        <v>3245</v>
      </c>
      <c r="G56" s="2" t="s">
        <v>3244</v>
      </c>
      <c r="H56" s="2" t="s">
        <v>10</v>
      </c>
      <c r="I56" s="2" t="s">
        <v>3243</v>
      </c>
      <c r="J56" s="3"/>
      <c r="K56" s="2" t="s">
        <v>164</v>
      </c>
      <c r="L56" s="2" t="s">
        <v>3242</v>
      </c>
      <c r="M56" s="2" t="s">
        <v>415</v>
      </c>
      <c r="N56" s="2" t="s">
        <v>3241</v>
      </c>
      <c r="O56" s="2" t="s">
        <v>161</v>
      </c>
      <c r="P56" s="2"/>
      <c r="Q56" s="2"/>
      <c r="R56" s="2"/>
      <c r="S56" s="2"/>
      <c r="T56" s="2"/>
      <c r="U56" s="2" t="s">
        <v>441</v>
      </c>
      <c r="V56" s="2" t="s">
        <v>70</v>
      </c>
    </row>
    <row r="57" spans="1:22" ht="120" x14ac:dyDescent="0.25">
      <c r="A57" s="6"/>
      <c r="B57" s="10"/>
      <c r="C57" s="2" t="s">
        <v>3240</v>
      </c>
      <c r="D57" s="2" t="s">
        <v>12</v>
      </c>
      <c r="E57" s="1" t="str">
        <f>HYPERLINK("http://www-wds.worldbank.org/external/default/main?menuPK=64187510&amp;pagePK=64193027&amp;piPK=64187937&amp;menuPK=64154159&amp;searchMenuPK=64258546&amp;theSitePK=523679&amp;entityID=000011823_20061107155201","Social assessment for Jangchucholing - Tashidingkha and Drujeygang - Balung road ")</f>
        <v xml:space="preserve">Social assessment for Jangchucholing - Tashidingkha and Drujeygang - Balung road </v>
      </c>
      <c r="F57" s="3" t="s">
        <v>3245</v>
      </c>
      <c r="G57" s="2" t="s">
        <v>3244</v>
      </c>
      <c r="H57" s="2" t="s">
        <v>10</v>
      </c>
      <c r="I57" s="2" t="s">
        <v>3243</v>
      </c>
      <c r="J57" s="3"/>
      <c r="K57" s="2" t="s">
        <v>164</v>
      </c>
      <c r="L57" s="2" t="s">
        <v>3242</v>
      </c>
      <c r="M57" s="2" t="s">
        <v>415</v>
      </c>
      <c r="N57" s="2" t="s">
        <v>3241</v>
      </c>
      <c r="O57" s="2" t="s">
        <v>161</v>
      </c>
      <c r="P57" s="2"/>
      <c r="Q57" s="2"/>
      <c r="R57" s="2"/>
      <c r="S57" s="2"/>
      <c r="T57" s="2"/>
      <c r="U57" s="2" t="s">
        <v>441</v>
      </c>
      <c r="V57" s="2" t="s">
        <v>59</v>
      </c>
    </row>
    <row r="58" spans="1:22" ht="75" x14ac:dyDescent="0.25">
      <c r="A58" s="6"/>
      <c r="B58" s="10"/>
      <c r="C58" s="2" t="s">
        <v>3240</v>
      </c>
      <c r="D58" s="2" t="s">
        <v>12</v>
      </c>
      <c r="E58" s="1" t="str">
        <f>HYPERLINK("http://www-wds.worldbank.org/external/default/main?menuPK=64187510&amp;pagePK=64193027&amp;piPK=64187937&amp;menuPK=64154159&amp;searchMenuPK=64258546&amp;theSitePK=523679&amp;entityID=000094946_03032604015249","Bhutan - Education Development Project : indigenous peoples plan ")</f>
        <v xml:space="preserve">Bhutan - Education Development Project : indigenous peoples plan </v>
      </c>
      <c r="F58" s="3" t="s">
        <v>1330</v>
      </c>
      <c r="G58" s="2" t="s">
        <v>3239</v>
      </c>
      <c r="H58" s="2" t="s">
        <v>10</v>
      </c>
      <c r="I58" s="2"/>
      <c r="J58" s="3"/>
      <c r="K58" s="2" t="s">
        <v>21</v>
      </c>
      <c r="L58" s="2" t="s">
        <v>3238</v>
      </c>
      <c r="M58" s="2" t="s">
        <v>415</v>
      </c>
      <c r="N58" s="2" t="s">
        <v>3237</v>
      </c>
      <c r="O58" s="2" t="s">
        <v>3236</v>
      </c>
      <c r="P58" s="2"/>
      <c r="Q58" s="2" t="s">
        <v>3235</v>
      </c>
      <c r="R58" s="2" t="s">
        <v>25</v>
      </c>
      <c r="S58" s="2"/>
      <c r="T58" s="2" t="s">
        <v>3234</v>
      </c>
      <c r="U58" s="2" t="s">
        <v>1011</v>
      </c>
      <c r="V58" s="2">
        <v>1</v>
      </c>
    </row>
    <row r="59" spans="1:22" ht="75" x14ac:dyDescent="0.25">
      <c r="A59" s="6"/>
      <c r="B59" s="10"/>
      <c r="C59" s="2" t="s">
        <v>3160</v>
      </c>
      <c r="D59" s="2" t="s">
        <v>398</v>
      </c>
      <c r="E59" s="1" t="str">
        <f>HYPERLINK("http://www-wds.worldbank.org/external/default/main?menuPK=64187510&amp;pagePK=64193027&amp;piPK=64187937&amp;menuPK=64154159&amp;searchMenuPK=64258546&amp;theSitePK=523679&amp;entityID=000333038_20110303225022","Plan para pueblos indigenas ")</f>
        <v xml:space="preserve">Plan para pueblos indigenas </v>
      </c>
      <c r="F59" s="9">
        <v>40546</v>
      </c>
      <c r="G59" s="2" t="s">
        <v>3233</v>
      </c>
      <c r="H59" s="2" t="s">
        <v>10</v>
      </c>
      <c r="I59" s="2"/>
      <c r="J59" s="3"/>
      <c r="K59" s="2" t="s">
        <v>164</v>
      </c>
      <c r="L59" s="2" t="s">
        <v>3232</v>
      </c>
      <c r="M59" s="2" t="s">
        <v>634</v>
      </c>
      <c r="N59" s="2" t="s">
        <v>3231</v>
      </c>
      <c r="O59" s="2" t="s">
        <v>3230</v>
      </c>
      <c r="P59" s="2"/>
      <c r="Q59" s="2" t="s">
        <v>3229</v>
      </c>
      <c r="R59" s="2" t="s">
        <v>3228</v>
      </c>
      <c r="S59" s="2"/>
      <c r="T59" s="2"/>
      <c r="U59" s="2" t="s">
        <v>655</v>
      </c>
      <c r="V59" s="2" t="s">
        <v>328</v>
      </c>
    </row>
    <row r="60" spans="1:22" ht="75" x14ac:dyDescent="0.25">
      <c r="A60" s="6"/>
      <c r="B60" s="10"/>
      <c r="C60" s="2" t="s">
        <v>3160</v>
      </c>
      <c r="D60" s="2" t="s">
        <v>398</v>
      </c>
      <c r="E60" s="1" t="str">
        <f>HYPERLINK("http://www-wds.worldbank.org/external/default/main?menuPK=64187510&amp;pagePK=64193027&amp;piPK=64187937&amp;menuPK=64154159&amp;searchMenuPK=64258546&amp;theSitePK=523679&amp;entityID=000333038_20110303225852","Evaluacion social ")</f>
        <v xml:space="preserve">Evaluacion social </v>
      </c>
      <c r="F60" s="9">
        <v>40546</v>
      </c>
      <c r="G60" s="2" t="s">
        <v>3233</v>
      </c>
      <c r="H60" s="2" t="s">
        <v>10</v>
      </c>
      <c r="I60" s="2"/>
      <c r="J60" s="3"/>
      <c r="K60" s="2" t="s">
        <v>164</v>
      </c>
      <c r="L60" s="2" t="s">
        <v>3232</v>
      </c>
      <c r="M60" s="2" t="s">
        <v>634</v>
      </c>
      <c r="N60" s="2" t="s">
        <v>3231</v>
      </c>
      <c r="O60" s="2" t="s">
        <v>3230</v>
      </c>
      <c r="P60" s="2"/>
      <c r="Q60" s="2" t="s">
        <v>3229</v>
      </c>
      <c r="R60" s="2" t="s">
        <v>3228</v>
      </c>
      <c r="S60" s="2"/>
      <c r="T60" s="2"/>
      <c r="U60" s="2" t="s">
        <v>655</v>
      </c>
      <c r="V60" s="2" t="s">
        <v>325</v>
      </c>
    </row>
    <row r="61" spans="1:22" ht="75" x14ac:dyDescent="0.25">
      <c r="A61" s="6"/>
      <c r="B61" s="10"/>
      <c r="C61" s="2" t="s">
        <v>3160</v>
      </c>
      <c r="D61" s="2" t="s">
        <v>398</v>
      </c>
      <c r="E61" s="1" t="str">
        <f>HYPERLINK("http://www-wds.worldbank.org/external/default/main?menuPK=64187510&amp;pagePK=64193027&amp;piPK=64187937&amp;menuPK=64154159&amp;searchMenuPK=64258546&amp;theSitePK=523679&amp;entityID=000333038_20110303230557","Plan para pueblos indigenas ")</f>
        <v xml:space="preserve">Plan para pueblos indigenas </v>
      </c>
      <c r="F61" s="9">
        <v>40546</v>
      </c>
      <c r="G61" s="2" t="s">
        <v>3233</v>
      </c>
      <c r="H61" s="2" t="s">
        <v>10</v>
      </c>
      <c r="I61" s="2"/>
      <c r="J61" s="3"/>
      <c r="K61" s="2" t="s">
        <v>164</v>
      </c>
      <c r="L61" s="2" t="s">
        <v>3232</v>
      </c>
      <c r="M61" s="2" t="s">
        <v>634</v>
      </c>
      <c r="N61" s="2" t="s">
        <v>3231</v>
      </c>
      <c r="O61" s="2" t="s">
        <v>3230</v>
      </c>
      <c r="P61" s="2"/>
      <c r="Q61" s="2" t="s">
        <v>3229</v>
      </c>
      <c r="R61" s="2" t="s">
        <v>3228</v>
      </c>
      <c r="S61" s="2"/>
      <c r="T61" s="2"/>
      <c r="U61" s="2" t="s">
        <v>655</v>
      </c>
      <c r="V61" s="2" t="s">
        <v>323</v>
      </c>
    </row>
    <row r="62" spans="1:22" ht="75" x14ac:dyDescent="0.25">
      <c r="A62" s="6"/>
      <c r="B62" s="10"/>
      <c r="C62" s="2" t="s">
        <v>3160</v>
      </c>
      <c r="D62" s="2" t="s">
        <v>398</v>
      </c>
      <c r="E62" s="1" t="str">
        <f>HYPERLINK("http://www-wds.worldbank.org/external/default/main?menuPK=64187510&amp;pagePK=64193027&amp;piPK=64187937&amp;menuPK=64154159&amp;searchMenuPK=64258546&amp;theSitePK=523679&amp;entityID=000020953_20110223095154","Plan para pueblos indigenas ")</f>
        <v xml:space="preserve">Plan para pueblos indigenas </v>
      </c>
      <c r="F62" s="9">
        <v>40545</v>
      </c>
      <c r="G62" s="2" t="s">
        <v>3233</v>
      </c>
      <c r="H62" s="2" t="s">
        <v>10</v>
      </c>
      <c r="I62" s="2"/>
      <c r="J62" s="3"/>
      <c r="K62" s="2" t="s">
        <v>164</v>
      </c>
      <c r="L62" s="2" t="s">
        <v>3232</v>
      </c>
      <c r="M62" s="2" t="s">
        <v>634</v>
      </c>
      <c r="N62" s="2" t="s">
        <v>3231</v>
      </c>
      <c r="O62" s="2" t="s">
        <v>3230</v>
      </c>
      <c r="P62" s="2"/>
      <c r="Q62" s="2" t="s">
        <v>3229</v>
      </c>
      <c r="R62" s="2" t="s">
        <v>3228</v>
      </c>
      <c r="S62" s="2"/>
      <c r="T62" s="2"/>
      <c r="U62" s="2" t="s">
        <v>655</v>
      </c>
      <c r="V62" s="2" t="s">
        <v>148</v>
      </c>
    </row>
    <row r="63" spans="1:22" ht="75" x14ac:dyDescent="0.25">
      <c r="A63" s="6"/>
      <c r="B63" s="10"/>
      <c r="C63" s="2" t="s">
        <v>3160</v>
      </c>
      <c r="D63" s="2" t="s">
        <v>398</v>
      </c>
      <c r="E63" s="1" t="str">
        <f>HYPERLINK("http://www-wds.worldbank.org/external/default/main?menuPK=64187510&amp;pagePK=64193027&amp;piPK=64187937&amp;menuPK=64154159&amp;searchMenuPK=64258546&amp;theSitePK=523679&amp;entityID=000020953_20110223101407","Evaluacion social informe ")</f>
        <v xml:space="preserve">Evaluacion social informe </v>
      </c>
      <c r="F63" s="9">
        <v>40545</v>
      </c>
      <c r="G63" s="2" t="s">
        <v>3233</v>
      </c>
      <c r="H63" s="2" t="s">
        <v>10</v>
      </c>
      <c r="I63" s="2"/>
      <c r="J63" s="3"/>
      <c r="K63" s="2" t="s">
        <v>164</v>
      </c>
      <c r="L63" s="2" t="s">
        <v>3232</v>
      </c>
      <c r="M63" s="2" t="s">
        <v>634</v>
      </c>
      <c r="N63" s="2" t="s">
        <v>3231</v>
      </c>
      <c r="O63" s="2" t="s">
        <v>3230</v>
      </c>
      <c r="P63" s="2"/>
      <c r="Q63" s="2" t="s">
        <v>3229</v>
      </c>
      <c r="R63" s="2" t="s">
        <v>3228</v>
      </c>
      <c r="S63" s="2"/>
      <c r="T63" s="2"/>
      <c r="U63" s="2" t="s">
        <v>655</v>
      </c>
      <c r="V63" s="2" t="s">
        <v>185</v>
      </c>
    </row>
    <row r="64" spans="1:22" ht="75" x14ac:dyDescent="0.25">
      <c r="A64" s="6"/>
      <c r="B64" s="10"/>
      <c r="C64" s="2" t="s">
        <v>3160</v>
      </c>
      <c r="D64" s="2" t="s">
        <v>398</v>
      </c>
      <c r="E64" s="1" t="str">
        <f>HYPERLINK("http://www-wds.worldbank.org/external/default/main?menuPK=64187510&amp;pagePK=64193027&amp;piPK=64187937&amp;menuPK=64154159&amp;searchMenuPK=64258546&amp;theSitePK=523679&amp;entityID=000020953_20110223102224","Evaluacion social - anexos ")</f>
        <v xml:space="preserve">Evaluacion social - anexos </v>
      </c>
      <c r="F64" s="9">
        <v>40545</v>
      </c>
      <c r="G64" s="2" t="s">
        <v>3233</v>
      </c>
      <c r="H64" s="2" t="s">
        <v>10</v>
      </c>
      <c r="I64" s="2"/>
      <c r="J64" s="3"/>
      <c r="K64" s="2" t="s">
        <v>164</v>
      </c>
      <c r="L64" s="2" t="s">
        <v>3232</v>
      </c>
      <c r="M64" s="2" t="s">
        <v>634</v>
      </c>
      <c r="N64" s="2" t="s">
        <v>3231</v>
      </c>
      <c r="O64" s="2" t="s">
        <v>3230</v>
      </c>
      <c r="P64" s="2"/>
      <c r="Q64" s="2" t="s">
        <v>3229</v>
      </c>
      <c r="R64" s="2" t="s">
        <v>3228</v>
      </c>
      <c r="S64" s="2"/>
      <c r="T64" s="2"/>
      <c r="U64" s="2" t="s">
        <v>655</v>
      </c>
      <c r="V64" s="2" t="s">
        <v>225</v>
      </c>
    </row>
    <row r="65" spans="1:22" ht="60" x14ac:dyDescent="0.25">
      <c r="A65" s="6"/>
      <c r="B65" s="10"/>
      <c r="C65" s="2" t="s">
        <v>3160</v>
      </c>
      <c r="D65" s="2" t="s">
        <v>12</v>
      </c>
      <c r="E65" s="1" t="str">
        <f>HYPERLINK("http://www-wds.worldbank.org/external/default/main?menuPK=64187510&amp;pagePK=64193027&amp;piPK=64187937&amp;menuPK=64154159&amp;searchMenuPK=64258546&amp;theSitePK=523679&amp;entityID=000356161_20101213034035","Bolivia - Strengthening Statistical Capacity and the Informational Base for Evidence-Based Planning Project : indigenous peoples plan ")</f>
        <v xml:space="preserve">Bolivia - Strengthening Statistical Capacity and the Informational Base for Evidence-Based Planning Project : indigenous peoples plan </v>
      </c>
      <c r="F65" s="9">
        <v>40463</v>
      </c>
      <c r="G65" s="2" t="s">
        <v>3227</v>
      </c>
      <c r="H65" s="2" t="s">
        <v>10</v>
      </c>
      <c r="I65" s="2"/>
      <c r="J65" s="3"/>
      <c r="K65" s="2" t="s">
        <v>1124</v>
      </c>
      <c r="L65" s="2" t="s">
        <v>3226</v>
      </c>
      <c r="M65" s="2" t="s">
        <v>634</v>
      </c>
      <c r="N65" s="2" t="s">
        <v>3225</v>
      </c>
      <c r="O65" s="2" t="s">
        <v>2006</v>
      </c>
      <c r="P65" s="2"/>
      <c r="Q65" s="2" t="s">
        <v>3224</v>
      </c>
      <c r="R65" s="2" t="s">
        <v>3223</v>
      </c>
      <c r="S65" s="2"/>
      <c r="T65" s="2"/>
      <c r="U65" s="2" t="s">
        <v>3222</v>
      </c>
      <c r="V65" s="2" t="s">
        <v>0</v>
      </c>
    </row>
    <row r="66" spans="1:22" ht="75" x14ac:dyDescent="0.25">
      <c r="A66" s="6"/>
      <c r="B66" s="10"/>
      <c r="C66" s="2" t="s">
        <v>3160</v>
      </c>
      <c r="D66" s="2" t="s">
        <v>398</v>
      </c>
      <c r="E66" s="1" t="str">
        <f>HYPERLINK("http://www-wds.worldbank.org/external/default/main?menuPK=64187510&amp;pagePK=64193027&amp;piPK=64187937&amp;menuPK=64154159&amp;searchMenuPK=64258546&amp;theSitePK=523679&amp;entityID=000020953_20110120105545","Evaluacion social ")</f>
        <v xml:space="preserve">Evaluacion social </v>
      </c>
      <c r="F66" s="9">
        <v>40187</v>
      </c>
      <c r="G66" s="2" t="s">
        <v>3221</v>
      </c>
      <c r="H66" s="2" t="s">
        <v>10</v>
      </c>
      <c r="I66" s="2"/>
      <c r="J66" s="3"/>
      <c r="K66" s="2" t="s">
        <v>8</v>
      </c>
      <c r="L66" s="2" t="s">
        <v>3220</v>
      </c>
      <c r="M66" s="2" t="s">
        <v>634</v>
      </c>
      <c r="N66" s="2" t="s">
        <v>3219</v>
      </c>
      <c r="O66" s="2" t="s">
        <v>1449</v>
      </c>
      <c r="P66" s="2"/>
      <c r="Q66" s="2" t="s">
        <v>3218</v>
      </c>
      <c r="R66" s="2" t="s">
        <v>3217</v>
      </c>
      <c r="S66" s="2"/>
      <c r="T66" s="2"/>
      <c r="U66" s="2" t="s">
        <v>670</v>
      </c>
      <c r="V66" s="2" t="s">
        <v>0</v>
      </c>
    </row>
    <row r="67" spans="1:22" ht="120" x14ac:dyDescent="0.25">
      <c r="A67" s="6"/>
      <c r="B67" s="10"/>
      <c r="C67" s="2" t="s">
        <v>3160</v>
      </c>
      <c r="D67" s="2" t="s">
        <v>398</v>
      </c>
      <c r="E67" s="1" t="str">
        <f>HYPERLINK("http://www-wds.worldbank.org/external/default/main?menuPK=64187510&amp;pagePK=64193027&amp;piPK=64187937&amp;menuPK=64154159&amp;searchMenuPK=64258546&amp;theSitePK=523679&amp;entityID=000020953_20090204160239","Resumen del analisis social y plan de accion complementario ")</f>
        <v xml:space="preserve">Resumen del analisis social y plan de accion complementario </v>
      </c>
      <c r="F67" s="9">
        <v>39814</v>
      </c>
      <c r="G67" s="2" t="s">
        <v>3174</v>
      </c>
      <c r="H67" s="2" t="s">
        <v>10</v>
      </c>
      <c r="I67" s="2"/>
      <c r="J67" s="3"/>
      <c r="K67" s="2" t="s">
        <v>872</v>
      </c>
      <c r="L67" s="2" t="s">
        <v>3173</v>
      </c>
      <c r="M67" s="2" t="s">
        <v>634</v>
      </c>
      <c r="N67" s="2" t="s">
        <v>3172</v>
      </c>
      <c r="O67" s="2" t="s">
        <v>3171</v>
      </c>
      <c r="P67" s="2"/>
      <c r="Q67" s="2" t="s">
        <v>3170</v>
      </c>
      <c r="R67" s="2" t="s">
        <v>3169</v>
      </c>
      <c r="S67" s="2" t="s">
        <v>3168</v>
      </c>
      <c r="T67" s="2" t="s">
        <v>3167</v>
      </c>
      <c r="U67" s="2" t="s">
        <v>670</v>
      </c>
      <c r="V67" s="2" t="s">
        <v>35</v>
      </c>
    </row>
    <row r="68" spans="1:22" ht="120" x14ac:dyDescent="0.25">
      <c r="A68" s="6"/>
      <c r="B68" s="10"/>
      <c r="C68" s="2" t="s">
        <v>3160</v>
      </c>
      <c r="D68" s="2" t="s">
        <v>398</v>
      </c>
      <c r="E68" s="1" t="str">
        <f>HYPERLINK("http://www-wds.worldbank.org/external/default/main?menuPK=64187510&amp;pagePK=64193027&amp;piPK=64187937&amp;menuPK=64154159&amp;searchMenuPK=64258546&amp;theSitePK=523679&amp;entityID=000020953_20090204161959","Resumen del plan de poblaciones indigenas ")</f>
        <v xml:space="preserve">Resumen del plan de poblaciones indigenas </v>
      </c>
      <c r="F68" s="9">
        <v>39814</v>
      </c>
      <c r="G68" s="2" t="s">
        <v>3174</v>
      </c>
      <c r="H68" s="2" t="s">
        <v>10</v>
      </c>
      <c r="I68" s="2"/>
      <c r="J68" s="3"/>
      <c r="K68" s="2" t="s">
        <v>872</v>
      </c>
      <c r="L68" s="2" t="s">
        <v>3173</v>
      </c>
      <c r="M68" s="2" t="s">
        <v>634</v>
      </c>
      <c r="N68" s="2" t="s">
        <v>3172</v>
      </c>
      <c r="O68" s="2" t="s">
        <v>3171</v>
      </c>
      <c r="P68" s="2"/>
      <c r="Q68" s="2" t="s">
        <v>3170</v>
      </c>
      <c r="R68" s="2" t="s">
        <v>3169</v>
      </c>
      <c r="S68" s="2" t="s">
        <v>3168</v>
      </c>
      <c r="T68" s="2" t="s">
        <v>3167</v>
      </c>
      <c r="U68" s="2" t="s">
        <v>670</v>
      </c>
      <c r="V68" s="2" t="s">
        <v>55</v>
      </c>
    </row>
    <row r="69" spans="1:22" ht="45" x14ac:dyDescent="0.25">
      <c r="A69" s="6"/>
      <c r="B69" s="10"/>
      <c r="C69" s="2" t="s">
        <v>3160</v>
      </c>
      <c r="D69" s="2" t="s">
        <v>12</v>
      </c>
      <c r="E69" s="1" t="str">
        <f>HYPERLINK("http://www-wds.worldbank.org/external/default/main?menuPK=64187510&amp;pagePK=64193027&amp;piPK=64187937&amp;menuPK=64154159&amp;searchMenuPK=64258546&amp;theSitePK=523679&amp;entityID=000333038_20080131065838","Bolivia - Investing in Children and Youth Project : environmental assessment ")</f>
        <v xml:space="preserve">Bolivia - Investing in Children and Youth Project : environmental assessment </v>
      </c>
      <c r="F69" s="3" t="s">
        <v>3216</v>
      </c>
      <c r="G69" s="2" t="s">
        <v>3213</v>
      </c>
      <c r="H69" s="2" t="s">
        <v>10</v>
      </c>
      <c r="I69" s="2"/>
      <c r="J69" s="3"/>
      <c r="K69" s="2" t="s">
        <v>109</v>
      </c>
      <c r="L69" s="2" t="s">
        <v>3212</v>
      </c>
      <c r="M69" s="2" t="s">
        <v>634</v>
      </c>
      <c r="N69" s="2" t="s">
        <v>3211</v>
      </c>
      <c r="O69" s="2" t="s">
        <v>460</v>
      </c>
      <c r="P69" s="2"/>
      <c r="Q69" s="2" t="s">
        <v>3215</v>
      </c>
      <c r="R69" s="2" t="s">
        <v>1259</v>
      </c>
      <c r="S69" s="2" t="s">
        <v>3209</v>
      </c>
      <c r="T69" s="2" t="s">
        <v>3208</v>
      </c>
      <c r="U69" s="2" t="s">
        <v>742</v>
      </c>
      <c r="V69" s="2" t="s">
        <v>59</v>
      </c>
    </row>
    <row r="70" spans="1:22" ht="60" x14ac:dyDescent="0.25">
      <c r="A70" s="6"/>
      <c r="B70" s="10"/>
      <c r="C70" s="2" t="s">
        <v>3160</v>
      </c>
      <c r="D70" s="2" t="s">
        <v>12</v>
      </c>
      <c r="E70" s="1" t="str">
        <f>HYPERLINK("http://www-wds.worldbank.org/external/default/main?menuPK=64187510&amp;pagePK=64193027&amp;piPK=64187937&amp;menuPK=64154159&amp;searchMenuPK=64258546&amp;theSitePK=523679&amp;entityID=000333038_20080131064800","Bolivia - Investing in Children and Youth Project : environmental assessment ")</f>
        <v xml:space="preserve">Bolivia - Investing in Children and Youth Project : environmental assessment </v>
      </c>
      <c r="F70" s="3" t="s">
        <v>3214</v>
      </c>
      <c r="G70" s="2" t="s">
        <v>3213</v>
      </c>
      <c r="H70" s="2" t="s">
        <v>10</v>
      </c>
      <c r="I70" s="2"/>
      <c r="J70" s="3"/>
      <c r="K70" s="2" t="s">
        <v>109</v>
      </c>
      <c r="L70" s="2" t="s">
        <v>3212</v>
      </c>
      <c r="M70" s="2" t="s">
        <v>634</v>
      </c>
      <c r="N70" s="2" t="s">
        <v>3211</v>
      </c>
      <c r="O70" s="2" t="s">
        <v>460</v>
      </c>
      <c r="P70" s="2"/>
      <c r="Q70" s="2" t="s">
        <v>3210</v>
      </c>
      <c r="R70" s="2" t="s">
        <v>352</v>
      </c>
      <c r="S70" s="2" t="s">
        <v>3209</v>
      </c>
      <c r="T70" s="2" t="s">
        <v>3208</v>
      </c>
      <c r="U70" s="2" t="s">
        <v>742</v>
      </c>
      <c r="V70" s="2" t="s">
        <v>70</v>
      </c>
    </row>
    <row r="71" spans="1:22" ht="135" x14ac:dyDescent="0.25">
      <c r="A71" s="6"/>
      <c r="B71" s="10"/>
      <c r="C71" s="2" t="s">
        <v>3160</v>
      </c>
      <c r="D71" s="2" t="s">
        <v>398</v>
      </c>
      <c r="E71" s="1" t="str">
        <f>HYPERLINK("http://www-wds.worldbank.org/external/default/main?menuPK=64187510&amp;pagePK=64193027&amp;piPK=64187937&amp;menuPK=64154159&amp;searchMenuPK=64258546&amp;theSitePK=523679&amp;entityID=000160016_20080922162924","Bolivia - Proyecto de Desarrollo Concurrente Regionalizado (PDCR) : estudio de evaluacion social complementario ")</f>
        <v xml:space="preserve">Bolivia - Proyecto de Desarrollo Concurrente Regionalizado (PDCR) : estudio de evaluacion social complementario </v>
      </c>
      <c r="F71" s="3" t="s">
        <v>3207</v>
      </c>
      <c r="G71" s="2" t="s">
        <v>3206</v>
      </c>
      <c r="H71" s="2" t="s">
        <v>10</v>
      </c>
      <c r="I71" s="2" t="s">
        <v>3205</v>
      </c>
      <c r="J71" s="3"/>
      <c r="K71" s="2" t="s">
        <v>266</v>
      </c>
      <c r="L71" s="2" t="s">
        <v>3204</v>
      </c>
      <c r="M71" s="2" t="s">
        <v>634</v>
      </c>
      <c r="N71" s="2" t="s">
        <v>3203</v>
      </c>
      <c r="O71" s="2" t="s">
        <v>3202</v>
      </c>
      <c r="P71" s="2"/>
      <c r="Q71" s="2" t="s">
        <v>3201</v>
      </c>
      <c r="R71" s="2" t="s">
        <v>3200</v>
      </c>
      <c r="S71" s="2" t="s">
        <v>3199</v>
      </c>
      <c r="T71" s="2"/>
      <c r="U71" s="2" t="s">
        <v>670</v>
      </c>
      <c r="V71" s="2" t="s">
        <v>0</v>
      </c>
    </row>
    <row r="72" spans="1:22" ht="90" x14ac:dyDescent="0.25">
      <c r="A72" s="6"/>
      <c r="B72" s="10"/>
      <c r="C72" s="2" t="s">
        <v>3160</v>
      </c>
      <c r="D72" s="2" t="s">
        <v>398</v>
      </c>
      <c r="E72" s="1" t="str">
        <f>HYPERLINK("http://www-wds.worldbank.org/external/default/main?menuPK=64187510&amp;pagePK=64193027&amp;piPK=64187937&amp;menuPK=64154159&amp;searchMenuPK=64258546&amp;theSitePK=523679&amp;entityID=000160016_20080528174543","Proyecto de desarrollo sostenible del lago Titikaka : evaluacion social ")</f>
        <v xml:space="preserve">Proyecto de desarrollo sostenible del lago Titikaka : evaluacion social </v>
      </c>
      <c r="F72" s="9">
        <v>39091</v>
      </c>
      <c r="G72" s="2" t="s">
        <v>3198</v>
      </c>
      <c r="H72" s="2" t="s">
        <v>10</v>
      </c>
      <c r="I72" s="2" t="s">
        <v>3197</v>
      </c>
      <c r="J72" s="3"/>
      <c r="K72" s="2" t="s">
        <v>3196</v>
      </c>
      <c r="L72" s="2" t="s">
        <v>3195</v>
      </c>
      <c r="M72" s="2" t="s">
        <v>634</v>
      </c>
      <c r="N72" s="2" t="s">
        <v>3194</v>
      </c>
      <c r="O72" s="2" t="s">
        <v>3193</v>
      </c>
      <c r="P72" s="2"/>
      <c r="Q72" s="2" t="s">
        <v>3192</v>
      </c>
      <c r="R72" s="2" t="s">
        <v>3191</v>
      </c>
      <c r="S72" s="2" t="s">
        <v>3190</v>
      </c>
      <c r="T72" s="2" t="s">
        <v>3189</v>
      </c>
      <c r="U72" s="2" t="s">
        <v>706</v>
      </c>
      <c r="V72" s="2" t="s">
        <v>70</v>
      </c>
    </row>
    <row r="73" spans="1:22" ht="90" x14ac:dyDescent="0.25">
      <c r="A73" s="6"/>
      <c r="B73" s="10"/>
      <c r="C73" s="2" t="s">
        <v>3160</v>
      </c>
      <c r="D73" s="2" t="s">
        <v>398</v>
      </c>
      <c r="E73" s="1" t="str">
        <f>HYPERLINK("http://www-wds.worldbank.org/external/default/main?menuPK=64187510&amp;pagePK=64193027&amp;piPK=64187937&amp;menuPK=64154159&amp;searchMenuPK=64258546&amp;theSitePK=523679&amp;entityID=000160016_20080529120549","Anexo analisis socioeconomico de la region del lago Titikaka ")</f>
        <v xml:space="preserve">Anexo analisis socioeconomico de la region del lago Titikaka </v>
      </c>
      <c r="F73" s="9">
        <v>39091</v>
      </c>
      <c r="G73" s="2" t="s">
        <v>3198</v>
      </c>
      <c r="H73" s="2" t="s">
        <v>10</v>
      </c>
      <c r="I73" s="2" t="s">
        <v>3197</v>
      </c>
      <c r="J73" s="3"/>
      <c r="K73" s="2" t="s">
        <v>3196</v>
      </c>
      <c r="L73" s="2" t="s">
        <v>3195</v>
      </c>
      <c r="M73" s="2" t="s">
        <v>634</v>
      </c>
      <c r="N73" s="2" t="s">
        <v>3194</v>
      </c>
      <c r="O73" s="2" t="s">
        <v>3193</v>
      </c>
      <c r="P73" s="2"/>
      <c r="Q73" s="2" t="s">
        <v>3192</v>
      </c>
      <c r="R73" s="2" t="s">
        <v>3191</v>
      </c>
      <c r="S73" s="2" t="s">
        <v>3190</v>
      </c>
      <c r="T73" s="2" t="s">
        <v>3189</v>
      </c>
      <c r="U73" s="2" t="s">
        <v>706</v>
      </c>
      <c r="V73" s="2" t="s">
        <v>59</v>
      </c>
    </row>
    <row r="74" spans="1:22" ht="60" x14ac:dyDescent="0.25">
      <c r="A74" s="6"/>
      <c r="B74" s="10"/>
      <c r="C74" s="2" t="s">
        <v>3160</v>
      </c>
      <c r="D74" s="2" t="s">
        <v>398</v>
      </c>
      <c r="E74" s="1" t="str">
        <f>HYPERLINK("http://www-wds.worldbank.org/external/default/main?menuPK=64187510&amp;pagePK=64193027&amp;piPK=64187937&amp;menuPK=64154159&amp;searchMenuPK=64258546&amp;theSitePK=523679&amp;entityID=000011823_20070725160239","Evaluacion social ")</f>
        <v xml:space="preserve">Evaluacion social </v>
      </c>
      <c r="F74" s="9">
        <v>39089</v>
      </c>
      <c r="G74" s="2" t="s">
        <v>3178</v>
      </c>
      <c r="H74" s="2" t="s">
        <v>10</v>
      </c>
      <c r="I74" s="2"/>
      <c r="J74" s="3"/>
      <c r="K74" s="2" t="s">
        <v>21</v>
      </c>
      <c r="L74" s="2" t="s">
        <v>3177</v>
      </c>
      <c r="M74" s="2" t="s">
        <v>634</v>
      </c>
      <c r="N74" s="2" t="s">
        <v>3176</v>
      </c>
      <c r="O74" s="2" t="s">
        <v>18</v>
      </c>
      <c r="P74" s="2"/>
      <c r="Q74" s="2" t="s">
        <v>3188</v>
      </c>
      <c r="R74" s="2" t="s">
        <v>3187</v>
      </c>
      <c r="S74" s="2"/>
      <c r="T74" s="2" t="s">
        <v>3175</v>
      </c>
      <c r="U74" s="2" t="s">
        <v>630</v>
      </c>
      <c r="V74" s="2" t="s">
        <v>59</v>
      </c>
    </row>
    <row r="75" spans="1:22" ht="105" x14ac:dyDescent="0.25">
      <c r="A75" s="6"/>
      <c r="B75" s="10"/>
      <c r="C75" s="2" t="s">
        <v>3160</v>
      </c>
      <c r="D75" s="2" t="s">
        <v>398</v>
      </c>
      <c r="E75" s="1" t="str">
        <f>HYPERLINK("http://www-wds.worldbank.org/external/default/main?menuPK=64187510&amp;pagePK=64193027&amp;piPK=64187937&amp;menuPK=64154159&amp;searchMenuPK=64258546&amp;theSitePK=523679&amp;entityID=000020953_20070608144102","Marco General para la elaboracion de Planes para los Pueblos Indigenas aplicables al proyecto de electrificacion rural IDTR y GPOBA ")</f>
        <v xml:space="preserve">Marco General para la elaboracion de Planes para los Pueblos Indigenas aplicables al proyecto de electrificacion rural IDTR y GPOBA </v>
      </c>
      <c r="F75" s="3" t="s">
        <v>3186</v>
      </c>
      <c r="G75" s="2" t="s">
        <v>3166</v>
      </c>
      <c r="H75" s="2" t="s">
        <v>10</v>
      </c>
      <c r="I75" s="2" t="s">
        <v>3165</v>
      </c>
      <c r="J75" s="3"/>
      <c r="K75" s="2" t="s">
        <v>1124</v>
      </c>
      <c r="L75" s="2" t="s">
        <v>3164</v>
      </c>
      <c r="M75" s="2" t="s">
        <v>634</v>
      </c>
      <c r="N75" s="2" t="s">
        <v>3163</v>
      </c>
      <c r="O75" s="2" t="s">
        <v>3162</v>
      </c>
      <c r="P75" s="2"/>
      <c r="Q75" s="2" t="s">
        <v>3185</v>
      </c>
      <c r="R75" s="2" t="s">
        <v>3184</v>
      </c>
      <c r="S75" s="2"/>
      <c r="T75" s="2" t="s">
        <v>3161</v>
      </c>
      <c r="U75" s="2" t="s">
        <v>662</v>
      </c>
      <c r="V75" s="2" t="s">
        <v>59</v>
      </c>
    </row>
    <row r="76" spans="1:22" ht="75" x14ac:dyDescent="0.25">
      <c r="A76" s="6"/>
      <c r="B76" s="10"/>
      <c r="C76" s="2" t="s">
        <v>3160</v>
      </c>
      <c r="D76" s="2" t="s">
        <v>3183</v>
      </c>
      <c r="E76" s="1" t="str">
        <f>HYPERLINK("http://www-wds.worldbank.org/external/default/main?menuPK=64187510&amp;pagePK=64193027&amp;piPK=64187937&amp;menuPK=64154159&amp;searchMenuPK=64258546&amp;theSitePK=523679&amp;entityID=000020953_20070112155612","Bolivia - Decentralized Electricity for Universal Access Project : indigenous peoples framework ")</f>
        <v xml:space="preserve">Bolivia - Decentralized Electricity for Universal Access Project : indigenous peoples framework </v>
      </c>
      <c r="F76" s="9">
        <v>39326</v>
      </c>
      <c r="G76" s="2" t="s">
        <v>3182</v>
      </c>
      <c r="H76" s="2" t="s">
        <v>10</v>
      </c>
      <c r="I76" s="2" t="s">
        <v>3160</v>
      </c>
      <c r="J76" s="3"/>
      <c r="K76" s="2" t="s">
        <v>80</v>
      </c>
      <c r="L76" s="2" t="s">
        <v>3181</v>
      </c>
      <c r="M76" s="2" t="s">
        <v>634</v>
      </c>
      <c r="N76" s="2" t="s">
        <v>3180</v>
      </c>
      <c r="O76" s="2" t="s">
        <v>444</v>
      </c>
      <c r="P76" s="2"/>
      <c r="Q76" s="2" t="s">
        <v>1221</v>
      </c>
      <c r="R76" s="2"/>
      <c r="S76" s="2"/>
      <c r="T76" s="2"/>
      <c r="U76" s="2" t="s">
        <v>2015</v>
      </c>
      <c r="V76" s="2" t="s">
        <v>0</v>
      </c>
    </row>
    <row r="77" spans="1:22" ht="60" x14ac:dyDescent="0.25">
      <c r="A77" s="6"/>
      <c r="B77" s="10"/>
      <c r="C77" s="2" t="s">
        <v>3160</v>
      </c>
      <c r="D77" s="2" t="s">
        <v>12</v>
      </c>
      <c r="E77" s="1" t="str">
        <f>HYPERLINK("http://www-wds.worldbank.org/external/default/main?menuPK=64187510&amp;pagePK=64193027&amp;piPK=64187937&amp;menuPK=64154159&amp;searchMenuPK=64258546&amp;theSitePK=523679&amp;entityID=000160016_20060224122332","Bolivia - Secondary Education Project : indigenous peoples report ")</f>
        <v xml:space="preserve">Bolivia - Secondary Education Project : indigenous peoples report </v>
      </c>
      <c r="F77" s="3" t="s">
        <v>3179</v>
      </c>
      <c r="G77" s="2" t="s">
        <v>3178</v>
      </c>
      <c r="H77" s="2" t="s">
        <v>10</v>
      </c>
      <c r="I77" s="2"/>
      <c r="J77" s="3"/>
      <c r="K77" s="2" t="s">
        <v>21</v>
      </c>
      <c r="L77" s="2" t="s">
        <v>3177</v>
      </c>
      <c r="M77" s="2" t="s">
        <v>634</v>
      </c>
      <c r="N77" s="2" t="s">
        <v>3176</v>
      </c>
      <c r="O77" s="2" t="s">
        <v>18</v>
      </c>
      <c r="P77" s="2"/>
      <c r="Q77" s="2" t="s">
        <v>1808</v>
      </c>
      <c r="R77" s="2" t="s">
        <v>329</v>
      </c>
      <c r="S77" s="2"/>
      <c r="T77" s="2" t="s">
        <v>3175</v>
      </c>
      <c r="U77" s="2" t="s">
        <v>630</v>
      </c>
      <c r="V77" s="2" t="s">
        <v>70</v>
      </c>
    </row>
    <row r="78" spans="1:22" ht="120" x14ac:dyDescent="0.25">
      <c r="A78" s="6"/>
      <c r="B78" s="10"/>
      <c r="C78" s="2" t="s">
        <v>3160</v>
      </c>
      <c r="D78" s="2" t="s">
        <v>398</v>
      </c>
      <c r="E78" s="1" t="str">
        <f>HYPERLINK("http://www-wds.worldbank.org/external/default/main?menuPK=64187510&amp;pagePK=64193027&amp;piPK=64187937&amp;menuPK=64154159&amp;searchMenuPK=64258546&amp;theSitePK=523679&amp;entityID=000333037_20090210223820","Analisis social y plan de accion del proyecto de alianzas rurales (PAR) ")</f>
        <v xml:space="preserve">Analisis social y plan de accion del proyecto de alianzas rurales (PAR) </v>
      </c>
      <c r="F78" s="9">
        <v>38354</v>
      </c>
      <c r="G78" s="2" t="s">
        <v>3174</v>
      </c>
      <c r="H78" s="2" t="s">
        <v>10</v>
      </c>
      <c r="I78" s="2"/>
      <c r="J78" s="3"/>
      <c r="K78" s="2" t="s">
        <v>872</v>
      </c>
      <c r="L78" s="2" t="s">
        <v>3173</v>
      </c>
      <c r="M78" s="2" t="s">
        <v>634</v>
      </c>
      <c r="N78" s="2" t="s">
        <v>3172</v>
      </c>
      <c r="O78" s="2" t="s">
        <v>3171</v>
      </c>
      <c r="P78" s="2"/>
      <c r="Q78" s="2" t="s">
        <v>3170</v>
      </c>
      <c r="R78" s="2" t="s">
        <v>3169</v>
      </c>
      <c r="S78" s="2" t="s">
        <v>3168</v>
      </c>
      <c r="T78" s="2" t="s">
        <v>3167</v>
      </c>
      <c r="U78" s="2" t="s">
        <v>670</v>
      </c>
      <c r="V78" s="2" t="s">
        <v>93</v>
      </c>
    </row>
    <row r="79" spans="1:22" ht="105" x14ac:dyDescent="0.25">
      <c r="A79" s="6"/>
      <c r="B79" s="10"/>
      <c r="C79" s="2" t="s">
        <v>3160</v>
      </c>
      <c r="D79" s="2" t="s">
        <v>398</v>
      </c>
      <c r="E79" s="1" t="str">
        <f>HYPERLINK("http://www-wds.worldbank.org/external/default/main?menuPK=64187510&amp;pagePK=64193027&amp;piPK=64187937&amp;menuPK=64154159&amp;searchMenuPK=64258546&amp;theSitePK=523679&amp;entityID=000094946_03052004071310","Bolivia - Decentralized Energy, Information and Communications Technology for Rural Transformation Project : indigenous people plan ")</f>
        <v xml:space="preserve">Bolivia - Decentralized Energy, Information and Communications Technology for Rural Transformation Project : indigenous people plan </v>
      </c>
      <c r="F79" s="3" t="s">
        <v>2839</v>
      </c>
      <c r="G79" s="2" t="s">
        <v>3166</v>
      </c>
      <c r="H79" s="2" t="s">
        <v>10</v>
      </c>
      <c r="I79" s="2" t="s">
        <v>3165</v>
      </c>
      <c r="J79" s="3"/>
      <c r="K79" s="2" t="s">
        <v>1124</v>
      </c>
      <c r="L79" s="2" t="s">
        <v>3164</v>
      </c>
      <c r="M79" s="2" t="s">
        <v>634</v>
      </c>
      <c r="N79" s="2" t="s">
        <v>3163</v>
      </c>
      <c r="O79" s="2" t="s">
        <v>3162</v>
      </c>
      <c r="P79" s="2"/>
      <c r="Q79" s="2"/>
      <c r="R79" s="2"/>
      <c r="S79" s="2"/>
      <c r="T79" s="2" t="s">
        <v>3161</v>
      </c>
      <c r="U79" s="2" t="s">
        <v>662</v>
      </c>
      <c r="V79" s="2" t="s">
        <v>70</v>
      </c>
    </row>
    <row r="80" spans="1:22" ht="45" x14ac:dyDescent="0.25">
      <c r="A80" s="6"/>
      <c r="B80" s="10"/>
      <c r="C80" s="2" t="s">
        <v>3160</v>
      </c>
      <c r="D80" s="2" t="s">
        <v>398</v>
      </c>
      <c r="E80" s="1" t="str">
        <f>HYPERLINK("http://www-wds.worldbank.org/external/default/main?menuPK=64187510&amp;pagePK=64193027&amp;piPK=64187937&amp;menuPK=64154159&amp;searchMenuPK=64258546&amp;theSitePK=523679&amp;entityID=000094946_02050404112144","Bolivia - Proyecto de Rrehabilitation de Carreteras : plan de desarrollo indigena ")</f>
        <v xml:space="preserve">Bolivia - Proyecto de Rrehabilitation de Carreteras : plan de desarrollo indigena </v>
      </c>
      <c r="F80" s="3" t="s">
        <v>455</v>
      </c>
      <c r="G80" s="2" t="s">
        <v>3159</v>
      </c>
      <c r="H80" s="2" t="s">
        <v>10</v>
      </c>
      <c r="I80" s="2" t="s">
        <v>3158</v>
      </c>
      <c r="J80" s="3"/>
      <c r="K80" s="2" t="s">
        <v>164</v>
      </c>
      <c r="L80" s="2" t="s">
        <v>3157</v>
      </c>
      <c r="M80" s="2" t="s">
        <v>634</v>
      </c>
      <c r="N80" s="2" t="s">
        <v>3156</v>
      </c>
      <c r="O80" s="2" t="s">
        <v>567</v>
      </c>
      <c r="P80" s="2"/>
      <c r="Q80" s="2"/>
      <c r="R80" s="2"/>
      <c r="S80" s="2"/>
      <c r="T80" s="2" t="s">
        <v>3155</v>
      </c>
      <c r="U80" s="2" t="s">
        <v>655</v>
      </c>
      <c r="V80" s="2">
        <v>1</v>
      </c>
    </row>
    <row r="81" spans="1:22" ht="75" x14ac:dyDescent="0.25">
      <c r="A81" s="6"/>
      <c r="B81" s="10"/>
      <c r="C81" s="2" t="s">
        <v>3151</v>
      </c>
      <c r="D81" s="2"/>
      <c r="E81" s="1" t="str">
        <f>HYPERLINK("http://www-wds.worldbank.org/external/default/main?menuPK=64187510&amp;pagePK=64193027&amp;piPK=64187937&amp;menuPK=64154159&amp;searchMenuPK=64258546&amp;theSitePK=523679&amp;entityID=000334955_20090918025408","Motheo wa togamaano wa batho ba ba tlholegang mo lefelong ")</f>
        <v xml:space="preserve">Motheo wa togamaano wa batho ba ba tlholegang mo lefelong </v>
      </c>
      <c r="F81" s="3" t="s">
        <v>3154</v>
      </c>
      <c r="G81" s="2" t="s">
        <v>3150</v>
      </c>
      <c r="H81" s="2" t="s">
        <v>10</v>
      </c>
      <c r="I81" s="2" t="s">
        <v>3149</v>
      </c>
      <c r="J81" s="3"/>
      <c r="K81" s="2" t="s">
        <v>8</v>
      </c>
      <c r="L81" s="2" t="s">
        <v>3148</v>
      </c>
      <c r="M81" s="2" t="s">
        <v>395</v>
      </c>
      <c r="N81" s="2" t="s">
        <v>3147</v>
      </c>
      <c r="O81" s="2" t="s">
        <v>4</v>
      </c>
      <c r="P81" s="2"/>
      <c r="Q81" s="2" t="s">
        <v>3153</v>
      </c>
      <c r="R81" s="2" t="s">
        <v>3152</v>
      </c>
      <c r="S81" s="2" t="s">
        <v>3144</v>
      </c>
      <c r="T81" s="2" t="s">
        <v>3143</v>
      </c>
      <c r="U81" s="2" t="s">
        <v>1513</v>
      </c>
      <c r="V81" s="2" t="s">
        <v>59</v>
      </c>
    </row>
    <row r="82" spans="1:22" ht="75" x14ac:dyDescent="0.25">
      <c r="A82" s="6"/>
      <c r="B82" s="10"/>
      <c r="C82" s="2" t="s">
        <v>3151</v>
      </c>
      <c r="D82" s="2" t="s">
        <v>12</v>
      </c>
      <c r="E82" s="1" t="str">
        <f>HYPERLINK("http://www-wds.worldbank.org/external/default/main?menuPK=64187510&amp;pagePK=64193027&amp;piPK=64187937&amp;menuPK=64154159&amp;searchMenuPK=64258546&amp;theSitePK=523679&amp;entityID=000333038_20090607233652","Indigenous people's planning framework ")</f>
        <v xml:space="preserve">Indigenous people's planning framework </v>
      </c>
      <c r="F82" s="9">
        <v>39818</v>
      </c>
      <c r="G82" s="2" t="s">
        <v>3150</v>
      </c>
      <c r="H82" s="2" t="s">
        <v>10</v>
      </c>
      <c r="I82" s="2" t="s">
        <v>3149</v>
      </c>
      <c r="J82" s="3"/>
      <c r="K82" s="2" t="s">
        <v>8</v>
      </c>
      <c r="L82" s="2" t="s">
        <v>3148</v>
      </c>
      <c r="M82" s="2" t="s">
        <v>395</v>
      </c>
      <c r="N82" s="2" t="s">
        <v>3147</v>
      </c>
      <c r="O82" s="2" t="s">
        <v>4</v>
      </c>
      <c r="P82" s="2"/>
      <c r="Q82" s="2" t="s">
        <v>3153</v>
      </c>
      <c r="R82" s="2" t="s">
        <v>3152</v>
      </c>
      <c r="S82" s="2" t="s">
        <v>3144</v>
      </c>
      <c r="T82" s="2" t="s">
        <v>3143</v>
      </c>
      <c r="U82" s="2" t="s">
        <v>1513</v>
      </c>
      <c r="V82" s="2" t="s">
        <v>59</v>
      </c>
    </row>
    <row r="83" spans="1:22" ht="75" x14ac:dyDescent="0.25">
      <c r="A83" s="6"/>
      <c r="B83" s="10"/>
      <c r="C83" s="2" t="s">
        <v>3151</v>
      </c>
      <c r="D83" s="2" t="s">
        <v>12</v>
      </c>
      <c r="E83" s="1" t="str">
        <f>HYPERLINK("http://www-wds.worldbank.org/external/default/main?menuPK=64187510&amp;pagePK=64193027&amp;piPK=64187937&amp;menuPK=64154159&amp;searchMenuPK=64258546&amp;theSitePK=523679&amp;entityID=000334955_20090403060859","Environmental and social management framework ")</f>
        <v xml:space="preserve">Environmental and social management framework </v>
      </c>
      <c r="F83" s="3" t="s">
        <v>1884</v>
      </c>
      <c r="G83" s="2" t="s">
        <v>3150</v>
      </c>
      <c r="H83" s="2" t="s">
        <v>10</v>
      </c>
      <c r="I83" s="2" t="s">
        <v>3149</v>
      </c>
      <c r="J83" s="3"/>
      <c r="K83" s="2" t="s">
        <v>8</v>
      </c>
      <c r="L83" s="2" t="s">
        <v>3148</v>
      </c>
      <c r="M83" s="2" t="s">
        <v>395</v>
      </c>
      <c r="N83" s="2" t="s">
        <v>3147</v>
      </c>
      <c r="O83" s="2" t="s">
        <v>4</v>
      </c>
      <c r="P83" s="2"/>
      <c r="Q83" s="2" t="s">
        <v>3146</v>
      </c>
      <c r="R83" s="2" t="s">
        <v>3145</v>
      </c>
      <c r="S83" s="2" t="s">
        <v>3144</v>
      </c>
      <c r="T83" s="2" t="s">
        <v>3143</v>
      </c>
      <c r="U83" s="2" t="s">
        <v>1513</v>
      </c>
      <c r="V83" s="2" t="s">
        <v>70</v>
      </c>
    </row>
    <row r="84" spans="1:22" ht="105" x14ac:dyDescent="0.25">
      <c r="A84" s="6"/>
      <c r="B84" s="10"/>
      <c r="C84" s="2" t="s">
        <v>2919</v>
      </c>
      <c r="D84" s="2" t="s">
        <v>2918</v>
      </c>
      <c r="E84" s="1" t="str">
        <f>HYPERLINK("http://www-wds.worldbank.org/external/default/main?menuPK=64187510&amp;pagePK=64193027&amp;piPK=64187937&amp;menuPK=64154159&amp;searchMenuPK=64258546&amp;theSitePK=523679&amp;entityID=000333038_20101028005021","Plano indigena : institucionalidade da saude indigen ")</f>
        <v xml:space="preserve">Plano indigena : institucionalidade da saude indigen </v>
      </c>
      <c r="F84" s="3" t="s">
        <v>3142</v>
      </c>
      <c r="G84" s="2" t="s">
        <v>3141</v>
      </c>
      <c r="H84" s="2" t="s">
        <v>10</v>
      </c>
      <c r="I84" s="2"/>
      <c r="J84" s="3"/>
      <c r="K84" s="2" t="s">
        <v>714</v>
      </c>
      <c r="L84" s="2" t="s">
        <v>3140</v>
      </c>
      <c r="M84" s="2" t="s">
        <v>634</v>
      </c>
      <c r="N84" s="2" t="s">
        <v>3139</v>
      </c>
      <c r="O84" s="2" t="s">
        <v>3138</v>
      </c>
      <c r="P84" s="2"/>
      <c r="Q84" s="2" t="s">
        <v>3137</v>
      </c>
      <c r="R84" s="2" t="s">
        <v>3136</v>
      </c>
      <c r="S84" s="2"/>
      <c r="T84" s="2" t="s">
        <v>3135</v>
      </c>
      <c r="U84" s="2" t="s">
        <v>684</v>
      </c>
      <c r="V84" s="2" t="s">
        <v>0</v>
      </c>
    </row>
    <row r="85" spans="1:22" ht="60" x14ac:dyDescent="0.25">
      <c r="A85" s="6"/>
      <c r="B85" s="10"/>
      <c r="C85" s="2" t="s">
        <v>2919</v>
      </c>
      <c r="D85" s="2" t="s">
        <v>2918</v>
      </c>
      <c r="E85" s="1" t="str">
        <f>HYPERLINK("http://www-wds.worldbank.org/external/default/main?menuPK=64187510&amp;pagePK=64193027&amp;piPK=64187937&amp;menuPK=64154159&amp;searchMenuPK=64258546&amp;theSitePK=523679&amp;entityID=000020953_20100721161719","Plano dos Povos Indígenas ")</f>
        <v xml:space="preserve">Plano dos Povos Indígenas </v>
      </c>
      <c r="F85" s="9">
        <v>40184</v>
      </c>
      <c r="G85" s="2" t="s">
        <v>3134</v>
      </c>
      <c r="H85" s="2" t="s">
        <v>10</v>
      </c>
      <c r="I85" s="2"/>
      <c r="J85" s="3"/>
      <c r="K85" s="2" t="s">
        <v>109</v>
      </c>
      <c r="L85" s="2" t="s">
        <v>3133</v>
      </c>
      <c r="M85" s="2" t="s">
        <v>634</v>
      </c>
      <c r="N85" s="2" t="s">
        <v>3132</v>
      </c>
      <c r="O85" s="2" t="s">
        <v>489</v>
      </c>
      <c r="P85" s="2"/>
      <c r="Q85" s="2" t="s">
        <v>3131</v>
      </c>
      <c r="R85" s="2" t="s">
        <v>3130</v>
      </c>
      <c r="S85" s="2"/>
      <c r="T85" s="2"/>
      <c r="U85" s="2" t="s">
        <v>684</v>
      </c>
      <c r="V85" s="2" t="s">
        <v>0</v>
      </c>
    </row>
    <row r="86" spans="1:22" ht="60" x14ac:dyDescent="0.25">
      <c r="A86" s="6"/>
      <c r="B86" s="10"/>
      <c r="C86" s="2" t="s">
        <v>2919</v>
      </c>
      <c r="D86" s="2" t="s">
        <v>2918</v>
      </c>
      <c r="E86" s="1" t="str">
        <f>HYPERLINK("http://www-wds.worldbank.org/external/default/main?menuPK=64187510&amp;pagePK=64193027&amp;piPK=64187937&amp;menuPK=64154159&amp;searchMenuPK=64258546&amp;theSitePK=523679&amp;entityID=000020953_20100311140208","Marco conceitual de povos indigenas ")</f>
        <v xml:space="preserve">Marco conceitual de povos indigenas </v>
      </c>
      <c r="F86" s="9">
        <v>40393</v>
      </c>
      <c r="G86" s="2" t="s">
        <v>3129</v>
      </c>
      <c r="H86" s="2" t="s">
        <v>10</v>
      </c>
      <c r="I86" s="2"/>
      <c r="J86" s="3"/>
      <c r="K86" s="2" t="s">
        <v>80</v>
      </c>
      <c r="L86" s="2" t="s">
        <v>3128</v>
      </c>
      <c r="M86" s="2" t="s">
        <v>634</v>
      </c>
      <c r="N86" s="2" t="s">
        <v>3127</v>
      </c>
      <c r="O86" s="2" t="s">
        <v>77</v>
      </c>
      <c r="P86" s="2"/>
      <c r="Q86" s="2" t="s">
        <v>3126</v>
      </c>
      <c r="R86" s="2" t="s">
        <v>3125</v>
      </c>
      <c r="S86" s="2" t="s">
        <v>368</v>
      </c>
      <c r="T86" s="2"/>
      <c r="U86" s="2" t="s">
        <v>662</v>
      </c>
      <c r="V86" s="2" t="s">
        <v>0</v>
      </c>
    </row>
    <row r="87" spans="1:22" ht="105" x14ac:dyDescent="0.25">
      <c r="A87" s="6"/>
      <c r="B87" s="10"/>
      <c r="C87" s="2" t="s">
        <v>2919</v>
      </c>
      <c r="D87" s="2" t="s">
        <v>2918</v>
      </c>
      <c r="E87" s="1" t="str">
        <f>HYPERLINK("http://www-wds.worldbank.org/external/default/main?menuPK=64187510&amp;pagePK=64193027&amp;piPK=64187937&amp;menuPK=64154159&amp;searchMenuPK=64258546&amp;theSitePK=523679&amp;entityID=000020953_20100128135707","Estrategia de participacao dos povos indigenas ")</f>
        <v xml:space="preserve">Estrategia de participacao dos povos indigenas </v>
      </c>
      <c r="F87" s="9">
        <v>40179</v>
      </c>
      <c r="G87" s="2" t="s">
        <v>3124</v>
      </c>
      <c r="H87" s="2" t="s">
        <v>10</v>
      </c>
      <c r="I87" s="2"/>
      <c r="J87" s="3"/>
      <c r="K87" s="2" t="s">
        <v>872</v>
      </c>
      <c r="L87" s="2" t="s">
        <v>3123</v>
      </c>
      <c r="M87" s="2" t="s">
        <v>634</v>
      </c>
      <c r="N87" s="2" t="s">
        <v>3122</v>
      </c>
      <c r="O87" s="2" t="s">
        <v>3089</v>
      </c>
      <c r="P87" s="2"/>
      <c r="Q87" s="2" t="s">
        <v>3121</v>
      </c>
      <c r="R87" s="2" t="s">
        <v>3120</v>
      </c>
      <c r="S87" s="2" t="s">
        <v>3119</v>
      </c>
      <c r="T87" s="2" t="s">
        <v>3118</v>
      </c>
      <c r="U87" s="2" t="s">
        <v>670</v>
      </c>
      <c r="V87" s="2" t="s">
        <v>0</v>
      </c>
    </row>
    <row r="88" spans="1:22" ht="90" x14ac:dyDescent="0.25">
      <c r="A88" s="6"/>
      <c r="B88" s="10"/>
      <c r="C88" s="2" t="s">
        <v>2919</v>
      </c>
      <c r="D88" s="2" t="s">
        <v>2918</v>
      </c>
      <c r="E88" s="1" t="str">
        <f>HYPERLINK("http://www-wds.worldbank.org/external/default/main?menuPK=64187510&amp;pagePK=64193027&amp;piPK=64187937&amp;menuPK=64154159&amp;searchMenuPK=64258546&amp;theSitePK=523679&amp;entityID=000020953_20100115131408","Marco de referencia : povos indigenas em Minas Gerais ")</f>
        <v xml:space="preserve">Marco de referencia : povos indigenas em Minas Gerais </v>
      </c>
      <c r="F88" s="9">
        <v>39825</v>
      </c>
      <c r="G88" s="2" t="s">
        <v>3117</v>
      </c>
      <c r="H88" s="2" t="s">
        <v>10</v>
      </c>
      <c r="I88" s="2"/>
      <c r="J88" s="3">
        <v>7547</v>
      </c>
      <c r="K88" s="2" t="s">
        <v>3032</v>
      </c>
      <c r="L88" s="2" t="s">
        <v>3116</v>
      </c>
      <c r="M88" s="2" t="s">
        <v>634</v>
      </c>
      <c r="N88" s="2" t="s">
        <v>3115</v>
      </c>
      <c r="O88" s="2" t="s">
        <v>3029</v>
      </c>
      <c r="P88" s="2"/>
      <c r="Q88" s="2" t="s">
        <v>3028</v>
      </c>
      <c r="R88" s="2" t="s">
        <v>3027</v>
      </c>
      <c r="S88" s="2" t="s">
        <v>3026</v>
      </c>
      <c r="T88" s="2"/>
      <c r="U88" s="2" t="s">
        <v>951</v>
      </c>
      <c r="V88" s="2" t="s">
        <v>0</v>
      </c>
    </row>
    <row r="89" spans="1:22" ht="75" x14ac:dyDescent="0.25">
      <c r="A89" s="6"/>
      <c r="B89" s="10"/>
      <c r="C89" s="2" t="s">
        <v>2919</v>
      </c>
      <c r="D89" s="2" t="s">
        <v>12</v>
      </c>
      <c r="E89" s="1" t="str">
        <f>HYPERLINK("http://www-wds.worldbank.org/external/default/main?menuPK=64187510&amp;pagePK=64193027&amp;piPK=64187937&amp;menuPK=64154159&amp;searchMenuPK=64258546&amp;theSitePK=523679&amp;entityID=000334955_20091106012020","Brazil - Second Bolsa Familia Adaptable Program Loan Project : social assessment and indigenous peoples plan ")</f>
        <v xml:space="preserve">Brazil - Second Bolsa Familia Adaptable Program Loan Project : social assessment and indigenous peoples plan </v>
      </c>
      <c r="F89" s="3" t="s">
        <v>3114</v>
      </c>
      <c r="G89" s="2" t="s">
        <v>3113</v>
      </c>
      <c r="H89" s="2" t="s">
        <v>10</v>
      </c>
      <c r="I89" s="2"/>
      <c r="J89" s="3"/>
      <c r="K89" s="2" t="s">
        <v>593</v>
      </c>
      <c r="L89" s="2" t="s">
        <v>3112</v>
      </c>
      <c r="M89" s="2" t="s">
        <v>634</v>
      </c>
      <c r="N89" s="2" t="s">
        <v>3111</v>
      </c>
      <c r="O89" s="2" t="s">
        <v>860</v>
      </c>
      <c r="P89" s="2"/>
      <c r="Q89" s="2" t="s">
        <v>3110</v>
      </c>
      <c r="R89" s="2" t="s">
        <v>385</v>
      </c>
      <c r="S89" s="2" t="s">
        <v>575</v>
      </c>
      <c r="T89" s="2"/>
      <c r="U89" s="2" t="s">
        <v>742</v>
      </c>
      <c r="V89" s="2" t="s">
        <v>0</v>
      </c>
    </row>
    <row r="90" spans="1:22" ht="180" x14ac:dyDescent="0.25">
      <c r="A90" s="6"/>
      <c r="B90" s="10"/>
      <c r="C90" s="2" t="s">
        <v>2919</v>
      </c>
      <c r="D90" s="2" t="s">
        <v>2918</v>
      </c>
      <c r="E90" s="1" t="str">
        <f>HYPERLINK("http://www-wds.worldbank.org/external/default/main?menuPK=64187510&amp;pagePK=64193027&amp;piPK=64187937&amp;menuPK=64154159&amp;searchMenuPK=64258546&amp;theSitePK=523679&amp;entityID=000020953_20100226142011","Anexo ")</f>
        <v xml:space="preserve">Anexo </v>
      </c>
      <c r="F90" s="9">
        <v>39823</v>
      </c>
      <c r="G90" s="2" t="s">
        <v>3109</v>
      </c>
      <c r="H90" s="2" t="s">
        <v>10</v>
      </c>
      <c r="I90" s="2" t="s">
        <v>3108</v>
      </c>
      <c r="J90" s="3"/>
      <c r="K90" s="2" t="s">
        <v>3107</v>
      </c>
      <c r="L90" s="2" t="s">
        <v>3106</v>
      </c>
      <c r="M90" s="2" t="s">
        <v>634</v>
      </c>
      <c r="N90" s="2" t="s">
        <v>3105</v>
      </c>
      <c r="O90" s="2" t="s">
        <v>3104</v>
      </c>
      <c r="P90" s="2"/>
      <c r="Q90" s="2" t="s">
        <v>3103</v>
      </c>
      <c r="R90" s="2" t="s">
        <v>3102</v>
      </c>
      <c r="S90" s="2" t="s">
        <v>3101</v>
      </c>
      <c r="T90" s="2"/>
      <c r="U90" s="2" t="s">
        <v>670</v>
      </c>
      <c r="V90" s="2" t="s">
        <v>0</v>
      </c>
    </row>
    <row r="91" spans="1:22" ht="75" x14ac:dyDescent="0.25">
      <c r="A91" s="6"/>
      <c r="B91" s="10"/>
      <c r="C91" s="2" t="s">
        <v>2919</v>
      </c>
      <c r="D91" s="2" t="s">
        <v>12</v>
      </c>
      <c r="E91" s="1" t="str">
        <f>HYPERLINK("http://www-wds.worldbank.org/external/default/main?menuPK=64187510&amp;pagePK=64193027&amp;piPK=64187937&amp;menuPK=64154159&amp;searchMenuPK=64258546&amp;theSitePK=523679&amp;entityID=000334955_20090723030436","Brazil - AIDS-SUS (National AIDS Program - National Health Service) Project : indigenous peoples plan ")</f>
        <v xml:space="preserve">Brazil - AIDS-SUS (National AIDS Program - National Health Service) Project : indigenous peoples plan </v>
      </c>
      <c r="F91" s="9">
        <v>39879</v>
      </c>
      <c r="G91" s="2" t="s">
        <v>3100</v>
      </c>
      <c r="H91" s="2" t="s">
        <v>10</v>
      </c>
      <c r="I91" s="2"/>
      <c r="J91" s="3"/>
      <c r="K91" s="2" t="s">
        <v>109</v>
      </c>
      <c r="L91" s="2" t="s">
        <v>3099</v>
      </c>
      <c r="M91" s="2" t="s">
        <v>634</v>
      </c>
      <c r="N91" s="2" t="s">
        <v>3098</v>
      </c>
      <c r="O91" s="2" t="s">
        <v>489</v>
      </c>
      <c r="P91" s="2"/>
      <c r="Q91" s="2" t="s">
        <v>3097</v>
      </c>
      <c r="R91" s="2" t="s">
        <v>3096</v>
      </c>
      <c r="S91" s="2" t="s">
        <v>3095</v>
      </c>
      <c r="T91" s="2"/>
      <c r="U91" s="2" t="s">
        <v>684</v>
      </c>
      <c r="V91" s="2" t="s">
        <v>0</v>
      </c>
    </row>
    <row r="92" spans="1:22" ht="105" x14ac:dyDescent="0.25">
      <c r="A92" s="6"/>
      <c r="B92" s="10"/>
      <c r="C92" s="2" t="s">
        <v>2919</v>
      </c>
      <c r="D92" s="2" t="s">
        <v>2918</v>
      </c>
      <c r="E92" s="1" t="str">
        <f>HYPERLINK("http://www-wds.worldbank.org/external/default/main?menuPK=64187510&amp;pagePK=64193027&amp;piPK=64187937&amp;menuPK=64154159&amp;searchMenuPK=64258546&amp;theSitePK=523679&amp;entityID=000020953_20090204142504","Brazil - Sao Paulo Sustainable Rural Development Project : indigenous people's planning framework ")</f>
        <v xml:space="preserve">Brazil - Sao Paulo Sustainable Rural Development Project : indigenous people's planning framework </v>
      </c>
      <c r="F92" s="3" t="s">
        <v>3094</v>
      </c>
      <c r="G92" s="2" t="s">
        <v>3093</v>
      </c>
      <c r="H92" s="2" t="s">
        <v>10</v>
      </c>
      <c r="I92" s="2" t="s">
        <v>3092</v>
      </c>
      <c r="J92" s="3"/>
      <c r="K92" s="2" t="s">
        <v>872</v>
      </c>
      <c r="L92" s="2" t="s">
        <v>3091</v>
      </c>
      <c r="M92" s="2" t="s">
        <v>634</v>
      </c>
      <c r="N92" s="2" t="s">
        <v>3090</v>
      </c>
      <c r="O92" s="2" t="s">
        <v>3089</v>
      </c>
      <c r="P92" s="2"/>
      <c r="Q92" s="2" t="s">
        <v>3088</v>
      </c>
      <c r="R92" s="2" t="s">
        <v>3087</v>
      </c>
      <c r="S92" s="2" t="s">
        <v>3086</v>
      </c>
      <c r="T92" s="2"/>
      <c r="U92" s="2" t="s">
        <v>670</v>
      </c>
      <c r="V92" s="2" t="s">
        <v>0</v>
      </c>
    </row>
    <row r="93" spans="1:22" ht="165" x14ac:dyDescent="0.25">
      <c r="A93" s="6"/>
      <c r="B93" s="10"/>
      <c r="C93" s="2" t="s">
        <v>2919</v>
      </c>
      <c r="D93" s="2" t="s">
        <v>2918</v>
      </c>
      <c r="E93" s="1" t="str">
        <f>HYPERLINK("http://www-wds.worldbank.org/external/default/main?menuPK=64187510&amp;pagePK=64193027&amp;piPK=64187937&amp;menuPK=64154159&amp;searchMenuPK=64258546&amp;theSitePK=523679&amp;entityID=000333038_20090603020745","Plano de participacao das populacoes indigenas ")</f>
        <v xml:space="preserve">Plano de participacao das populacoes indigenas </v>
      </c>
      <c r="F93" s="9">
        <v>39459</v>
      </c>
      <c r="G93" s="2" t="s">
        <v>3085</v>
      </c>
      <c r="H93" s="2" t="s">
        <v>10</v>
      </c>
      <c r="I93" s="2"/>
      <c r="J93" s="3">
        <v>7327</v>
      </c>
      <c r="K93" s="2" t="s">
        <v>3084</v>
      </c>
      <c r="L93" s="2" t="s">
        <v>2967</v>
      </c>
      <c r="M93" s="2" t="s">
        <v>634</v>
      </c>
      <c r="N93" s="2" t="s">
        <v>3083</v>
      </c>
      <c r="O93" s="2" t="s">
        <v>3082</v>
      </c>
      <c r="P93" s="2"/>
      <c r="Q93" s="2" t="s">
        <v>3081</v>
      </c>
      <c r="R93" s="2" t="s">
        <v>3080</v>
      </c>
      <c r="S93" s="2" t="s">
        <v>3079</v>
      </c>
      <c r="T93" s="2" t="s">
        <v>3078</v>
      </c>
      <c r="U93" s="2" t="s">
        <v>670</v>
      </c>
      <c r="V93" s="2" t="s">
        <v>0</v>
      </c>
    </row>
    <row r="94" spans="1:22" ht="45" x14ac:dyDescent="0.25">
      <c r="A94" s="6"/>
      <c r="B94" s="10"/>
      <c r="C94" s="2" t="s">
        <v>2919</v>
      </c>
      <c r="D94" s="2" t="s">
        <v>12</v>
      </c>
      <c r="E94" s="1" t="str">
        <f>HYPERLINK("http://www-wds.worldbank.org/external/default/main?menuPK=64187510&amp;pagePK=64193027&amp;piPK=64187937&amp;menuPK=64154159&amp;searchMenuPK=64258546&amp;theSitePK=523679&amp;entityID=000334955_20081113042400","Rio Grande do Sul GEF Biodiversity : indigenous peoples framework ")</f>
        <v xml:space="preserve">Rio Grande do Sul GEF Biodiversity : indigenous peoples framework </v>
      </c>
      <c r="F94" s="9">
        <v>39640</v>
      </c>
      <c r="G94" s="2" t="s">
        <v>3077</v>
      </c>
      <c r="H94" s="2" t="s">
        <v>10</v>
      </c>
      <c r="I94" s="2"/>
      <c r="J94" s="3"/>
      <c r="K94" s="2" t="s">
        <v>8</v>
      </c>
      <c r="L94" s="2" t="s">
        <v>3076</v>
      </c>
      <c r="M94" s="2" t="s">
        <v>634</v>
      </c>
      <c r="N94" s="2" t="s">
        <v>3075</v>
      </c>
      <c r="O94" s="2" t="s">
        <v>4</v>
      </c>
      <c r="P94" s="2"/>
      <c r="Q94" s="2" t="s">
        <v>3074</v>
      </c>
      <c r="R94" s="2" t="s">
        <v>1416</v>
      </c>
      <c r="S94" s="2" t="s">
        <v>3073</v>
      </c>
      <c r="T94" s="2" t="s">
        <v>3072</v>
      </c>
      <c r="U94" s="2" t="s">
        <v>639</v>
      </c>
      <c r="V94" s="2" t="s">
        <v>0</v>
      </c>
    </row>
    <row r="95" spans="1:22" ht="45" x14ac:dyDescent="0.25">
      <c r="A95" s="6"/>
      <c r="B95" s="10"/>
      <c r="C95" s="2" t="s">
        <v>2919</v>
      </c>
      <c r="D95" s="2" t="s">
        <v>2918</v>
      </c>
      <c r="E95" s="1" t="str">
        <f>HYPERLINK("http://www-wds.worldbank.org/external/default/main?menuPK=64187510&amp;pagePK=64193027&amp;piPK=64187937&amp;menuPK=64154159&amp;searchMenuPK=64258546&amp;theSitePK=523679&amp;entityID=000020953_20081120103558","Avaliacao social do projeto Rio do Grande do Sul biodiversidade ")</f>
        <v xml:space="preserve">Avaliacao social do projeto Rio do Grande do Sul biodiversidade </v>
      </c>
      <c r="F95" s="9">
        <v>39640</v>
      </c>
      <c r="G95" s="2" t="s">
        <v>3077</v>
      </c>
      <c r="H95" s="2" t="s">
        <v>10</v>
      </c>
      <c r="I95" s="2"/>
      <c r="J95" s="3"/>
      <c r="K95" s="2" t="s">
        <v>8</v>
      </c>
      <c r="L95" s="2" t="s">
        <v>3076</v>
      </c>
      <c r="M95" s="2" t="s">
        <v>634</v>
      </c>
      <c r="N95" s="2" t="s">
        <v>3075</v>
      </c>
      <c r="O95" s="2" t="s">
        <v>4</v>
      </c>
      <c r="P95" s="2"/>
      <c r="Q95" s="2" t="s">
        <v>3074</v>
      </c>
      <c r="R95" s="2" t="s">
        <v>1416</v>
      </c>
      <c r="S95" s="2" t="s">
        <v>3073</v>
      </c>
      <c r="T95" s="2" t="s">
        <v>3072</v>
      </c>
      <c r="U95" s="2" t="s">
        <v>639</v>
      </c>
      <c r="V95" s="2" t="s">
        <v>59</v>
      </c>
    </row>
    <row r="96" spans="1:22" ht="150" x14ac:dyDescent="0.25">
      <c r="A96" s="6"/>
      <c r="B96" s="10"/>
      <c r="C96" s="2" t="s">
        <v>2919</v>
      </c>
      <c r="D96" s="2" t="s">
        <v>2918</v>
      </c>
      <c r="E96" s="1" t="str">
        <f>HYPERLINK("http://www-wds.worldbank.org/external/default/main?menuPK=64187510&amp;pagePK=64193027&amp;piPK=64187937&amp;menuPK=64154159&amp;searchMenuPK=64258546&amp;theSitePK=523679&amp;entityID=000020953_20080905095659","Projeto Proacre Plano para os Povos Indigenas ")</f>
        <v xml:space="preserve">Projeto Proacre Plano para os Povos Indigenas </v>
      </c>
      <c r="F96" s="3" t="s">
        <v>3071</v>
      </c>
      <c r="G96" s="2" t="s">
        <v>3070</v>
      </c>
      <c r="H96" s="2" t="s">
        <v>10</v>
      </c>
      <c r="I96" s="2" t="s">
        <v>2919</v>
      </c>
      <c r="J96" s="3"/>
      <c r="K96" s="2" t="s">
        <v>2932</v>
      </c>
      <c r="L96" s="2" t="s">
        <v>2931</v>
      </c>
      <c r="M96" s="2" t="s">
        <v>634</v>
      </c>
      <c r="N96" s="2" t="s">
        <v>3069</v>
      </c>
      <c r="O96" s="2" t="s">
        <v>2929</v>
      </c>
      <c r="P96" s="2"/>
      <c r="Q96" s="2" t="s">
        <v>2928</v>
      </c>
      <c r="R96" s="2" t="s">
        <v>2547</v>
      </c>
      <c r="S96" s="2" t="s">
        <v>2927</v>
      </c>
      <c r="T96" s="2"/>
      <c r="U96" s="2" t="s">
        <v>670</v>
      </c>
      <c r="V96" s="2" t="s">
        <v>0</v>
      </c>
    </row>
    <row r="97" spans="1:22" ht="60" x14ac:dyDescent="0.25">
      <c r="A97" s="6"/>
      <c r="B97" s="10"/>
      <c r="C97" s="2" t="s">
        <v>2919</v>
      </c>
      <c r="D97" s="2" t="s">
        <v>2918</v>
      </c>
      <c r="E97" s="1" t="str">
        <f>HYPERLINK("http://www-wds.worldbank.org/external/default/main?menuPK=64187510&amp;pagePK=64193027&amp;piPK=64187937&amp;menuPK=64154159&amp;searchMenuPK=64258546&amp;theSitePK=523679&amp;entityID=000020953_20080603114843","Brazil - Health Network Formation and Quality Improvement Project (QUALISUS-REDE) : indigenous peoples plan ")</f>
        <v xml:space="preserve">Brazil - Health Network Formation and Quality Improvement Project (QUALISUS-REDE) : indigenous peoples plan </v>
      </c>
      <c r="F97" s="9">
        <v>39787</v>
      </c>
      <c r="G97" s="2" t="s">
        <v>3068</v>
      </c>
      <c r="H97" s="2" t="s">
        <v>10</v>
      </c>
      <c r="I97" s="2"/>
      <c r="J97" s="3"/>
      <c r="K97" s="2" t="s">
        <v>109</v>
      </c>
      <c r="L97" s="2" t="s">
        <v>3067</v>
      </c>
      <c r="M97" s="2" t="s">
        <v>634</v>
      </c>
      <c r="N97" s="2" t="s">
        <v>3066</v>
      </c>
      <c r="O97" s="2" t="s">
        <v>489</v>
      </c>
      <c r="P97" s="2"/>
      <c r="Q97" s="2" t="s">
        <v>3065</v>
      </c>
      <c r="R97" s="2" t="s">
        <v>3064</v>
      </c>
      <c r="S97" s="2" t="s">
        <v>3063</v>
      </c>
      <c r="T97" s="2" t="s">
        <v>3062</v>
      </c>
      <c r="U97" s="2" t="s">
        <v>684</v>
      </c>
      <c r="V97" s="2" t="s">
        <v>0</v>
      </c>
    </row>
    <row r="98" spans="1:22" ht="75" x14ac:dyDescent="0.25">
      <c r="A98" s="6"/>
      <c r="B98" s="10"/>
      <c r="C98" s="2" t="s">
        <v>2919</v>
      </c>
      <c r="D98" s="2" t="s">
        <v>12</v>
      </c>
      <c r="E98" s="1" t="str">
        <f>HYPERLINK("http://www-wds.worldbank.org/external/default/main?menuPK=64187510&amp;pagePK=64193027&amp;piPK=64187937&amp;menuPK=64154159&amp;searchMenuPK=64258546&amp;theSitePK=523679&amp;entityID=000334955_20080429070440","Social framework : indigenous peoples or quilombolas framework ")</f>
        <v xml:space="preserve">Social framework : indigenous peoples or quilombolas framework </v>
      </c>
      <c r="F98" s="3" t="s">
        <v>3061</v>
      </c>
      <c r="G98" s="2" t="s">
        <v>3060</v>
      </c>
      <c r="H98" s="2" t="s">
        <v>10</v>
      </c>
      <c r="I98" s="2"/>
      <c r="J98" s="3"/>
      <c r="K98" s="2" t="s">
        <v>1124</v>
      </c>
      <c r="L98" s="2" t="s">
        <v>3059</v>
      </c>
      <c r="M98" s="2" t="s">
        <v>634</v>
      </c>
      <c r="N98" s="2" t="s">
        <v>3058</v>
      </c>
      <c r="O98" s="2" t="s">
        <v>3057</v>
      </c>
      <c r="P98" s="2"/>
      <c r="Q98" s="2" t="s">
        <v>3056</v>
      </c>
      <c r="R98" s="2" t="s">
        <v>525</v>
      </c>
      <c r="S98" s="2" t="s">
        <v>3055</v>
      </c>
      <c r="T98" s="2"/>
      <c r="U98" s="2" t="s">
        <v>639</v>
      </c>
      <c r="V98" s="2" t="s">
        <v>0</v>
      </c>
    </row>
    <row r="99" spans="1:22" ht="135" x14ac:dyDescent="0.25">
      <c r="A99" s="6"/>
      <c r="B99" s="10"/>
      <c r="C99" s="2" t="s">
        <v>2919</v>
      </c>
      <c r="D99" s="2" t="s">
        <v>2918</v>
      </c>
      <c r="E99" s="1" t="str">
        <f>HYPERLINK("http://www-wds.worldbank.org/external/default/main?menuPK=64187510&amp;pagePK=64193027&amp;piPK=64187937&amp;menuPK=64154159&amp;searchMenuPK=64258546&amp;theSitePK=523679&amp;entityID=000011823_20080701140445","Plano de participacao das comunidades tradicionais (populacoes indigenas e quilombolas) ")</f>
        <v xml:space="preserve">Plano de participacao das comunidades tradicionais (populacoes indigenas e quilombolas) </v>
      </c>
      <c r="F99" s="9">
        <v>39451</v>
      </c>
      <c r="G99" s="2" t="s">
        <v>3054</v>
      </c>
      <c r="H99" s="2" t="s">
        <v>10</v>
      </c>
      <c r="I99" s="2" t="s">
        <v>3053</v>
      </c>
      <c r="J99" s="3"/>
      <c r="K99" s="2" t="s">
        <v>3024</v>
      </c>
      <c r="L99" s="2" t="s">
        <v>3052</v>
      </c>
      <c r="M99" s="2" t="s">
        <v>634</v>
      </c>
      <c r="N99" s="2" t="s">
        <v>3051</v>
      </c>
      <c r="O99" s="2" t="s">
        <v>3021</v>
      </c>
      <c r="P99" s="2"/>
      <c r="Q99" s="2" t="s">
        <v>3050</v>
      </c>
      <c r="R99" s="2" t="s">
        <v>3049</v>
      </c>
      <c r="S99" s="2" t="s">
        <v>3048</v>
      </c>
      <c r="T99" s="2"/>
      <c r="U99" s="2" t="s">
        <v>670</v>
      </c>
      <c r="V99" s="2" t="s">
        <v>0</v>
      </c>
    </row>
    <row r="100" spans="1:22" ht="75" x14ac:dyDescent="0.25">
      <c r="A100" s="6"/>
      <c r="B100" s="10"/>
      <c r="C100" s="2" t="s">
        <v>2919</v>
      </c>
      <c r="D100" s="2" t="s">
        <v>2918</v>
      </c>
      <c r="E100" s="1" t="str">
        <f>HYPERLINK("http://www-wds.worldbank.org/external/default/main?menuPK=64187510&amp;pagePK=64193027&amp;piPK=64187937&amp;menuPK=64154159&amp;searchMenuPK=64258546&amp;theSitePK=523679&amp;entityID=000011823_20080502171027","Politica do povos indigenas ")</f>
        <v xml:space="preserve">Politica do povos indigenas </v>
      </c>
      <c r="F100" s="9">
        <v>39451</v>
      </c>
      <c r="G100" s="2" t="s">
        <v>3047</v>
      </c>
      <c r="H100" s="2" t="s">
        <v>10</v>
      </c>
      <c r="I100" s="2" t="s">
        <v>3046</v>
      </c>
      <c r="J100" s="3"/>
      <c r="K100" s="2" t="s">
        <v>8</v>
      </c>
      <c r="L100" s="2" t="s">
        <v>3045</v>
      </c>
      <c r="M100" s="2" t="s">
        <v>634</v>
      </c>
      <c r="N100" s="2" t="s">
        <v>3044</v>
      </c>
      <c r="O100" s="2" t="s">
        <v>4</v>
      </c>
      <c r="P100" s="2"/>
      <c r="Q100" s="2" t="s">
        <v>3043</v>
      </c>
      <c r="R100" s="2" t="s">
        <v>433</v>
      </c>
      <c r="S100" s="2" t="s">
        <v>3042</v>
      </c>
      <c r="T100" s="2"/>
      <c r="U100" s="2" t="s">
        <v>639</v>
      </c>
      <c r="V100" s="2" t="s">
        <v>0</v>
      </c>
    </row>
    <row r="101" spans="1:22" ht="120" x14ac:dyDescent="0.25">
      <c r="A101" s="6"/>
      <c r="B101" s="10"/>
      <c r="C101" s="2" t="s">
        <v>2919</v>
      </c>
      <c r="D101" s="2" t="s">
        <v>2918</v>
      </c>
      <c r="E101" s="1" t="str">
        <f>HYPERLINK("http://www-wds.worldbank.org/external/default/main?menuPK=64187510&amp;pagePK=64193027&amp;piPK=64187937&amp;menuPK=64154159&amp;searchMenuPK=64258546&amp;theSitePK=523679&amp;entityID=000020953_20080324112213","Brazil - Ceara Second Sector Wide Approach (SWAP) Inclusive Growth Project : indigenous peoples plan ")</f>
        <v xml:space="preserve">Brazil - Ceara Second Sector Wide Approach (SWAP) Inclusive Growth Project : indigenous peoples plan </v>
      </c>
      <c r="F101" s="3" t="s">
        <v>3041</v>
      </c>
      <c r="G101" s="2" t="s">
        <v>3040</v>
      </c>
      <c r="H101" s="2" t="s">
        <v>10</v>
      </c>
      <c r="I101" s="2"/>
      <c r="J101" s="3"/>
      <c r="K101" s="2" t="s">
        <v>3039</v>
      </c>
      <c r="L101" s="2" t="s">
        <v>3038</v>
      </c>
      <c r="M101" s="2" t="s">
        <v>634</v>
      </c>
      <c r="N101" s="2" t="s">
        <v>3037</v>
      </c>
      <c r="O101" s="2" t="s">
        <v>3036</v>
      </c>
      <c r="P101" s="2"/>
      <c r="Q101" s="2" t="s">
        <v>3035</v>
      </c>
      <c r="R101" s="2" t="s">
        <v>525</v>
      </c>
      <c r="S101" s="2" t="s">
        <v>3034</v>
      </c>
      <c r="T101" s="2"/>
      <c r="U101" s="2" t="s">
        <v>951</v>
      </c>
      <c r="V101" s="2" t="s">
        <v>0</v>
      </c>
    </row>
    <row r="102" spans="1:22" ht="90" x14ac:dyDescent="0.25">
      <c r="A102" s="6"/>
      <c r="B102" s="10"/>
      <c r="C102" s="2" t="s">
        <v>2919</v>
      </c>
      <c r="D102" s="2" t="s">
        <v>2918</v>
      </c>
      <c r="E102" s="1" t="str">
        <f>HYPERLINK("http://www-wds.worldbank.org/external/default/main?menuPK=64187510&amp;pagePK=64193027&amp;piPK=64187937&amp;menuPK=64154159&amp;searchMenuPK=64258546&amp;theSitePK=523679&amp;entityID=000020953_20080225110746","Marco de referencia : povos indigenas em Minas Gerais ")</f>
        <v xml:space="preserve">Marco de referencia : povos indigenas em Minas Gerais </v>
      </c>
      <c r="F102" s="9">
        <v>39448</v>
      </c>
      <c r="G102" s="2" t="s">
        <v>3033</v>
      </c>
      <c r="H102" s="2" t="s">
        <v>10</v>
      </c>
      <c r="I102" s="2"/>
      <c r="J102" s="3"/>
      <c r="K102" s="2" t="s">
        <v>3032</v>
      </c>
      <c r="L102" s="2" t="s">
        <v>3031</v>
      </c>
      <c r="M102" s="2" t="s">
        <v>634</v>
      </c>
      <c r="N102" s="2" t="s">
        <v>3030</v>
      </c>
      <c r="O102" s="2" t="s">
        <v>3029</v>
      </c>
      <c r="P102" s="2"/>
      <c r="Q102" s="2" t="s">
        <v>3028</v>
      </c>
      <c r="R102" s="2" t="s">
        <v>3027</v>
      </c>
      <c r="S102" s="2" t="s">
        <v>3026</v>
      </c>
      <c r="T102" s="2"/>
      <c r="U102" s="2" t="s">
        <v>951</v>
      </c>
      <c r="V102" s="2" t="s">
        <v>0</v>
      </c>
    </row>
    <row r="103" spans="1:22" ht="135" x14ac:dyDescent="0.25">
      <c r="A103" s="6"/>
      <c r="B103" s="10"/>
      <c r="C103" s="2" t="s">
        <v>2919</v>
      </c>
      <c r="D103" s="2" t="s">
        <v>2918</v>
      </c>
      <c r="E103" s="1" t="str">
        <f>HYPERLINK("http://www-wds.worldbank.org/external/default/main?menuPK=64187510&amp;pagePK=64193027&amp;piPK=64187937&amp;menuPK=64154159&amp;searchMenuPK=64258546&amp;theSitePK=523679&amp;entityID=000011823_20070928112248","Plano de participacao das populacoes indigenas ")</f>
        <v xml:space="preserve">Plano de participacao das populacoes indigenas </v>
      </c>
      <c r="F103" s="9">
        <v>39091</v>
      </c>
      <c r="G103" s="2" t="s">
        <v>3025</v>
      </c>
      <c r="H103" s="2" t="s">
        <v>10</v>
      </c>
      <c r="I103" s="2"/>
      <c r="J103" s="3"/>
      <c r="K103" s="2" t="s">
        <v>3024</v>
      </c>
      <c r="L103" s="2" t="s">
        <v>3023</v>
      </c>
      <c r="M103" s="2" t="s">
        <v>634</v>
      </c>
      <c r="N103" s="2" t="s">
        <v>3022</v>
      </c>
      <c r="O103" s="2" t="s">
        <v>3021</v>
      </c>
      <c r="P103" s="2"/>
      <c r="Q103" s="2" t="s">
        <v>3020</v>
      </c>
      <c r="R103" s="2" t="s">
        <v>3019</v>
      </c>
      <c r="S103" s="2"/>
      <c r="T103" s="2"/>
      <c r="U103" s="2" t="s">
        <v>670</v>
      </c>
      <c r="V103" s="2" t="s">
        <v>0</v>
      </c>
    </row>
    <row r="104" spans="1:22" ht="210" x14ac:dyDescent="0.25">
      <c r="A104" s="6"/>
      <c r="B104" s="10"/>
      <c r="C104" s="2" t="s">
        <v>2919</v>
      </c>
      <c r="D104" s="2" t="s">
        <v>2918</v>
      </c>
      <c r="E104" s="1" t="str">
        <f>HYPERLINK("http://www-wds.worldbank.org/external/default/main?menuPK=64187510&amp;pagePK=64193027&amp;piPK=64187937&amp;menuPK=64154159&amp;searchMenuPK=64258546&amp;theSitePK=523679&amp;entityID=000011823_20070720171407","Politica para tratamento de empreendimentos rodoviarios e implementacao de unidades de conservacao proximas a terras indigenas e de populacoes tradicionais ")</f>
        <v xml:space="preserve">Politica para tratamento de empreendimentos rodoviarios e implementacao de unidades de conservacao proximas a terras indigenas e de populacoes tradicionais </v>
      </c>
      <c r="F104" s="3" t="s">
        <v>3018</v>
      </c>
      <c r="G104" s="2" t="s">
        <v>3017</v>
      </c>
      <c r="H104" s="2" t="s">
        <v>10</v>
      </c>
      <c r="I104" s="2" t="s">
        <v>3016</v>
      </c>
      <c r="J104" s="3"/>
      <c r="K104" s="2" t="s">
        <v>43</v>
      </c>
      <c r="L104" s="2" t="s">
        <v>3015</v>
      </c>
      <c r="M104" s="2" t="s">
        <v>634</v>
      </c>
      <c r="N104" s="2" t="s">
        <v>3014</v>
      </c>
      <c r="O104" s="2" t="s">
        <v>40</v>
      </c>
      <c r="P104" s="2"/>
      <c r="Q104" s="2" t="s">
        <v>3013</v>
      </c>
      <c r="R104" s="2" t="s">
        <v>3012</v>
      </c>
      <c r="S104" s="2"/>
      <c r="T104" s="2"/>
      <c r="U104" s="2" t="s">
        <v>655</v>
      </c>
      <c r="V104" s="2" t="s">
        <v>0</v>
      </c>
    </row>
    <row r="105" spans="1:22" ht="90" x14ac:dyDescent="0.25">
      <c r="A105" s="6"/>
      <c r="B105" s="10"/>
      <c r="C105" s="2" t="s">
        <v>2919</v>
      </c>
      <c r="D105" s="2" t="s">
        <v>2918</v>
      </c>
      <c r="E105" s="1" t="str">
        <f>HYPERLINK("http://www-wds.worldbank.org/external/default/main?menuPK=64187510&amp;pagePK=64193027&amp;piPK=64187937&amp;menuPK=64154159&amp;searchMenuPK=64258546&amp;theSitePK=523679&amp;entityID=000090341_20070409084722","Brazil - Caatinga Conservation and Management Project : indigenous peoples plan ")</f>
        <v xml:space="preserve">Brazil - Caatinga Conservation and Management Project : indigenous peoples plan </v>
      </c>
      <c r="F105" s="3" t="s">
        <v>3011</v>
      </c>
      <c r="G105" s="2" t="s">
        <v>3010</v>
      </c>
      <c r="H105" s="2" t="s">
        <v>10</v>
      </c>
      <c r="I105" s="2"/>
      <c r="J105" s="3"/>
      <c r="K105" s="2" t="s">
        <v>438</v>
      </c>
      <c r="L105" s="2" t="s">
        <v>3009</v>
      </c>
      <c r="M105" s="2" t="s">
        <v>634</v>
      </c>
      <c r="N105" s="2" t="s">
        <v>3008</v>
      </c>
      <c r="O105" s="2" t="s">
        <v>3007</v>
      </c>
      <c r="P105" s="2"/>
      <c r="Q105" s="2" t="s">
        <v>3006</v>
      </c>
      <c r="R105" s="2" t="s">
        <v>3005</v>
      </c>
      <c r="S105" s="2"/>
      <c r="T105" s="2" t="s">
        <v>3004</v>
      </c>
      <c r="U105" s="2" t="s">
        <v>639</v>
      </c>
      <c r="V105" s="2" t="s">
        <v>0</v>
      </c>
    </row>
    <row r="106" spans="1:22" ht="60" x14ac:dyDescent="0.25">
      <c r="A106" s="6"/>
      <c r="B106" s="10"/>
      <c r="C106" s="2" t="s">
        <v>2919</v>
      </c>
      <c r="D106" s="2" t="s">
        <v>12</v>
      </c>
      <c r="E106" s="1" t="str">
        <f>HYPERLINK("http://www-wds.worldbank.org/external/default/main?menuPK=64187510&amp;pagePK=64193027&amp;piPK=64187937&amp;menuPK=64154159&amp;searchMenuPK=64258546&amp;theSitePK=523679&amp;entityID=000090341_20070208152138","Brazil - Alto Solimoes Basic Services and Sustainable Development Project : indigenous peoples plan ")</f>
        <v xml:space="preserve">Brazil - Alto Solimoes Basic Services and Sustainable Development Project : indigenous peoples plan </v>
      </c>
      <c r="F106" s="3" t="s">
        <v>3003</v>
      </c>
      <c r="G106" s="2" t="s">
        <v>3002</v>
      </c>
      <c r="H106" s="2" t="s">
        <v>10</v>
      </c>
      <c r="I106" s="2"/>
      <c r="J106" s="3"/>
      <c r="K106" s="2" t="s">
        <v>118</v>
      </c>
      <c r="L106" s="2" t="s">
        <v>3001</v>
      </c>
      <c r="M106" s="2" t="s">
        <v>634</v>
      </c>
      <c r="N106" s="2" t="s">
        <v>3000</v>
      </c>
      <c r="O106" s="2" t="s">
        <v>2999</v>
      </c>
      <c r="P106" s="2"/>
      <c r="Q106" s="2" t="s">
        <v>2998</v>
      </c>
      <c r="R106" s="2" t="s">
        <v>2997</v>
      </c>
      <c r="S106" s="2"/>
      <c r="T106" s="2" t="s">
        <v>2996</v>
      </c>
      <c r="U106" s="2" t="s">
        <v>684</v>
      </c>
      <c r="V106" s="2" t="s">
        <v>0</v>
      </c>
    </row>
    <row r="107" spans="1:22" ht="105" x14ac:dyDescent="0.25">
      <c r="A107" s="6"/>
      <c r="B107" s="10"/>
      <c r="C107" s="2" t="s">
        <v>2919</v>
      </c>
      <c r="D107" s="2" t="s">
        <v>12</v>
      </c>
      <c r="E107" s="1" t="str">
        <f>HYPERLINK("http://www-wds.worldbank.org/external/default/main?menuPK=64187510&amp;pagePK=64193027&amp;piPK=64187937&amp;menuPK=64154159&amp;searchMenuPK=64258546&amp;theSitePK=523679&amp;entityID=000160016_20060914155220","Brazil - Additional Financing for the Federal Water Resources Management Project : policy framework for eventual impacts of PROAGUA on indigenous people ")</f>
        <v xml:space="preserve">Brazil - Additional Financing for the Federal Water Resources Management Project : policy framework for eventual impacts of PROAGUA on indigenous people </v>
      </c>
      <c r="F107" s="3" t="s">
        <v>2995</v>
      </c>
      <c r="G107" s="2" t="s">
        <v>2994</v>
      </c>
      <c r="H107" s="2" t="s">
        <v>10</v>
      </c>
      <c r="I107" s="2" t="s">
        <v>2993</v>
      </c>
      <c r="J107" s="3"/>
      <c r="K107" s="2" t="s">
        <v>714</v>
      </c>
      <c r="L107" s="2" t="s">
        <v>2992</v>
      </c>
      <c r="M107" s="2" t="s">
        <v>634</v>
      </c>
      <c r="N107" s="2" t="s">
        <v>2991</v>
      </c>
      <c r="O107" s="2" t="s">
        <v>2990</v>
      </c>
      <c r="P107" s="2"/>
      <c r="Q107" s="2" t="s">
        <v>2390</v>
      </c>
      <c r="R107" s="2" t="s">
        <v>717</v>
      </c>
      <c r="S107" s="2"/>
      <c r="T107" s="2"/>
      <c r="U107" s="2" t="s">
        <v>639</v>
      </c>
      <c r="V107" s="2" t="s">
        <v>0</v>
      </c>
    </row>
    <row r="108" spans="1:22" ht="75" x14ac:dyDescent="0.25">
      <c r="A108" s="6"/>
      <c r="B108" s="10"/>
      <c r="C108" s="2" t="s">
        <v>2919</v>
      </c>
      <c r="D108" s="2" t="s">
        <v>12</v>
      </c>
      <c r="E108" s="1" t="str">
        <f>HYPERLINK("http://www-wds.worldbank.org/external/default/main?menuPK=64187510&amp;pagePK=64193027&amp;piPK=64187937&amp;menuPK=64154159&amp;searchMenuPK=64258546&amp;theSitePK=523679&amp;entityID=000090341_20060222102449","Brazil - Integrated Management of Aquatic Resources in the Amazon Region (AquaBio) Project : indigenous peoples plan ")</f>
        <v xml:space="preserve">Brazil - Integrated Management of Aquatic Resources in the Amazon Region (AquaBio) Project : indigenous peoples plan </v>
      </c>
      <c r="F108" s="3" t="s">
        <v>2989</v>
      </c>
      <c r="G108" s="2" t="s">
        <v>2988</v>
      </c>
      <c r="H108" s="2" t="s">
        <v>10</v>
      </c>
      <c r="I108" s="2"/>
      <c r="J108" s="3"/>
      <c r="K108" s="2" t="s">
        <v>438</v>
      </c>
      <c r="L108" s="2" t="s">
        <v>2987</v>
      </c>
      <c r="M108" s="2" t="s">
        <v>634</v>
      </c>
      <c r="N108" s="2" t="s">
        <v>2986</v>
      </c>
      <c r="O108" s="2" t="s">
        <v>673</v>
      </c>
      <c r="P108" s="2"/>
      <c r="Q108" s="2" t="s">
        <v>2985</v>
      </c>
      <c r="R108" s="2"/>
      <c r="S108" s="2"/>
      <c r="T108" s="2" t="s">
        <v>2984</v>
      </c>
      <c r="U108" s="2" t="s">
        <v>639</v>
      </c>
      <c r="V108" s="2" t="s">
        <v>0</v>
      </c>
    </row>
    <row r="109" spans="1:22" ht="75" x14ac:dyDescent="0.25">
      <c r="A109" s="6"/>
      <c r="B109" s="10"/>
      <c r="C109" s="2" t="s">
        <v>2919</v>
      </c>
      <c r="D109" s="2" t="s">
        <v>12</v>
      </c>
      <c r="E109" s="1" t="str">
        <f>HYPERLINK("http://www-wds.worldbank.org/external/default/main?menuPK=64187510&amp;pagePK=64193027&amp;piPK=64187937&amp;menuPK=64154159&amp;searchMenuPK=64258546&amp;theSitePK=523679&amp;entityID=000090341_20060308161522","Executive Summary: policy framework for indigenous peoples and Quilombolas ")</f>
        <v xml:space="preserve">Executive Summary: policy framework for indigenous peoples and Quilombolas </v>
      </c>
      <c r="F109" s="3" t="s">
        <v>2983</v>
      </c>
      <c r="G109" s="2" t="s">
        <v>2951</v>
      </c>
      <c r="H109" s="2" t="s">
        <v>10</v>
      </c>
      <c r="I109" s="2"/>
      <c r="J109" s="3"/>
      <c r="K109" s="2" t="s">
        <v>8</v>
      </c>
      <c r="L109" s="2" t="s">
        <v>2950</v>
      </c>
      <c r="M109" s="2" t="s">
        <v>634</v>
      </c>
      <c r="N109" s="2" t="s">
        <v>2949</v>
      </c>
      <c r="O109" s="2" t="s">
        <v>4</v>
      </c>
      <c r="P109" s="2"/>
      <c r="Q109" s="2" t="s">
        <v>2982</v>
      </c>
      <c r="R109" s="2" t="s">
        <v>2981</v>
      </c>
      <c r="S109" s="2"/>
      <c r="T109" s="2" t="s">
        <v>2947</v>
      </c>
      <c r="U109" s="2" t="s">
        <v>670</v>
      </c>
      <c r="V109" s="2" t="s">
        <v>347</v>
      </c>
    </row>
    <row r="110" spans="1:22" ht="60" x14ac:dyDescent="0.25">
      <c r="A110" s="6"/>
      <c r="B110" s="10"/>
      <c r="C110" s="2" t="s">
        <v>2919</v>
      </c>
      <c r="D110" s="2" t="s">
        <v>2918</v>
      </c>
      <c r="E110" s="1" t="str">
        <f>HYPERLINK("http://www-wds.worldbank.org/external/default/main?menuPK=64187510&amp;pagePK=64193027&amp;piPK=64187937&amp;menuPK=64154159&amp;searchMenuPK=64258546&amp;theSitePK=523679&amp;entityID=000090341_20060308162244","Tabelas - Comunidade Quilombola no Estado do Para ")</f>
        <v xml:space="preserve">Tabelas - Comunidade Quilombola no Estado do Para </v>
      </c>
      <c r="F110" s="9">
        <v>38991</v>
      </c>
      <c r="G110" s="2" t="s">
        <v>2951</v>
      </c>
      <c r="H110" s="2" t="s">
        <v>10</v>
      </c>
      <c r="I110" s="2"/>
      <c r="J110" s="3"/>
      <c r="K110" s="2" t="s">
        <v>8</v>
      </c>
      <c r="L110" s="2" t="s">
        <v>2950</v>
      </c>
      <c r="M110" s="2" t="s">
        <v>634</v>
      </c>
      <c r="N110" s="2" t="s">
        <v>2949</v>
      </c>
      <c r="O110" s="2" t="s">
        <v>4</v>
      </c>
      <c r="P110" s="2"/>
      <c r="Q110" s="2" t="s">
        <v>2948</v>
      </c>
      <c r="R110" s="2"/>
      <c r="S110" s="2"/>
      <c r="T110" s="2" t="s">
        <v>2947</v>
      </c>
      <c r="U110" s="2" t="s">
        <v>670</v>
      </c>
      <c r="V110" s="2" t="s">
        <v>308</v>
      </c>
    </row>
    <row r="111" spans="1:22" ht="45" x14ac:dyDescent="0.25">
      <c r="A111" s="6"/>
      <c r="B111" s="10"/>
      <c r="C111" s="2" t="s">
        <v>2919</v>
      </c>
      <c r="D111" s="2" t="s">
        <v>2918</v>
      </c>
      <c r="E111" s="1" t="str">
        <f>HYPERLINK("http://www-wds.worldbank.org/external/default/main?menuPK=64187510&amp;pagePK=64193027&amp;piPK=64187937&amp;menuPK=64154159&amp;searchMenuPK=64258546&amp;theSitePK=523679&amp;entityID=000011823_20060109132946","Programa de Restauracao e Manutencao de Rodovias : diretrizes para projetos de atendimento aos povos indigenas afetados por empreendimentos rodoviarios ")</f>
        <v xml:space="preserve">Programa de Restauracao e Manutencao de Rodovias : diretrizes para projetos de atendimento aos povos indigenas afetados por empreendimentos rodoviarios </v>
      </c>
      <c r="F111" s="9">
        <v>38364</v>
      </c>
      <c r="G111" s="2" t="s">
        <v>2980</v>
      </c>
      <c r="H111" s="2" t="s">
        <v>10</v>
      </c>
      <c r="I111" s="2"/>
      <c r="J111" s="3"/>
      <c r="K111" s="2" t="s">
        <v>164</v>
      </c>
      <c r="L111" s="2" t="s">
        <v>2979</v>
      </c>
      <c r="M111" s="2" t="s">
        <v>634</v>
      </c>
      <c r="N111" s="2" t="s">
        <v>2978</v>
      </c>
      <c r="O111" s="2" t="s">
        <v>161</v>
      </c>
      <c r="P111" s="2"/>
      <c r="Q111" s="2"/>
      <c r="R111" s="2"/>
      <c r="S111" s="2"/>
      <c r="T111" s="2"/>
      <c r="U111" s="2" t="s">
        <v>655</v>
      </c>
      <c r="V111" s="2" t="s">
        <v>0</v>
      </c>
    </row>
    <row r="112" spans="1:22" ht="45" x14ac:dyDescent="0.25">
      <c r="A112" s="6"/>
      <c r="B112" s="10"/>
      <c r="C112" s="2" t="s">
        <v>2919</v>
      </c>
      <c r="D112" s="2" t="s">
        <v>2918</v>
      </c>
      <c r="E112" s="1" t="str">
        <f>HYPERLINK("http://www-wds.worldbank.org/external/default/main?menuPK=64187510&amp;pagePK=64193027&amp;piPK=64187937&amp;menuPK=64154159&amp;searchMenuPK=64258546&amp;theSitePK=523679&amp;entityID=000011823_20050615160951","Plano de participacao da populacao indigena ")</f>
        <v xml:space="preserve">Plano de participacao da populacao indigena </v>
      </c>
      <c r="F112" s="9">
        <v>38357</v>
      </c>
      <c r="G112" s="2" t="s">
        <v>2977</v>
      </c>
      <c r="H112" s="2" t="s">
        <v>10</v>
      </c>
      <c r="I112" s="2"/>
      <c r="J112" s="3"/>
      <c r="K112" s="2" t="s">
        <v>8</v>
      </c>
      <c r="L112" s="2" t="s">
        <v>2976</v>
      </c>
      <c r="M112" s="2" t="s">
        <v>634</v>
      </c>
      <c r="N112" s="2" t="s">
        <v>2975</v>
      </c>
      <c r="O112" s="2" t="s">
        <v>4</v>
      </c>
      <c r="P112" s="2"/>
      <c r="Q112" s="2"/>
      <c r="R112" s="2"/>
      <c r="S112" s="2"/>
      <c r="T112" s="2"/>
      <c r="U112" s="2" t="s">
        <v>670</v>
      </c>
      <c r="V112" s="2" t="s">
        <v>0</v>
      </c>
    </row>
    <row r="113" spans="1:22" ht="60" x14ac:dyDescent="0.25">
      <c r="A113" s="6"/>
      <c r="B113" s="10"/>
      <c r="C113" s="2" t="s">
        <v>2919</v>
      </c>
      <c r="D113" s="2" t="s">
        <v>12</v>
      </c>
      <c r="E113" s="1" t="str">
        <f>HYPERLINK("http://www-wds.worldbank.org/external/default/main?menuPK=64187510&amp;pagePK=64193027&amp;piPK=64187937&amp;menuPK=64154159&amp;searchMenuPK=64258546&amp;theSitePK=523679&amp;entityID=000011823_20050516125905","Brazil - Road Transport Project : indigenous peoples plan ")</f>
        <v xml:space="preserve">Brazil - Road Transport Project : indigenous peoples plan </v>
      </c>
      <c r="F113" s="9">
        <v>38476</v>
      </c>
      <c r="G113" s="2" t="s">
        <v>2974</v>
      </c>
      <c r="H113" s="2" t="s">
        <v>10</v>
      </c>
      <c r="I113" s="2" t="s">
        <v>2973</v>
      </c>
      <c r="J113" s="3"/>
      <c r="K113" s="2" t="s">
        <v>164</v>
      </c>
      <c r="L113" s="2" t="s">
        <v>2972</v>
      </c>
      <c r="M113" s="2" t="s">
        <v>634</v>
      </c>
      <c r="N113" s="2" t="s">
        <v>2971</v>
      </c>
      <c r="O113" s="2" t="s">
        <v>161</v>
      </c>
      <c r="P113" s="2"/>
      <c r="Q113" s="2" t="s">
        <v>2970</v>
      </c>
      <c r="R113" s="2" t="s">
        <v>2969</v>
      </c>
      <c r="S113" s="2"/>
      <c r="T113" s="2"/>
      <c r="U113" s="2" t="s">
        <v>655</v>
      </c>
      <c r="V113" s="2" t="s">
        <v>0</v>
      </c>
    </row>
    <row r="114" spans="1:22" ht="60" x14ac:dyDescent="0.25">
      <c r="A114" s="6"/>
      <c r="B114" s="10"/>
      <c r="C114" s="2" t="s">
        <v>2919</v>
      </c>
      <c r="D114" s="2" t="s">
        <v>2918</v>
      </c>
      <c r="E114" s="1" t="str">
        <f>HYPERLINK("http://www-wds.worldbank.org/external/default/main?menuPK=64187510&amp;pagePK=64193027&amp;piPK=64187937&amp;menuPK=64154159&amp;searchMenuPK=64258546&amp;theSitePK=523679&amp;entityID=000090341_20060308161822","Marco Indigena e Quilombola ")</f>
        <v xml:space="preserve">Marco Indigena e Quilombola </v>
      </c>
      <c r="F114" s="9">
        <v>38355</v>
      </c>
      <c r="G114" s="2" t="s">
        <v>2951</v>
      </c>
      <c r="H114" s="2" t="s">
        <v>10</v>
      </c>
      <c r="I114" s="2"/>
      <c r="J114" s="3"/>
      <c r="K114" s="2" t="s">
        <v>8</v>
      </c>
      <c r="L114" s="2" t="s">
        <v>2950</v>
      </c>
      <c r="M114" s="2" t="s">
        <v>634</v>
      </c>
      <c r="N114" s="2" t="s">
        <v>2949</v>
      </c>
      <c r="O114" s="2" t="s">
        <v>4</v>
      </c>
      <c r="P114" s="2"/>
      <c r="Q114" s="2" t="s">
        <v>2948</v>
      </c>
      <c r="R114" s="2"/>
      <c r="S114" s="2"/>
      <c r="T114" s="2" t="s">
        <v>2947</v>
      </c>
      <c r="U114" s="2" t="s">
        <v>670</v>
      </c>
      <c r="V114" s="2" t="s">
        <v>312</v>
      </c>
    </row>
    <row r="115" spans="1:22" ht="45" x14ac:dyDescent="0.25">
      <c r="A115" s="6"/>
      <c r="B115" s="10"/>
      <c r="C115" s="2" t="s">
        <v>2919</v>
      </c>
      <c r="D115" s="2" t="s">
        <v>2918</v>
      </c>
      <c r="E115" s="1" t="str">
        <f>HYPERLINK("http://www-wds.worldbank.org/external/default/main?menuPK=64187510&amp;pagePK=64193027&amp;piPK=64187937&amp;menuPK=64154159&amp;searchMenuPK=64258546&amp;theSitePK=523679&amp;entityID=000090341_20050303102938","Brazil - Bahia State Integrated Project: Rural Poverty : indigenous peoples plan ")</f>
        <v xml:space="preserve">Brazil - Bahia State Integrated Project: Rural Poverty : indigenous peoples plan </v>
      </c>
      <c r="F115" s="9">
        <v>38597</v>
      </c>
      <c r="G115" s="2" t="s">
        <v>2968</v>
      </c>
      <c r="H115" s="2" t="s">
        <v>10</v>
      </c>
      <c r="I115" s="2"/>
      <c r="J115" s="3"/>
      <c r="K115" s="2" t="s">
        <v>8</v>
      </c>
      <c r="L115" s="2" t="s">
        <v>2967</v>
      </c>
      <c r="M115" s="2" t="s">
        <v>634</v>
      </c>
      <c r="N115" s="2" t="s">
        <v>2966</v>
      </c>
      <c r="O115" s="2" t="s">
        <v>4</v>
      </c>
      <c r="P115" s="2"/>
      <c r="Q115" s="2"/>
      <c r="R115" s="2"/>
      <c r="S115" s="2"/>
      <c r="T115" s="2"/>
      <c r="U115" s="2" t="s">
        <v>670</v>
      </c>
      <c r="V115" s="2" t="s">
        <v>0</v>
      </c>
    </row>
    <row r="116" spans="1:22" ht="75" x14ac:dyDescent="0.25">
      <c r="A116" s="6"/>
      <c r="B116" s="10"/>
      <c r="C116" s="2" t="s">
        <v>2919</v>
      </c>
      <c r="D116" s="2" t="s">
        <v>2918</v>
      </c>
      <c r="E116" s="1" t="str">
        <f>HYPERLINK("http://www-wds.worldbank.org/external/default/main?menuPK=64187510&amp;pagePK=64193027&amp;piPK=64187937&amp;menuPK=64154159&amp;searchMenuPK=64258546&amp;theSitePK=523679&amp;entityID=000012009_20040514153218","Brazil - Bolsa Familia Project : indigenous peoples plan ")</f>
        <v xml:space="preserve">Brazil - Bolsa Familia Project : indigenous peoples plan </v>
      </c>
      <c r="F116" s="9">
        <v>38265</v>
      </c>
      <c r="G116" s="2" t="s">
        <v>2965</v>
      </c>
      <c r="H116" s="2" t="s">
        <v>10</v>
      </c>
      <c r="I116" s="2" t="s">
        <v>2964</v>
      </c>
      <c r="J116" s="3"/>
      <c r="K116" s="2" t="s">
        <v>2001</v>
      </c>
      <c r="L116" s="2" t="s">
        <v>2963</v>
      </c>
      <c r="M116" s="2" t="s">
        <v>634</v>
      </c>
      <c r="N116" s="2" t="s">
        <v>2962</v>
      </c>
      <c r="O116" s="2" t="s">
        <v>2961</v>
      </c>
      <c r="P116" s="2"/>
      <c r="Q116" s="2" t="s">
        <v>2960</v>
      </c>
      <c r="R116" s="2" t="s">
        <v>1017</v>
      </c>
      <c r="S116" s="2"/>
      <c r="T116" s="2"/>
      <c r="U116" s="2" t="s">
        <v>742</v>
      </c>
      <c r="V116" s="2" t="s">
        <v>0</v>
      </c>
    </row>
    <row r="117" spans="1:22" ht="75" x14ac:dyDescent="0.25">
      <c r="A117" s="6"/>
      <c r="B117" s="10"/>
      <c r="C117" s="2" t="s">
        <v>2919</v>
      </c>
      <c r="D117" s="2" t="s">
        <v>2918</v>
      </c>
      <c r="E117" s="1" t="str">
        <f>HYPERLINK("http://www-wds.worldbank.org/external/default/main?menuPK=64187510&amp;pagePK=64193027&amp;piPK=64187937&amp;menuPK=64154159&amp;searchMenuPK=64258546&amp;theSitePK=523679&amp;entityID=000012009_20040211152537","Brazil - Maranhao Integrated Rural Development Project : indigenous peoples plan ")</f>
        <v xml:space="preserve">Brazil - Maranhao Integrated Rural Development Project : indigenous peoples plan </v>
      </c>
      <c r="F117" s="3" t="s">
        <v>1307</v>
      </c>
      <c r="G117" s="2" t="s">
        <v>2959</v>
      </c>
      <c r="H117" s="2" t="s">
        <v>10</v>
      </c>
      <c r="I117" s="2" t="s">
        <v>2958</v>
      </c>
      <c r="J117" s="3"/>
      <c r="K117" s="2" t="s">
        <v>8</v>
      </c>
      <c r="L117" s="2" t="s">
        <v>2957</v>
      </c>
      <c r="M117" s="2" t="s">
        <v>634</v>
      </c>
      <c r="N117" s="2" t="s">
        <v>2956</v>
      </c>
      <c r="O117" s="2" t="s">
        <v>4</v>
      </c>
      <c r="P117" s="2"/>
      <c r="Q117" s="2"/>
      <c r="R117" s="2"/>
      <c r="S117" s="2"/>
      <c r="T117" s="2"/>
      <c r="U117" s="2" t="s">
        <v>670</v>
      </c>
      <c r="V117" s="2" t="s">
        <v>0</v>
      </c>
    </row>
    <row r="118" spans="1:22" ht="120" x14ac:dyDescent="0.25">
      <c r="A118" s="6"/>
      <c r="B118" s="10"/>
      <c r="C118" s="2" t="s">
        <v>2919</v>
      </c>
      <c r="D118" s="2" t="s">
        <v>2918</v>
      </c>
      <c r="E118" s="1" t="str">
        <f>HYPERLINK("http://www-wds.worldbank.org/external/default/main?menuPK=64187510&amp;pagePK=64193027&amp;piPK=64187937&amp;menuPK=64154159&amp;searchMenuPK=64258546&amp;theSitePK=523679&amp;entityID=000094946_03052004071311","Brazil - Sustainable Communities (Amapa) Project : indigenous peoples plan ")</f>
        <v xml:space="preserve">Brazil - Sustainable Communities (Amapa) Project : indigenous peoples plan </v>
      </c>
      <c r="F118" s="3" t="s">
        <v>1336</v>
      </c>
      <c r="G118" s="2" t="s">
        <v>2955</v>
      </c>
      <c r="H118" s="2" t="s">
        <v>10</v>
      </c>
      <c r="I118" s="2"/>
      <c r="J118" s="3"/>
      <c r="K118" s="2" t="s">
        <v>522</v>
      </c>
      <c r="L118" s="2" t="s">
        <v>2954</v>
      </c>
      <c r="M118" s="2" t="s">
        <v>634</v>
      </c>
      <c r="N118" s="2" t="s">
        <v>2953</v>
      </c>
      <c r="O118" s="2" t="s">
        <v>2952</v>
      </c>
      <c r="P118" s="2"/>
      <c r="Q118" s="2"/>
      <c r="R118" s="2"/>
      <c r="S118" s="2"/>
      <c r="T118" s="2"/>
      <c r="U118" s="2" t="s">
        <v>639</v>
      </c>
      <c r="V118" s="2">
        <v>1</v>
      </c>
    </row>
    <row r="119" spans="1:22" ht="60" x14ac:dyDescent="0.25">
      <c r="A119" s="6"/>
      <c r="B119" s="10"/>
      <c r="C119" s="2" t="s">
        <v>2919</v>
      </c>
      <c r="D119" s="2" t="s">
        <v>2918</v>
      </c>
      <c r="E119" s="1" t="str">
        <f>HYPERLINK("http://www-wds.worldbank.org/external/default/main?menuPK=64187510&amp;pagePK=64193027&amp;piPK=64187937&amp;menuPK=64154159&amp;searchMenuPK=64258546&amp;theSitePK=523679&amp;entityID=000090341_20060308162537","Anexos - Associacoes e Conselhos Indigenas no Estado do Para ")</f>
        <v xml:space="preserve">Anexos - Associacoes e Conselhos Indigenas no Estado do Para </v>
      </c>
      <c r="F119" s="9">
        <v>37626</v>
      </c>
      <c r="G119" s="2" t="s">
        <v>2951</v>
      </c>
      <c r="H119" s="2" t="s">
        <v>10</v>
      </c>
      <c r="I119" s="2"/>
      <c r="J119" s="3"/>
      <c r="K119" s="2" t="s">
        <v>8</v>
      </c>
      <c r="L119" s="2" t="s">
        <v>2950</v>
      </c>
      <c r="M119" s="2" t="s">
        <v>634</v>
      </c>
      <c r="N119" s="2" t="s">
        <v>2949</v>
      </c>
      <c r="O119" s="2" t="s">
        <v>4</v>
      </c>
      <c r="P119" s="2"/>
      <c r="Q119" s="2" t="s">
        <v>2948</v>
      </c>
      <c r="R119" s="2"/>
      <c r="S119" s="2"/>
      <c r="T119" s="2" t="s">
        <v>2947</v>
      </c>
      <c r="U119" s="2" t="s">
        <v>670</v>
      </c>
      <c r="V119" s="2" t="s">
        <v>344</v>
      </c>
    </row>
    <row r="120" spans="1:22" ht="60" x14ac:dyDescent="0.25">
      <c r="A120" s="6"/>
      <c r="B120" s="10"/>
      <c r="C120" s="2" t="s">
        <v>2919</v>
      </c>
      <c r="D120" s="2" t="s">
        <v>12</v>
      </c>
      <c r="E120" s="1" t="str">
        <f>HYPERLINK("http://www-wds.worldbank.org/external/default/main?menuPK=64187510&amp;pagePK=64193027&amp;piPK=64187937&amp;menuPK=64154159&amp;searchMenuPK=64258546&amp;theSitePK=523679&amp;entityID=000094946_03051404055724","Brazil - Third AIDS and STD Control Project : indigenous peoples plan ")</f>
        <v xml:space="preserve">Brazil - Third AIDS and STD Control Project : indigenous peoples plan </v>
      </c>
      <c r="F120" s="3" t="s">
        <v>1330</v>
      </c>
      <c r="G120" s="2" t="s">
        <v>2946</v>
      </c>
      <c r="H120" s="2" t="s">
        <v>10</v>
      </c>
      <c r="I120" s="2"/>
      <c r="J120" s="3"/>
      <c r="K120" s="2" t="s">
        <v>1541</v>
      </c>
      <c r="L120" s="2" t="s">
        <v>2945</v>
      </c>
      <c r="M120" s="2" t="s">
        <v>634</v>
      </c>
      <c r="N120" s="2" t="s">
        <v>2944</v>
      </c>
      <c r="O120" s="2" t="s">
        <v>489</v>
      </c>
      <c r="P120" s="2"/>
      <c r="Q120" s="2" t="s">
        <v>2943</v>
      </c>
      <c r="R120" s="2" t="s">
        <v>487</v>
      </c>
      <c r="S120" s="2"/>
      <c r="T120" s="2"/>
      <c r="U120" s="2" t="s">
        <v>684</v>
      </c>
      <c r="V120" s="2">
        <v>1</v>
      </c>
    </row>
    <row r="121" spans="1:22" ht="45" x14ac:dyDescent="0.25">
      <c r="A121" s="6"/>
      <c r="B121" s="10"/>
      <c r="C121" s="2" t="s">
        <v>2919</v>
      </c>
      <c r="D121" s="2" t="s">
        <v>2918</v>
      </c>
      <c r="E121" s="1" t="str">
        <f>HYPERLINK("http://www-wds.worldbank.org/external/default/main?menuPK=64187510&amp;pagePK=64193027&amp;piPK=64187937&amp;menuPK=64154159&amp;searchMenuPK=64258546&amp;theSitePK=523679&amp;entityID=000094946_03020604040383","Brazil - Bahia Education Program (Phase 2) Project : indigenous peoples plan ")</f>
        <v xml:space="preserve">Brazil - Bahia Education Program (Phase 2) Project : indigenous peoples plan </v>
      </c>
      <c r="F121" s="3" t="s">
        <v>1543</v>
      </c>
      <c r="G121" s="2" t="s">
        <v>2942</v>
      </c>
      <c r="H121" s="2" t="s">
        <v>10</v>
      </c>
      <c r="I121" s="2" t="s">
        <v>2941</v>
      </c>
      <c r="J121" s="3"/>
      <c r="K121" s="2" t="s">
        <v>21</v>
      </c>
      <c r="L121" s="2" t="s">
        <v>2940</v>
      </c>
      <c r="M121" s="2" t="s">
        <v>634</v>
      </c>
      <c r="N121" s="2" t="s">
        <v>2939</v>
      </c>
      <c r="O121" s="2" t="s">
        <v>1188</v>
      </c>
      <c r="P121" s="2"/>
      <c r="Q121" s="2"/>
      <c r="R121" s="2"/>
      <c r="S121" s="2"/>
      <c r="T121" s="2"/>
      <c r="U121" s="2" t="s">
        <v>630</v>
      </c>
      <c r="V121" s="2">
        <v>1</v>
      </c>
    </row>
    <row r="122" spans="1:22" ht="75" x14ac:dyDescent="0.25">
      <c r="A122" s="6"/>
      <c r="B122" s="10"/>
      <c r="C122" s="2" t="s">
        <v>2919</v>
      </c>
      <c r="D122" s="2" t="s">
        <v>2918</v>
      </c>
      <c r="E122" s="1" t="str">
        <f>HYPERLINK("http://www-wds.worldbank.org/external/default/main?menuPK=64187510&amp;pagePK=64193027&amp;piPK=64187937&amp;menuPK=64154159&amp;searchMenuPK=64258546&amp;theSitePK=523679&amp;entityID=000094946_02112104074481","Brasil - Projeto de Infra-estrutura Rural a Tocantins : diretrizes basicas para o desenvolvimento dos povos indigenas no ambito das obras rodoviarias ")</f>
        <v xml:space="preserve">Brasil - Projeto de Infra-estrutura Rural a Tocantins : diretrizes basicas para o desenvolvimento dos povos indigenas no ambito das obras rodoviarias </v>
      </c>
      <c r="F122" s="3" t="s">
        <v>2193</v>
      </c>
      <c r="G122" s="2" t="s">
        <v>2938</v>
      </c>
      <c r="H122" s="2" t="s">
        <v>10</v>
      </c>
      <c r="I122" s="2" t="s">
        <v>2937</v>
      </c>
      <c r="J122" s="3"/>
      <c r="K122" s="2" t="s">
        <v>164</v>
      </c>
      <c r="L122" s="2" t="s">
        <v>2936</v>
      </c>
      <c r="M122" s="2" t="s">
        <v>634</v>
      </c>
      <c r="N122" s="2" t="s">
        <v>2935</v>
      </c>
      <c r="O122" s="2" t="s">
        <v>2934</v>
      </c>
      <c r="P122" s="2"/>
      <c r="Q122" s="2"/>
      <c r="R122" s="2"/>
      <c r="S122" s="2"/>
      <c r="T122" s="2"/>
      <c r="U122" s="2" t="s">
        <v>655</v>
      </c>
      <c r="V122" s="2">
        <v>1</v>
      </c>
    </row>
    <row r="123" spans="1:22" ht="150" x14ac:dyDescent="0.25">
      <c r="A123" s="6"/>
      <c r="B123" s="10"/>
      <c r="C123" s="2" t="s">
        <v>2919</v>
      </c>
      <c r="D123" s="2" t="s">
        <v>2918</v>
      </c>
      <c r="E123" s="1" t="str">
        <f>HYPERLINK("http://www-wds.worldbank.org/external/default/main?menuPK=64187510&amp;pagePK=64193027&amp;piPK=64187937&amp;menuPK=64154159&amp;searchMenuPK=64258546&amp;theSitePK=523679&amp;entityID=000020953_20080905112312","Questoes sociais centrais ")</f>
        <v xml:space="preserve">Questoes sociais centrais </v>
      </c>
      <c r="F123" s="9">
        <v>37507</v>
      </c>
      <c r="G123" s="2" t="s">
        <v>2933</v>
      </c>
      <c r="H123" s="2" t="s">
        <v>10</v>
      </c>
      <c r="I123" s="2" t="s">
        <v>2919</v>
      </c>
      <c r="J123" s="3"/>
      <c r="K123" s="2" t="s">
        <v>2932</v>
      </c>
      <c r="L123" s="2" t="s">
        <v>2931</v>
      </c>
      <c r="M123" s="2" t="s">
        <v>634</v>
      </c>
      <c r="N123" s="2" t="s">
        <v>2930</v>
      </c>
      <c r="O123" s="2" t="s">
        <v>2929</v>
      </c>
      <c r="P123" s="2"/>
      <c r="Q123" s="2" t="s">
        <v>2928</v>
      </c>
      <c r="R123" s="2" t="s">
        <v>2547</v>
      </c>
      <c r="S123" s="2" t="s">
        <v>2927</v>
      </c>
      <c r="T123" s="2"/>
      <c r="U123" s="2" t="s">
        <v>670</v>
      </c>
      <c r="V123" s="2" t="s">
        <v>0</v>
      </c>
    </row>
    <row r="124" spans="1:22" ht="90" x14ac:dyDescent="0.25">
      <c r="A124" s="6"/>
      <c r="B124" s="10"/>
      <c r="C124" s="2" t="s">
        <v>2919</v>
      </c>
      <c r="D124" s="2" t="s">
        <v>12</v>
      </c>
      <c r="E124" s="1" t="str">
        <f>HYPERLINK("http://www-wds.worldbank.org/external/default/main?menuPK=64187510&amp;pagePK=64193027&amp;piPK=64187937&amp;menuPK=64154159&amp;searchMenuPK=64258546&amp;theSitePK=523679&amp;entityID=000094946_02070304122181","Brazil - Amazon Protected Areas Project - GEF : indigenous peoples plan ")</f>
        <v xml:space="preserve">Brazil - Amazon Protected Areas Project - GEF : indigenous peoples plan </v>
      </c>
      <c r="F124" s="3" t="s">
        <v>637</v>
      </c>
      <c r="G124" s="2" t="s">
        <v>2926</v>
      </c>
      <c r="H124" s="2" t="s">
        <v>10</v>
      </c>
      <c r="I124" s="2"/>
      <c r="J124" s="3"/>
      <c r="K124" s="2" t="s">
        <v>522</v>
      </c>
      <c r="L124" s="2" t="s">
        <v>2925</v>
      </c>
      <c r="M124" s="2" t="s">
        <v>634</v>
      </c>
      <c r="N124" s="2" t="s">
        <v>2924</v>
      </c>
      <c r="O124" s="2" t="s">
        <v>2923</v>
      </c>
      <c r="P124" s="2"/>
      <c r="Q124" s="2" t="s">
        <v>2922</v>
      </c>
      <c r="R124" s="2" t="s">
        <v>2921</v>
      </c>
      <c r="S124" s="2"/>
      <c r="T124" s="2" t="s">
        <v>2920</v>
      </c>
      <c r="U124" s="2" t="s">
        <v>639</v>
      </c>
      <c r="V124" s="2">
        <v>1</v>
      </c>
    </row>
    <row r="125" spans="1:22" ht="135" x14ac:dyDescent="0.25">
      <c r="A125" s="6"/>
      <c r="B125" s="10"/>
      <c r="C125" s="2" t="s">
        <v>2919</v>
      </c>
      <c r="D125" s="2" t="s">
        <v>2918</v>
      </c>
      <c r="E125" s="1" t="str">
        <f>HYPERLINK("http://www-wds.worldbank.org/external/default/main?menuPK=64187510&amp;pagePK=64193027&amp;piPK=64187937&amp;menuPK=64154159&amp;searchMenuPK=64258546&amp;theSitePK=523679&amp;entityID=000094946_02050404111737","Brazil - Natural Resources Management and Poverty Reduction Project - Santa Catarina : indigenous peoples development plan ")</f>
        <v xml:space="preserve">Brazil - Natural Resources Management and Poverty Reduction Project - Santa Catarina : indigenous peoples development plan </v>
      </c>
      <c r="F125" s="3" t="s">
        <v>2917</v>
      </c>
      <c r="G125" s="2" t="s">
        <v>2916</v>
      </c>
      <c r="H125" s="2" t="s">
        <v>10</v>
      </c>
      <c r="I125" s="2"/>
      <c r="J125" s="3">
        <v>4660</v>
      </c>
      <c r="K125" s="2" t="s">
        <v>522</v>
      </c>
      <c r="L125" s="2" t="s">
        <v>2915</v>
      </c>
      <c r="M125" s="2" t="s">
        <v>634</v>
      </c>
      <c r="N125" s="2" t="s">
        <v>2914</v>
      </c>
      <c r="O125" s="2" t="s">
        <v>2913</v>
      </c>
      <c r="P125" s="2"/>
      <c r="Q125" s="2"/>
      <c r="R125" s="2"/>
      <c r="S125" s="2"/>
      <c r="T125" s="2"/>
      <c r="U125" s="2" t="s">
        <v>639</v>
      </c>
      <c r="V125" s="2">
        <v>1</v>
      </c>
    </row>
    <row r="126" spans="1:22" ht="75" x14ac:dyDescent="0.25">
      <c r="A126" s="6"/>
      <c r="B126" s="10"/>
      <c r="C126" s="2" t="s">
        <v>2893</v>
      </c>
      <c r="D126" s="2" t="s">
        <v>1308</v>
      </c>
      <c r="E126" s="1" t="str">
        <f>HYPERLINK("http://www-wds.worldbank.org/external/default/main?menuPK=64187510&amp;pagePK=64193027&amp;piPK=64187937&amp;menuPK=64154159&amp;searchMenuPK=64258546&amp;theSitePK=523679&amp;entityID=000020953_20100106145712","Plan d'action pour le developpement des BATWA ")</f>
        <v xml:space="preserve">Plan d'action pour le developpement des BATWA </v>
      </c>
      <c r="F126" s="9">
        <v>39825</v>
      </c>
      <c r="G126" s="2" t="s">
        <v>2912</v>
      </c>
      <c r="H126" s="2" t="s">
        <v>10</v>
      </c>
      <c r="I126" s="2"/>
      <c r="J126" s="3"/>
      <c r="K126" s="2" t="s">
        <v>8</v>
      </c>
      <c r="L126" s="2" t="s">
        <v>2911</v>
      </c>
      <c r="M126" s="2" t="s">
        <v>395</v>
      </c>
      <c r="N126" s="2" t="s">
        <v>2910</v>
      </c>
      <c r="O126" s="2" t="s">
        <v>2909</v>
      </c>
      <c r="P126" s="2"/>
      <c r="Q126" s="2" t="s">
        <v>2908</v>
      </c>
      <c r="R126" s="2" t="s">
        <v>2907</v>
      </c>
      <c r="S126" s="2" t="s">
        <v>2906</v>
      </c>
      <c r="T126" s="2"/>
      <c r="U126" s="2" t="s">
        <v>1476</v>
      </c>
      <c r="V126" s="2" t="s">
        <v>0</v>
      </c>
    </row>
    <row r="127" spans="1:22" ht="120" x14ac:dyDescent="0.25">
      <c r="A127" s="6"/>
      <c r="B127" s="10"/>
      <c r="C127" s="2" t="s">
        <v>2893</v>
      </c>
      <c r="D127" s="2" t="s">
        <v>1308</v>
      </c>
      <c r="E127" s="1" t="str">
        <f>HYPERLINK("http://www-wds.worldbank.org/external/default/main?menuPK=64187510&amp;pagePK=64193027&amp;piPK=64187937&amp;menuPK=64154159&amp;searchMenuPK=64258546&amp;theSitePK=523679&amp;entityID=000020953_20090417141830","Burundi - Health Sector Support Project : indigenous peoples plan ")</f>
        <v xml:space="preserve">Burundi - Health Sector Support Project : indigenous peoples plan </v>
      </c>
      <c r="F127" s="9">
        <v>39816</v>
      </c>
      <c r="G127" s="2" t="s">
        <v>2905</v>
      </c>
      <c r="H127" s="2" t="s">
        <v>10</v>
      </c>
      <c r="I127" s="2" t="s">
        <v>2904</v>
      </c>
      <c r="J127" s="3"/>
      <c r="K127" s="2" t="s">
        <v>109</v>
      </c>
      <c r="L127" s="2" t="s">
        <v>2903</v>
      </c>
      <c r="M127" s="2" t="s">
        <v>395</v>
      </c>
      <c r="N127" s="2" t="s">
        <v>2902</v>
      </c>
      <c r="O127" s="2" t="s">
        <v>106</v>
      </c>
      <c r="P127" s="2"/>
      <c r="Q127" s="2" t="s">
        <v>2901</v>
      </c>
      <c r="R127" s="2" t="s">
        <v>2062</v>
      </c>
      <c r="S127" s="2" t="s">
        <v>2900</v>
      </c>
      <c r="T127" s="2" t="s">
        <v>2899</v>
      </c>
      <c r="U127" s="2" t="s">
        <v>2279</v>
      </c>
      <c r="V127" s="2" t="s">
        <v>0</v>
      </c>
    </row>
    <row r="128" spans="1:22" ht="90" x14ac:dyDescent="0.25">
      <c r="A128" s="6"/>
      <c r="B128" s="10"/>
      <c r="C128" s="2" t="s">
        <v>2893</v>
      </c>
      <c r="D128" s="2" t="s">
        <v>1308</v>
      </c>
      <c r="E128" s="1" t="str">
        <f>HYPERLINK("http://www-wds.worldbank.org/external/default/main?menuPK=64187510&amp;pagePK=64193027&amp;piPK=64187937&amp;menuPK=64154159&amp;searchMenuPK=64258546&amp;theSitePK=523679&amp;entityID=000020953_20080423141904","Projet de rehabilitation agricole et de gestion durable des terres au Burundi ")</f>
        <v xml:space="preserve">Projet de rehabilitation agricole et de gestion durable des terres au Burundi </v>
      </c>
      <c r="F128" s="9">
        <v>39451</v>
      </c>
      <c r="G128" s="2" t="s">
        <v>2898</v>
      </c>
      <c r="H128" s="2" t="s">
        <v>10</v>
      </c>
      <c r="I128" s="2" t="s">
        <v>2893</v>
      </c>
      <c r="J128" s="3"/>
      <c r="K128" s="2" t="s">
        <v>1960</v>
      </c>
      <c r="L128" s="2" t="s">
        <v>2897</v>
      </c>
      <c r="M128" s="2" t="s">
        <v>395</v>
      </c>
      <c r="N128" s="2" t="s">
        <v>2896</v>
      </c>
      <c r="O128" s="2" t="s">
        <v>2895</v>
      </c>
      <c r="P128" s="2"/>
      <c r="Q128" s="2"/>
      <c r="R128" s="2"/>
      <c r="S128" s="2" t="s">
        <v>2894</v>
      </c>
      <c r="T128" s="2"/>
      <c r="U128" s="2" t="s">
        <v>1476</v>
      </c>
      <c r="V128" s="2" t="s">
        <v>0</v>
      </c>
    </row>
    <row r="129" spans="1:22" ht="90" x14ac:dyDescent="0.25">
      <c r="A129" s="6"/>
      <c r="B129" s="10"/>
      <c r="C129" s="2" t="s">
        <v>2893</v>
      </c>
      <c r="D129" s="2" t="s">
        <v>1308</v>
      </c>
      <c r="E129" s="1" t="str">
        <f>HYPERLINK("http://www-wds.worldbank.org/external/default/main?menuPK=64187510&amp;pagePK=64193027&amp;piPK=64187937&amp;menuPK=64154159&amp;searchMenuPK=64258546&amp;theSitePK=523679&amp;entityID=000011823_20061212173027","Preparation d'un cadre de politique de reinstallation involontaire et de compensation ")</f>
        <v xml:space="preserve">Preparation d'un cadre de politique de reinstallation involontaire et de compensation </v>
      </c>
      <c r="F129" s="9">
        <v>38727</v>
      </c>
      <c r="G129" s="2" t="s">
        <v>2892</v>
      </c>
      <c r="H129" s="2" t="s">
        <v>10</v>
      </c>
      <c r="I129" s="2" t="s">
        <v>2891</v>
      </c>
      <c r="J129" s="3"/>
      <c r="K129" s="2" t="s">
        <v>109</v>
      </c>
      <c r="L129" s="2" t="s">
        <v>2890</v>
      </c>
      <c r="M129" s="2" t="s">
        <v>395</v>
      </c>
      <c r="N129" s="2" t="s">
        <v>2889</v>
      </c>
      <c r="O129" s="2" t="s">
        <v>460</v>
      </c>
      <c r="P129" s="2"/>
      <c r="Q129" s="2" t="s">
        <v>2888</v>
      </c>
      <c r="R129" s="2" t="s">
        <v>2055</v>
      </c>
      <c r="S129" s="2"/>
      <c r="T129" s="2" t="s">
        <v>2887</v>
      </c>
      <c r="U129" s="2" t="s">
        <v>2154</v>
      </c>
      <c r="V129" s="2" t="s">
        <v>0</v>
      </c>
    </row>
    <row r="130" spans="1:22" ht="90" x14ac:dyDescent="0.25">
      <c r="A130" s="6"/>
      <c r="B130" s="10"/>
      <c r="C130" s="2" t="s">
        <v>2832</v>
      </c>
      <c r="D130" s="2" t="s">
        <v>2862</v>
      </c>
      <c r="E130" s="1" t="str">
        <f>HYPERLINK("http://www-wds.worldbank.org/external/default/main?menuPK=64187510&amp;pagePK=64193027&amp;piPK=64187937&amp;menuPK=64154159&amp;searchMenuPK=64258546&amp;theSitePK=523679&amp;entityID=000333037_20091026021126","Cambodia - Avian and Human Influenza Control and Preparedness Emergency Project : indigenous peoples planning framework ")</f>
        <v xml:space="preserve">Cambodia - Avian and Human Influenza Control and Preparedness Emergency Project : indigenous peoples planning framework </v>
      </c>
      <c r="F130" s="9">
        <v>40004</v>
      </c>
      <c r="G130" s="2" t="s">
        <v>2883</v>
      </c>
      <c r="H130" s="2" t="s">
        <v>10</v>
      </c>
      <c r="I130" s="2"/>
      <c r="J130" s="3"/>
      <c r="K130" s="2" t="s">
        <v>805</v>
      </c>
      <c r="L130" s="2" t="s">
        <v>2882</v>
      </c>
      <c r="M130" s="2" t="s">
        <v>29</v>
      </c>
      <c r="N130" s="2" t="s">
        <v>2881</v>
      </c>
      <c r="O130" s="2" t="s">
        <v>2880</v>
      </c>
      <c r="P130" s="2"/>
      <c r="Q130" s="2" t="s">
        <v>2886</v>
      </c>
      <c r="R130" s="2" t="s">
        <v>1776</v>
      </c>
      <c r="S130" s="2" t="s">
        <v>2878</v>
      </c>
      <c r="T130" s="2" t="s">
        <v>2877</v>
      </c>
      <c r="U130" s="2" t="s">
        <v>1291</v>
      </c>
      <c r="V130" s="2" t="s">
        <v>0</v>
      </c>
    </row>
    <row r="131" spans="1:22" ht="60" x14ac:dyDescent="0.25">
      <c r="A131" s="6"/>
      <c r="B131" s="10"/>
      <c r="C131" s="2" t="s">
        <v>2832</v>
      </c>
      <c r="D131" s="2" t="s">
        <v>2862</v>
      </c>
      <c r="E131" s="1" t="str">
        <f>HYPERLINK("http://www-wds.worldbank.org/external/default/main?menuPK=64187510&amp;pagePK=64193027&amp;piPK=64187937&amp;menuPK=64154159&amp;searchMenuPK=64258546&amp;theSitePK=523679&amp;entityID=000020953_20080730155339","Cambodia - Fast Track Initiative Catalytic Fund Project : indigenous peoples plan ")</f>
        <v xml:space="preserve">Cambodia - Fast Track Initiative Catalytic Fund Project : indigenous peoples plan </v>
      </c>
      <c r="F131" s="3" t="s">
        <v>2885</v>
      </c>
      <c r="G131" s="2" t="s">
        <v>2875</v>
      </c>
      <c r="H131" s="2" t="s">
        <v>10</v>
      </c>
      <c r="I131" s="2"/>
      <c r="J131" s="3"/>
      <c r="K131" s="2" t="s">
        <v>21</v>
      </c>
      <c r="L131" s="2" t="s">
        <v>2874</v>
      </c>
      <c r="M131" s="2" t="s">
        <v>29</v>
      </c>
      <c r="N131" s="2" t="s">
        <v>2873</v>
      </c>
      <c r="O131" s="2" t="s">
        <v>27</v>
      </c>
      <c r="P131" s="2"/>
      <c r="Q131" s="2" t="s">
        <v>2884</v>
      </c>
      <c r="R131" s="2" t="s">
        <v>1471</v>
      </c>
      <c r="S131" s="2" t="s">
        <v>316</v>
      </c>
      <c r="T131" s="2" t="s">
        <v>2870</v>
      </c>
      <c r="U131" s="2" t="s">
        <v>23</v>
      </c>
      <c r="V131" s="2" t="s">
        <v>0</v>
      </c>
    </row>
    <row r="132" spans="1:22" ht="90" x14ac:dyDescent="0.25">
      <c r="A132" s="6"/>
      <c r="B132" s="10"/>
      <c r="C132" s="2" t="s">
        <v>2832</v>
      </c>
      <c r="D132" s="2" t="s">
        <v>12</v>
      </c>
      <c r="E132" s="1" t="str">
        <f>HYPERLINK("http://www-wds.worldbank.org/external/default/main?menuPK=64187510&amp;pagePK=64193027&amp;piPK=64187937&amp;menuPK=64154159&amp;searchMenuPK=64258546&amp;theSitePK=523679&amp;entityID=000333037_20091026020742","Cambodia - Avian and Human Influenza Control and Preparedness Emergency Project : indigenous peoples planning framework ")</f>
        <v xml:space="preserve">Cambodia - Avian and Human Influenza Control and Preparedness Emergency Project : indigenous peoples planning framework </v>
      </c>
      <c r="F132" s="3" t="s">
        <v>2876</v>
      </c>
      <c r="G132" s="2" t="s">
        <v>2883</v>
      </c>
      <c r="H132" s="2" t="s">
        <v>10</v>
      </c>
      <c r="I132" s="2"/>
      <c r="J132" s="3"/>
      <c r="K132" s="2" t="s">
        <v>805</v>
      </c>
      <c r="L132" s="2" t="s">
        <v>2882</v>
      </c>
      <c r="M132" s="2" t="s">
        <v>29</v>
      </c>
      <c r="N132" s="2" t="s">
        <v>2881</v>
      </c>
      <c r="O132" s="2" t="s">
        <v>2880</v>
      </c>
      <c r="P132" s="2"/>
      <c r="Q132" s="2" t="s">
        <v>2879</v>
      </c>
      <c r="R132" s="2" t="s">
        <v>186</v>
      </c>
      <c r="S132" s="2" t="s">
        <v>2878</v>
      </c>
      <c r="T132" s="2" t="s">
        <v>2877</v>
      </c>
      <c r="U132" s="2" t="s">
        <v>1291</v>
      </c>
      <c r="V132" s="2" t="s">
        <v>0</v>
      </c>
    </row>
    <row r="133" spans="1:22" ht="60" x14ac:dyDescent="0.25">
      <c r="A133" s="6"/>
      <c r="B133" s="10"/>
      <c r="C133" s="2" t="s">
        <v>2832</v>
      </c>
      <c r="D133" s="2" t="s">
        <v>12</v>
      </c>
      <c r="E133" s="1" t="str">
        <f>HYPERLINK("http://www-wds.worldbank.org/external/default/main?menuPK=64187510&amp;pagePK=64193027&amp;piPK=64187937&amp;menuPK=64154159&amp;searchMenuPK=64258546&amp;theSitePK=523679&amp;entityID=000333037_20080528034140","Cambodia - Fast Track Initiative Catalytic Fund Project : indigenous peoples plan ")</f>
        <v xml:space="preserve">Cambodia - Fast Track Initiative Catalytic Fund Project : indigenous peoples plan </v>
      </c>
      <c r="F133" s="3" t="s">
        <v>2876</v>
      </c>
      <c r="G133" s="2" t="s">
        <v>2875</v>
      </c>
      <c r="H133" s="2" t="s">
        <v>10</v>
      </c>
      <c r="I133" s="2"/>
      <c r="J133" s="3"/>
      <c r="K133" s="2" t="s">
        <v>21</v>
      </c>
      <c r="L133" s="2" t="s">
        <v>2874</v>
      </c>
      <c r="M133" s="2" t="s">
        <v>29</v>
      </c>
      <c r="N133" s="2" t="s">
        <v>2873</v>
      </c>
      <c r="O133" s="2" t="s">
        <v>27</v>
      </c>
      <c r="P133" s="2"/>
      <c r="Q133" s="2" t="s">
        <v>2872</v>
      </c>
      <c r="R133" s="2" t="s">
        <v>2871</v>
      </c>
      <c r="S133" s="2" t="s">
        <v>316</v>
      </c>
      <c r="T133" s="2" t="s">
        <v>2870</v>
      </c>
      <c r="U133" s="2" t="s">
        <v>23</v>
      </c>
      <c r="V133" s="2" t="s">
        <v>0</v>
      </c>
    </row>
    <row r="134" spans="1:22" ht="60" x14ac:dyDescent="0.25">
      <c r="A134" s="6"/>
      <c r="B134" s="10"/>
      <c r="C134" s="2" t="s">
        <v>2832</v>
      </c>
      <c r="D134" s="2" t="s">
        <v>12</v>
      </c>
      <c r="E134" s="1" t="str">
        <f>HYPERLINK("http://www-wds.worldbank.org/external/default/main?menuPK=64187510&amp;pagePK=64193027&amp;piPK=64187937&amp;menuPK=64154159&amp;searchMenuPK=64258546&amp;theSitePK=523679&amp;entityID=000333037_20080506014958","Indigenous peoples planning framework ")</f>
        <v xml:space="preserve">Indigenous peoples planning framework </v>
      </c>
      <c r="F134" s="9">
        <v>39543</v>
      </c>
      <c r="G134" s="2" t="s">
        <v>2867</v>
      </c>
      <c r="H134" s="2" t="s">
        <v>10</v>
      </c>
      <c r="I134" s="2"/>
      <c r="J134" s="3"/>
      <c r="K134" s="2" t="s">
        <v>109</v>
      </c>
      <c r="L134" s="2" t="s">
        <v>2866</v>
      </c>
      <c r="M134" s="2" t="s">
        <v>29</v>
      </c>
      <c r="N134" s="2" t="s">
        <v>2865</v>
      </c>
      <c r="O134" s="2" t="s">
        <v>489</v>
      </c>
      <c r="P134" s="2"/>
      <c r="Q134" s="2" t="s">
        <v>2869</v>
      </c>
      <c r="R134" s="2" t="s">
        <v>352</v>
      </c>
      <c r="S134" s="2" t="s">
        <v>2863</v>
      </c>
      <c r="T134" s="2"/>
      <c r="U134" s="2" t="s">
        <v>23</v>
      </c>
      <c r="V134" s="2" t="s">
        <v>70</v>
      </c>
    </row>
    <row r="135" spans="1:22" ht="60" x14ac:dyDescent="0.25">
      <c r="A135" s="6"/>
      <c r="B135" s="10"/>
      <c r="C135" s="2" t="s">
        <v>2832</v>
      </c>
      <c r="D135" s="2" t="s">
        <v>12</v>
      </c>
      <c r="E135" s="1" t="str">
        <f>HYPERLINK("http://www-wds.worldbank.org/external/default/main?menuPK=64187510&amp;pagePK=64193027&amp;piPK=64187937&amp;menuPK=64154159&amp;searchMenuPK=64258546&amp;theSitePK=523679&amp;entityID=000333037_20080506021835","Social assessment ")</f>
        <v xml:space="preserve">Social assessment </v>
      </c>
      <c r="F135" s="3" t="s">
        <v>2868</v>
      </c>
      <c r="G135" s="2" t="s">
        <v>2867</v>
      </c>
      <c r="H135" s="2" t="s">
        <v>10</v>
      </c>
      <c r="I135" s="2"/>
      <c r="J135" s="3"/>
      <c r="K135" s="2" t="s">
        <v>109</v>
      </c>
      <c r="L135" s="2" t="s">
        <v>2866</v>
      </c>
      <c r="M135" s="2" t="s">
        <v>29</v>
      </c>
      <c r="N135" s="2" t="s">
        <v>2865</v>
      </c>
      <c r="O135" s="2" t="s">
        <v>489</v>
      </c>
      <c r="P135" s="2"/>
      <c r="Q135" s="2" t="s">
        <v>2864</v>
      </c>
      <c r="R135" s="2" t="s">
        <v>2062</v>
      </c>
      <c r="S135" s="2" t="s">
        <v>2863</v>
      </c>
      <c r="T135" s="2"/>
      <c r="U135" s="2" t="s">
        <v>23</v>
      </c>
      <c r="V135" s="2" t="s">
        <v>59</v>
      </c>
    </row>
    <row r="136" spans="1:22" ht="285" x14ac:dyDescent="0.25">
      <c r="A136" s="6"/>
      <c r="B136" s="10"/>
      <c r="C136" s="2" t="s">
        <v>2832</v>
      </c>
      <c r="D136" s="2" t="s">
        <v>2862</v>
      </c>
      <c r="E136" s="1" t="str">
        <f>HYPERLINK("http://www-wds.worldbank.org/external/default/main?menuPK=64187510&amp;pagePK=64193027&amp;piPK=64187937&amp;menuPK=64154159&amp;searchMenuPK=64258546&amp;theSitePK=523679&amp;entityID=000020953_20080212153916","Cambodia - Land Allocation for Social and Economic Development Project : indigenous peoples planning framework ")</f>
        <v xml:space="preserve">Cambodia - Land Allocation for Social and Economic Development Project : indigenous peoples planning framework </v>
      </c>
      <c r="F136" s="9">
        <v>39094</v>
      </c>
      <c r="G136" s="2" t="s">
        <v>2860</v>
      </c>
      <c r="H136" s="2" t="s">
        <v>10</v>
      </c>
      <c r="I136" s="2" t="s">
        <v>2832</v>
      </c>
      <c r="J136" s="3"/>
      <c r="K136" s="2" t="s">
        <v>8</v>
      </c>
      <c r="L136" s="2" t="s">
        <v>2859</v>
      </c>
      <c r="M136" s="2" t="s">
        <v>29</v>
      </c>
      <c r="N136" s="2" t="s">
        <v>2858</v>
      </c>
      <c r="O136" s="2" t="s">
        <v>4</v>
      </c>
      <c r="P136" s="2"/>
      <c r="Q136" s="2" t="s">
        <v>2861</v>
      </c>
      <c r="R136" s="2" t="s">
        <v>2856</v>
      </c>
      <c r="S136" s="2" t="s">
        <v>2855</v>
      </c>
      <c r="T136" s="2" t="s">
        <v>2854</v>
      </c>
      <c r="U136" s="2" t="s">
        <v>1</v>
      </c>
      <c r="V136" s="2" t="s">
        <v>0</v>
      </c>
    </row>
    <row r="137" spans="1:22" ht="285" x14ac:dyDescent="0.25">
      <c r="A137" s="6"/>
      <c r="B137" s="10"/>
      <c r="C137" s="2" t="s">
        <v>2832</v>
      </c>
      <c r="D137" s="2" t="s">
        <v>12</v>
      </c>
      <c r="E137" s="1" t="str">
        <f>HYPERLINK("http://www-wds.worldbank.org/external/default/main?menuPK=64187510&amp;pagePK=64193027&amp;piPK=64187937&amp;menuPK=64154159&amp;searchMenuPK=64258546&amp;theSitePK=523679&amp;entityID=000020953_20080212152400","Cambodia - Land Allocation for Social and Economic Development Project : indigenous peoples planning framework ")</f>
        <v xml:space="preserve">Cambodia - Land Allocation for Social and Economic Development Project : indigenous peoples planning framework </v>
      </c>
      <c r="F137" s="9">
        <v>39094</v>
      </c>
      <c r="G137" s="2" t="s">
        <v>2860</v>
      </c>
      <c r="H137" s="2" t="s">
        <v>10</v>
      </c>
      <c r="I137" s="2" t="s">
        <v>2832</v>
      </c>
      <c r="J137" s="3"/>
      <c r="K137" s="2" t="s">
        <v>8</v>
      </c>
      <c r="L137" s="2" t="s">
        <v>2859</v>
      </c>
      <c r="M137" s="2" t="s">
        <v>29</v>
      </c>
      <c r="N137" s="2" t="s">
        <v>2858</v>
      </c>
      <c r="O137" s="2" t="s">
        <v>4</v>
      </c>
      <c r="P137" s="2"/>
      <c r="Q137" s="2" t="s">
        <v>2857</v>
      </c>
      <c r="R137" s="2" t="s">
        <v>2856</v>
      </c>
      <c r="S137" s="2" t="s">
        <v>2855</v>
      </c>
      <c r="T137" s="2" t="s">
        <v>2854</v>
      </c>
      <c r="U137" s="2" t="s">
        <v>1</v>
      </c>
      <c r="V137" s="2" t="s">
        <v>0</v>
      </c>
    </row>
    <row r="138" spans="1:22" ht="165" x14ac:dyDescent="0.25">
      <c r="A138" s="6"/>
      <c r="B138" s="10"/>
      <c r="C138" s="2" t="s">
        <v>2832</v>
      </c>
      <c r="D138" s="2" t="s">
        <v>12</v>
      </c>
      <c r="E138" s="1" t="str">
        <f>HYPERLINK("http://www-wds.worldbank.org/external/default/main?menuPK=64187510&amp;pagePK=64193027&amp;piPK=64187937&amp;menuPK=64154159&amp;searchMenuPK=64258546&amp;theSitePK=523679&amp;entityID=000012009_20040330125654","Cambodia - Rural Electrification and Transmission Project : indigenous peoples plan ")</f>
        <v xml:space="preserve">Cambodia - Rural Electrification and Transmission Project : indigenous peoples plan </v>
      </c>
      <c r="F138" s="9">
        <v>37632</v>
      </c>
      <c r="G138" s="2" t="s">
        <v>2853</v>
      </c>
      <c r="H138" s="2" t="s">
        <v>10</v>
      </c>
      <c r="I138" s="2" t="s">
        <v>2846</v>
      </c>
      <c r="J138" s="3"/>
      <c r="K138" s="2" t="s">
        <v>100</v>
      </c>
      <c r="L138" s="2" t="s">
        <v>2852</v>
      </c>
      <c r="M138" s="2" t="s">
        <v>29</v>
      </c>
      <c r="N138" s="2" t="s">
        <v>2851</v>
      </c>
      <c r="O138" s="2" t="s">
        <v>97</v>
      </c>
      <c r="P138" s="2"/>
      <c r="Q138" s="2" t="s">
        <v>2850</v>
      </c>
      <c r="R138" s="2" t="s">
        <v>1017</v>
      </c>
      <c r="S138" s="2"/>
      <c r="T138" s="2" t="s">
        <v>2849</v>
      </c>
      <c r="U138" s="2" t="s">
        <v>73</v>
      </c>
      <c r="V138" s="2" t="s">
        <v>0</v>
      </c>
    </row>
    <row r="139" spans="1:22" ht="75" x14ac:dyDescent="0.25">
      <c r="A139" s="6"/>
      <c r="B139" s="10"/>
      <c r="C139" s="2" t="s">
        <v>2832</v>
      </c>
      <c r="D139" s="2" t="s">
        <v>12</v>
      </c>
      <c r="E139" s="1" t="str">
        <f>HYPERLINK("http://www-wds.worldbank.org/external/default/main?menuPK=64187510&amp;pagePK=64193027&amp;piPK=64187937&amp;menuPK=64154159&amp;searchMenuPK=64258546&amp;theSitePK=523679&amp;entityID=000094946_03041604045531","Cambodia - Provincial and Rural Infrastructure Project : indigenous peoples plan ")</f>
        <v xml:space="preserve">Cambodia - Provincial and Rural Infrastructure Project : indigenous peoples plan </v>
      </c>
      <c r="F139" s="3" t="s">
        <v>2848</v>
      </c>
      <c r="G139" s="2" t="s">
        <v>2847</v>
      </c>
      <c r="H139" s="2" t="s">
        <v>10</v>
      </c>
      <c r="I139" s="2" t="s">
        <v>2846</v>
      </c>
      <c r="J139" s="3"/>
      <c r="K139" s="2" t="s">
        <v>164</v>
      </c>
      <c r="L139" s="2" t="s">
        <v>2845</v>
      </c>
      <c r="M139" s="2" t="s">
        <v>29</v>
      </c>
      <c r="N139" s="2" t="s">
        <v>2844</v>
      </c>
      <c r="O139" s="2" t="s">
        <v>2201</v>
      </c>
      <c r="P139" s="2"/>
      <c r="Q139" s="2" t="s">
        <v>2843</v>
      </c>
      <c r="R139" s="2" t="s">
        <v>1017</v>
      </c>
      <c r="S139" s="2"/>
      <c r="T139" s="2" t="s">
        <v>2842</v>
      </c>
      <c r="U139" s="2" t="s">
        <v>36</v>
      </c>
      <c r="V139" s="2">
        <v>1</v>
      </c>
    </row>
    <row r="140" spans="1:22" ht="150" x14ac:dyDescent="0.25">
      <c r="A140" s="6"/>
      <c r="B140" s="10"/>
      <c r="C140" s="2" t="s">
        <v>2832</v>
      </c>
      <c r="D140" s="2" t="s">
        <v>12</v>
      </c>
      <c r="E140" s="1" t="str">
        <f>HYPERLINK("http://www-wds.worldbank.org/external/default/main?menuPK=64187510&amp;pagePK=64193027&amp;piPK=64187937&amp;menuPK=64154159&amp;searchMenuPK=64258546&amp;theSitePK=523679&amp;entityID=000094946_03041604045529","Highland peoples development plan ")</f>
        <v xml:space="preserve">Highland peoples development plan </v>
      </c>
      <c r="F140" s="9">
        <v>37928</v>
      </c>
      <c r="G140" s="2" t="s">
        <v>2831</v>
      </c>
      <c r="H140" s="2" t="s">
        <v>10</v>
      </c>
      <c r="I140" s="2" t="s">
        <v>2830</v>
      </c>
      <c r="J140" s="3"/>
      <c r="K140" s="2" t="s">
        <v>1124</v>
      </c>
      <c r="L140" s="2" t="s">
        <v>2829</v>
      </c>
      <c r="M140" s="2" t="s">
        <v>29</v>
      </c>
      <c r="N140" s="2" t="s">
        <v>2828</v>
      </c>
      <c r="O140" s="2" t="s">
        <v>2827</v>
      </c>
      <c r="P140" s="2"/>
      <c r="Q140" s="2" t="s">
        <v>2841</v>
      </c>
      <c r="R140" s="2" t="s">
        <v>2840</v>
      </c>
      <c r="S140" s="2"/>
      <c r="T140" s="2" t="s">
        <v>2824</v>
      </c>
      <c r="U140" s="2" t="s">
        <v>1</v>
      </c>
      <c r="V140" s="2" t="s">
        <v>59</v>
      </c>
    </row>
    <row r="141" spans="1:22" ht="135" x14ac:dyDescent="0.25">
      <c r="A141" s="6"/>
      <c r="B141" s="10"/>
      <c r="C141" s="2" t="s">
        <v>2832</v>
      </c>
      <c r="D141" s="2" t="s">
        <v>12</v>
      </c>
      <c r="E141" s="1" t="str">
        <f>HYPERLINK("http://www-wds.worldbank.org/external/default/main?menuPK=64187510&amp;pagePK=64193027&amp;piPK=64187937&amp;menuPK=64154159&amp;searchMenuPK=64258546&amp;theSitePK=523679&amp;entityID=000094946_03031904081256","Cambodia - Provincial and Peri-Urban Water Supply and Sanitation Project : indigenous peoples plan ")</f>
        <v xml:space="preserve">Cambodia - Provincial and Peri-Urban Water Supply and Sanitation Project : indigenous peoples plan </v>
      </c>
      <c r="F141" s="3" t="s">
        <v>2839</v>
      </c>
      <c r="G141" s="2" t="s">
        <v>2838</v>
      </c>
      <c r="H141" s="2" t="s">
        <v>10</v>
      </c>
      <c r="I141" s="2" t="s">
        <v>31</v>
      </c>
      <c r="J141" s="3"/>
      <c r="K141" s="2" t="s">
        <v>145</v>
      </c>
      <c r="L141" s="2" t="s">
        <v>2837</v>
      </c>
      <c r="M141" s="2" t="s">
        <v>29</v>
      </c>
      <c r="N141" s="2" t="s">
        <v>2836</v>
      </c>
      <c r="O141" s="2" t="s">
        <v>2835</v>
      </c>
      <c r="P141" s="2"/>
      <c r="Q141" s="2" t="s">
        <v>2834</v>
      </c>
      <c r="R141" s="2" t="s">
        <v>48</v>
      </c>
      <c r="S141" s="2"/>
      <c r="T141" s="2" t="s">
        <v>2833</v>
      </c>
      <c r="U141" s="2" t="s">
        <v>112</v>
      </c>
      <c r="V141" s="2">
        <v>1</v>
      </c>
    </row>
    <row r="142" spans="1:22" ht="150" x14ac:dyDescent="0.25">
      <c r="A142" s="6"/>
      <c r="B142" s="10"/>
      <c r="C142" s="2" t="s">
        <v>2832</v>
      </c>
      <c r="D142" s="2" t="s">
        <v>12</v>
      </c>
      <c r="E142" s="1" t="str">
        <f>HYPERLINK("http://www-wds.worldbank.org/external/default/main?menuPK=64187510&amp;pagePK=64193027&amp;piPK=64187937&amp;menuPK=64154159&amp;searchMenuPK=64258546&amp;theSitePK=523679&amp;entityID=000094946_03020504014850","Main report ")</f>
        <v xml:space="preserve">Main report </v>
      </c>
      <c r="F142" s="3" t="s">
        <v>1543</v>
      </c>
      <c r="G142" s="2" t="s">
        <v>2831</v>
      </c>
      <c r="H142" s="2" t="s">
        <v>10</v>
      </c>
      <c r="I142" s="2" t="s">
        <v>2830</v>
      </c>
      <c r="J142" s="3"/>
      <c r="K142" s="2" t="s">
        <v>1124</v>
      </c>
      <c r="L142" s="2" t="s">
        <v>2829</v>
      </c>
      <c r="M142" s="2" t="s">
        <v>29</v>
      </c>
      <c r="N142" s="2" t="s">
        <v>2828</v>
      </c>
      <c r="O142" s="2" t="s">
        <v>2827</v>
      </c>
      <c r="P142" s="2"/>
      <c r="Q142" s="2" t="s">
        <v>2826</v>
      </c>
      <c r="R142" s="2" t="s">
        <v>2825</v>
      </c>
      <c r="S142" s="2"/>
      <c r="T142" s="2" t="s">
        <v>2824</v>
      </c>
      <c r="U142" s="2" t="s">
        <v>1</v>
      </c>
      <c r="V142" s="2" t="s">
        <v>70</v>
      </c>
    </row>
    <row r="143" spans="1:22" ht="75" x14ac:dyDescent="0.25">
      <c r="A143" s="6"/>
      <c r="B143" s="10"/>
      <c r="C143" s="2" t="s">
        <v>2771</v>
      </c>
      <c r="D143" s="2" t="s">
        <v>1308</v>
      </c>
      <c r="E143" s="1" t="str">
        <f>HYPERLINK("http://www-wds.worldbank.org/external/default/main?menuPK=64187510&amp;pagePK=64193027&amp;piPK=64187937&amp;menuPK=64154159&amp;searchMenuPK=64258546&amp;theSitePK=523679&amp;entityID=000333037_20100422000634","Plan d'actions en faveur des populations pygmees ")</f>
        <v xml:space="preserve">Plan d'actions en faveur des populations pygmees </v>
      </c>
      <c r="F143" s="9">
        <v>40182</v>
      </c>
      <c r="G143" s="2" t="s">
        <v>2823</v>
      </c>
      <c r="H143" s="2" t="s">
        <v>10</v>
      </c>
      <c r="I143" s="2" t="s">
        <v>2822</v>
      </c>
      <c r="J143" s="3"/>
      <c r="K143" s="2" t="s">
        <v>417</v>
      </c>
      <c r="L143" s="2" t="s">
        <v>2821</v>
      </c>
      <c r="M143" s="2" t="s">
        <v>395</v>
      </c>
      <c r="N143" s="2" t="s">
        <v>2820</v>
      </c>
      <c r="O143" s="2" t="s">
        <v>2150</v>
      </c>
      <c r="P143" s="2"/>
      <c r="Q143" s="2" t="s">
        <v>2819</v>
      </c>
      <c r="R143" s="2" t="s">
        <v>2818</v>
      </c>
      <c r="S143" s="2" t="s">
        <v>2817</v>
      </c>
      <c r="T143" s="2"/>
      <c r="U143" s="2" t="s">
        <v>2816</v>
      </c>
      <c r="V143" s="2" t="s">
        <v>59</v>
      </c>
    </row>
    <row r="144" spans="1:22" ht="75" x14ac:dyDescent="0.25">
      <c r="A144" s="6"/>
      <c r="B144" s="10"/>
      <c r="C144" s="2" t="s">
        <v>2771</v>
      </c>
      <c r="D144" s="2" t="s">
        <v>1308</v>
      </c>
      <c r="E144" s="1" t="str">
        <f>HYPERLINK("http://www-wds.worldbank.org/external/default/main?menuPK=64187510&amp;pagePK=64193027&amp;piPK=64187937&amp;menuPK=64154159&amp;searchMenuPK=64258546&amp;theSitePK=523679&amp;entityID=000020953_20100121161127","Cadre d'actions en faveur des populations pygmees ")</f>
        <v xml:space="preserve">Cadre d'actions en faveur des populations pygmees </v>
      </c>
      <c r="F144" s="9">
        <v>40179</v>
      </c>
      <c r="G144" s="2" t="s">
        <v>2823</v>
      </c>
      <c r="H144" s="2" t="s">
        <v>10</v>
      </c>
      <c r="I144" s="2" t="s">
        <v>2822</v>
      </c>
      <c r="J144" s="3"/>
      <c r="K144" s="2" t="s">
        <v>417</v>
      </c>
      <c r="L144" s="2" t="s">
        <v>2821</v>
      </c>
      <c r="M144" s="2" t="s">
        <v>395</v>
      </c>
      <c r="N144" s="2" t="s">
        <v>2820</v>
      </c>
      <c r="O144" s="2" t="s">
        <v>2150</v>
      </c>
      <c r="P144" s="2"/>
      <c r="Q144" s="2" t="s">
        <v>2819</v>
      </c>
      <c r="R144" s="2" t="s">
        <v>2818</v>
      </c>
      <c r="S144" s="2" t="s">
        <v>2817</v>
      </c>
      <c r="T144" s="2"/>
      <c r="U144" s="2" t="s">
        <v>2816</v>
      </c>
      <c r="V144" s="2" t="s">
        <v>70</v>
      </c>
    </row>
    <row r="145" spans="1:22" ht="90" x14ac:dyDescent="0.25">
      <c r="A145" s="6"/>
      <c r="B145" s="10"/>
      <c r="C145" s="2" t="s">
        <v>2771</v>
      </c>
      <c r="D145" s="2" t="s">
        <v>1308</v>
      </c>
      <c r="E145" s="1" t="str">
        <f>HYPERLINK("http://www-wds.worldbank.org/external/default/main?menuPK=64187510&amp;pagePK=64193027&amp;piPK=64187937&amp;menuPK=64154159&amp;searchMenuPK=64258546&amp;theSitePK=523679&amp;entityID=000020953_20090410142250","Cameroon - Agricultural Competitiveness and Diversification Project : indigenous peoples planning framewoek ")</f>
        <v xml:space="preserve">Cameroon - Agricultural Competitiveness and Diversification Project : indigenous peoples planning framewoek </v>
      </c>
      <c r="F145" s="3" t="s">
        <v>2815</v>
      </c>
      <c r="G145" s="2" t="s">
        <v>2814</v>
      </c>
      <c r="H145" s="2" t="s">
        <v>10</v>
      </c>
      <c r="I145" s="2" t="s">
        <v>2813</v>
      </c>
      <c r="J145" s="3"/>
      <c r="K145" s="2" t="s">
        <v>2229</v>
      </c>
      <c r="L145" s="2" t="s">
        <v>2812</v>
      </c>
      <c r="M145" s="2" t="s">
        <v>395</v>
      </c>
      <c r="N145" s="2" t="s">
        <v>2811</v>
      </c>
      <c r="O145" s="2" t="s">
        <v>2810</v>
      </c>
      <c r="P145" s="2"/>
      <c r="Q145" s="2" t="s">
        <v>2809</v>
      </c>
      <c r="R145" s="2" t="s">
        <v>2808</v>
      </c>
      <c r="S145" s="2" t="s">
        <v>2807</v>
      </c>
      <c r="T145" s="2"/>
      <c r="U145" s="2" t="s">
        <v>1476</v>
      </c>
      <c r="V145" s="2" t="s">
        <v>0</v>
      </c>
    </row>
    <row r="146" spans="1:22" ht="105" x14ac:dyDescent="0.25">
      <c r="A146" s="6"/>
      <c r="B146" s="10"/>
      <c r="C146" s="2" t="s">
        <v>2771</v>
      </c>
      <c r="D146" s="2" t="s">
        <v>1308</v>
      </c>
      <c r="E146" s="1" t="str">
        <f>HYPERLINK("http://www-wds.worldbank.org/external/default/main?menuPK=64187510&amp;pagePK=64193027&amp;piPK=64187937&amp;menuPK=64154159&amp;searchMenuPK=64258546&amp;theSitePK=523679&amp;entityID=000020953_20090313081416","Cameroon - Second Phase of the Community Development Program Support Project : indigenous peoples plan ")</f>
        <v xml:space="preserve">Cameroon - Second Phase of the Community Development Program Support Project : indigenous peoples plan </v>
      </c>
      <c r="F146" s="9">
        <v>39814</v>
      </c>
      <c r="G146" s="2" t="s">
        <v>2806</v>
      </c>
      <c r="H146" s="2" t="s">
        <v>10</v>
      </c>
      <c r="I146" s="2"/>
      <c r="J146" s="3"/>
      <c r="K146" s="2" t="s">
        <v>2805</v>
      </c>
      <c r="L146" s="2" t="s">
        <v>2804</v>
      </c>
      <c r="M146" s="2" t="s">
        <v>395</v>
      </c>
      <c r="N146" s="2" t="s">
        <v>2803</v>
      </c>
      <c r="O146" s="2" t="s">
        <v>2802</v>
      </c>
      <c r="P146" s="2"/>
      <c r="Q146" s="2" t="s">
        <v>1082</v>
      </c>
      <c r="R146" s="2" t="s">
        <v>1081</v>
      </c>
      <c r="S146" s="2" t="s">
        <v>2801</v>
      </c>
      <c r="T146" s="2"/>
      <c r="U146" s="2" t="s">
        <v>1476</v>
      </c>
      <c r="V146" s="2" t="s">
        <v>0</v>
      </c>
    </row>
    <row r="147" spans="1:22" ht="60" x14ac:dyDescent="0.25">
      <c r="A147" s="6"/>
      <c r="B147" s="10"/>
      <c r="C147" s="2" t="s">
        <v>2771</v>
      </c>
      <c r="D147" s="2" t="s">
        <v>12</v>
      </c>
      <c r="E147" s="1" t="str">
        <f>HYPERLINK("http://www-wds.worldbank.org/external/default/main?menuPK=64187510&amp;pagePK=64193027&amp;piPK=64187937&amp;menuPK=64154159&amp;searchMenuPK=64258546&amp;theSitePK=523679&amp;entityID=000334955_20080407070115","Indigenous peoples plan ")</f>
        <v xml:space="preserve">Indigenous peoples plan </v>
      </c>
      <c r="F147" s="9">
        <v>39511</v>
      </c>
      <c r="G147" s="2" t="s">
        <v>2800</v>
      </c>
      <c r="H147" s="2" t="s">
        <v>10</v>
      </c>
      <c r="I147" s="2"/>
      <c r="J147" s="3"/>
      <c r="K147" s="2" t="s">
        <v>109</v>
      </c>
      <c r="L147" s="2" t="s">
        <v>2799</v>
      </c>
      <c r="M147" s="2" t="s">
        <v>395</v>
      </c>
      <c r="N147" s="2" t="s">
        <v>2798</v>
      </c>
      <c r="O147" s="2" t="s">
        <v>489</v>
      </c>
      <c r="P147" s="2"/>
      <c r="Q147" s="2" t="s">
        <v>353</v>
      </c>
      <c r="R147" s="2" t="s">
        <v>352</v>
      </c>
      <c r="S147" s="2" t="s">
        <v>2797</v>
      </c>
      <c r="T147" s="2" t="s">
        <v>2796</v>
      </c>
      <c r="U147" s="2" t="s">
        <v>2279</v>
      </c>
      <c r="V147" s="2" t="s">
        <v>0</v>
      </c>
    </row>
    <row r="148" spans="1:22" ht="75" x14ac:dyDescent="0.25">
      <c r="A148" s="6"/>
      <c r="B148" s="10"/>
      <c r="C148" s="2" t="s">
        <v>2771</v>
      </c>
      <c r="D148" s="2" t="s">
        <v>12</v>
      </c>
      <c r="E148" s="1" t="str">
        <f>HYPERLINK("http://www-wds.worldbank.org/external/default/main?menuPK=64187510&amp;pagePK=64193027&amp;piPK=64187937&amp;menuPK=64154159&amp;searchMenuPK=64258546&amp;theSitePK=523679&amp;entityID=000333037_20080228041555","Cameroon - Kribi Gas Power Project : indigenous peoples plan ")</f>
        <v xml:space="preserve">Cameroon - Kribi Gas Power Project : indigenous peoples plan </v>
      </c>
      <c r="F148" s="9">
        <v>39094</v>
      </c>
      <c r="G148" s="2" t="s">
        <v>2795</v>
      </c>
      <c r="H148" s="2" t="s">
        <v>10</v>
      </c>
      <c r="I148" s="2"/>
      <c r="J148" s="3"/>
      <c r="K148" s="2" t="s">
        <v>80</v>
      </c>
      <c r="L148" s="2" t="s">
        <v>2794</v>
      </c>
      <c r="M148" s="2" t="s">
        <v>395</v>
      </c>
      <c r="N148" s="2" t="s">
        <v>2793</v>
      </c>
      <c r="O148" s="2" t="s">
        <v>2792</v>
      </c>
      <c r="P148" s="2"/>
      <c r="Q148" s="2" t="s">
        <v>2791</v>
      </c>
      <c r="R148" s="2" t="s">
        <v>1615</v>
      </c>
      <c r="S148" s="2" t="s">
        <v>2790</v>
      </c>
      <c r="T148" s="2"/>
      <c r="U148" s="2" t="s">
        <v>1507</v>
      </c>
      <c r="V148" s="2" t="s">
        <v>0</v>
      </c>
    </row>
    <row r="149" spans="1:22" ht="75" x14ac:dyDescent="0.25">
      <c r="A149" s="6"/>
      <c r="B149" s="10"/>
      <c r="C149" s="2" t="s">
        <v>2771</v>
      </c>
      <c r="D149" s="2" t="s">
        <v>12</v>
      </c>
      <c r="E149" s="1" t="str">
        <f>HYPERLINK("http://www-wds.worldbank.org/external/default/main?menuPK=64187510&amp;pagePK=64193027&amp;piPK=64187937&amp;menuPK=64154159&amp;searchMenuPK=64258546&amp;theSitePK=523679&amp;entityID=000011823_20050831121713","Indigenous people (Pygmy) development plan ")</f>
        <v xml:space="preserve">Indigenous people (Pygmy) development plan </v>
      </c>
      <c r="F149" s="3" t="s">
        <v>2789</v>
      </c>
      <c r="G149" s="2" t="s">
        <v>2770</v>
      </c>
      <c r="H149" s="2" t="s">
        <v>10</v>
      </c>
      <c r="I149" s="2"/>
      <c r="J149" s="3"/>
      <c r="K149" s="2" t="s">
        <v>338</v>
      </c>
      <c r="L149" s="2" t="s">
        <v>2769</v>
      </c>
      <c r="M149" s="2" t="s">
        <v>395</v>
      </c>
      <c r="N149" s="2" t="s">
        <v>2768</v>
      </c>
      <c r="O149" s="2" t="s">
        <v>2767</v>
      </c>
      <c r="P149" s="2"/>
      <c r="Q149" s="2"/>
      <c r="R149" s="2"/>
      <c r="S149" s="2"/>
      <c r="T149" s="2" t="s">
        <v>2766</v>
      </c>
      <c r="U149" s="2" t="s">
        <v>2154</v>
      </c>
      <c r="V149" s="2" t="s">
        <v>70</v>
      </c>
    </row>
    <row r="150" spans="1:22" ht="150" x14ac:dyDescent="0.25">
      <c r="A150" s="6"/>
      <c r="B150" s="10"/>
      <c r="C150" s="2" t="s">
        <v>2771</v>
      </c>
      <c r="D150" s="2" t="s">
        <v>12</v>
      </c>
      <c r="E150" s="1" t="str">
        <f>HYPERLINK("http://www-wds.worldbank.org/external/default/main?menuPK=64187510&amp;pagePK=64193027&amp;piPK=64187937&amp;menuPK=64154159&amp;searchMenuPK=64258546&amp;theSitePK=523679&amp;entityID=000012009_20040601150518","Cameroon - Forestry and Environment Sector Program Project : indigenous peoples plan ")</f>
        <v xml:space="preserve">Cameroon - Forestry and Environment Sector Program Project : indigenous peoples plan </v>
      </c>
      <c r="F150" s="9">
        <v>37991</v>
      </c>
      <c r="G150" s="2" t="s">
        <v>2788</v>
      </c>
      <c r="H150" s="2" t="s">
        <v>10</v>
      </c>
      <c r="I150" s="2" t="s">
        <v>2787</v>
      </c>
      <c r="J150" s="3"/>
      <c r="K150" s="2" t="s">
        <v>438</v>
      </c>
      <c r="L150" s="2" t="s">
        <v>2786</v>
      </c>
      <c r="M150" s="2" t="s">
        <v>395</v>
      </c>
      <c r="N150" s="2" t="s">
        <v>2785</v>
      </c>
      <c r="O150" s="2" t="s">
        <v>2784</v>
      </c>
      <c r="P150" s="2"/>
      <c r="Q150" s="2" t="s">
        <v>2783</v>
      </c>
      <c r="R150" s="2" t="s">
        <v>1017</v>
      </c>
      <c r="S150" s="2"/>
      <c r="T150" s="2" t="s">
        <v>2782</v>
      </c>
      <c r="U150" s="2" t="s">
        <v>2154</v>
      </c>
      <c r="V150" s="2" t="s">
        <v>0</v>
      </c>
    </row>
    <row r="151" spans="1:22" ht="75" x14ac:dyDescent="0.25">
      <c r="A151" s="6"/>
      <c r="B151" s="10"/>
      <c r="C151" s="2" t="s">
        <v>2771</v>
      </c>
      <c r="D151" s="2" t="s">
        <v>12</v>
      </c>
      <c r="E151" s="1" t="str">
        <f>HYPERLINK("http://www-wds.worldbank.org/external/default/main?menuPK=64187510&amp;pagePK=64193027&amp;piPK=64187937&amp;menuPK=64154159&amp;searchMenuPK=64258546&amp;theSitePK=523679&amp;entityID=000094946_03070712233780","Cameroon - Community Development Program Project : indigenous peoples plan ")</f>
        <v xml:space="preserve">Cameroon - Community Development Program Project : indigenous peoples plan </v>
      </c>
      <c r="F151" s="9">
        <v>37627</v>
      </c>
      <c r="G151" s="2" t="s">
        <v>2780</v>
      </c>
      <c r="H151" s="2" t="s">
        <v>10</v>
      </c>
      <c r="I151" s="2" t="s">
        <v>2779</v>
      </c>
      <c r="J151" s="3"/>
      <c r="K151" s="2" t="s">
        <v>2778</v>
      </c>
      <c r="L151" s="2" t="s">
        <v>2777</v>
      </c>
      <c r="M151" s="2" t="s">
        <v>395</v>
      </c>
      <c r="N151" s="2" t="s">
        <v>2776</v>
      </c>
      <c r="O151" s="2" t="s">
        <v>2775</v>
      </c>
      <c r="P151" s="2"/>
      <c r="Q151" s="2" t="s">
        <v>2781</v>
      </c>
      <c r="R151" s="2" t="s">
        <v>2773</v>
      </c>
      <c r="S151" s="2"/>
      <c r="T151" s="2" t="s">
        <v>2772</v>
      </c>
      <c r="U151" s="2" t="s">
        <v>2154</v>
      </c>
      <c r="V151" s="2" t="s">
        <v>0</v>
      </c>
    </row>
    <row r="152" spans="1:22" ht="75" x14ac:dyDescent="0.25">
      <c r="A152" s="6"/>
      <c r="B152" s="10"/>
      <c r="C152" s="2" t="s">
        <v>2771</v>
      </c>
      <c r="D152" s="2" t="s">
        <v>1308</v>
      </c>
      <c r="E152" s="1" t="str">
        <f>HYPERLINK("http://www-wds.worldbank.org/external/default/main?menuPK=64187510&amp;pagePK=64193027&amp;piPK=64187937&amp;menuPK=64154159&amp;searchMenuPK=64258546&amp;theSitePK=523679&amp;entityID=000094946_03070712233781","Cameroon - Programme National de Developpement Participatif : Plan de developpement des peuples pygmees ")</f>
        <v xml:space="preserve">Cameroon - Programme National de Developpement Participatif : Plan de developpement des peuples pygmees </v>
      </c>
      <c r="F152" s="9">
        <v>37627</v>
      </c>
      <c r="G152" s="2" t="s">
        <v>2780</v>
      </c>
      <c r="H152" s="2" t="s">
        <v>10</v>
      </c>
      <c r="I152" s="2" t="s">
        <v>2779</v>
      </c>
      <c r="J152" s="3"/>
      <c r="K152" s="2" t="s">
        <v>2778</v>
      </c>
      <c r="L152" s="2" t="s">
        <v>2777</v>
      </c>
      <c r="M152" s="2" t="s">
        <v>395</v>
      </c>
      <c r="N152" s="2" t="s">
        <v>2776</v>
      </c>
      <c r="O152" s="2" t="s">
        <v>2775</v>
      </c>
      <c r="P152" s="2"/>
      <c r="Q152" s="2" t="s">
        <v>2774</v>
      </c>
      <c r="R152" s="2" t="s">
        <v>2773</v>
      </c>
      <c r="S152" s="2"/>
      <c r="T152" s="2" t="s">
        <v>2772</v>
      </c>
      <c r="U152" s="2" t="s">
        <v>2154</v>
      </c>
      <c r="V152" s="2" t="s">
        <v>0</v>
      </c>
    </row>
    <row r="153" spans="1:22" ht="75" x14ac:dyDescent="0.25">
      <c r="A153" s="6"/>
      <c r="B153" s="10"/>
      <c r="C153" s="2" t="s">
        <v>2771</v>
      </c>
      <c r="D153" s="2" t="s">
        <v>1308</v>
      </c>
      <c r="E153" s="1" t="str">
        <f>HYPERLINK("http://www-wds.worldbank.org/external/default/main?menuPK=64187510&amp;pagePK=64193027&amp;piPK=64187937&amp;menuPK=64154159&amp;searchMenuPK=64258546&amp;theSitePK=523679&amp;entityID=000011823_20050831123850","Plan de developpement des peuples (Pygmees) : rapport final ")</f>
        <v xml:space="preserve">Plan de developpement des peuples (Pygmees) : rapport final </v>
      </c>
      <c r="F153" s="9">
        <v>37627</v>
      </c>
      <c r="G153" s="2" t="s">
        <v>2770</v>
      </c>
      <c r="H153" s="2" t="s">
        <v>10</v>
      </c>
      <c r="I153" s="2"/>
      <c r="J153" s="3"/>
      <c r="K153" s="2" t="s">
        <v>338</v>
      </c>
      <c r="L153" s="2" t="s">
        <v>2769</v>
      </c>
      <c r="M153" s="2" t="s">
        <v>395</v>
      </c>
      <c r="N153" s="2" t="s">
        <v>2768</v>
      </c>
      <c r="O153" s="2" t="s">
        <v>2767</v>
      </c>
      <c r="P153" s="2"/>
      <c r="Q153" s="2"/>
      <c r="R153" s="2"/>
      <c r="S153" s="2"/>
      <c r="T153" s="2" t="s">
        <v>2766</v>
      </c>
      <c r="U153" s="2" t="s">
        <v>2154</v>
      </c>
      <c r="V153" s="2" t="s">
        <v>59</v>
      </c>
    </row>
    <row r="154" spans="1:22" ht="150" x14ac:dyDescent="0.25">
      <c r="A154" s="6"/>
      <c r="B154" s="10"/>
      <c r="C154" s="2" t="s">
        <v>2751</v>
      </c>
      <c r="D154" s="2" t="s">
        <v>1308</v>
      </c>
      <c r="E154" s="1" t="str">
        <f>HYPERLINK("http://www-wds.worldbank.org/external/default/main?menuPK=64187510&amp;pagePK=64193027&amp;piPK=64187937&amp;menuPK=64154159&amp;searchMenuPK=64258546&amp;theSitePK=523679&amp;entityID=000020953_20100812112417","Elaboration d'un plan de developpement des peuples pygmees (PDPP) ")</f>
        <v xml:space="preserve">Elaboration d'un plan de developpement des peuples pygmees (PDPP) </v>
      </c>
      <c r="F154" s="9">
        <v>40181</v>
      </c>
      <c r="G154" s="2" t="s">
        <v>2765</v>
      </c>
      <c r="H154" s="2" t="s">
        <v>10</v>
      </c>
      <c r="I154" s="2"/>
      <c r="J154" s="3"/>
      <c r="K154" s="2" t="s">
        <v>2764</v>
      </c>
      <c r="L154" s="2" t="s">
        <v>2763</v>
      </c>
      <c r="M154" s="2" t="s">
        <v>395</v>
      </c>
      <c r="N154" s="2" t="s">
        <v>2762</v>
      </c>
      <c r="O154" s="2" t="s">
        <v>2761</v>
      </c>
      <c r="P154" s="2"/>
      <c r="Q154" s="2" t="s">
        <v>2760</v>
      </c>
      <c r="R154" s="2" t="s">
        <v>442</v>
      </c>
      <c r="S154" s="2"/>
      <c r="T154" s="2"/>
      <c r="U154" s="2" t="s">
        <v>2759</v>
      </c>
      <c r="V154" s="2" t="s">
        <v>0</v>
      </c>
    </row>
    <row r="155" spans="1:22" ht="90" x14ac:dyDescent="0.25">
      <c r="A155" s="6"/>
      <c r="B155" s="10"/>
      <c r="C155" s="2" t="s">
        <v>2751</v>
      </c>
      <c r="D155" s="2" t="s">
        <v>1308</v>
      </c>
      <c r="E155" s="1" t="str">
        <f>HYPERLINK("http://www-wds.worldbank.org/external/default/main?menuPK=64187510&amp;pagePK=64193027&amp;piPK=64187937&amp;menuPK=64154159&amp;searchMenuPK=64258546&amp;theSitePK=523679&amp;entityID=000020953_20100325140942","Plan des peuples autochtones ")</f>
        <v xml:space="preserve">Plan des peuples autochtones </v>
      </c>
      <c r="F155" s="9">
        <v>39825</v>
      </c>
      <c r="G155" s="2" t="s">
        <v>2758</v>
      </c>
      <c r="H155" s="2" t="s">
        <v>10</v>
      </c>
      <c r="I155" s="2"/>
      <c r="J155" s="3"/>
      <c r="K155" s="2" t="s">
        <v>1801</v>
      </c>
      <c r="L155" s="2" t="s">
        <v>2757</v>
      </c>
      <c r="M155" s="2" t="s">
        <v>395</v>
      </c>
      <c r="N155" s="2" t="s">
        <v>2756</v>
      </c>
      <c r="O155" s="2" t="s">
        <v>2755</v>
      </c>
      <c r="P155" s="2"/>
      <c r="Q155" s="2" t="s">
        <v>2754</v>
      </c>
      <c r="R155" s="2" t="s">
        <v>2753</v>
      </c>
      <c r="S155" s="2" t="s">
        <v>2752</v>
      </c>
      <c r="T155" s="2"/>
      <c r="U155" s="2" t="s">
        <v>1476</v>
      </c>
      <c r="V155" s="2" t="s">
        <v>0</v>
      </c>
    </row>
    <row r="156" spans="1:22" ht="90" x14ac:dyDescent="0.25">
      <c r="A156" s="6"/>
      <c r="B156" s="10"/>
      <c r="C156" s="2" t="s">
        <v>2751</v>
      </c>
      <c r="D156" s="2" t="s">
        <v>1308</v>
      </c>
      <c r="E156" s="1" t="str">
        <f>HYPERLINK("http://www-wds.worldbank.org/external/default/main?menuPK=64187510&amp;pagePK=64193027&amp;piPK=64187937&amp;menuPK=64154159&amp;searchMenuPK=64258546&amp;theSitePK=523679&amp;entityID=000020953_20090327155222","Central African Republic - Education Sector Development Program : indigenous peoples plan ")</f>
        <v xml:space="preserve">Central African Republic - Education Sector Development Program : indigenous peoples plan </v>
      </c>
      <c r="F156" s="9">
        <v>39816</v>
      </c>
      <c r="G156" s="2" t="s">
        <v>2750</v>
      </c>
      <c r="H156" s="2" t="s">
        <v>10</v>
      </c>
      <c r="I156" s="2" t="s">
        <v>2749</v>
      </c>
      <c r="J156" s="3"/>
      <c r="K156" s="2" t="s">
        <v>21</v>
      </c>
      <c r="L156" s="2" t="s">
        <v>2748</v>
      </c>
      <c r="M156" s="2" t="s">
        <v>395</v>
      </c>
      <c r="N156" s="2" t="s">
        <v>2747</v>
      </c>
      <c r="O156" s="2" t="s">
        <v>1598</v>
      </c>
      <c r="P156" s="2"/>
      <c r="Q156" s="2" t="s">
        <v>2746</v>
      </c>
      <c r="R156" s="2" t="s">
        <v>2745</v>
      </c>
      <c r="S156" s="2" t="s">
        <v>316</v>
      </c>
      <c r="T156" s="2"/>
      <c r="U156" s="2" t="s">
        <v>2279</v>
      </c>
      <c r="V156" s="2" t="s">
        <v>0</v>
      </c>
    </row>
    <row r="157" spans="1:22" ht="315" x14ac:dyDescent="0.25">
      <c r="A157" s="6"/>
      <c r="B157" s="10"/>
      <c r="C157" s="2" t="s">
        <v>2737</v>
      </c>
      <c r="D157" s="2" t="s">
        <v>398</v>
      </c>
      <c r="E157" s="1" t="str">
        <f>HYPERLINK("http://www-wds.worldbank.org/external/default/main?menuPK=64187510&amp;pagePK=64193027&amp;piPK=64187937&amp;menuPK=64154159&amp;searchMenuPK=64258546&amp;theSitePK=523679&amp;entityID=000160016_20060530174423","Plan de desarrollo para los pueblos indigenas - apendice al anexo 11: evaluacion social e indigena ")</f>
        <v xml:space="preserve">Plan de desarrollo para los pueblos indigenas - apendice al anexo 11: evaluacion social e indigena </v>
      </c>
      <c r="F157" s="9">
        <v>38841</v>
      </c>
      <c r="G157" s="2" t="s">
        <v>2743</v>
      </c>
      <c r="H157" s="2" t="s">
        <v>10</v>
      </c>
      <c r="I157" s="2" t="s">
        <v>2742</v>
      </c>
      <c r="J157" s="3"/>
      <c r="K157" s="2" t="s">
        <v>8</v>
      </c>
      <c r="L157" s="2" t="s">
        <v>2741</v>
      </c>
      <c r="M157" s="2" t="s">
        <v>634</v>
      </c>
      <c r="N157" s="2" t="s">
        <v>2740</v>
      </c>
      <c r="O157" s="2" t="s">
        <v>50</v>
      </c>
      <c r="P157" s="2"/>
      <c r="Q157" s="2" t="s">
        <v>2744</v>
      </c>
      <c r="R157" s="2" t="s">
        <v>725</v>
      </c>
      <c r="S157" s="2"/>
      <c r="T157" s="2" t="s">
        <v>2738</v>
      </c>
      <c r="U157" s="2" t="s">
        <v>639</v>
      </c>
      <c r="V157" s="2" t="s">
        <v>35</v>
      </c>
    </row>
    <row r="158" spans="1:22" ht="315" x14ac:dyDescent="0.25">
      <c r="A158" s="6"/>
      <c r="B158" s="10"/>
      <c r="C158" s="2" t="s">
        <v>2737</v>
      </c>
      <c r="D158" s="2" t="s">
        <v>398</v>
      </c>
      <c r="E158" s="1" t="str">
        <f>HYPERLINK("http://www-wds.worldbank.org/external/default/main?menuPK=64187510&amp;pagePK=64193027&amp;piPK=64187937&amp;menuPK=64154159&amp;searchMenuPK=64258546&amp;theSitePK=523679&amp;entityID=000160016_20060530175058","Anexo 11 - Evaluacion social e indigena ")</f>
        <v xml:space="preserve">Anexo 11 - Evaluacion social e indigena </v>
      </c>
      <c r="F158" s="9">
        <v>38721</v>
      </c>
      <c r="G158" s="2" t="s">
        <v>2743</v>
      </c>
      <c r="H158" s="2" t="s">
        <v>10</v>
      </c>
      <c r="I158" s="2" t="s">
        <v>2742</v>
      </c>
      <c r="J158" s="3"/>
      <c r="K158" s="2" t="s">
        <v>8</v>
      </c>
      <c r="L158" s="2" t="s">
        <v>2741</v>
      </c>
      <c r="M158" s="2" t="s">
        <v>634</v>
      </c>
      <c r="N158" s="2" t="s">
        <v>2740</v>
      </c>
      <c r="O158" s="2" t="s">
        <v>50</v>
      </c>
      <c r="P158" s="2"/>
      <c r="Q158" s="2" t="s">
        <v>2744</v>
      </c>
      <c r="R158" s="2" t="s">
        <v>725</v>
      </c>
      <c r="S158" s="2"/>
      <c r="T158" s="2" t="s">
        <v>2738</v>
      </c>
      <c r="U158" s="2" t="s">
        <v>639</v>
      </c>
      <c r="V158" s="2" t="s">
        <v>55</v>
      </c>
    </row>
    <row r="159" spans="1:22" ht="315" x14ac:dyDescent="0.25">
      <c r="A159" s="6"/>
      <c r="B159" s="10"/>
      <c r="C159" s="2" t="s">
        <v>2737</v>
      </c>
      <c r="D159" s="2" t="s">
        <v>398</v>
      </c>
      <c r="E159" s="1" t="str">
        <f>HYPERLINK("http://www-wds.worldbank.org/external/default/main?menuPK=64187510&amp;pagePK=64193027&amp;piPK=64187937&amp;menuPK=64154159&amp;searchMenuPK=64258546&amp;theSitePK=523679&amp;entityID=000160016_20060927153442","Honduras y Nicaragua - Proyecto Reserva de Biosfera Transfronteriza Corazon del Corredor Biologico Mesoamericano : plan de desarrollo para los pueblos indigenas - anexo 14 - consultas con actores involucrados (stakeholders) ")</f>
        <v xml:space="preserve">Honduras y Nicaragua - Proyecto Reserva de Biosfera Transfronteriza Corazon del Corredor Biologico Mesoamericano : plan de desarrollo para los pueblos indigenas - anexo 14 - consultas con actores involucrados (stakeholders) </v>
      </c>
      <c r="F159" s="9">
        <v>38719</v>
      </c>
      <c r="G159" s="2" t="s">
        <v>2743</v>
      </c>
      <c r="H159" s="2" t="s">
        <v>10</v>
      </c>
      <c r="I159" s="2" t="s">
        <v>2742</v>
      </c>
      <c r="J159" s="3"/>
      <c r="K159" s="2" t="s">
        <v>8</v>
      </c>
      <c r="L159" s="2" t="s">
        <v>2741</v>
      </c>
      <c r="M159" s="2" t="s">
        <v>634</v>
      </c>
      <c r="N159" s="2" t="s">
        <v>2740</v>
      </c>
      <c r="O159" s="2" t="s">
        <v>50</v>
      </c>
      <c r="P159" s="2"/>
      <c r="Q159" s="2" t="s">
        <v>2739</v>
      </c>
      <c r="R159" s="2" t="s">
        <v>725</v>
      </c>
      <c r="S159" s="2"/>
      <c r="T159" s="2" t="s">
        <v>2738</v>
      </c>
      <c r="U159" s="2" t="s">
        <v>639</v>
      </c>
      <c r="V159" s="2" t="s">
        <v>93</v>
      </c>
    </row>
    <row r="160" spans="1:22" ht="45" x14ac:dyDescent="0.25">
      <c r="A160" s="6"/>
      <c r="B160" s="10"/>
      <c r="C160" s="2" t="s">
        <v>2737</v>
      </c>
      <c r="D160" s="2" t="s">
        <v>398</v>
      </c>
      <c r="E160" s="1" t="str">
        <f>HYPERLINK("http://www-wds.worldbank.org/external/default/main?menuPK=64187510&amp;pagePK=64193027&amp;piPK=64187937&amp;menuPK=64154159&amp;searchMenuPK=64258546&amp;theSitePK=523679&amp;entityID=000012009_20050225132439","Central America - Regional HIV/AIDS Project : indigenous peoples plan ")</f>
        <v xml:space="preserve">Central America - Regional HIV/AIDS Project : indigenous peoples plan </v>
      </c>
      <c r="F160" s="3" t="s">
        <v>2736</v>
      </c>
      <c r="G160" s="2" t="s">
        <v>2735</v>
      </c>
      <c r="H160" s="2" t="s">
        <v>10</v>
      </c>
      <c r="I160" s="2" t="s">
        <v>2734</v>
      </c>
      <c r="J160" s="3"/>
      <c r="K160" s="2" t="s">
        <v>109</v>
      </c>
      <c r="L160" s="2" t="s">
        <v>2733</v>
      </c>
      <c r="M160" s="2" t="s">
        <v>634</v>
      </c>
      <c r="N160" s="2" t="s">
        <v>2732</v>
      </c>
      <c r="O160" s="2" t="s">
        <v>489</v>
      </c>
      <c r="P160" s="2"/>
      <c r="Q160" s="2"/>
      <c r="R160" s="2"/>
      <c r="S160" s="2"/>
      <c r="T160" s="2" t="s">
        <v>2731</v>
      </c>
      <c r="U160" s="2" t="s">
        <v>684</v>
      </c>
      <c r="V160" s="2" t="s">
        <v>0</v>
      </c>
    </row>
    <row r="161" spans="1:22" ht="105" x14ac:dyDescent="0.25">
      <c r="A161" s="11" t="s">
        <v>552</v>
      </c>
      <c r="B161" s="13" t="s">
        <v>2730</v>
      </c>
      <c r="C161" s="2" t="s">
        <v>2710</v>
      </c>
      <c r="D161" s="2" t="s">
        <v>398</v>
      </c>
      <c r="E161" s="1" t="str">
        <f>HYPERLINK("http://www-wds.worldbank.org/external/default/main?menuPK=64187510&amp;pagePK=64193027&amp;piPK=64187937&amp;menuPK=64154159&amp;searchMenuPK=64258546&amp;theSitePK=523679&amp;entityID=000020953_20090813093659","Plan para Poblacion Indigena ")</f>
        <v xml:space="preserve">Plan para Poblacion Indigena </v>
      </c>
      <c r="F161" s="9">
        <v>40125</v>
      </c>
      <c r="G161" s="2" t="s">
        <v>2729</v>
      </c>
      <c r="H161" s="2" t="s">
        <v>10</v>
      </c>
      <c r="I161" s="2"/>
      <c r="J161" s="3">
        <v>7211</v>
      </c>
      <c r="K161" s="2" t="s">
        <v>109</v>
      </c>
      <c r="L161" s="2" t="s">
        <v>2708</v>
      </c>
      <c r="M161" s="2" t="s">
        <v>634</v>
      </c>
      <c r="N161" s="2" t="s">
        <v>2728</v>
      </c>
      <c r="O161" s="2" t="s">
        <v>460</v>
      </c>
      <c r="P161" s="2"/>
      <c r="Q161" s="2" t="s">
        <v>2727</v>
      </c>
      <c r="R161" s="2" t="s">
        <v>357</v>
      </c>
      <c r="S161" s="2" t="s">
        <v>2726</v>
      </c>
      <c r="T161" s="2"/>
      <c r="U161" s="2" t="s">
        <v>742</v>
      </c>
      <c r="V161" s="2" t="s">
        <v>0</v>
      </c>
    </row>
    <row r="162" spans="1:22" ht="120" x14ac:dyDescent="0.25">
      <c r="A162" s="12" t="s">
        <v>552</v>
      </c>
      <c r="B162" s="10" t="s">
        <v>2725</v>
      </c>
      <c r="C162" s="2" t="s">
        <v>2710</v>
      </c>
      <c r="D162" s="2" t="s">
        <v>12</v>
      </c>
      <c r="E162" s="1" t="str">
        <f>HYPERLINK("http://www-wds.worldbank.org/external/default/main?menuPK=64187510&amp;pagePK=64193027&amp;piPK=64187937&amp;menuPK=64154159&amp;searchMenuPK=64258546&amp;theSitePK=523679&amp;entityID=000090341_20050223093007","Chile - Infrastructure for Territorial Development Project : indigenous peoples plan ")</f>
        <v xml:space="preserve">Chile - Infrastructure for Territorial Development Project : indigenous peoples plan </v>
      </c>
      <c r="F162" s="9">
        <v>38413</v>
      </c>
      <c r="G162" s="2" t="s">
        <v>2724</v>
      </c>
      <c r="H162" s="2" t="s">
        <v>10</v>
      </c>
      <c r="I162" s="2"/>
      <c r="J162" s="3">
        <v>7269</v>
      </c>
      <c r="K162" s="2" t="s">
        <v>2723</v>
      </c>
      <c r="L162" s="2" t="s">
        <v>2722</v>
      </c>
      <c r="M162" s="2" t="s">
        <v>634</v>
      </c>
      <c r="N162" s="2" t="s">
        <v>2721</v>
      </c>
      <c r="O162" s="2" t="s">
        <v>2720</v>
      </c>
      <c r="P162" s="2"/>
      <c r="Q162" s="2" t="s">
        <v>2719</v>
      </c>
      <c r="R162" s="2" t="s">
        <v>1017</v>
      </c>
      <c r="S162" s="2"/>
      <c r="T162" s="2" t="s">
        <v>2718</v>
      </c>
      <c r="U162" s="2" t="s">
        <v>655</v>
      </c>
      <c r="V162" s="2" t="s">
        <v>0</v>
      </c>
    </row>
    <row r="163" spans="1:22" ht="210" x14ac:dyDescent="0.25">
      <c r="A163" s="11" t="s">
        <v>552</v>
      </c>
      <c r="B163" s="13" t="s">
        <v>2717</v>
      </c>
      <c r="C163" s="2" t="s">
        <v>2710</v>
      </c>
      <c r="D163" s="2" t="s">
        <v>12</v>
      </c>
      <c r="E163" s="1" t="str">
        <f>HYPERLINK("http://www-wds.worldbank.org/external/default/main?menuPK=64187510&amp;pagePK=64193027&amp;piPK=64187937&amp;menuPK=64154159&amp;searchMenuPK=64258546&amp;theSitePK=523679&amp;entityID=000090341_20050210113026","Chile - Tertiary Education Finance for Results Project : indigenous peoples plan ")</f>
        <v xml:space="preserve">Chile - Tertiary Education Finance for Results Project : indigenous peoples plan </v>
      </c>
      <c r="F163" s="9">
        <v>38354</v>
      </c>
      <c r="G163" s="2" t="s">
        <v>2716</v>
      </c>
      <c r="H163" s="2" t="s">
        <v>10</v>
      </c>
      <c r="I163" s="2"/>
      <c r="J163" s="3"/>
      <c r="K163" s="2" t="s">
        <v>21</v>
      </c>
      <c r="L163" s="2" t="s">
        <v>2715</v>
      </c>
      <c r="M163" s="2" t="s">
        <v>634</v>
      </c>
      <c r="N163" s="2" t="s">
        <v>2714</v>
      </c>
      <c r="O163" s="2" t="s">
        <v>2713</v>
      </c>
      <c r="P163" s="2"/>
      <c r="Q163" s="2" t="s">
        <v>2712</v>
      </c>
      <c r="R163" s="2" t="s">
        <v>25</v>
      </c>
      <c r="S163" s="2"/>
      <c r="T163" s="2"/>
      <c r="U163" s="2" t="s">
        <v>630</v>
      </c>
      <c r="V163" s="2" t="s">
        <v>0</v>
      </c>
    </row>
    <row r="164" spans="1:22" ht="45" x14ac:dyDescent="0.25">
      <c r="A164" s="12" t="s">
        <v>552</v>
      </c>
      <c r="B164" s="10" t="s">
        <v>2711</v>
      </c>
      <c r="C164" s="2" t="s">
        <v>2710</v>
      </c>
      <c r="D164" s="2" t="s">
        <v>398</v>
      </c>
      <c r="E164" s="1" t="str">
        <f>HYPERLINK("http://www-wds.worldbank.org/external/default/main?menuPK=64187510&amp;pagePK=64193027&amp;piPK=64187937&amp;menuPK=64154159&amp;searchMenuPK=64258546&amp;theSitePK=523679&amp;entityID=000012009_20031106113056","Chile - Social Protection Technical Assistance Project : indigenous peoples plan ")</f>
        <v xml:space="preserve">Chile - Social Protection Technical Assistance Project : indigenous peoples plan </v>
      </c>
      <c r="F164" s="9">
        <v>37632</v>
      </c>
      <c r="G164" s="2" t="s">
        <v>2709</v>
      </c>
      <c r="H164" s="2" t="s">
        <v>10</v>
      </c>
      <c r="I164" s="2" t="s">
        <v>31</v>
      </c>
      <c r="J164" s="3"/>
      <c r="K164" s="2" t="s">
        <v>109</v>
      </c>
      <c r="L164" s="2" t="s">
        <v>2708</v>
      </c>
      <c r="M164" s="2" t="s">
        <v>634</v>
      </c>
      <c r="N164" s="2" t="s">
        <v>2707</v>
      </c>
      <c r="O164" s="2" t="s">
        <v>460</v>
      </c>
      <c r="P164" s="2"/>
      <c r="Q164" s="2"/>
      <c r="R164" s="2"/>
      <c r="S164" s="2"/>
      <c r="T164" s="2"/>
      <c r="U164" s="2" t="s">
        <v>742</v>
      </c>
      <c r="V164" s="2" t="s">
        <v>0</v>
      </c>
    </row>
    <row r="165" spans="1:22" ht="60" x14ac:dyDescent="0.25">
      <c r="A165" s="6"/>
      <c r="B165" s="10"/>
      <c r="C165" s="2" t="s">
        <v>2475</v>
      </c>
      <c r="D165" s="2" t="s">
        <v>12</v>
      </c>
      <c r="E165" s="1" t="str">
        <f>HYPERLINK("http://www-wds.worldbank.org/external/default/main?menuPK=64187510&amp;pagePK=64193027&amp;piPK=64187937&amp;menuPK=64154159&amp;searchMenuPK=64258546&amp;theSitePK=523679&amp;entityID=000333038_20110216215720","China - Additional Financing for the Fujian Highway Sector Investment Project : indigenous peoples policy framework ")</f>
        <v xml:space="preserve">China - Additional Financing for the Fujian Highway Sector Investment Project : indigenous peoples policy framework </v>
      </c>
      <c r="F165" s="3" t="s">
        <v>2706</v>
      </c>
      <c r="G165" s="2" t="s">
        <v>2705</v>
      </c>
      <c r="H165" s="2" t="s">
        <v>10</v>
      </c>
      <c r="I165" s="2"/>
      <c r="J165" s="3"/>
      <c r="K165" s="2" t="s">
        <v>43</v>
      </c>
      <c r="L165" s="2" t="s">
        <v>2704</v>
      </c>
      <c r="M165" s="2" t="s">
        <v>29</v>
      </c>
      <c r="N165" s="2" t="s">
        <v>2703</v>
      </c>
      <c r="O165" s="2" t="s">
        <v>40</v>
      </c>
      <c r="P165" s="2"/>
      <c r="Q165" s="2" t="s">
        <v>2548</v>
      </c>
      <c r="R165" s="2" t="s">
        <v>2547</v>
      </c>
      <c r="S165" s="2"/>
      <c r="T165" s="2"/>
      <c r="U165" s="2" t="s">
        <v>1128</v>
      </c>
      <c r="V165" s="2" t="s">
        <v>0</v>
      </c>
    </row>
    <row r="166" spans="1:22" ht="60" x14ac:dyDescent="0.25">
      <c r="A166" s="6"/>
      <c r="B166" s="10"/>
      <c r="C166" s="2" t="s">
        <v>2475</v>
      </c>
      <c r="D166" s="2" t="s">
        <v>12</v>
      </c>
      <c r="E166" s="1" t="str">
        <f>HYPERLINK("http://www-wds.worldbank.org/external/default/main?menuPK=64187510&amp;pagePK=64193027&amp;piPK=64187937&amp;menuPK=64154159&amp;searchMenuPK=64258546&amp;theSitePK=523679&amp;entityID=000333037_20100715011238","China - Bayannaoer Water Reclamation and Environment Protection Project : indigenous peoples plan ")</f>
        <v xml:space="preserve">China - Bayannaoer Water Reclamation and Environment Protection Project : indigenous peoples plan </v>
      </c>
      <c r="F166" s="9">
        <v>40184</v>
      </c>
      <c r="G166" s="2" t="s">
        <v>2702</v>
      </c>
      <c r="H166" s="2" t="s">
        <v>10</v>
      </c>
      <c r="I166" s="2"/>
      <c r="J166" s="3"/>
      <c r="K166" s="2" t="s">
        <v>145</v>
      </c>
      <c r="L166" s="2" t="s">
        <v>2701</v>
      </c>
      <c r="M166" s="2" t="s">
        <v>29</v>
      </c>
      <c r="N166" s="2" t="s">
        <v>2700</v>
      </c>
      <c r="O166" s="2" t="s">
        <v>2699</v>
      </c>
      <c r="P166" s="2"/>
      <c r="Q166" s="2" t="s">
        <v>2698</v>
      </c>
      <c r="R166" s="2" t="s">
        <v>717</v>
      </c>
      <c r="S166" s="2"/>
      <c r="T166" s="2"/>
      <c r="U166" s="2" t="s">
        <v>1128</v>
      </c>
      <c r="V166" s="2" t="s">
        <v>0</v>
      </c>
    </row>
    <row r="167" spans="1:22" ht="75" x14ac:dyDescent="0.25">
      <c r="A167" s="6"/>
      <c r="B167" s="10"/>
      <c r="C167" s="2" t="s">
        <v>2475</v>
      </c>
      <c r="D167" s="2" t="s">
        <v>12</v>
      </c>
      <c r="E167" s="1" t="str">
        <f>HYPERLINK("http://www-wds.worldbank.org/external/default/main?menuPK=64187510&amp;pagePK=64193027&amp;piPK=64187937&amp;menuPK=64154159&amp;searchMenuPK=64258546&amp;theSitePK=523679&amp;entityID=000334955_20100621043936","China - Jiangsu Wuxi Lake Tai Environment Project : indigenous peoples plan ")</f>
        <v xml:space="preserve">China - Jiangsu Wuxi Lake Tai Environment Project : indigenous peoples plan </v>
      </c>
      <c r="F167" s="9">
        <v>40183</v>
      </c>
      <c r="G167" s="2" t="s">
        <v>2697</v>
      </c>
      <c r="H167" s="2" t="s">
        <v>10</v>
      </c>
      <c r="I167" s="2"/>
      <c r="J167" s="3"/>
      <c r="K167" s="2" t="s">
        <v>145</v>
      </c>
      <c r="L167" s="2" t="s">
        <v>2696</v>
      </c>
      <c r="M167" s="2" t="s">
        <v>29</v>
      </c>
      <c r="N167" s="2" t="s">
        <v>2695</v>
      </c>
      <c r="O167" s="2" t="s">
        <v>2694</v>
      </c>
      <c r="P167" s="2"/>
      <c r="Q167" s="2" t="s">
        <v>2693</v>
      </c>
      <c r="R167" s="2" t="s">
        <v>717</v>
      </c>
      <c r="S167" s="2"/>
      <c r="T167" s="2"/>
      <c r="U167" s="2" t="s">
        <v>1128</v>
      </c>
      <c r="V167" s="2" t="s">
        <v>0</v>
      </c>
    </row>
    <row r="168" spans="1:22" ht="75" x14ac:dyDescent="0.25">
      <c r="A168" s="6"/>
      <c r="B168" s="10"/>
      <c r="C168" s="2" t="s">
        <v>2475</v>
      </c>
      <c r="D168" s="2" t="s">
        <v>12</v>
      </c>
      <c r="E168" s="1" t="str">
        <f>HYPERLINK("http://www-wds.worldbank.org/external/default/main?menuPK=64187510&amp;pagePK=64193027&amp;piPK=64187937&amp;menuPK=64154159&amp;searchMenuPK=64258546&amp;theSitePK=523679&amp;entityID=000334955_20100401025822","Report on social assessment and ethnic minority development plan (EMDP) ")</f>
        <v xml:space="preserve">Report on social assessment and ethnic minority development plan (EMDP) </v>
      </c>
      <c r="F168" s="9">
        <v>40515</v>
      </c>
      <c r="G168" s="2" t="s">
        <v>2634</v>
      </c>
      <c r="H168" s="2" t="s">
        <v>10</v>
      </c>
      <c r="I168" s="2"/>
      <c r="J168" s="3"/>
      <c r="K168" s="2" t="s">
        <v>509</v>
      </c>
      <c r="L168" s="2" t="s">
        <v>2633</v>
      </c>
      <c r="M168" s="2" t="s">
        <v>29</v>
      </c>
      <c r="N168" s="2" t="s">
        <v>2632</v>
      </c>
      <c r="O168" s="2" t="s">
        <v>719</v>
      </c>
      <c r="P168" s="2"/>
      <c r="Q168" s="2" t="s">
        <v>2692</v>
      </c>
      <c r="R168" s="2" t="s">
        <v>2656</v>
      </c>
      <c r="S168" s="2" t="s">
        <v>699</v>
      </c>
      <c r="T168" s="2"/>
      <c r="U168" s="2" t="s">
        <v>1128</v>
      </c>
      <c r="V168" s="2" t="s">
        <v>308</v>
      </c>
    </row>
    <row r="169" spans="1:22" ht="60" x14ac:dyDescent="0.25">
      <c r="A169" s="6"/>
      <c r="B169" s="10"/>
      <c r="C169" s="2" t="s">
        <v>2475</v>
      </c>
      <c r="D169" s="2" t="s">
        <v>12</v>
      </c>
      <c r="E169" s="1" t="str">
        <f>HYPERLINK("http://www-wds.worldbank.org/external/default/main?menuPK=64187510&amp;pagePK=64193027&amp;piPK=64187937&amp;menuPK=64154159&amp;searchMenuPK=64258546&amp;theSitePK=523679&amp;entityID=000334955_20100401030052","Ethnic minority development plan (EMDP) ")</f>
        <v xml:space="preserve">Ethnic minority development plan (EMDP) </v>
      </c>
      <c r="F169" s="9">
        <v>40515</v>
      </c>
      <c r="G169" s="2" t="s">
        <v>2634</v>
      </c>
      <c r="H169" s="2" t="s">
        <v>10</v>
      </c>
      <c r="I169" s="2"/>
      <c r="J169" s="3"/>
      <c r="K169" s="2" t="s">
        <v>509</v>
      </c>
      <c r="L169" s="2" t="s">
        <v>2633</v>
      </c>
      <c r="M169" s="2" t="s">
        <v>29</v>
      </c>
      <c r="N169" s="2" t="s">
        <v>2632</v>
      </c>
      <c r="O169" s="2" t="s">
        <v>719</v>
      </c>
      <c r="P169" s="2"/>
      <c r="Q169" s="2" t="s">
        <v>2635</v>
      </c>
      <c r="R169" s="2" t="s">
        <v>1471</v>
      </c>
      <c r="S169" s="2" t="s">
        <v>699</v>
      </c>
      <c r="T169" s="2"/>
      <c r="U169" s="2" t="s">
        <v>1128</v>
      </c>
      <c r="V169" s="2" t="s">
        <v>344</v>
      </c>
    </row>
    <row r="170" spans="1:22" ht="90" x14ac:dyDescent="0.25">
      <c r="A170" s="6"/>
      <c r="B170" s="10"/>
      <c r="C170" s="2" t="s">
        <v>2475</v>
      </c>
      <c r="D170" s="2" t="s">
        <v>12</v>
      </c>
      <c r="E170" s="1" t="str">
        <f>HYPERLINK("http://www-wds.worldbank.org/external/default/main?menuPK=64187510&amp;pagePK=64193027&amp;piPK=64187937&amp;menuPK=64154159&amp;searchMenuPK=64258546&amp;theSitePK=523679&amp;entityID=000334955_20091120052738","China - Ningxia Highway Project : social assessment ")</f>
        <v xml:space="preserve">China - Ningxia Highway Project : social assessment </v>
      </c>
      <c r="F170" s="9">
        <v>39823</v>
      </c>
      <c r="G170" s="2" t="s">
        <v>2689</v>
      </c>
      <c r="H170" s="2" t="s">
        <v>10</v>
      </c>
      <c r="I170" s="2"/>
      <c r="J170" s="3"/>
      <c r="K170" s="2" t="s">
        <v>164</v>
      </c>
      <c r="L170" s="2" t="s">
        <v>2688</v>
      </c>
      <c r="M170" s="2" t="s">
        <v>29</v>
      </c>
      <c r="N170" s="2" t="s">
        <v>2687</v>
      </c>
      <c r="O170" s="2" t="s">
        <v>161</v>
      </c>
      <c r="P170" s="2"/>
      <c r="Q170" s="2" t="s">
        <v>2691</v>
      </c>
      <c r="R170" s="2" t="s">
        <v>2690</v>
      </c>
      <c r="S170" s="2" t="s">
        <v>2540</v>
      </c>
      <c r="T170" s="2"/>
      <c r="U170" s="2" t="s">
        <v>1128</v>
      </c>
      <c r="V170" s="2" t="s">
        <v>0</v>
      </c>
    </row>
    <row r="171" spans="1:22" ht="60" x14ac:dyDescent="0.25">
      <c r="A171" s="6"/>
      <c r="B171" s="10"/>
      <c r="C171" s="2" t="s">
        <v>2475</v>
      </c>
      <c r="D171" s="2" t="s">
        <v>2546</v>
      </c>
      <c r="E171" s="1" t="str">
        <f>HYPERLINK("http://www-wds.worldbank.org/external/default/main?menuPK=64187510&amp;pagePK=64193027&amp;piPK=64187937&amp;menuPK=64154159&amp;searchMenuPK=64258546&amp;theSitePK=523679&amp;entityID=000020953_20091009131024","China - Ningxia Highway Project : social assessment ")</f>
        <v xml:space="preserve">China - Ningxia Highway Project : social assessment </v>
      </c>
      <c r="F171" s="9">
        <v>39822</v>
      </c>
      <c r="G171" s="2" t="s">
        <v>2689</v>
      </c>
      <c r="H171" s="2" t="s">
        <v>10</v>
      </c>
      <c r="I171" s="2"/>
      <c r="J171" s="3"/>
      <c r="K171" s="2" t="s">
        <v>164</v>
      </c>
      <c r="L171" s="2" t="s">
        <v>2688</v>
      </c>
      <c r="M171" s="2" t="s">
        <v>29</v>
      </c>
      <c r="N171" s="2" t="s">
        <v>2687</v>
      </c>
      <c r="O171" s="2" t="s">
        <v>161</v>
      </c>
      <c r="P171" s="2"/>
      <c r="Q171" s="2"/>
      <c r="R171" s="2"/>
      <c r="S171" s="2" t="s">
        <v>2540</v>
      </c>
      <c r="T171" s="2"/>
      <c r="U171" s="2" t="s">
        <v>1128</v>
      </c>
      <c r="V171" s="2" t="s">
        <v>0</v>
      </c>
    </row>
    <row r="172" spans="1:22" ht="75" x14ac:dyDescent="0.25">
      <c r="A172" s="6"/>
      <c r="B172" s="10"/>
      <c r="C172" s="2" t="s">
        <v>2475</v>
      </c>
      <c r="D172" s="2" t="s">
        <v>2546</v>
      </c>
      <c r="E172" s="1" t="str">
        <f>HYPERLINK("http://www-wds.worldbank.org/external/default/main?menuPK=64187510&amp;pagePK=64193027&amp;piPK=64187937&amp;menuPK=64154159&amp;searchMenuPK=64258546&amp;theSitePK=523679&amp;entityID=000333038_20090729052855","Social impact assessment report ")</f>
        <v xml:space="preserve">Social impact assessment report </v>
      </c>
      <c r="F172" s="9">
        <v>39820</v>
      </c>
      <c r="G172" s="2" t="s">
        <v>2681</v>
      </c>
      <c r="H172" s="2" t="s">
        <v>10</v>
      </c>
      <c r="I172" s="2"/>
      <c r="J172" s="3"/>
      <c r="K172" s="2" t="s">
        <v>872</v>
      </c>
      <c r="L172" s="2" t="s">
        <v>2680</v>
      </c>
      <c r="M172" s="2" t="s">
        <v>29</v>
      </c>
      <c r="N172" s="2" t="s">
        <v>2679</v>
      </c>
      <c r="O172" s="2" t="s">
        <v>2678</v>
      </c>
      <c r="P172" s="2"/>
      <c r="Q172" s="2" t="s">
        <v>2677</v>
      </c>
      <c r="R172" s="2" t="s">
        <v>2676</v>
      </c>
      <c r="S172" s="2" t="s">
        <v>2675</v>
      </c>
      <c r="T172" s="2"/>
      <c r="U172" s="2" t="s">
        <v>1128</v>
      </c>
      <c r="V172" s="2" t="s">
        <v>55</v>
      </c>
    </row>
    <row r="173" spans="1:22" ht="75" x14ac:dyDescent="0.25">
      <c r="A173" s="6"/>
      <c r="B173" s="10"/>
      <c r="C173" s="2" t="s">
        <v>2475</v>
      </c>
      <c r="D173" s="2" t="s">
        <v>12</v>
      </c>
      <c r="E173" s="1" t="str">
        <f>HYPERLINK("http://www-wds.worldbank.org/external/default/main?menuPK=64187510&amp;pagePK=64193027&amp;piPK=64187937&amp;menuPK=64154159&amp;searchMenuPK=64258546&amp;theSitePK=523679&amp;entityID=000333037_20090729021825","Planning framework of minorities ")</f>
        <v xml:space="preserve">Planning framework of minorities </v>
      </c>
      <c r="F173" s="3" t="s">
        <v>2686</v>
      </c>
      <c r="G173" s="2" t="s">
        <v>2681</v>
      </c>
      <c r="H173" s="2" t="s">
        <v>10</v>
      </c>
      <c r="I173" s="2"/>
      <c r="J173" s="3"/>
      <c r="K173" s="2" t="s">
        <v>872</v>
      </c>
      <c r="L173" s="2" t="s">
        <v>2680</v>
      </c>
      <c r="M173" s="2" t="s">
        <v>29</v>
      </c>
      <c r="N173" s="2" t="s">
        <v>2679</v>
      </c>
      <c r="O173" s="2" t="s">
        <v>2678</v>
      </c>
      <c r="P173" s="2"/>
      <c r="Q173" s="2" t="s">
        <v>2685</v>
      </c>
      <c r="R173" s="2" t="s">
        <v>2684</v>
      </c>
      <c r="S173" s="2" t="s">
        <v>2675</v>
      </c>
      <c r="T173" s="2"/>
      <c r="U173" s="2" t="s">
        <v>1128</v>
      </c>
      <c r="V173" s="2" t="s">
        <v>93</v>
      </c>
    </row>
    <row r="174" spans="1:22" ht="75" x14ac:dyDescent="0.25">
      <c r="A174" s="6"/>
      <c r="B174" s="10"/>
      <c r="C174" s="2" t="s">
        <v>2475</v>
      </c>
      <c r="D174" s="2" t="s">
        <v>12</v>
      </c>
      <c r="E174" s="1" t="str">
        <f>HYPERLINK("http://www-wds.worldbank.org/external/default/main?menuPK=64187510&amp;pagePK=64193027&amp;piPK=64187937&amp;menuPK=64154159&amp;searchMenuPK=64258546&amp;theSitePK=523679&amp;entityID=000333037_20090729015808","Summary ")</f>
        <v xml:space="preserve">Summary </v>
      </c>
      <c r="F174" s="9">
        <v>40092</v>
      </c>
      <c r="G174" s="2" t="s">
        <v>2681</v>
      </c>
      <c r="H174" s="2" t="s">
        <v>10</v>
      </c>
      <c r="I174" s="2"/>
      <c r="J174" s="3"/>
      <c r="K174" s="2" t="s">
        <v>872</v>
      </c>
      <c r="L174" s="2" t="s">
        <v>2680</v>
      </c>
      <c r="M174" s="2" t="s">
        <v>29</v>
      </c>
      <c r="N174" s="2" t="s">
        <v>2679</v>
      </c>
      <c r="O174" s="2" t="s">
        <v>2678</v>
      </c>
      <c r="P174" s="2"/>
      <c r="Q174" s="2" t="s">
        <v>2683</v>
      </c>
      <c r="R174" s="2" t="s">
        <v>2682</v>
      </c>
      <c r="S174" s="2" t="s">
        <v>2675</v>
      </c>
      <c r="T174" s="2"/>
      <c r="U174" s="2" t="s">
        <v>1128</v>
      </c>
      <c r="V174" s="2" t="s">
        <v>35</v>
      </c>
    </row>
    <row r="175" spans="1:22" ht="75" x14ac:dyDescent="0.25">
      <c r="A175" s="6"/>
      <c r="B175" s="10"/>
      <c r="C175" s="2" t="s">
        <v>2475</v>
      </c>
      <c r="D175" s="2" t="s">
        <v>12</v>
      </c>
      <c r="E175" s="1" t="str">
        <f>HYPERLINK("http://www-wds.worldbank.org/external/default/main?menuPK=64187510&amp;pagePK=64193027&amp;piPK=64187937&amp;menuPK=64154159&amp;searchMenuPK=64258546&amp;theSitePK=523679&amp;entityID=000333037_20090729021247","Social impact assessment report ")</f>
        <v xml:space="preserve">Social impact assessment report </v>
      </c>
      <c r="F175" s="9">
        <v>40092</v>
      </c>
      <c r="G175" s="2" t="s">
        <v>2681</v>
      </c>
      <c r="H175" s="2" t="s">
        <v>10</v>
      </c>
      <c r="I175" s="2"/>
      <c r="J175" s="3"/>
      <c r="K175" s="2" t="s">
        <v>872</v>
      </c>
      <c r="L175" s="2" t="s">
        <v>2680</v>
      </c>
      <c r="M175" s="2" t="s">
        <v>29</v>
      </c>
      <c r="N175" s="2" t="s">
        <v>2679</v>
      </c>
      <c r="O175" s="2" t="s">
        <v>2678</v>
      </c>
      <c r="P175" s="2"/>
      <c r="Q175" s="2" t="s">
        <v>2677</v>
      </c>
      <c r="R175" s="2" t="s">
        <v>2676</v>
      </c>
      <c r="S175" s="2" t="s">
        <v>2675</v>
      </c>
      <c r="T175" s="2"/>
      <c r="U175" s="2" t="s">
        <v>1128</v>
      </c>
      <c r="V175" s="2" t="s">
        <v>55</v>
      </c>
    </row>
    <row r="176" spans="1:22" ht="75" x14ac:dyDescent="0.25">
      <c r="A176" s="6"/>
      <c r="B176" s="10"/>
      <c r="C176" s="2" t="s">
        <v>2475</v>
      </c>
      <c r="D176" s="2" t="s">
        <v>12</v>
      </c>
      <c r="E176" s="1" t="str">
        <f>HYPERLINK("http://www-wds.worldbank.org/external/default/main?menuPK=64187510&amp;pagePK=64193027&amp;piPK=64187937&amp;menuPK=64154159&amp;searchMenuPK=64258546&amp;theSitePK=523679&amp;entityID=000334955_20090805044034","Report on the social assessment ")</f>
        <v xml:space="preserve">Report on the social assessment </v>
      </c>
      <c r="F176" s="9">
        <v>39819</v>
      </c>
      <c r="G176" s="2" t="s">
        <v>2674</v>
      </c>
      <c r="H176" s="2" t="s">
        <v>10</v>
      </c>
      <c r="I176" s="2"/>
      <c r="J176" s="3"/>
      <c r="K176" s="2" t="s">
        <v>8</v>
      </c>
      <c r="L176" s="2" t="s">
        <v>2673</v>
      </c>
      <c r="M176" s="2" t="s">
        <v>29</v>
      </c>
      <c r="N176" s="2" t="s">
        <v>2672</v>
      </c>
      <c r="O176" s="2" t="s">
        <v>50</v>
      </c>
      <c r="P176" s="2"/>
      <c r="Q176" s="2" t="s">
        <v>2671</v>
      </c>
      <c r="R176" s="2" t="s">
        <v>1604</v>
      </c>
      <c r="S176" s="2" t="s">
        <v>1489</v>
      </c>
      <c r="T176" s="2"/>
      <c r="U176" s="2" t="s">
        <v>1128</v>
      </c>
      <c r="V176" s="2" t="s">
        <v>0</v>
      </c>
    </row>
    <row r="177" spans="1:22" ht="75" x14ac:dyDescent="0.25">
      <c r="A177" s="6"/>
      <c r="B177" s="10"/>
      <c r="C177" s="2" t="s">
        <v>2475</v>
      </c>
      <c r="D177" s="2" t="s">
        <v>12</v>
      </c>
      <c r="E177" s="1" t="str">
        <f>HYPERLINK("http://www-wds.worldbank.org/external/default/main?menuPK=64187510&amp;pagePK=64193027&amp;piPK=64187937&amp;menuPK=64154159&amp;searchMenuPK=64258546&amp;theSitePK=523679&amp;entityID=000334955_20090710044448","Liaoning province ethnic minority development plan ")</f>
        <v xml:space="preserve">Liaoning province ethnic minority development plan </v>
      </c>
      <c r="F177" s="9">
        <v>39818</v>
      </c>
      <c r="G177" s="2" t="s">
        <v>2668</v>
      </c>
      <c r="H177" s="2" t="s">
        <v>10</v>
      </c>
      <c r="I177" s="2"/>
      <c r="J177" s="3"/>
      <c r="K177" s="2" t="s">
        <v>8</v>
      </c>
      <c r="L177" s="2" t="s">
        <v>2667</v>
      </c>
      <c r="M177" s="2" t="s">
        <v>29</v>
      </c>
      <c r="N177" s="2" t="s">
        <v>2666</v>
      </c>
      <c r="O177" s="2" t="s">
        <v>50</v>
      </c>
      <c r="P177" s="2"/>
      <c r="Q177" s="2" t="s">
        <v>2670</v>
      </c>
      <c r="R177" s="2" t="s">
        <v>2669</v>
      </c>
      <c r="S177" s="2" t="s">
        <v>1489</v>
      </c>
      <c r="T177" s="2"/>
      <c r="U177" s="2" t="s">
        <v>1128</v>
      </c>
      <c r="V177" s="2" t="s">
        <v>70</v>
      </c>
    </row>
    <row r="178" spans="1:22" ht="60" x14ac:dyDescent="0.25">
      <c r="A178" s="6"/>
      <c r="B178" s="10"/>
      <c r="C178" s="2" t="s">
        <v>2475</v>
      </c>
      <c r="D178" s="2" t="s">
        <v>12</v>
      </c>
      <c r="E178" s="1" t="str">
        <f>HYPERLINK("http://www-wds.worldbank.org/external/default/main?menuPK=64187510&amp;pagePK=64193027&amp;piPK=64187937&amp;menuPK=64154159&amp;searchMenuPK=64258546&amp;theSitePK=523679&amp;entityID=000334955_20090710044808","Participatory planning manual ")</f>
        <v xml:space="preserve">Participatory planning manual </v>
      </c>
      <c r="F178" s="9">
        <v>39818</v>
      </c>
      <c r="G178" s="2" t="s">
        <v>2668</v>
      </c>
      <c r="H178" s="2" t="s">
        <v>10</v>
      </c>
      <c r="I178" s="2"/>
      <c r="J178" s="3"/>
      <c r="K178" s="2" t="s">
        <v>8</v>
      </c>
      <c r="L178" s="2" t="s">
        <v>2667</v>
      </c>
      <c r="M178" s="2" t="s">
        <v>29</v>
      </c>
      <c r="N178" s="2" t="s">
        <v>2666</v>
      </c>
      <c r="O178" s="2" t="s">
        <v>50</v>
      </c>
      <c r="P178" s="2"/>
      <c r="Q178" s="2" t="s">
        <v>2665</v>
      </c>
      <c r="R178" s="2" t="s">
        <v>2664</v>
      </c>
      <c r="S178" s="2" t="s">
        <v>1489</v>
      </c>
      <c r="T178" s="2"/>
      <c r="U178" s="2" t="s">
        <v>1128</v>
      </c>
      <c r="V178" s="2" t="s">
        <v>59</v>
      </c>
    </row>
    <row r="179" spans="1:22" ht="60" x14ac:dyDescent="0.25">
      <c r="A179" s="6"/>
      <c r="B179" s="10"/>
      <c r="C179" s="2" t="s">
        <v>2475</v>
      </c>
      <c r="D179" s="2" t="s">
        <v>12</v>
      </c>
      <c r="E179" s="1" t="str">
        <f>HYPERLINK("http://www-wds.worldbank.org/external/default/main?menuPK=64187510&amp;pagePK=64193027&amp;piPK=64187937&amp;menuPK=64154159&amp;searchMenuPK=64258546&amp;theSitePK=523679&amp;entityID=000334955_20090410080151","Ethnic minority development plan ")</f>
        <v xml:space="preserve">Ethnic minority development plan </v>
      </c>
      <c r="F179" s="9">
        <v>39815</v>
      </c>
      <c r="G179" s="2" t="s">
        <v>2663</v>
      </c>
      <c r="H179" s="2" t="s">
        <v>10</v>
      </c>
      <c r="I179" s="2"/>
      <c r="J179" s="3"/>
      <c r="K179" s="2" t="s">
        <v>509</v>
      </c>
      <c r="L179" s="2" t="s">
        <v>2662</v>
      </c>
      <c r="M179" s="2" t="s">
        <v>29</v>
      </c>
      <c r="N179" s="2" t="s">
        <v>2661</v>
      </c>
      <c r="O179" s="2" t="s">
        <v>2660</v>
      </c>
      <c r="P179" s="2"/>
      <c r="Q179" s="2" t="s">
        <v>2659</v>
      </c>
      <c r="R179" s="2" t="s">
        <v>271</v>
      </c>
      <c r="S179" s="2" t="s">
        <v>2658</v>
      </c>
      <c r="T179" s="2"/>
      <c r="U179" s="2" t="s">
        <v>1128</v>
      </c>
      <c r="V179" s="2" t="s">
        <v>0</v>
      </c>
    </row>
    <row r="180" spans="1:22" ht="60" x14ac:dyDescent="0.25">
      <c r="A180" s="6"/>
      <c r="B180" s="10"/>
      <c r="C180" s="2" t="s">
        <v>2475</v>
      </c>
      <c r="D180" s="2" t="s">
        <v>2546</v>
      </c>
      <c r="E180" s="1" t="str">
        <f>HYPERLINK("http://www-wds.worldbank.org/external/default/main?menuPK=64187510&amp;pagePK=64193027&amp;piPK=64187937&amp;menuPK=64154159&amp;searchMenuPK=64258546&amp;theSitePK=523679&amp;entityID=000334955_20090424011143","Social assessment report ")</f>
        <v xml:space="preserve">Social assessment report </v>
      </c>
      <c r="F180" s="9">
        <v>39814</v>
      </c>
      <c r="G180" s="2" t="s">
        <v>2655</v>
      </c>
      <c r="H180" s="2" t="s">
        <v>10</v>
      </c>
      <c r="I180" s="2"/>
      <c r="J180" s="3"/>
      <c r="K180" s="2" t="s">
        <v>145</v>
      </c>
      <c r="L180" s="2" t="s">
        <v>2654</v>
      </c>
      <c r="M180" s="2" t="s">
        <v>29</v>
      </c>
      <c r="N180" s="2" t="s">
        <v>2653</v>
      </c>
      <c r="O180" s="2" t="s">
        <v>2652</v>
      </c>
      <c r="P180" s="2"/>
      <c r="Q180" s="2" t="s">
        <v>2657</v>
      </c>
      <c r="R180" s="2" t="s">
        <v>2656</v>
      </c>
      <c r="S180" s="2" t="s">
        <v>390</v>
      </c>
      <c r="T180" s="2"/>
      <c r="U180" s="2" t="s">
        <v>1128</v>
      </c>
      <c r="V180" s="2" t="s">
        <v>0</v>
      </c>
    </row>
    <row r="181" spans="1:22" ht="60" x14ac:dyDescent="0.25">
      <c r="A181" s="6"/>
      <c r="B181" s="10"/>
      <c r="C181" s="2" t="s">
        <v>2475</v>
      </c>
      <c r="D181" s="2" t="s">
        <v>12</v>
      </c>
      <c r="E181" s="1" t="str">
        <f>HYPERLINK("http://www-wds.worldbank.org/external/default/main?menuPK=64187510&amp;pagePK=64193027&amp;piPK=64187937&amp;menuPK=64154159&amp;searchMenuPK=64258546&amp;theSitePK=523679&amp;entityID=000020439_20100125112515","Social assessment report ")</f>
        <v xml:space="preserve">Social assessment report </v>
      </c>
      <c r="F181" s="9">
        <v>39814</v>
      </c>
      <c r="G181" s="2" t="s">
        <v>2655</v>
      </c>
      <c r="H181" s="2" t="s">
        <v>10</v>
      </c>
      <c r="I181" s="2"/>
      <c r="J181" s="3"/>
      <c r="K181" s="2" t="s">
        <v>145</v>
      </c>
      <c r="L181" s="2" t="s">
        <v>2654</v>
      </c>
      <c r="M181" s="2" t="s">
        <v>29</v>
      </c>
      <c r="N181" s="2" t="s">
        <v>2653</v>
      </c>
      <c r="O181" s="2" t="s">
        <v>2652</v>
      </c>
      <c r="P181" s="2"/>
      <c r="Q181" s="2" t="s">
        <v>2651</v>
      </c>
      <c r="R181" s="2" t="s">
        <v>1471</v>
      </c>
      <c r="S181" s="2" t="s">
        <v>390</v>
      </c>
      <c r="T181" s="2"/>
      <c r="U181" s="2" t="s">
        <v>1128</v>
      </c>
      <c r="V181" s="2" t="s">
        <v>0</v>
      </c>
    </row>
    <row r="182" spans="1:22" ht="60" x14ac:dyDescent="0.25">
      <c r="A182" s="6"/>
      <c r="B182" s="10"/>
      <c r="C182" s="2" t="s">
        <v>2475</v>
      </c>
      <c r="D182" s="2" t="s">
        <v>12</v>
      </c>
      <c r="E182" s="1" t="str">
        <f>HYPERLINK("http://www-wds.worldbank.org/external/default/main?menuPK=64187510&amp;pagePK=64193027&amp;piPK=64187937&amp;menuPK=64154159&amp;searchMenuPK=64258546&amp;theSitePK=523679&amp;entityID=000334955_20081218043512","Community benefit plan for Aksu Biogas Project : final draft ")</f>
        <v xml:space="preserve">Community benefit plan for Aksu Biogas Project : final draft </v>
      </c>
      <c r="F182" s="3" t="s">
        <v>2650</v>
      </c>
      <c r="G182" s="2" t="s">
        <v>2600</v>
      </c>
      <c r="H182" s="2" t="s">
        <v>10</v>
      </c>
      <c r="I182" s="2"/>
      <c r="J182" s="3"/>
      <c r="K182" s="2" t="s">
        <v>406</v>
      </c>
      <c r="L182" s="2" t="s">
        <v>2599</v>
      </c>
      <c r="M182" s="2" t="s">
        <v>29</v>
      </c>
      <c r="N182" s="2" t="s">
        <v>2598</v>
      </c>
      <c r="O182" s="2" t="s">
        <v>2597</v>
      </c>
      <c r="P182" s="2"/>
      <c r="Q182" s="2" t="s">
        <v>2649</v>
      </c>
      <c r="R182" s="2" t="s">
        <v>2648</v>
      </c>
      <c r="S182" s="2" t="s">
        <v>400</v>
      </c>
      <c r="T182" s="2"/>
      <c r="U182" s="2" t="s">
        <v>1</v>
      </c>
      <c r="V182" s="2" t="s">
        <v>59</v>
      </c>
    </row>
    <row r="183" spans="1:22" ht="90" x14ac:dyDescent="0.25">
      <c r="A183" s="6"/>
      <c r="B183" s="10"/>
      <c r="C183" s="2" t="s">
        <v>2475</v>
      </c>
      <c r="D183" s="2" t="s">
        <v>2546</v>
      </c>
      <c r="E183" s="1" t="str">
        <f>HYPERLINK("http://www-wds.worldbank.org/external/default/main?menuPK=64187510&amp;pagePK=64193027&amp;piPK=64187937&amp;menuPK=64154159&amp;searchMenuPK=64258546&amp;theSitePK=523679&amp;entityID=000020439_20080110162550","Social assessment (summary report) ")</f>
        <v xml:space="preserve">Social assessment (summary report) </v>
      </c>
      <c r="F183" s="9">
        <v>39459</v>
      </c>
      <c r="G183" s="2" t="s">
        <v>2583</v>
      </c>
      <c r="H183" s="2" t="s">
        <v>10</v>
      </c>
      <c r="I183" s="2" t="s">
        <v>2582</v>
      </c>
      <c r="J183" s="3"/>
      <c r="K183" s="2" t="s">
        <v>145</v>
      </c>
      <c r="L183" s="2" t="s">
        <v>2581</v>
      </c>
      <c r="M183" s="2" t="s">
        <v>29</v>
      </c>
      <c r="N183" s="2" t="s">
        <v>2580</v>
      </c>
      <c r="O183" s="2" t="s">
        <v>142</v>
      </c>
      <c r="P183" s="2"/>
      <c r="Q183" s="2" t="s">
        <v>2647</v>
      </c>
      <c r="R183" s="2" t="s">
        <v>1471</v>
      </c>
      <c r="S183" s="2"/>
      <c r="T183" s="2" t="s">
        <v>2577</v>
      </c>
      <c r="U183" s="2" t="s">
        <v>112</v>
      </c>
      <c r="V183" s="2" t="s">
        <v>55</v>
      </c>
    </row>
    <row r="184" spans="1:22" ht="60" x14ac:dyDescent="0.25">
      <c r="A184" s="6"/>
      <c r="B184" s="10"/>
      <c r="C184" s="2" t="s">
        <v>2475</v>
      </c>
      <c r="D184" s="2" t="s">
        <v>2546</v>
      </c>
      <c r="E184" s="1" t="str">
        <f>HYPERLINK("http://www-wds.worldbank.org/external/default/main?menuPK=64187510&amp;pagePK=64193027&amp;piPK=64187937&amp;menuPK=64154159&amp;searchMenuPK=64258546&amp;theSitePK=523679&amp;entityID=000334955_20090302011615","Social assessment and ethnic minority development plan ")</f>
        <v xml:space="preserve">Social assessment and ethnic minority development plan </v>
      </c>
      <c r="F184" s="9">
        <v>39458</v>
      </c>
      <c r="G184" s="2" t="s">
        <v>2627</v>
      </c>
      <c r="H184" s="2" t="s">
        <v>10</v>
      </c>
      <c r="I184" s="2"/>
      <c r="J184" s="3"/>
      <c r="K184" s="2" t="s">
        <v>164</v>
      </c>
      <c r="L184" s="2" t="s">
        <v>2626</v>
      </c>
      <c r="M184" s="2" t="s">
        <v>29</v>
      </c>
      <c r="N184" s="2" t="s">
        <v>2625</v>
      </c>
      <c r="O184" s="2" t="s">
        <v>2624</v>
      </c>
      <c r="P184" s="2"/>
      <c r="Q184" s="2" t="s">
        <v>2631</v>
      </c>
      <c r="R184" s="2" t="s">
        <v>1515</v>
      </c>
      <c r="S184" s="2" t="s">
        <v>2622</v>
      </c>
      <c r="T184" s="2"/>
      <c r="U184" s="2" t="s">
        <v>1128</v>
      </c>
      <c r="V184" s="2" t="s">
        <v>59</v>
      </c>
    </row>
    <row r="185" spans="1:22" ht="120" x14ac:dyDescent="0.25">
      <c r="A185" s="6"/>
      <c r="B185" s="10"/>
      <c r="C185" s="2" t="s">
        <v>2475</v>
      </c>
      <c r="D185" s="2" t="s">
        <v>12</v>
      </c>
      <c r="E185" s="1" t="str">
        <f>HYPERLINK("http://www-wds.worldbank.org/external/default/main?menuPK=64187510&amp;pagePK=64193027&amp;piPK=64187937&amp;menuPK=64154159&amp;searchMenuPK=64258546&amp;theSitePK=523679&amp;entityID=000334955_20080925045403","China - Sustainable Development in Poor Rural Areas Project : indigenous peoples plan ")</f>
        <v xml:space="preserve">China - Sustainable Development in Poor Rural Areas Project : indigenous peoples plan </v>
      </c>
      <c r="F185" s="3" t="s">
        <v>2646</v>
      </c>
      <c r="G185" s="2" t="s">
        <v>2645</v>
      </c>
      <c r="H185" s="2" t="s">
        <v>10</v>
      </c>
      <c r="I185" s="2"/>
      <c r="J185" s="3"/>
      <c r="K185" s="2" t="s">
        <v>2644</v>
      </c>
      <c r="L185" s="2" t="s">
        <v>2643</v>
      </c>
      <c r="M185" s="2" t="s">
        <v>29</v>
      </c>
      <c r="N185" s="2" t="s">
        <v>2642</v>
      </c>
      <c r="O185" s="2" t="s">
        <v>2641</v>
      </c>
      <c r="P185" s="2"/>
      <c r="Q185" s="2" t="s">
        <v>2640</v>
      </c>
      <c r="R185" s="2" t="s">
        <v>2639</v>
      </c>
      <c r="S185" s="2" t="s">
        <v>2638</v>
      </c>
      <c r="T185" s="2"/>
      <c r="U185" s="2" t="s">
        <v>1</v>
      </c>
      <c r="V185" s="2" t="s">
        <v>0</v>
      </c>
    </row>
    <row r="186" spans="1:22" ht="90" x14ac:dyDescent="0.25">
      <c r="A186" s="6"/>
      <c r="B186" s="10"/>
      <c r="C186" s="2" t="s">
        <v>2475</v>
      </c>
      <c r="D186" s="2" t="s">
        <v>12</v>
      </c>
      <c r="E186" s="1" t="str">
        <f>HYPERLINK("http://www-wds.worldbank.org/external/default/main?menuPK=64187510&amp;pagePK=64193027&amp;piPK=64187937&amp;menuPK=64154159&amp;searchMenuPK=64258546&amp;theSitePK=523679&amp;entityID=000333038_20080929004715","Yichang to Badong Expressway Project : social assessment report ")</f>
        <v xml:space="preserve">Yichang to Badong Expressway Project : social assessment report </v>
      </c>
      <c r="F186" s="3" t="s">
        <v>2637</v>
      </c>
      <c r="G186" s="2" t="s">
        <v>2621</v>
      </c>
      <c r="H186" s="2" t="s">
        <v>10</v>
      </c>
      <c r="I186" s="2"/>
      <c r="J186" s="3"/>
      <c r="K186" s="2" t="s">
        <v>164</v>
      </c>
      <c r="L186" s="2" t="s">
        <v>2620</v>
      </c>
      <c r="M186" s="2" t="s">
        <v>29</v>
      </c>
      <c r="N186" s="2" t="s">
        <v>2619</v>
      </c>
      <c r="O186" s="2" t="s">
        <v>161</v>
      </c>
      <c r="P186" s="2"/>
      <c r="Q186" s="2" t="s">
        <v>2636</v>
      </c>
      <c r="R186" s="2" t="s">
        <v>2564</v>
      </c>
      <c r="S186" s="2" t="s">
        <v>2616</v>
      </c>
      <c r="T186" s="2" t="s">
        <v>2615</v>
      </c>
      <c r="U186" s="2" t="s">
        <v>36</v>
      </c>
      <c r="V186" s="2" t="s">
        <v>59</v>
      </c>
    </row>
    <row r="187" spans="1:22" ht="60" x14ac:dyDescent="0.25">
      <c r="A187" s="6"/>
      <c r="B187" s="10"/>
      <c r="C187" s="2" t="s">
        <v>2475</v>
      </c>
      <c r="D187" s="2" t="s">
        <v>12</v>
      </c>
      <c r="E187" s="1" t="str">
        <f>HYPERLINK("http://www-wds.worldbank.org/external/default/main?menuPK=64187510&amp;pagePK=64193027&amp;piPK=64187937&amp;menuPK=64154159&amp;searchMenuPK=64258546&amp;theSitePK=523679&amp;entityID=000334955_20100114021722","China - Xinjiang Turfan Water Conservation Project : indigenous peoples plan ")</f>
        <v xml:space="preserve">China - Xinjiang Turfan Water Conservation Project : indigenous peoples plan </v>
      </c>
      <c r="F187" s="9">
        <v>39456</v>
      </c>
      <c r="G187" s="2" t="s">
        <v>2634</v>
      </c>
      <c r="H187" s="2" t="s">
        <v>10</v>
      </c>
      <c r="I187" s="2"/>
      <c r="J187" s="3"/>
      <c r="K187" s="2" t="s">
        <v>509</v>
      </c>
      <c r="L187" s="2" t="s">
        <v>2633</v>
      </c>
      <c r="M187" s="2" t="s">
        <v>29</v>
      </c>
      <c r="N187" s="2" t="s">
        <v>2632</v>
      </c>
      <c r="O187" s="2" t="s">
        <v>719</v>
      </c>
      <c r="P187" s="2"/>
      <c r="Q187" s="2" t="s">
        <v>2635</v>
      </c>
      <c r="R187" s="2" t="s">
        <v>1471</v>
      </c>
      <c r="S187" s="2" t="s">
        <v>699</v>
      </c>
      <c r="T187" s="2"/>
      <c r="U187" s="2" t="s">
        <v>1128</v>
      </c>
      <c r="V187" s="2" t="s">
        <v>347</v>
      </c>
    </row>
    <row r="188" spans="1:22" ht="60" x14ac:dyDescent="0.25">
      <c r="A188" s="6"/>
      <c r="B188" s="10"/>
      <c r="C188" s="2" t="s">
        <v>2475</v>
      </c>
      <c r="D188" s="2" t="s">
        <v>12</v>
      </c>
      <c r="E188" s="1" t="str">
        <f>HYPERLINK("http://www-wds.worldbank.org/external/default/main?menuPK=64187510&amp;pagePK=64193027&amp;piPK=64187937&amp;menuPK=64154159&amp;searchMenuPK=64258546&amp;theSitePK=523679&amp;entityID=000334955_20100114022113","China - Xinjiang Turfan Water Conservation Project : indigenous peoples plan ")</f>
        <v xml:space="preserve">China - Xinjiang Turfan Water Conservation Project : indigenous peoples plan </v>
      </c>
      <c r="F188" s="9">
        <v>39456</v>
      </c>
      <c r="G188" s="2" t="s">
        <v>2634</v>
      </c>
      <c r="H188" s="2" t="s">
        <v>10</v>
      </c>
      <c r="I188" s="2"/>
      <c r="J188" s="3"/>
      <c r="K188" s="2" t="s">
        <v>509</v>
      </c>
      <c r="L188" s="2" t="s">
        <v>2633</v>
      </c>
      <c r="M188" s="2" t="s">
        <v>29</v>
      </c>
      <c r="N188" s="2" t="s">
        <v>2632</v>
      </c>
      <c r="O188" s="2" t="s">
        <v>719</v>
      </c>
      <c r="P188" s="2"/>
      <c r="Q188" s="2" t="s">
        <v>1472</v>
      </c>
      <c r="R188" s="2" t="s">
        <v>1471</v>
      </c>
      <c r="S188" s="2" t="s">
        <v>699</v>
      </c>
      <c r="T188" s="2"/>
      <c r="U188" s="2" t="s">
        <v>1128</v>
      </c>
      <c r="V188" s="2" t="s">
        <v>312</v>
      </c>
    </row>
    <row r="189" spans="1:22" ht="60" x14ac:dyDescent="0.25">
      <c r="A189" s="6"/>
      <c r="B189" s="10"/>
      <c r="C189" s="2" t="s">
        <v>2475</v>
      </c>
      <c r="D189" s="2" t="s">
        <v>12</v>
      </c>
      <c r="E189" s="1" t="str">
        <f>HYPERLINK("http://www-wds.worldbank.org/external/default/main?menuPK=64187510&amp;pagePK=64193027&amp;piPK=64187937&amp;menuPK=64154159&amp;searchMenuPK=64258546&amp;theSitePK=523679&amp;entityID=000334955_20081031033158","Social assessment and ethnic minority development plan ")</f>
        <v xml:space="preserve">Social assessment and ethnic minority development plan </v>
      </c>
      <c r="F189" s="3" t="s">
        <v>2630</v>
      </c>
      <c r="G189" s="2" t="s">
        <v>2627</v>
      </c>
      <c r="H189" s="2" t="s">
        <v>10</v>
      </c>
      <c r="I189" s="2"/>
      <c r="J189" s="3"/>
      <c r="K189" s="2" t="s">
        <v>164</v>
      </c>
      <c r="L189" s="2" t="s">
        <v>2626</v>
      </c>
      <c r="M189" s="2" t="s">
        <v>29</v>
      </c>
      <c r="N189" s="2" t="s">
        <v>2625</v>
      </c>
      <c r="O189" s="2" t="s">
        <v>2624</v>
      </c>
      <c r="P189" s="2"/>
      <c r="Q189" s="2" t="s">
        <v>2631</v>
      </c>
      <c r="R189" s="2" t="s">
        <v>1515</v>
      </c>
      <c r="S189" s="2" t="s">
        <v>2622</v>
      </c>
      <c r="T189" s="2"/>
      <c r="U189" s="2" t="s">
        <v>1128</v>
      </c>
      <c r="V189" s="2" t="s">
        <v>70</v>
      </c>
    </row>
    <row r="190" spans="1:22" ht="60" x14ac:dyDescent="0.25">
      <c r="A190" s="6"/>
      <c r="B190" s="10"/>
      <c r="C190" s="2" t="s">
        <v>2475</v>
      </c>
      <c r="D190" s="2" t="s">
        <v>12</v>
      </c>
      <c r="E190" s="1" t="str">
        <f>HYPERLINK("http://www-wds.worldbank.org/external/default/main?menuPK=64187510&amp;pagePK=64193027&amp;piPK=64187937&amp;menuPK=64154159&amp;searchMenuPK=64258546&amp;theSitePK=523679&amp;entityID=000334955_20090302011310","Social assessment and ethnic minority development plan ")</f>
        <v xml:space="preserve">Social assessment and ethnic minority development plan </v>
      </c>
      <c r="F190" s="3" t="s">
        <v>2630</v>
      </c>
      <c r="G190" s="2" t="s">
        <v>2627</v>
      </c>
      <c r="H190" s="2" t="s">
        <v>10</v>
      </c>
      <c r="I190" s="2"/>
      <c r="J190" s="3"/>
      <c r="K190" s="2" t="s">
        <v>164</v>
      </c>
      <c r="L190" s="2" t="s">
        <v>2626</v>
      </c>
      <c r="M190" s="2" t="s">
        <v>29</v>
      </c>
      <c r="N190" s="2" t="s">
        <v>2625</v>
      </c>
      <c r="O190" s="2" t="s">
        <v>2624</v>
      </c>
      <c r="P190" s="2"/>
      <c r="Q190" s="2" t="s">
        <v>2629</v>
      </c>
      <c r="R190" s="2" t="s">
        <v>2628</v>
      </c>
      <c r="S190" s="2" t="s">
        <v>2622</v>
      </c>
      <c r="T190" s="2"/>
      <c r="U190" s="2" t="s">
        <v>1128</v>
      </c>
      <c r="V190" s="2" t="s">
        <v>59</v>
      </c>
    </row>
    <row r="191" spans="1:22" ht="60" x14ac:dyDescent="0.25">
      <c r="A191" s="6"/>
      <c r="B191" s="10"/>
      <c r="C191" s="2" t="s">
        <v>2475</v>
      </c>
      <c r="D191" s="2" t="s">
        <v>2546</v>
      </c>
      <c r="E191" s="1" t="str">
        <f>HYPERLINK("http://www-wds.worldbank.org/external/default/main?menuPK=64187510&amp;pagePK=64193027&amp;piPK=64187937&amp;menuPK=64154159&amp;searchMenuPK=64258546&amp;theSitePK=523679&amp;entityID=000334955_20081031034022","Social assessment and ethnic minority development plan ")</f>
        <v xml:space="preserve">Social assessment and ethnic minority development plan </v>
      </c>
      <c r="F191" s="9">
        <v>39455</v>
      </c>
      <c r="G191" s="2" t="s">
        <v>2627</v>
      </c>
      <c r="H191" s="2" t="s">
        <v>10</v>
      </c>
      <c r="I191" s="2"/>
      <c r="J191" s="3"/>
      <c r="K191" s="2" t="s">
        <v>164</v>
      </c>
      <c r="L191" s="2" t="s">
        <v>2626</v>
      </c>
      <c r="M191" s="2" t="s">
        <v>29</v>
      </c>
      <c r="N191" s="2" t="s">
        <v>2625</v>
      </c>
      <c r="O191" s="2" t="s">
        <v>2624</v>
      </c>
      <c r="P191" s="2"/>
      <c r="Q191" s="2" t="s">
        <v>2623</v>
      </c>
      <c r="R191" s="2" t="s">
        <v>1515</v>
      </c>
      <c r="S191" s="2" t="s">
        <v>2622</v>
      </c>
      <c r="T191" s="2"/>
      <c r="U191" s="2" t="s">
        <v>1128</v>
      </c>
      <c r="V191" s="2" t="s">
        <v>70</v>
      </c>
    </row>
    <row r="192" spans="1:22" ht="90" x14ac:dyDescent="0.25">
      <c r="A192" s="6"/>
      <c r="B192" s="10"/>
      <c r="C192" s="2" t="s">
        <v>2475</v>
      </c>
      <c r="D192" s="2" t="s">
        <v>12</v>
      </c>
      <c r="E192" s="1" t="str">
        <f>HYPERLINK("http://www-wds.worldbank.org/external/default/main?menuPK=64187510&amp;pagePK=64193027&amp;piPK=64187937&amp;menuPK=64154159&amp;searchMenuPK=64258546&amp;theSitePK=523679&amp;entityID=000334955_20080808074215","The social assessment report on Hubei stretch from Yichang to Badong of highway from Shanghai to Chengdu ")</f>
        <v xml:space="preserve">The social assessment report on Hubei stretch from Yichang to Badong of highway from Shanghai to Chengdu </v>
      </c>
      <c r="F192" s="9">
        <v>39454</v>
      </c>
      <c r="G192" s="2" t="s">
        <v>2621</v>
      </c>
      <c r="H192" s="2" t="s">
        <v>10</v>
      </c>
      <c r="I192" s="2"/>
      <c r="J192" s="3"/>
      <c r="K192" s="2" t="s">
        <v>164</v>
      </c>
      <c r="L192" s="2" t="s">
        <v>2620</v>
      </c>
      <c r="M192" s="2" t="s">
        <v>29</v>
      </c>
      <c r="N192" s="2" t="s">
        <v>2619</v>
      </c>
      <c r="O192" s="2" t="s">
        <v>161</v>
      </c>
      <c r="P192" s="2"/>
      <c r="Q192" s="2" t="s">
        <v>2618</v>
      </c>
      <c r="R192" s="2" t="s">
        <v>2617</v>
      </c>
      <c r="S192" s="2" t="s">
        <v>2616</v>
      </c>
      <c r="T192" s="2" t="s">
        <v>2615</v>
      </c>
      <c r="U192" s="2" t="s">
        <v>36</v>
      </c>
      <c r="V192" s="2" t="s">
        <v>70</v>
      </c>
    </row>
    <row r="193" spans="1:22" ht="60" x14ac:dyDescent="0.25">
      <c r="A193" s="6"/>
      <c r="B193" s="10"/>
      <c r="C193" s="2" t="s">
        <v>2475</v>
      </c>
      <c r="D193" s="2" t="s">
        <v>12</v>
      </c>
      <c r="E193" s="1" t="str">
        <f>HYPERLINK("http://www-wds.worldbank.org/external/default/main?menuPK=64187510&amp;pagePK=64193027&amp;piPK=64187937&amp;menuPK=64154159&amp;searchMenuPK=64258546&amp;theSitePK=523679&amp;entityID=000334955_20080424060754","Indigenous Peoples Planning Framework (IPPF) ")</f>
        <v xml:space="preserve">Indigenous Peoples Planning Framework (IPPF) </v>
      </c>
      <c r="F193" s="3" t="s">
        <v>1126</v>
      </c>
      <c r="G193" s="2" t="s">
        <v>2614</v>
      </c>
      <c r="H193" s="2" t="s">
        <v>10</v>
      </c>
      <c r="I193" s="2"/>
      <c r="J193" s="3"/>
      <c r="K193" s="2" t="s">
        <v>109</v>
      </c>
      <c r="L193" s="2" t="s">
        <v>2613</v>
      </c>
      <c r="M193" s="2" t="s">
        <v>29</v>
      </c>
      <c r="N193" s="2" t="s">
        <v>2612</v>
      </c>
      <c r="O193" s="2" t="s">
        <v>489</v>
      </c>
      <c r="P193" s="2"/>
      <c r="Q193" s="2" t="s">
        <v>2611</v>
      </c>
      <c r="R193" s="2" t="s">
        <v>1429</v>
      </c>
      <c r="S193" s="2" t="s">
        <v>2610</v>
      </c>
      <c r="T193" s="2" t="s">
        <v>2609</v>
      </c>
      <c r="U193" s="2" t="s">
        <v>23</v>
      </c>
      <c r="V193" s="2" t="s">
        <v>0</v>
      </c>
    </row>
    <row r="194" spans="1:22" ht="180" x14ac:dyDescent="0.25">
      <c r="A194" s="6"/>
      <c r="B194" s="10"/>
      <c r="C194" s="2" t="s">
        <v>2475</v>
      </c>
      <c r="D194" s="2" t="s">
        <v>12</v>
      </c>
      <c r="E194" s="1" t="str">
        <f>HYPERLINK("http://www-wds.worldbank.org/external/default/main?menuPK=64187510&amp;pagePK=64193027&amp;piPK=64187937&amp;menuPK=64154159&amp;searchMenuPK=64258546&amp;theSitePK=523679&amp;entityID=000333037_20080617025512","China - Guizhou Cultural and Natural Heritage Protection and Development Project : indigenous peoples plan ")</f>
        <v xml:space="preserve">China - Guizhou Cultural and Natural Heritage Protection and Development Project : indigenous peoples plan </v>
      </c>
      <c r="F194" s="9">
        <v>39451</v>
      </c>
      <c r="G194" s="2" t="s">
        <v>2608</v>
      </c>
      <c r="H194" s="2" t="s">
        <v>10</v>
      </c>
      <c r="I194" s="2"/>
      <c r="J194" s="3"/>
      <c r="K194" s="2" t="s">
        <v>145</v>
      </c>
      <c r="L194" s="2" t="s">
        <v>2607</v>
      </c>
      <c r="M194" s="2" t="s">
        <v>29</v>
      </c>
      <c r="N194" s="2" t="s">
        <v>2606</v>
      </c>
      <c r="O194" s="2" t="s">
        <v>142</v>
      </c>
      <c r="P194" s="2"/>
      <c r="Q194" s="2" t="s">
        <v>2605</v>
      </c>
      <c r="R194" s="2" t="s">
        <v>2604</v>
      </c>
      <c r="S194" s="2" t="s">
        <v>2603</v>
      </c>
      <c r="T194" s="2" t="s">
        <v>2602</v>
      </c>
      <c r="U194" s="2" t="s">
        <v>112</v>
      </c>
      <c r="V194" s="2" t="s">
        <v>0</v>
      </c>
    </row>
    <row r="195" spans="1:22" ht="75" x14ac:dyDescent="0.25">
      <c r="A195" s="6"/>
      <c r="B195" s="10"/>
      <c r="C195" s="2" t="s">
        <v>2475</v>
      </c>
      <c r="D195" s="2" t="s">
        <v>12</v>
      </c>
      <c r="E195" s="1" t="str">
        <f>HYPERLINK("http://www-wds.worldbank.org/external/default/main?menuPK=64187510&amp;pagePK=64193027&amp;piPK=64187937&amp;menuPK=64154159&amp;searchMenuPK=64258546&amp;theSitePK=523679&amp;entityID=000334955_20081218042614","Social consultation report ")</f>
        <v xml:space="preserve">Social consultation report </v>
      </c>
      <c r="F195" s="3" t="s">
        <v>2601</v>
      </c>
      <c r="G195" s="2" t="s">
        <v>2600</v>
      </c>
      <c r="H195" s="2" t="s">
        <v>10</v>
      </c>
      <c r="I195" s="2"/>
      <c r="J195" s="3"/>
      <c r="K195" s="2" t="s">
        <v>406</v>
      </c>
      <c r="L195" s="2" t="s">
        <v>2599</v>
      </c>
      <c r="M195" s="2" t="s">
        <v>29</v>
      </c>
      <c r="N195" s="2" t="s">
        <v>2598</v>
      </c>
      <c r="O195" s="2" t="s">
        <v>2597</v>
      </c>
      <c r="P195" s="2"/>
      <c r="Q195" s="2" t="s">
        <v>402</v>
      </c>
      <c r="R195" s="2" t="s">
        <v>2596</v>
      </c>
      <c r="S195" s="2" t="s">
        <v>400</v>
      </c>
      <c r="T195" s="2"/>
      <c r="U195" s="2" t="s">
        <v>1</v>
      </c>
      <c r="V195" s="2" t="s">
        <v>70</v>
      </c>
    </row>
    <row r="196" spans="1:22" ht="90" x14ac:dyDescent="0.25">
      <c r="A196" s="6"/>
      <c r="B196" s="10"/>
      <c r="C196" s="2" t="s">
        <v>2475</v>
      </c>
      <c r="D196" s="2" t="s">
        <v>12</v>
      </c>
      <c r="E196" s="1" t="str">
        <f>HYPERLINK("http://www-wds.worldbank.org/external/default/main?menuPK=64187510&amp;pagePK=64193027&amp;piPK=64187937&amp;menuPK=64154159&amp;searchMenuPK=64258546&amp;theSitePK=523679&amp;entityID=000020439_20080110161618","Social assessment (summary report) ")</f>
        <v xml:space="preserve">Social assessment (summary report) </v>
      </c>
      <c r="F196" s="9">
        <v>39094</v>
      </c>
      <c r="G196" s="2" t="s">
        <v>2583</v>
      </c>
      <c r="H196" s="2" t="s">
        <v>10</v>
      </c>
      <c r="I196" s="2" t="s">
        <v>2582</v>
      </c>
      <c r="J196" s="3"/>
      <c r="K196" s="2" t="s">
        <v>145</v>
      </c>
      <c r="L196" s="2" t="s">
        <v>2581</v>
      </c>
      <c r="M196" s="2" t="s">
        <v>29</v>
      </c>
      <c r="N196" s="2" t="s">
        <v>2580</v>
      </c>
      <c r="O196" s="2" t="s">
        <v>142</v>
      </c>
      <c r="P196" s="2"/>
      <c r="Q196" s="2" t="s">
        <v>2595</v>
      </c>
      <c r="R196" s="2" t="s">
        <v>717</v>
      </c>
      <c r="S196" s="2"/>
      <c r="T196" s="2" t="s">
        <v>2577</v>
      </c>
      <c r="U196" s="2" t="s">
        <v>112</v>
      </c>
      <c r="V196" s="2" t="s">
        <v>55</v>
      </c>
    </row>
    <row r="197" spans="1:22" ht="90" x14ac:dyDescent="0.25">
      <c r="A197" s="6"/>
      <c r="B197" s="10"/>
      <c r="C197" s="2" t="s">
        <v>2475</v>
      </c>
      <c r="D197" s="2" t="s">
        <v>12</v>
      </c>
      <c r="E197" s="1" t="str">
        <f>HYPERLINK("http://www-wds.worldbank.org/external/default/main?menuPK=64187510&amp;pagePK=64193027&amp;piPK=64187937&amp;menuPK=64154159&amp;searchMenuPK=64258546&amp;theSitePK=523679&amp;entityID=000011823_20080117152124","Memorandum on Integration of IPP Elements in Project Design ")</f>
        <v xml:space="preserve">Memorandum on Integration of IPP Elements in Project Design </v>
      </c>
      <c r="F197" s="9">
        <v>39093</v>
      </c>
      <c r="G197" s="2" t="s">
        <v>2583</v>
      </c>
      <c r="H197" s="2" t="s">
        <v>10</v>
      </c>
      <c r="I197" s="2" t="s">
        <v>2582</v>
      </c>
      <c r="J197" s="3"/>
      <c r="K197" s="2" t="s">
        <v>145</v>
      </c>
      <c r="L197" s="2" t="s">
        <v>2581</v>
      </c>
      <c r="M197" s="2" t="s">
        <v>29</v>
      </c>
      <c r="N197" s="2" t="s">
        <v>2580</v>
      </c>
      <c r="O197" s="2" t="s">
        <v>142</v>
      </c>
      <c r="P197" s="2"/>
      <c r="Q197" s="2" t="s">
        <v>2594</v>
      </c>
      <c r="R197" s="2" t="s">
        <v>2593</v>
      </c>
      <c r="S197" s="2"/>
      <c r="T197" s="2" t="s">
        <v>2577</v>
      </c>
      <c r="U197" s="2" t="s">
        <v>112</v>
      </c>
      <c r="V197" s="2" t="s">
        <v>93</v>
      </c>
    </row>
    <row r="198" spans="1:22" ht="105" x14ac:dyDescent="0.25">
      <c r="A198" s="6"/>
      <c r="B198" s="10"/>
      <c r="C198" s="2" t="s">
        <v>2475</v>
      </c>
      <c r="D198" s="2" t="s">
        <v>12</v>
      </c>
      <c r="E198" s="1" t="str">
        <f>HYPERLINK("http://www-wds.worldbank.org/external/default/main?menuPK=64187510&amp;pagePK=64193027&amp;piPK=64187937&amp;menuPK=64154159&amp;searchMenuPK=64258546&amp;theSitePK=523679&amp;entityID=000020439_20070912142606","China - Mainstreaming Adaptation to Climate Change into Water Resources Management and Rural Development Project ")</f>
        <v xml:space="preserve">China - Mainstreaming Adaptation to Climate Change into Water Resources Management and Rural Development Project </v>
      </c>
      <c r="F198" s="3" t="s">
        <v>2592</v>
      </c>
      <c r="G198" s="2" t="s">
        <v>2591</v>
      </c>
      <c r="H198" s="2" t="s">
        <v>10</v>
      </c>
      <c r="I198" s="2"/>
      <c r="J198" s="3"/>
      <c r="K198" s="2" t="s">
        <v>438</v>
      </c>
      <c r="L198" s="2" t="s">
        <v>2590</v>
      </c>
      <c r="M198" s="2" t="s">
        <v>29</v>
      </c>
      <c r="N198" s="2" t="s">
        <v>2589</v>
      </c>
      <c r="O198" s="2" t="s">
        <v>2588</v>
      </c>
      <c r="P198" s="2"/>
      <c r="Q198" s="2" t="s">
        <v>2587</v>
      </c>
      <c r="R198" s="2" t="s">
        <v>2586</v>
      </c>
      <c r="S198" s="2"/>
      <c r="T198" s="2" t="s">
        <v>2585</v>
      </c>
      <c r="U198" s="2" t="s">
        <v>1</v>
      </c>
      <c r="V198" s="2" t="s">
        <v>0</v>
      </c>
    </row>
    <row r="199" spans="1:22" ht="90" x14ac:dyDescent="0.25">
      <c r="A199" s="6"/>
      <c r="B199" s="10"/>
      <c r="C199" s="2" t="s">
        <v>2475</v>
      </c>
      <c r="D199" s="2" t="s">
        <v>12</v>
      </c>
      <c r="E199" s="1" t="str">
        <f>HYPERLINK("http://www-wds.worldbank.org/external/default/main?menuPK=64187510&amp;pagePK=64193027&amp;piPK=64187937&amp;menuPK=64154159&amp;searchMenuPK=64258546&amp;theSitePK=523679&amp;entityID=000020953_20071107105300","Social assessment : indigenous peoples ")</f>
        <v xml:space="preserve">Social assessment : indigenous peoples </v>
      </c>
      <c r="F199" s="3" t="s">
        <v>2584</v>
      </c>
      <c r="G199" s="2" t="s">
        <v>2583</v>
      </c>
      <c r="H199" s="2" t="s">
        <v>10</v>
      </c>
      <c r="I199" s="2" t="s">
        <v>2582</v>
      </c>
      <c r="J199" s="3"/>
      <c r="K199" s="2" t="s">
        <v>145</v>
      </c>
      <c r="L199" s="2" t="s">
        <v>2581</v>
      </c>
      <c r="M199" s="2" t="s">
        <v>29</v>
      </c>
      <c r="N199" s="2" t="s">
        <v>2580</v>
      </c>
      <c r="O199" s="2" t="s">
        <v>142</v>
      </c>
      <c r="P199" s="2"/>
      <c r="Q199" s="2" t="s">
        <v>2579</v>
      </c>
      <c r="R199" s="2" t="s">
        <v>2578</v>
      </c>
      <c r="S199" s="2"/>
      <c r="T199" s="2" t="s">
        <v>2577</v>
      </c>
      <c r="U199" s="2" t="s">
        <v>112</v>
      </c>
      <c r="V199" s="2" t="s">
        <v>35</v>
      </c>
    </row>
    <row r="200" spans="1:22" ht="210" x14ac:dyDescent="0.25">
      <c r="A200" s="6"/>
      <c r="B200" s="10"/>
      <c r="C200" s="2" t="s">
        <v>2475</v>
      </c>
      <c r="D200" s="2" t="s">
        <v>12</v>
      </c>
      <c r="E200" s="1" t="str">
        <f>HYPERLINK("http://www-wds.worldbank.org/external/default/main?menuPK=64187510&amp;pagePK=64193027&amp;piPK=64187937&amp;menuPK=64154159&amp;searchMenuPK=64258546&amp;theSitePK=523679&amp;entityID=000020439_20070926102729","China - Gansu Cultural and Natural Heritage Protection and Development Project : indigenous peoples plan ")</f>
        <v xml:space="preserve">China - Gansu Cultural and Natural Heritage Protection and Development Project : indigenous peoples plan </v>
      </c>
      <c r="F200" s="9">
        <v>39423</v>
      </c>
      <c r="G200" s="2" t="s">
        <v>2576</v>
      </c>
      <c r="H200" s="2" t="s">
        <v>10</v>
      </c>
      <c r="I200" s="2" t="s">
        <v>2575</v>
      </c>
      <c r="J200" s="3"/>
      <c r="K200" s="2" t="s">
        <v>626</v>
      </c>
      <c r="L200" s="2" t="s">
        <v>2574</v>
      </c>
      <c r="M200" s="2" t="s">
        <v>29</v>
      </c>
      <c r="N200" s="2" t="s">
        <v>2573</v>
      </c>
      <c r="O200" s="2" t="s">
        <v>2572</v>
      </c>
      <c r="P200" s="2"/>
      <c r="Q200" s="2" t="s">
        <v>2571</v>
      </c>
      <c r="R200" s="2" t="s">
        <v>858</v>
      </c>
      <c r="S200" s="2"/>
      <c r="T200" s="2" t="s">
        <v>2570</v>
      </c>
      <c r="U200" s="2" t="s">
        <v>1128</v>
      </c>
      <c r="V200" s="2" t="s">
        <v>0</v>
      </c>
    </row>
    <row r="201" spans="1:22" ht="105" x14ac:dyDescent="0.25">
      <c r="A201" s="6"/>
      <c r="B201" s="10"/>
      <c r="C201" s="2" t="s">
        <v>2475</v>
      </c>
      <c r="D201" s="2" t="s">
        <v>12</v>
      </c>
      <c r="E201" s="1" t="str">
        <f>HYPERLINK("http://www-wds.worldbank.org/external/default/main?menuPK=64187510&amp;pagePK=64193027&amp;piPK=64187937&amp;menuPK=64154159&amp;searchMenuPK=64258546&amp;theSitePK=523679&amp;entityID=000333037_20080618005435","Ethnic minority development plan ")</f>
        <v xml:space="preserve">Ethnic minority development plan </v>
      </c>
      <c r="F201" s="3" t="s">
        <v>2569</v>
      </c>
      <c r="G201" s="2" t="s">
        <v>2563</v>
      </c>
      <c r="H201" s="2" t="s">
        <v>10</v>
      </c>
      <c r="I201" s="2"/>
      <c r="J201" s="3"/>
      <c r="K201" s="2" t="s">
        <v>406</v>
      </c>
      <c r="L201" s="2" t="s">
        <v>2562</v>
      </c>
      <c r="M201" s="2" t="s">
        <v>29</v>
      </c>
      <c r="N201" s="2" t="s">
        <v>2561</v>
      </c>
      <c r="O201" s="2" t="s">
        <v>2560</v>
      </c>
      <c r="P201" s="2"/>
      <c r="Q201" s="2" t="s">
        <v>2568</v>
      </c>
      <c r="R201" s="2" t="s">
        <v>2567</v>
      </c>
      <c r="S201" s="2"/>
      <c r="T201" s="2" t="s">
        <v>2557</v>
      </c>
      <c r="U201" s="2" t="s">
        <v>1</v>
      </c>
      <c r="V201" s="2" t="s">
        <v>70</v>
      </c>
    </row>
    <row r="202" spans="1:22" ht="105" x14ac:dyDescent="0.25">
      <c r="A202" s="6"/>
      <c r="B202" s="10"/>
      <c r="C202" s="2" t="s">
        <v>2475</v>
      </c>
      <c r="D202" s="2" t="s">
        <v>12</v>
      </c>
      <c r="E202" s="1" t="str">
        <f>HYPERLINK("http://www-wds.worldbank.org/external/default/main?menuPK=64187510&amp;pagePK=64193027&amp;piPK=64187937&amp;menuPK=64154159&amp;searchMenuPK=64258546&amp;theSitePK=523679&amp;entityID=000160016_20080425122639","Social assessment ")</f>
        <v xml:space="preserve">Social assessment </v>
      </c>
      <c r="F202" s="3" t="s">
        <v>2566</v>
      </c>
      <c r="G202" s="2" t="s">
        <v>2556</v>
      </c>
      <c r="H202" s="2" t="s">
        <v>10</v>
      </c>
      <c r="I202" s="2" t="s">
        <v>2555</v>
      </c>
      <c r="J202" s="3"/>
      <c r="K202" s="2" t="s">
        <v>43</v>
      </c>
      <c r="L202" s="2" t="s">
        <v>2554</v>
      </c>
      <c r="M202" s="2" t="s">
        <v>29</v>
      </c>
      <c r="N202" s="2" t="s">
        <v>2553</v>
      </c>
      <c r="O202" s="2" t="s">
        <v>2552</v>
      </c>
      <c r="P202" s="2"/>
      <c r="Q202" s="2" t="s">
        <v>2565</v>
      </c>
      <c r="R202" s="2" t="s">
        <v>2564</v>
      </c>
      <c r="S202" s="2"/>
      <c r="T202" s="2" t="s">
        <v>2549</v>
      </c>
      <c r="U202" s="2" t="s">
        <v>36</v>
      </c>
      <c r="V202" s="2" t="s">
        <v>59</v>
      </c>
    </row>
    <row r="203" spans="1:22" ht="105" x14ac:dyDescent="0.25">
      <c r="A203" s="6"/>
      <c r="B203" s="10"/>
      <c r="C203" s="2" t="s">
        <v>2475</v>
      </c>
      <c r="D203" s="2" t="s">
        <v>12</v>
      </c>
      <c r="E203" s="1" t="str">
        <f>HYPERLINK("http://www-wds.worldbank.org/external/default/main?menuPK=64187510&amp;pagePK=64193027&amp;piPK=64187937&amp;menuPK=64154159&amp;searchMenuPK=64258546&amp;theSitePK=523679&amp;entityID=000160016_20080425113648","Social assessment ")</f>
        <v xml:space="preserve">Social assessment </v>
      </c>
      <c r="F203" s="9">
        <v>39085</v>
      </c>
      <c r="G203" s="2" t="s">
        <v>2563</v>
      </c>
      <c r="H203" s="2" t="s">
        <v>10</v>
      </c>
      <c r="I203" s="2"/>
      <c r="J203" s="3"/>
      <c r="K203" s="2" t="s">
        <v>406</v>
      </c>
      <c r="L203" s="2" t="s">
        <v>2562</v>
      </c>
      <c r="M203" s="2" t="s">
        <v>29</v>
      </c>
      <c r="N203" s="2" t="s">
        <v>2561</v>
      </c>
      <c r="O203" s="2" t="s">
        <v>2560</v>
      </c>
      <c r="P203" s="2"/>
      <c r="Q203" s="2" t="s">
        <v>2559</v>
      </c>
      <c r="R203" s="2" t="s">
        <v>2558</v>
      </c>
      <c r="S203" s="2"/>
      <c r="T203" s="2" t="s">
        <v>2557</v>
      </c>
      <c r="U203" s="2" t="s">
        <v>1</v>
      </c>
      <c r="V203" s="2" t="s">
        <v>59</v>
      </c>
    </row>
    <row r="204" spans="1:22" ht="105" x14ac:dyDescent="0.25">
      <c r="A204" s="6"/>
      <c r="B204" s="10"/>
      <c r="C204" s="2" t="s">
        <v>2475</v>
      </c>
      <c r="D204" s="2" t="s">
        <v>12</v>
      </c>
      <c r="E204" s="1" t="str">
        <f>HYPERLINK("http://www-wds.worldbank.org/external/default/main?menuPK=64187510&amp;pagePK=64193027&amp;piPK=64187937&amp;menuPK=64154159&amp;searchMenuPK=64258546&amp;theSitePK=523679&amp;entityID=000090341_20070426132201","China - Guiyang Transport Project : indigenous peoples plan ")</f>
        <v xml:space="preserve">China - Guiyang Transport Project : indigenous peoples plan </v>
      </c>
      <c r="F204" s="9">
        <v>39084</v>
      </c>
      <c r="G204" s="2" t="s">
        <v>2556</v>
      </c>
      <c r="H204" s="2" t="s">
        <v>10</v>
      </c>
      <c r="I204" s="2" t="s">
        <v>2555</v>
      </c>
      <c r="J204" s="3"/>
      <c r="K204" s="2" t="s">
        <v>43</v>
      </c>
      <c r="L204" s="2" t="s">
        <v>2554</v>
      </c>
      <c r="M204" s="2" t="s">
        <v>29</v>
      </c>
      <c r="N204" s="2" t="s">
        <v>2553</v>
      </c>
      <c r="O204" s="2" t="s">
        <v>2552</v>
      </c>
      <c r="P204" s="2"/>
      <c r="Q204" s="2" t="s">
        <v>2551</v>
      </c>
      <c r="R204" s="2" t="s">
        <v>2550</v>
      </c>
      <c r="S204" s="2"/>
      <c r="T204" s="2" t="s">
        <v>2549</v>
      </c>
      <c r="U204" s="2" t="s">
        <v>36</v>
      </c>
      <c r="V204" s="2" t="s">
        <v>70</v>
      </c>
    </row>
    <row r="205" spans="1:22" ht="180" x14ac:dyDescent="0.25">
      <c r="A205" s="6"/>
      <c r="B205" s="10"/>
      <c r="C205" s="2" t="s">
        <v>2475</v>
      </c>
      <c r="D205" s="2" t="s">
        <v>12</v>
      </c>
      <c r="E205" s="1" t="str">
        <f>HYPERLINK("http://www-wds.worldbank.org/external/default/main?menuPK=64187510&amp;pagePK=64193027&amp;piPK=64187937&amp;menuPK=64154159&amp;searchMenuPK=64258546&amp;theSitePK=523679&amp;entityID=000334955_20081007040135","Ethnic minority people's development framework ")</f>
        <v xml:space="preserve">Ethnic minority people's development framework </v>
      </c>
      <c r="F205" s="9">
        <v>38721</v>
      </c>
      <c r="G205" s="2" t="s">
        <v>2545</v>
      </c>
      <c r="H205" s="2" t="s">
        <v>10</v>
      </c>
      <c r="I205" s="2"/>
      <c r="J205" s="3">
        <v>4840</v>
      </c>
      <c r="K205" s="2" t="s">
        <v>43</v>
      </c>
      <c r="L205" s="2" t="s">
        <v>2544</v>
      </c>
      <c r="M205" s="2" t="s">
        <v>29</v>
      </c>
      <c r="N205" s="2" t="s">
        <v>2543</v>
      </c>
      <c r="O205" s="2" t="s">
        <v>40</v>
      </c>
      <c r="P205" s="2"/>
      <c r="Q205" s="2" t="s">
        <v>2548</v>
      </c>
      <c r="R205" s="2" t="s">
        <v>2547</v>
      </c>
      <c r="S205" s="2" t="s">
        <v>2540</v>
      </c>
      <c r="T205" s="2" t="s">
        <v>2539</v>
      </c>
      <c r="U205" s="2" t="s">
        <v>36</v>
      </c>
      <c r="V205" s="2" t="s">
        <v>0</v>
      </c>
    </row>
    <row r="206" spans="1:22" ht="180" x14ac:dyDescent="0.25">
      <c r="A206" s="6"/>
      <c r="B206" s="10"/>
      <c r="C206" s="2" t="s">
        <v>2475</v>
      </c>
      <c r="D206" s="2" t="s">
        <v>2546</v>
      </c>
      <c r="E206" s="1" t="str">
        <f>HYPERLINK("http://www-wds.worldbank.org/external/default/main?menuPK=64187510&amp;pagePK=64193027&amp;piPK=64187937&amp;menuPK=64154159&amp;searchMenuPK=64258546&amp;theSitePK=523679&amp;entityID=000334955_20081007041526","Ethnic minority people's development framework ")</f>
        <v xml:space="preserve">Ethnic minority people's development framework </v>
      </c>
      <c r="F206" s="9">
        <v>38721</v>
      </c>
      <c r="G206" s="2" t="s">
        <v>2545</v>
      </c>
      <c r="H206" s="2" t="s">
        <v>10</v>
      </c>
      <c r="I206" s="2"/>
      <c r="J206" s="3">
        <v>4840</v>
      </c>
      <c r="K206" s="2" t="s">
        <v>43</v>
      </c>
      <c r="L206" s="2" t="s">
        <v>2544</v>
      </c>
      <c r="M206" s="2" t="s">
        <v>29</v>
      </c>
      <c r="N206" s="2" t="s">
        <v>2543</v>
      </c>
      <c r="O206" s="2" t="s">
        <v>40</v>
      </c>
      <c r="P206" s="2"/>
      <c r="Q206" s="2" t="s">
        <v>2542</v>
      </c>
      <c r="R206" s="2" t="s">
        <v>2541</v>
      </c>
      <c r="S206" s="2" t="s">
        <v>2540</v>
      </c>
      <c r="T206" s="2" t="s">
        <v>2539</v>
      </c>
      <c r="U206" s="2" t="s">
        <v>36</v>
      </c>
      <c r="V206" s="2" t="s">
        <v>0</v>
      </c>
    </row>
    <row r="207" spans="1:22" ht="240" x14ac:dyDescent="0.25">
      <c r="A207" s="6"/>
      <c r="B207" s="10"/>
      <c r="C207" s="2" t="s">
        <v>2475</v>
      </c>
      <c r="D207" s="2" t="s">
        <v>12</v>
      </c>
      <c r="E207" s="1" t="str">
        <f>HYPERLINK("http://www-wds.worldbank.org/external/default/main?menuPK=64187510&amp;pagePK=64193027&amp;piPK=64187937&amp;menuPK=64154159&amp;searchMenuPK=64258546&amp;theSitePK=523679&amp;entityID=000160016_20060327173144","China - Hubei Guangrun River Hydropower Project : community benefit development plan ")</f>
        <v xml:space="preserve">China - Hubei Guangrun River Hydropower Project : community benefit development plan </v>
      </c>
      <c r="F207" s="9">
        <v>38839</v>
      </c>
      <c r="G207" s="2" t="s">
        <v>2538</v>
      </c>
      <c r="H207" s="2" t="s">
        <v>10</v>
      </c>
      <c r="I207" s="2" t="s">
        <v>2537</v>
      </c>
      <c r="J207" s="3"/>
      <c r="K207" s="2" t="s">
        <v>80</v>
      </c>
      <c r="L207" s="2" t="s">
        <v>2536</v>
      </c>
      <c r="M207" s="2" t="s">
        <v>29</v>
      </c>
      <c r="N207" s="2" t="s">
        <v>2535</v>
      </c>
      <c r="O207" s="2" t="s">
        <v>278</v>
      </c>
      <c r="P207" s="2"/>
      <c r="Q207" s="2" t="s">
        <v>2534</v>
      </c>
      <c r="R207" s="2" t="s">
        <v>2533</v>
      </c>
      <c r="S207" s="2"/>
      <c r="T207" s="2"/>
      <c r="U207" s="2" t="s">
        <v>73</v>
      </c>
      <c r="V207" s="2" t="s">
        <v>0</v>
      </c>
    </row>
    <row r="208" spans="1:22" ht="60" x14ac:dyDescent="0.25">
      <c r="A208" s="6"/>
      <c r="B208" s="10"/>
      <c r="C208" s="2" t="s">
        <v>2475</v>
      </c>
      <c r="D208" s="2" t="s">
        <v>12</v>
      </c>
      <c r="E208" s="1" t="str">
        <f>HYPERLINK("http://www-wds.worldbank.org/external/default/main?menuPK=64187510&amp;pagePK=64193027&amp;piPK=64187937&amp;menuPK=64154159&amp;searchMenuPK=64258546&amp;theSitePK=523679&amp;entityID=000012009_20060421124347","China - Guangxi Integrated Forestry Development and Conservation Project : indigenous peoples plan ")</f>
        <v xml:space="preserve">China - Guangxi Integrated Forestry Development and Conservation Project : indigenous peoples plan </v>
      </c>
      <c r="F208" s="9">
        <v>38363</v>
      </c>
      <c r="G208" s="2" t="s">
        <v>2532</v>
      </c>
      <c r="H208" s="2" t="s">
        <v>10</v>
      </c>
      <c r="I208" s="2" t="s">
        <v>31</v>
      </c>
      <c r="J208" s="3"/>
      <c r="K208" s="2" t="s">
        <v>8</v>
      </c>
      <c r="L208" s="2" t="s">
        <v>2531</v>
      </c>
      <c r="M208" s="2" t="s">
        <v>29</v>
      </c>
      <c r="N208" s="2" t="s">
        <v>2530</v>
      </c>
      <c r="O208" s="2" t="s">
        <v>50</v>
      </c>
      <c r="P208" s="2"/>
      <c r="Q208" s="2" t="s">
        <v>2529</v>
      </c>
      <c r="R208" s="2" t="s">
        <v>2336</v>
      </c>
      <c r="S208" s="2"/>
      <c r="T208" s="2" t="s">
        <v>2528</v>
      </c>
      <c r="U208" s="2" t="s">
        <v>1</v>
      </c>
      <c r="V208" s="2" t="s">
        <v>0</v>
      </c>
    </row>
    <row r="209" spans="1:22" ht="105" x14ac:dyDescent="0.25">
      <c r="A209" s="6"/>
      <c r="B209" s="10"/>
      <c r="C209" s="2" t="s">
        <v>2475</v>
      </c>
      <c r="D209" s="2" t="s">
        <v>12</v>
      </c>
      <c r="E209" s="1" t="str">
        <f>HYPERLINK("http://www-wds.worldbank.org/external/default/main?menuPK=64187510&amp;pagePK=64193027&amp;piPK=64187937&amp;menuPK=64154159&amp;searchMenuPK=64258546&amp;theSitePK=523679&amp;entityID=000012009_20051025140240","China - Sichuan Urban Development Project : indigenous peoples plan ")</f>
        <v xml:space="preserve">China - Sichuan Urban Development Project : indigenous peoples plan </v>
      </c>
      <c r="F209" s="9">
        <v>38357</v>
      </c>
      <c r="G209" s="2" t="s">
        <v>2527</v>
      </c>
      <c r="H209" s="2" t="s">
        <v>10</v>
      </c>
      <c r="I209" s="2" t="s">
        <v>2526</v>
      </c>
      <c r="J209" s="3"/>
      <c r="K209" s="2" t="s">
        <v>2525</v>
      </c>
      <c r="L209" s="2" t="s">
        <v>2524</v>
      </c>
      <c r="M209" s="2" t="s">
        <v>29</v>
      </c>
      <c r="N209" s="2" t="s">
        <v>2523</v>
      </c>
      <c r="O209" s="2" t="s">
        <v>2522</v>
      </c>
      <c r="P209" s="2"/>
      <c r="Q209" s="2" t="s">
        <v>2521</v>
      </c>
      <c r="R209" s="2" t="s">
        <v>2520</v>
      </c>
      <c r="S209" s="2"/>
      <c r="T209" s="2" t="s">
        <v>2519</v>
      </c>
      <c r="U209" s="2" t="s">
        <v>112</v>
      </c>
      <c r="V209" s="2" t="s">
        <v>0</v>
      </c>
    </row>
    <row r="210" spans="1:22" ht="75" x14ac:dyDescent="0.25">
      <c r="A210" s="6"/>
      <c r="B210" s="10"/>
      <c r="C210" s="2" t="s">
        <v>2475</v>
      </c>
      <c r="D210" s="2" t="s">
        <v>12</v>
      </c>
      <c r="E210" s="1" t="str">
        <f>HYPERLINK("http://www-wds.worldbank.org/external/default/main?menuPK=64187510&amp;pagePK=64193027&amp;piPK=64187937&amp;menuPK=64154159&amp;searchMenuPK=64258546&amp;theSitePK=523679&amp;entityID=000090341_20050413083243","China - PCF Xiaogushan Hydropower Project : Indigenous Peoples Plan ")</f>
        <v xml:space="preserve">China - PCF Xiaogushan Hydropower Project : Indigenous Peoples Plan </v>
      </c>
      <c r="F210" s="9">
        <v>38329</v>
      </c>
      <c r="G210" s="2" t="s">
        <v>2518</v>
      </c>
      <c r="H210" s="2" t="s">
        <v>10</v>
      </c>
      <c r="I210" s="2"/>
      <c r="J210" s="3"/>
      <c r="K210" s="2" t="s">
        <v>80</v>
      </c>
      <c r="L210" s="2" t="s">
        <v>2517</v>
      </c>
      <c r="M210" s="2" t="s">
        <v>29</v>
      </c>
      <c r="N210" s="2" t="s">
        <v>2516</v>
      </c>
      <c r="O210" s="2" t="s">
        <v>278</v>
      </c>
      <c r="P210" s="2"/>
      <c r="Q210" s="2" t="s">
        <v>2515</v>
      </c>
      <c r="R210" s="2" t="s">
        <v>2470</v>
      </c>
      <c r="S210" s="2"/>
      <c r="T210" s="2" t="s">
        <v>2514</v>
      </c>
      <c r="U210" s="2" t="s">
        <v>73</v>
      </c>
      <c r="V210" s="2" t="s">
        <v>0</v>
      </c>
    </row>
    <row r="211" spans="1:22" ht="240" x14ac:dyDescent="0.25">
      <c r="A211" s="6"/>
      <c r="B211" s="10"/>
      <c r="C211" s="2" t="s">
        <v>2475</v>
      </c>
      <c r="D211" s="2" t="s">
        <v>12</v>
      </c>
      <c r="E211" s="1" t="str">
        <f>HYPERLINK("http://www-wds.worldbank.org/external/default/main?menuPK=64187510&amp;pagePK=64193027&amp;piPK=64187937&amp;menuPK=64154159&amp;searchMenuPK=64258546&amp;theSitePK=523679&amp;entityID=000090341_20050309103611","Changing County Minority Development Program ")</f>
        <v xml:space="preserve">Changing County Minority Development Program </v>
      </c>
      <c r="F211" s="9">
        <v>37994</v>
      </c>
      <c r="G211" s="2" t="s">
        <v>2505</v>
      </c>
      <c r="H211" s="2" t="s">
        <v>10</v>
      </c>
      <c r="I211" s="2"/>
      <c r="J211" s="3"/>
      <c r="K211" s="2" t="s">
        <v>2504</v>
      </c>
      <c r="L211" s="2" t="s">
        <v>2503</v>
      </c>
      <c r="M211" s="2" t="s">
        <v>29</v>
      </c>
      <c r="N211" s="2" t="s">
        <v>2502</v>
      </c>
      <c r="O211" s="2" t="s">
        <v>2501</v>
      </c>
      <c r="P211" s="2"/>
      <c r="Q211" s="2" t="s">
        <v>1693</v>
      </c>
      <c r="R211" s="2" t="s">
        <v>1017</v>
      </c>
      <c r="S211" s="2"/>
      <c r="T211" s="2" t="s">
        <v>2499</v>
      </c>
      <c r="U211" s="2" t="s">
        <v>1</v>
      </c>
      <c r="V211" s="2" t="s">
        <v>2513</v>
      </c>
    </row>
    <row r="212" spans="1:22" ht="240" x14ac:dyDescent="0.25">
      <c r="A212" s="6"/>
      <c r="B212" s="10"/>
      <c r="C212" s="2" t="s">
        <v>2475</v>
      </c>
      <c r="D212" s="2" t="s">
        <v>12</v>
      </c>
      <c r="E212" s="1" t="str">
        <f>HYPERLINK("http://www-wds.worldbank.org/external/default/main?menuPK=64187510&amp;pagePK=64193027&amp;piPK=64187937&amp;menuPK=64154159&amp;searchMenuPK=64258546&amp;theSitePK=523679&amp;entityID=000090341_20050309150451","Longling County Minority Development Program ")</f>
        <v xml:space="preserve">Longling County Minority Development Program </v>
      </c>
      <c r="F212" s="9">
        <v>37994</v>
      </c>
      <c r="G212" s="2" t="s">
        <v>2505</v>
      </c>
      <c r="H212" s="2" t="s">
        <v>10</v>
      </c>
      <c r="I212" s="2"/>
      <c r="J212" s="3"/>
      <c r="K212" s="2" t="s">
        <v>2504</v>
      </c>
      <c r="L212" s="2" t="s">
        <v>2503</v>
      </c>
      <c r="M212" s="2" t="s">
        <v>29</v>
      </c>
      <c r="N212" s="2" t="s">
        <v>2502</v>
      </c>
      <c r="O212" s="2" t="s">
        <v>2501</v>
      </c>
      <c r="P212" s="2"/>
      <c r="Q212" s="2" t="s">
        <v>1693</v>
      </c>
      <c r="R212" s="2" t="s">
        <v>1017</v>
      </c>
      <c r="S212" s="2"/>
      <c r="T212" s="2" t="s">
        <v>2499</v>
      </c>
      <c r="U212" s="2" t="s">
        <v>1</v>
      </c>
      <c r="V212" s="2" t="s">
        <v>2512</v>
      </c>
    </row>
    <row r="213" spans="1:22" ht="240" x14ac:dyDescent="0.25">
      <c r="A213" s="6"/>
      <c r="B213" s="10"/>
      <c r="C213" s="2" t="s">
        <v>2475</v>
      </c>
      <c r="D213" s="2" t="s">
        <v>12</v>
      </c>
      <c r="E213" s="1" t="str">
        <f>HYPERLINK("http://www-wds.worldbank.org/external/default/main?menuPK=64187510&amp;pagePK=64193027&amp;piPK=64187937&amp;menuPK=64154159&amp;searchMenuPK=64258546&amp;theSitePK=523679&amp;entityID=000090341_20050309151507","Pingshan County Minority Development Program ")</f>
        <v xml:space="preserve">Pingshan County Minority Development Program </v>
      </c>
      <c r="F213" s="9">
        <v>37994</v>
      </c>
      <c r="G213" s="2" t="s">
        <v>2505</v>
      </c>
      <c r="H213" s="2" t="s">
        <v>10</v>
      </c>
      <c r="I213" s="2"/>
      <c r="J213" s="3"/>
      <c r="K213" s="2" t="s">
        <v>2504</v>
      </c>
      <c r="L213" s="2" t="s">
        <v>2503</v>
      </c>
      <c r="M213" s="2" t="s">
        <v>29</v>
      </c>
      <c r="N213" s="2" t="s">
        <v>2502</v>
      </c>
      <c r="O213" s="2" t="s">
        <v>2501</v>
      </c>
      <c r="P213" s="2"/>
      <c r="Q213" s="2" t="s">
        <v>1752</v>
      </c>
      <c r="R213" s="2" t="s">
        <v>487</v>
      </c>
      <c r="S213" s="2"/>
      <c r="T213" s="2" t="s">
        <v>2499</v>
      </c>
      <c r="U213" s="2" t="s">
        <v>1</v>
      </c>
      <c r="V213" s="2" t="s">
        <v>2511</v>
      </c>
    </row>
    <row r="214" spans="1:22" ht="240" x14ac:dyDescent="0.25">
      <c r="A214" s="6"/>
      <c r="B214" s="10"/>
      <c r="C214" s="2" t="s">
        <v>2475</v>
      </c>
      <c r="D214" s="2" t="s">
        <v>12</v>
      </c>
      <c r="E214" s="1" t="str">
        <f>HYPERLINK("http://www-wds.worldbank.org/external/default/main?menuPK=64187510&amp;pagePK=64193027&amp;piPK=64187937&amp;menuPK=64154159&amp;searchMenuPK=64258546&amp;theSitePK=523679&amp;entityID=000090341_20050309152009","Rongan County Minority Development Program ")</f>
        <v xml:space="preserve">Rongan County Minority Development Program </v>
      </c>
      <c r="F214" s="9">
        <v>37994</v>
      </c>
      <c r="G214" s="2" t="s">
        <v>2505</v>
      </c>
      <c r="H214" s="2" t="s">
        <v>10</v>
      </c>
      <c r="I214" s="2"/>
      <c r="J214" s="3"/>
      <c r="K214" s="2" t="s">
        <v>2504</v>
      </c>
      <c r="L214" s="2" t="s">
        <v>2503</v>
      </c>
      <c r="M214" s="2" t="s">
        <v>29</v>
      </c>
      <c r="N214" s="2" t="s">
        <v>2502</v>
      </c>
      <c r="O214" s="2" t="s">
        <v>2501</v>
      </c>
      <c r="P214" s="2"/>
      <c r="Q214" s="2"/>
      <c r="R214" s="2"/>
      <c r="S214" s="2"/>
      <c r="T214" s="2" t="s">
        <v>2499</v>
      </c>
      <c r="U214" s="2" t="s">
        <v>1</v>
      </c>
      <c r="V214" s="2" t="s">
        <v>2510</v>
      </c>
    </row>
    <row r="215" spans="1:22" ht="240" x14ac:dyDescent="0.25">
      <c r="A215" s="6"/>
      <c r="B215" s="10"/>
      <c r="C215" s="2" t="s">
        <v>2475</v>
      </c>
      <c r="D215" s="2" t="s">
        <v>12</v>
      </c>
      <c r="E215" s="1" t="str">
        <f>HYPERLINK("http://www-wds.worldbank.org/external/default/main?menuPK=64187510&amp;pagePK=64193027&amp;piPK=64187937&amp;menuPK=64154159&amp;searchMenuPK=64258546&amp;theSitePK=523679&amp;entityID=000090341_20050309152452","Xuyong County Minority Development Program ")</f>
        <v xml:space="preserve">Xuyong County Minority Development Program </v>
      </c>
      <c r="F215" s="9">
        <v>37994</v>
      </c>
      <c r="G215" s="2" t="s">
        <v>2505</v>
      </c>
      <c r="H215" s="2" t="s">
        <v>10</v>
      </c>
      <c r="I215" s="2"/>
      <c r="J215" s="3"/>
      <c r="K215" s="2" t="s">
        <v>2504</v>
      </c>
      <c r="L215" s="2" t="s">
        <v>2503</v>
      </c>
      <c r="M215" s="2" t="s">
        <v>29</v>
      </c>
      <c r="N215" s="2" t="s">
        <v>2502</v>
      </c>
      <c r="O215" s="2" t="s">
        <v>2501</v>
      </c>
      <c r="P215" s="2"/>
      <c r="Q215" s="2" t="s">
        <v>2509</v>
      </c>
      <c r="R215" s="2" t="s">
        <v>487</v>
      </c>
      <c r="S215" s="2"/>
      <c r="T215" s="2" t="s">
        <v>2499</v>
      </c>
      <c r="U215" s="2" t="s">
        <v>1</v>
      </c>
      <c r="V215" s="2" t="s">
        <v>2508</v>
      </c>
    </row>
    <row r="216" spans="1:22" ht="240" x14ac:dyDescent="0.25">
      <c r="A216" s="6"/>
      <c r="B216" s="10"/>
      <c r="C216" s="2" t="s">
        <v>2475</v>
      </c>
      <c r="D216" s="2" t="s">
        <v>12</v>
      </c>
      <c r="E216" s="1" t="str">
        <f>HYPERLINK("http://www-wds.worldbank.org/external/default/main?menuPK=64187510&amp;pagePK=64193027&amp;piPK=64187937&amp;menuPK=64154159&amp;searchMenuPK=64258546&amp;theSitePK=523679&amp;entityID=000090341_20050309152939","Yongde County Minority Development Program ")</f>
        <v xml:space="preserve">Yongde County Minority Development Program </v>
      </c>
      <c r="F216" s="9">
        <v>37994</v>
      </c>
      <c r="G216" s="2" t="s">
        <v>2505</v>
      </c>
      <c r="H216" s="2" t="s">
        <v>10</v>
      </c>
      <c r="I216" s="2"/>
      <c r="J216" s="3"/>
      <c r="K216" s="2" t="s">
        <v>2504</v>
      </c>
      <c r="L216" s="2" t="s">
        <v>2503</v>
      </c>
      <c r="M216" s="2" t="s">
        <v>29</v>
      </c>
      <c r="N216" s="2" t="s">
        <v>2502</v>
      </c>
      <c r="O216" s="2" t="s">
        <v>2501</v>
      </c>
      <c r="P216" s="2"/>
      <c r="Q216" s="2" t="s">
        <v>2507</v>
      </c>
      <c r="R216" s="2" t="s">
        <v>1017</v>
      </c>
      <c r="S216" s="2"/>
      <c r="T216" s="2" t="s">
        <v>2499</v>
      </c>
      <c r="U216" s="2" t="s">
        <v>1</v>
      </c>
      <c r="V216" s="2" t="s">
        <v>2506</v>
      </c>
    </row>
    <row r="217" spans="1:22" ht="240" x14ac:dyDescent="0.25">
      <c r="A217" s="6"/>
      <c r="B217" s="10"/>
      <c r="C217" s="2" t="s">
        <v>2475</v>
      </c>
      <c r="D217" s="2" t="s">
        <v>12</v>
      </c>
      <c r="E217" s="1" t="str">
        <f>HYPERLINK("http://www-wds.worldbank.org/external/default/main?menuPK=64187510&amp;pagePK=64193027&amp;piPK=64187937&amp;menuPK=64154159&amp;searchMenuPK=64258546&amp;theSitePK=523679&amp;entityID=000090341_20050309153439","Minority Policy Framework ")</f>
        <v xml:space="preserve">Minority Policy Framework </v>
      </c>
      <c r="F217" s="9">
        <v>37994</v>
      </c>
      <c r="G217" s="2" t="s">
        <v>2505</v>
      </c>
      <c r="H217" s="2" t="s">
        <v>10</v>
      </c>
      <c r="I217" s="2"/>
      <c r="J217" s="3"/>
      <c r="K217" s="2" t="s">
        <v>2504</v>
      </c>
      <c r="L217" s="2" t="s">
        <v>2503</v>
      </c>
      <c r="M217" s="2" t="s">
        <v>29</v>
      </c>
      <c r="N217" s="2" t="s">
        <v>2502</v>
      </c>
      <c r="O217" s="2" t="s">
        <v>2501</v>
      </c>
      <c r="P217" s="2"/>
      <c r="Q217" s="2" t="s">
        <v>2500</v>
      </c>
      <c r="R217" s="2" t="s">
        <v>1017</v>
      </c>
      <c r="S217" s="2"/>
      <c r="T217" s="2" t="s">
        <v>2499</v>
      </c>
      <c r="U217" s="2" t="s">
        <v>1</v>
      </c>
      <c r="V217" s="2" t="s">
        <v>2498</v>
      </c>
    </row>
    <row r="218" spans="1:22" ht="90" x14ac:dyDescent="0.25">
      <c r="A218" s="6"/>
      <c r="B218" s="10"/>
      <c r="C218" s="2" t="s">
        <v>2475</v>
      </c>
      <c r="D218" s="2" t="s">
        <v>12</v>
      </c>
      <c r="E218" s="1" t="str">
        <f>HYPERLINK("http://www-wds.worldbank.org/external/default/main?menuPK=64187510&amp;pagePK=64193027&amp;piPK=64187937&amp;menuPK=64154159&amp;searchMenuPK=64258546&amp;theSitePK=523679&amp;entityID=000012009_20040927100746","China - Inner Mongolia Trade and Transport Facilitation Project : indigenous peoples plan ")</f>
        <v xml:space="preserve">China - Inner Mongolia Trade and Transport Facilitation Project : indigenous peoples plan </v>
      </c>
      <c r="F218" s="9">
        <v>37991</v>
      </c>
      <c r="G218" s="2" t="s">
        <v>2497</v>
      </c>
      <c r="H218" s="2" t="s">
        <v>10</v>
      </c>
      <c r="I218" s="2"/>
      <c r="J218" s="3"/>
      <c r="K218" s="2" t="s">
        <v>43</v>
      </c>
      <c r="L218" s="2" t="s">
        <v>2496</v>
      </c>
      <c r="M218" s="2" t="s">
        <v>29</v>
      </c>
      <c r="N218" s="2" t="s">
        <v>2495</v>
      </c>
      <c r="O218" s="2" t="s">
        <v>40</v>
      </c>
      <c r="P218" s="2"/>
      <c r="Q218" s="2" t="s">
        <v>2494</v>
      </c>
      <c r="R218" s="2" t="s">
        <v>2470</v>
      </c>
      <c r="S218" s="2"/>
      <c r="T218" s="2"/>
      <c r="U218" s="2" t="s">
        <v>36</v>
      </c>
      <c r="V218" s="2" t="s">
        <v>0</v>
      </c>
    </row>
    <row r="219" spans="1:22" ht="105" x14ac:dyDescent="0.25">
      <c r="A219" s="6"/>
      <c r="B219" s="10"/>
      <c r="C219" s="2" t="s">
        <v>2475</v>
      </c>
      <c r="D219" s="2" t="s">
        <v>12</v>
      </c>
      <c r="E219" s="1" t="str">
        <f>HYPERLINK("http://www-wds.worldbank.org/external/default/main?menuPK=64187510&amp;pagePK=64193027&amp;piPK=64187937&amp;menuPK=64154159&amp;searchMenuPK=64258546&amp;theSitePK=523679&amp;entityID=000090341_20050303111000","Multi-ethnic Development Plan (MDP) for Heilongjiang Project Region ")</f>
        <v xml:space="preserve">Multi-ethnic Development Plan (MDP) for Heilongjiang Project Region </v>
      </c>
      <c r="F219" s="9">
        <v>38111</v>
      </c>
      <c r="G219" s="2" t="s">
        <v>2492</v>
      </c>
      <c r="H219" s="2" t="s">
        <v>10</v>
      </c>
      <c r="I219" s="2"/>
      <c r="J219" s="3"/>
      <c r="K219" s="2" t="s">
        <v>8</v>
      </c>
      <c r="L219" s="2" t="s">
        <v>2491</v>
      </c>
      <c r="M219" s="2" t="s">
        <v>29</v>
      </c>
      <c r="N219" s="2" t="s">
        <v>2490</v>
      </c>
      <c r="O219" s="2" t="s">
        <v>1449</v>
      </c>
      <c r="P219" s="2"/>
      <c r="Q219" s="2" t="s">
        <v>2493</v>
      </c>
      <c r="R219" s="2" t="s">
        <v>21</v>
      </c>
      <c r="S219" s="2"/>
      <c r="T219" s="2" t="s">
        <v>2488</v>
      </c>
      <c r="U219" s="2" t="s">
        <v>1</v>
      </c>
      <c r="V219" s="2" t="s">
        <v>70</v>
      </c>
    </row>
    <row r="220" spans="1:22" ht="105" x14ac:dyDescent="0.25">
      <c r="A220" s="6"/>
      <c r="B220" s="10"/>
      <c r="C220" s="2" t="s">
        <v>2475</v>
      </c>
      <c r="D220" s="2" t="s">
        <v>12</v>
      </c>
      <c r="E220" s="1" t="str">
        <f>HYPERLINK("http://www-wds.worldbank.org/external/default/main?menuPK=64187510&amp;pagePK=64193027&amp;piPK=64187937&amp;menuPK=64154159&amp;searchMenuPK=64258546&amp;theSitePK=523679&amp;entityID=000090341_20050303111334","Multinational Development Plan (MDP) for Hunan Project Region ")</f>
        <v xml:space="preserve">Multinational Development Plan (MDP) for Hunan Project Region </v>
      </c>
      <c r="F220" s="3" t="s">
        <v>2087</v>
      </c>
      <c r="G220" s="2" t="s">
        <v>2492</v>
      </c>
      <c r="H220" s="2" t="s">
        <v>10</v>
      </c>
      <c r="I220" s="2"/>
      <c r="J220" s="3"/>
      <c r="K220" s="2" t="s">
        <v>8</v>
      </c>
      <c r="L220" s="2" t="s">
        <v>2491</v>
      </c>
      <c r="M220" s="2" t="s">
        <v>29</v>
      </c>
      <c r="N220" s="2" t="s">
        <v>2490</v>
      </c>
      <c r="O220" s="2" t="s">
        <v>1449</v>
      </c>
      <c r="P220" s="2"/>
      <c r="Q220" s="2" t="s">
        <v>2489</v>
      </c>
      <c r="R220" s="2" t="s">
        <v>487</v>
      </c>
      <c r="S220" s="2"/>
      <c r="T220" s="2" t="s">
        <v>2488</v>
      </c>
      <c r="U220" s="2" t="s">
        <v>1</v>
      </c>
      <c r="V220" s="2" t="s">
        <v>59</v>
      </c>
    </row>
    <row r="221" spans="1:22" ht="60" x14ac:dyDescent="0.25">
      <c r="A221" s="6"/>
      <c r="B221" s="10"/>
      <c r="C221" s="2" t="s">
        <v>2475</v>
      </c>
      <c r="D221" s="2" t="s">
        <v>12</v>
      </c>
      <c r="E221" s="1" t="str">
        <f>HYPERLINK("http://www-wds.worldbank.org/external/default/main?menuPK=64187510&amp;pagePK=64193027&amp;piPK=64187937&amp;menuPK=64154159&amp;searchMenuPK=64258546&amp;theSitePK=523679&amp;entityID=000094946_03041604045530","China - Basic Education in Western Provinces Project : indigenous peoples plan ")</f>
        <v xml:space="preserve">China - Basic Education in Western Provinces Project : indigenous peoples plan </v>
      </c>
      <c r="F221" s="3" t="s">
        <v>1330</v>
      </c>
      <c r="G221" s="2" t="s">
        <v>2487</v>
      </c>
      <c r="H221" s="2" t="s">
        <v>10</v>
      </c>
      <c r="I221" s="2" t="s">
        <v>31</v>
      </c>
      <c r="J221" s="3">
        <v>7194</v>
      </c>
      <c r="K221" s="2" t="s">
        <v>21</v>
      </c>
      <c r="L221" s="2" t="s">
        <v>2486</v>
      </c>
      <c r="M221" s="2" t="s">
        <v>29</v>
      </c>
      <c r="N221" s="2" t="s">
        <v>2485</v>
      </c>
      <c r="O221" s="2" t="s">
        <v>2484</v>
      </c>
      <c r="P221" s="2"/>
      <c r="Q221" s="2" t="s">
        <v>2483</v>
      </c>
      <c r="R221" s="2" t="s">
        <v>487</v>
      </c>
      <c r="S221" s="2"/>
      <c r="T221" s="2" t="s">
        <v>2482</v>
      </c>
      <c r="U221" s="2" t="s">
        <v>23</v>
      </c>
      <c r="V221" s="2">
        <v>1</v>
      </c>
    </row>
    <row r="222" spans="1:22" ht="345" x14ac:dyDescent="0.25">
      <c r="A222" s="6"/>
      <c r="B222" s="10"/>
      <c r="C222" s="2" t="s">
        <v>2475</v>
      </c>
      <c r="D222" s="2" t="s">
        <v>12</v>
      </c>
      <c r="E222" s="1" t="str">
        <f>HYPERLINK("http://www-wds.worldbank.org/external/default/main?menuPK=64187510&amp;pagePK=64193027&amp;piPK=64187937&amp;menuPK=64154159&amp;searchMenuPK=64258546&amp;theSitePK=523679&amp;entityID=000094946_0205090408376","China - Jiangxi Integrated Agricultural Modernization Project : indigenous peoples plan ")</f>
        <v xml:space="preserve">China - Jiangxi Integrated Agricultural Modernization Project : indigenous peoples plan </v>
      </c>
      <c r="F222" s="3" t="s">
        <v>471</v>
      </c>
      <c r="G222" s="2" t="s">
        <v>2481</v>
      </c>
      <c r="H222" s="2" t="s">
        <v>10</v>
      </c>
      <c r="I222" s="2" t="s">
        <v>31</v>
      </c>
      <c r="J222" s="3"/>
      <c r="K222" s="2" t="s">
        <v>8</v>
      </c>
      <c r="L222" s="2" t="s">
        <v>2480</v>
      </c>
      <c r="M222" s="2" t="s">
        <v>29</v>
      </c>
      <c r="N222" s="2" t="s">
        <v>2479</v>
      </c>
      <c r="O222" s="2" t="s">
        <v>2478</v>
      </c>
      <c r="P222" s="2"/>
      <c r="Q222" s="2" t="s">
        <v>2477</v>
      </c>
      <c r="R222" s="2" t="s">
        <v>487</v>
      </c>
      <c r="S222" s="2"/>
      <c r="T222" s="2" t="s">
        <v>2476</v>
      </c>
      <c r="U222" s="2" t="s">
        <v>1</v>
      </c>
      <c r="V222" s="2">
        <v>1</v>
      </c>
    </row>
    <row r="223" spans="1:22" ht="90" x14ac:dyDescent="0.25">
      <c r="A223" s="6"/>
      <c r="B223" s="10"/>
      <c r="C223" s="2" t="s">
        <v>2475</v>
      </c>
      <c r="D223" s="2" t="s">
        <v>12</v>
      </c>
      <c r="E223" s="1" t="str">
        <f>HYPERLINK("http://www-wds.worldbank.org/external/default/main?menuPK=64187510&amp;pagePK=64193027&amp;piPK=64187937&amp;menuPK=64154159&amp;searchMenuPK=64258546&amp;theSitePK=523679&amp;entityID=000094946_02053004422014","China - Third Xinjiang Highway Project : indigenous peoples plan ")</f>
        <v xml:space="preserve">China - Third Xinjiang Highway Project : indigenous peoples plan </v>
      </c>
      <c r="F223" s="3" t="s">
        <v>637</v>
      </c>
      <c r="G223" s="2" t="s">
        <v>2474</v>
      </c>
      <c r="H223" s="2" t="s">
        <v>10</v>
      </c>
      <c r="I223" s="2" t="s">
        <v>31</v>
      </c>
      <c r="J223" s="3">
        <v>7143</v>
      </c>
      <c r="K223" s="2" t="s">
        <v>164</v>
      </c>
      <c r="L223" s="2" t="s">
        <v>2473</v>
      </c>
      <c r="M223" s="2" t="s">
        <v>29</v>
      </c>
      <c r="N223" s="2" t="s">
        <v>2472</v>
      </c>
      <c r="O223" s="2" t="s">
        <v>40</v>
      </c>
      <c r="P223" s="2"/>
      <c r="Q223" s="2" t="s">
        <v>2471</v>
      </c>
      <c r="R223" s="2" t="s">
        <v>2470</v>
      </c>
      <c r="S223" s="2"/>
      <c r="T223" s="2" t="s">
        <v>2469</v>
      </c>
      <c r="U223" s="2" t="s">
        <v>36</v>
      </c>
      <c r="V223" s="2">
        <v>1</v>
      </c>
    </row>
    <row r="224" spans="1:22" ht="60" x14ac:dyDescent="0.25">
      <c r="A224" s="6"/>
      <c r="B224" s="10"/>
      <c r="C224" s="2" t="s">
        <v>2359</v>
      </c>
      <c r="D224" s="2" t="s">
        <v>398</v>
      </c>
      <c r="E224" s="1" t="str">
        <f>HYPERLINK("http://www-wds.worldbank.org/external/default/main?menuPK=64187510&amp;pagePK=64193027&amp;piPK=64187937&amp;menuPK=64154159&amp;searchMenuPK=64258546&amp;theSitePK=523679&amp;entityID=000020953_20110209092038","Marco de Planeación para los Pueblos Indígenas y Comunidades negras, afrocolombianas, raizales, palenqueras y rom ")</f>
        <v xml:space="preserve">Marco de Planeación para los Pueblos Indígenas y Comunidades negras, afrocolombianas, raizales, palenqueras y rom </v>
      </c>
      <c r="F224" s="9">
        <v>40190</v>
      </c>
      <c r="G224" s="2" t="s">
        <v>2468</v>
      </c>
      <c r="H224" s="2" t="s">
        <v>10</v>
      </c>
      <c r="I224" s="2"/>
      <c r="J224" s="3"/>
      <c r="K224" s="2" t="s">
        <v>21</v>
      </c>
      <c r="L224" s="2" t="s">
        <v>2467</v>
      </c>
      <c r="M224" s="2" t="s">
        <v>634</v>
      </c>
      <c r="N224" s="2" t="s">
        <v>2466</v>
      </c>
      <c r="O224" s="2" t="s">
        <v>1188</v>
      </c>
      <c r="P224" s="2"/>
      <c r="Q224" s="2" t="s">
        <v>2465</v>
      </c>
      <c r="R224" s="2" t="s">
        <v>2464</v>
      </c>
      <c r="S224" s="2"/>
      <c r="T224" s="2"/>
      <c r="U224" s="2" t="s">
        <v>630</v>
      </c>
      <c r="V224" s="2" t="s">
        <v>0</v>
      </c>
    </row>
    <row r="225" spans="1:22" ht="90" x14ac:dyDescent="0.25">
      <c r="A225" s="6"/>
      <c r="B225" s="10"/>
      <c r="C225" s="2" t="s">
        <v>2359</v>
      </c>
      <c r="D225" s="2" t="s">
        <v>398</v>
      </c>
      <c r="E225" s="1" t="str">
        <f>HYPERLINK("http://www-wds.worldbank.org/external/default/main?menuPK=64187510&amp;pagePK=64193027&amp;piPK=64187937&amp;menuPK=64154159&amp;searchMenuPK=64258546&amp;theSitePK=523679&amp;entityID=000020953_20100421140105","Marco de planification para pueblos indigenas y poblaciones afrodescendientes ")</f>
        <v xml:space="preserve">Marco de planification para pueblos indigenas y poblaciones afrodescendientes </v>
      </c>
      <c r="F225" s="3" t="s">
        <v>2463</v>
      </c>
      <c r="G225" s="2" t="s">
        <v>2462</v>
      </c>
      <c r="H225" s="2" t="s">
        <v>10</v>
      </c>
      <c r="I225" s="2"/>
      <c r="J225" s="3"/>
      <c r="K225" s="2" t="s">
        <v>1934</v>
      </c>
      <c r="L225" s="2" t="s">
        <v>2461</v>
      </c>
      <c r="M225" s="2" t="s">
        <v>634</v>
      </c>
      <c r="N225" s="2" t="s">
        <v>2460</v>
      </c>
      <c r="O225" s="2" t="s">
        <v>2459</v>
      </c>
      <c r="P225" s="2"/>
      <c r="Q225" s="2" t="s">
        <v>2458</v>
      </c>
      <c r="R225" s="2" t="s">
        <v>2457</v>
      </c>
      <c r="S225" s="2" t="s">
        <v>2456</v>
      </c>
      <c r="T225" s="2"/>
      <c r="U225" s="2" t="s">
        <v>630</v>
      </c>
      <c r="V225" s="2" t="s">
        <v>0</v>
      </c>
    </row>
    <row r="226" spans="1:22" ht="135" x14ac:dyDescent="0.25">
      <c r="A226" s="12" t="s">
        <v>2419</v>
      </c>
      <c r="B226" s="10" t="s">
        <v>2455</v>
      </c>
      <c r="C226" s="2" t="s">
        <v>2359</v>
      </c>
      <c r="D226" s="14" t="s">
        <v>12</v>
      </c>
      <c r="E226" s="1" t="str">
        <f>HYPERLINK("http://www-wds.worldbank.org/external/default/main?menuPK=64187510&amp;pagePK=64193027&amp;piPK=64187937&amp;menuPK=64154159&amp;searchMenuPK=64258546&amp;theSitePK=523679&amp;entityID=000334955_20090721033846","Colombia - Additional Financing for Peace and Development Project : indigenous peoples plan ")</f>
        <v xml:space="preserve">Colombia - Additional Financing for Peace and Development Project : indigenous peoples plan </v>
      </c>
      <c r="F226" s="3" t="s">
        <v>2454</v>
      </c>
      <c r="G226" s="2" t="s">
        <v>2453</v>
      </c>
      <c r="H226" s="2" t="s">
        <v>10</v>
      </c>
      <c r="I226" s="2"/>
      <c r="J226" s="3"/>
      <c r="K226" s="2" t="s">
        <v>2452</v>
      </c>
      <c r="L226" s="2" t="s">
        <v>2451</v>
      </c>
      <c r="M226" s="2" t="s">
        <v>634</v>
      </c>
      <c r="N226" s="2" t="s">
        <v>2450</v>
      </c>
      <c r="O226" s="2" t="s">
        <v>2449</v>
      </c>
      <c r="P226" s="2"/>
      <c r="Q226" s="2" t="s">
        <v>2448</v>
      </c>
      <c r="R226" s="2" t="s">
        <v>2447</v>
      </c>
      <c r="S226" s="2" t="s">
        <v>2446</v>
      </c>
      <c r="T226" s="2"/>
      <c r="U226" s="2" t="s">
        <v>798</v>
      </c>
      <c r="V226" s="2" t="s">
        <v>0</v>
      </c>
    </row>
    <row r="227" spans="1:22" ht="90" x14ac:dyDescent="0.25">
      <c r="A227" s="6"/>
      <c r="B227" s="10"/>
      <c r="C227" s="2" t="s">
        <v>2359</v>
      </c>
      <c r="D227" s="2" t="s">
        <v>398</v>
      </c>
      <c r="E227" s="1" t="str">
        <f>HYPERLINK("http://www-wds.worldbank.org/external/default/main?menuPK=64187510&amp;pagePK=64193027&amp;piPK=64187937&amp;menuPK=64154159&amp;searchMenuPK=64258546&amp;theSitePK=523679&amp;entityID=000020953_20090109145022","Colombia - Proyecto Proteccion de Tierras y Patrimonio de la Poblacion Desplazada : plan para pueblos indigenas ")</f>
        <v xml:space="preserve">Colombia - Proyecto Proteccion de Tierras y Patrimonio de la Poblacion Desplazada : plan para pueblos indigenas </v>
      </c>
      <c r="F227" s="9">
        <v>39458</v>
      </c>
      <c r="G227" s="2" t="s">
        <v>2445</v>
      </c>
      <c r="H227" s="2" t="s">
        <v>10</v>
      </c>
      <c r="I227" s="2"/>
      <c r="J227" s="3"/>
      <c r="K227" s="2" t="s">
        <v>109</v>
      </c>
      <c r="L227" s="2" t="s">
        <v>2444</v>
      </c>
      <c r="M227" s="2" t="s">
        <v>634</v>
      </c>
      <c r="N227" s="2" t="s">
        <v>2443</v>
      </c>
      <c r="O227" s="2" t="s">
        <v>460</v>
      </c>
      <c r="P227" s="2"/>
      <c r="Q227" s="2" t="s">
        <v>2442</v>
      </c>
      <c r="R227" s="2" t="s">
        <v>2441</v>
      </c>
      <c r="S227" s="2" t="s">
        <v>410</v>
      </c>
      <c r="T227" s="2"/>
      <c r="U227" s="2" t="s">
        <v>798</v>
      </c>
      <c r="V227" s="2" t="s">
        <v>0</v>
      </c>
    </row>
    <row r="228" spans="1:22" ht="60" x14ac:dyDescent="0.25">
      <c r="A228" s="6"/>
      <c r="B228" s="10"/>
      <c r="C228" s="2" t="s">
        <v>2359</v>
      </c>
      <c r="D228" s="2" t="s">
        <v>398</v>
      </c>
      <c r="E228" s="1" t="str">
        <f>HYPERLINK("http://www-wds.worldbank.org/external/default/main?menuPK=64187510&amp;pagePK=64193027&amp;piPK=64187937&amp;menuPK=64154159&amp;searchMenuPK=64258546&amp;theSitePK=523679&amp;entityID=000333038_20081031020456","Agencia presidencial para la accion social y la cooperacion internacional : plan de pueblos indigenas ")</f>
        <v xml:space="preserve">Agencia presidencial para la accion social y la cooperacion internacional : plan de pueblos indigenas </v>
      </c>
      <c r="F228" s="9">
        <v>39457</v>
      </c>
      <c r="G228" s="2" t="s">
        <v>2439</v>
      </c>
      <c r="H228" s="2" t="s">
        <v>10</v>
      </c>
      <c r="I228" s="2"/>
      <c r="J228" s="3"/>
      <c r="K228" s="2" t="s">
        <v>2001</v>
      </c>
      <c r="L228" s="2" t="s">
        <v>2438</v>
      </c>
      <c r="M228" s="2" t="s">
        <v>634</v>
      </c>
      <c r="N228" s="2" t="s">
        <v>2437</v>
      </c>
      <c r="O228" s="2" t="s">
        <v>2436</v>
      </c>
      <c r="P228" s="2"/>
      <c r="Q228" s="2" t="s">
        <v>2435</v>
      </c>
      <c r="R228" s="2" t="s">
        <v>391</v>
      </c>
      <c r="S228" s="2" t="s">
        <v>2434</v>
      </c>
      <c r="T228" s="2"/>
      <c r="U228" s="2" t="s">
        <v>742</v>
      </c>
      <c r="V228" s="2" t="s">
        <v>59</v>
      </c>
    </row>
    <row r="229" spans="1:22" ht="60" x14ac:dyDescent="0.25">
      <c r="A229" s="6"/>
      <c r="B229" s="10"/>
      <c r="C229" s="2" t="s">
        <v>2359</v>
      </c>
      <c r="D229" s="2" t="s">
        <v>398</v>
      </c>
      <c r="E229" s="1" t="str">
        <f>HYPERLINK("http://www-wds.worldbank.org/external/default/main?menuPK=64187510&amp;pagePK=64193027&amp;piPK=64187937&amp;menuPK=64154159&amp;searchMenuPK=64258546&amp;theSitePK=523679&amp;entityID=000020953_20081003090038","Anexo en discusion para aprobacion : plan de pueblos indigenas ")</f>
        <v xml:space="preserve">Anexo en discusion para aprobacion : plan de pueblos indigenas </v>
      </c>
      <c r="F229" s="3" t="s">
        <v>2440</v>
      </c>
      <c r="G229" s="2" t="s">
        <v>2439</v>
      </c>
      <c r="H229" s="2" t="s">
        <v>10</v>
      </c>
      <c r="I229" s="2"/>
      <c r="J229" s="3"/>
      <c r="K229" s="2" t="s">
        <v>2001</v>
      </c>
      <c r="L229" s="2" t="s">
        <v>2438</v>
      </c>
      <c r="M229" s="2" t="s">
        <v>634</v>
      </c>
      <c r="N229" s="2" t="s">
        <v>2437</v>
      </c>
      <c r="O229" s="2" t="s">
        <v>2436</v>
      </c>
      <c r="P229" s="2"/>
      <c r="Q229" s="2" t="s">
        <v>2435</v>
      </c>
      <c r="R229" s="2" t="s">
        <v>391</v>
      </c>
      <c r="S229" s="2" t="s">
        <v>2434</v>
      </c>
      <c r="T229" s="2"/>
      <c r="U229" s="2" t="s">
        <v>742</v>
      </c>
      <c r="V229" s="2" t="s">
        <v>70</v>
      </c>
    </row>
    <row r="230" spans="1:22" ht="90" x14ac:dyDescent="0.25">
      <c r="A230" s="6"/>
      <c r="B230" s="10"/>
      <c r="C230" s="2" t="s">
        <v>2359</v>
      </c>
      <c r="D230" s="2" t="s">
        <v>398</v>
      </c>
      <c r="E230" s="1" t="str">
        <f>HYPERLINK("http://www-wds.worldbank.org/external/default/main?menuPK=64187510&amp;pagePK=64193027&amp;piPK=64187937&amp;menuPK=64154159&amp;searchMenuPK=64258546&amp;theSitePK=523679&amp;entityID=000011823_20071226180403","Marco de participacion para las poblaciones etnicas ")</f>
        <v xml:space="preserve">Marco de participacion para las poblaciones etnicas </v>
      </c>
      <c r="F230" s="3" t="s">
        <v>2433</v>
      </c>
      <c r="G230" s="2" t="s">
        <v>2432</v>
      </c>
      <c r="H230" s="2" t="s">
        <v>10</v>
      </c>
      <c r="I230" s="2" t="s">
        <v>2431</v>
      </c>
      <c r="J230" s="3"/>
      <c r="K230" s="2" t="s">
        <v>21</v>
      </c>
      <c r="L230" s="2" t="s">
        <v>2430</v>
      </c>
      <c r="M230" s="2" t="s">
        <v>634</v>
      </c>
      <c r="N230" s="2" t="s">
        <v>2429</v>
      </c>
      <c r="O230" s="2" t="s">
        <v>2428</v>
      </c>
      <c r="P230" s="2"/>
      <c r="Q230" s="2" t="s">
        <v>2427</v>
      </c>
      <c r="R230" s="2" t="s">
        <v>782</v>
      </c>
      <c r="S230" s="2"/>
      <c r="T230" s="2"/>
      <c r="U230" s="2" t="s">
        <v>630</v>
      </c>
      <c r="V230" s="2" t="s">
        <v>0</v>
      </c>
    </row>
    <row r="231" spans="1:22" ht="90" x14ac:dyDescent="0.25">
      <c r="A231" s="6"/>
      <c r="B231" s="10"/>
      <c r="C231" s="2" t="s">
        <v>2359</v>
      </c>
      <c r="D231" s="2" t="s">
        <v>398</v>
      </c>
      <c r="E231" s="1" t="str">
        <f>HYPERLINK("http://www-wds.worldbank.org/external/default/main?menuPK=64187510&amp;pagePK=64193027&amp;piPK=64187937&amp;menuPK=64154159&amp;searchMenuPK=64258546&amp;theSitePK=523679&amp;entityID=000011823_20071227162815","Politica y estrategias para la atencion de la poblacion indigena y afrodecendientes ")</f>
        <v xml:space="preserve">Politica y estrategias para la atencion de la poblacion indigena y afrodecendientes </v>
      </c>
      <c r="F231" s="9">
        <v>39093</v>
      </c>
      <c r="G231" s="2" t="s">
        <v>2426</v>
      </c>
      <c r="H231" s="2" t="s">
        <v>10</v>
      </c>
      <c r="I231" s="2" t="s">
        <v>2425</v>
      </c>
      <c r="J231" s="3"/>
      <c r="K231" s="2" t="s">
        <v>21</v>
      </c>
      <c r="L231" s="2" t="s">
        <v>2424</v>
      </c>
      <c r="M231" s="2" t="s">
        <v>634</v>
      </c>
      <c r="N231" s="2" t="s">
        <v>2423</v>
      </c>
      <c r="O231" s="2" t="s">
        <v>2422</v>
      </c>
      <c r="P231" s="2"/>
      <c r="Q231" s="2" t="s">
        <v>2421</v>
      </c>
      <c r="R231" s="2" t="s">
        <v>782</v>
      </c>
      <c r="S231" s="2"/>
      <c r="T231" s="2" t="s">
        <v>2420</v>
      </c>
      <c r="U231" s="2" t="s">
        <v>630</v>
      </c>
      <c r="V231" s="2" t="s">
        <v>0</v>
      </c>
    </row>
    <row r="232" spans="1:22" ht="135" x14ac:dyDescent="0.25">
      <c r="A232" s="12" t="s">
        <v>2419</v>
      </c>
      <c r="B232" s="10" t="s">
        <v>2418</v>
      </c>
      <c r="C232" s="2" t="s">
        <v>2359</v>
      </c>
      <c r="D232" s="14" t="s">
        <v>12</v>
      </c>
      <c r="E232" s="1" t="str">
        <f>HYPERLINK("http://www-wds.worldbank.org/external/default/main?menuPK=64187510&amp;pagePK=64193027&amp;piPK=64187937&amp;menuPK=64154159&amp;searchMenuPK=64258546&amp;theSitePK=523679&amp;entityID=000011823_20070914163720","Colombia : First Water and Sanitation Departmental Modernization (APL Phase I) Project : indigenous peoples planning framework. ")</f>
        <v xml:space="preserve">Colombia : First Water and Sanitation Departmental Modernization (APL Phase I) Project : indigenous peoples planning framework. </v>
      </c>
      <c r="F232" s="3" t="s">
        <v>2417</v>
      </c>
      <c r="G232" s="2" t="s">
        <v>2416</v>
      </c>
      <c r="H232" s="2" t="s">
        <v>10</v>
      </c>
      <c r="I232" s="2" t="s">
        <v>2415</v>
      </c>
      <c r="J232" s="3"/>
      <c r="K232" s="2" t="s">
        <v>145</v>
      </c>
      <c r="L232" s="2" t="s">
        <v>2414</v>
      </c>
      <c r="M232" s="2" t="s">
        <v>634</v>
      </c>
      <c r="N232" s="2" t="s">
        <v>2413</v>
      </c>
      <c r="O232" s="2" t="s">
        <v>142</v>
      </c>
      <c r="P232" s="2"/>
      <c r="Q232" s="2" t="s">
        <v>2274</v>
      </c>
      <c r="R232" s="2" t="s">
        <v>2055</v>
      </c>
      <c r="S232" s="2"/>
      <c r="T232" s="2"/>
      <c r="U232" s="2" t="s">
        <v>706</v>
      </c>
      <c r="V232" s="2" t="s">
        <v>0</v>
      </c>
    </row>
    <row r="233" spans="1:22" ht="75" x14ac:dyDescent="0.25">
      <c r="A233" s="6"/>
      <c r="B233" s="10"/>
      <c r="C233" s="2" t="s">
        <v>2359</v>
      </c>
      <c r="D233" s="2" t="s">
        <v>398</v>
      </c>
      <c r="E233" s="1" t="str">
        <f>HYPERLINK("http://www-wds.worldbank.org/external/default/main?menuPK=64187510&amp;pagePK=64193027&amp;piPK=64187937&amp;menuPK=64154159&amp;searchMenuPK=64258546&amp;theSitePK=523679&amp;entityID=000020953_20070514141700","Colombia - Second Rural Productive Partnerships Project : indigenous peoples plan ")</f>
        <v xml:space="preserve">Colombia - Second Rural Productive Partnerships Project : indigenous peoples plan </v>
      </c>
      <c r="F233" s="9">
        <v>39390</v>
      </c>
      <c r="G233" s="2" t="s">
        <v>2412</v>
      </c>
      <c r="H233" s="2" t="s">
        <v>10</v>
      </c>
      <c r="I233" s="2"/>
      <c r="J233" s="3"/>
      <c r="K233" s="2" t="s">
        <v>872</v>
      </c>
      <c r="L233" s="2" t="s">
        <v>2411</v>
      </c>
      <c r="M233" s="2" t="s">
        <v>634</v>
      </c>
      <c r="N233" s="2" t="s">
        <v>2410</v>
      </c>
      <c r="O233" s="2" t="s">
        <v>2409</v>
      </c>
      <c r="P233" s="2"/>
      <c r="Q233" s="2" t="s">
        <v>2408</v>
      </c>
      <c r="R233" s="2" t="s">
        <v>2407</v>
      </c>
      <c r="S233" s="2"/>
      <c r="T233" s="2"/>
      <c r="U233" s="2" t="s">
        <v>670</v>
      </c>
      <c r="V233" s="2" t="s">
        <v>0</v>
      </c>
    </row>
    <row r="234" spans="1:22" ht="60" x14ac:dyDescent="0.25">
      <c r="A234" s="6"/>
      <c r="B234" s="10"/>
      <c r="C234" s="2" t="s">
        <v>2359</v>
      </c>
      <c r="D234" s="2" t="s">
        <v>398</v>
      </c>
      <c r="E234" s="1" t="str">
        <f>HYPERLINK("http://www-wds.worldbank.org/external/default/main?menuPK=64187510&amp;pagePK=64193027&amp;piPK=64187937&amp;menuPK=64154159&amp;searchMenuPK=64258546&amp;theSitePK=523679&amp;entityID=000011823_20070418164958","Plan para pueblos indigenas (PPI) ")</f>
        <v xml:space="preserve">Plan para pueblos indigenas (PPI) </v>
      </c>
      <c r="F234" s="9">
        <v>39086</v>
      </c>
      <c r="G234" s="2" t="s">
        <v>2406</v>
      </c>
      <c r="H234" s="2" t="s">
        <v>10</v>
      </c>
      <c r="I234" s="2"/>
      <c r="J234" s="3"/>
      <c r="K234" s="2" t="s">
        <v>21</v>
      </c>
      <c r="L234" s="2" t="s">
        <v>2405</v>
      </c>
      <c r="M234" s="2" t="s">
        <v>634</v>
      </c>
      <c r="N234" s="2" t="s">
        <v>2404</v>
      </c>
      <c r="O234" s="2" t="s">
        <v>1598</v>
      </c>
      <c r="P234" s="2"/>
      <c r="Q234" s="2" t="s">
        <v>2403</v>
      </c>
      <c r="R234" s="2" t="s">
        <v>615</v>
      </c>
      <c r="S234" s="2"/>
      <c r="T234" s="2" t="s">
        <v>2402</v>
      </c>
      <c r="U234" s="2" t="s">
        <v>630</v>
      </c>
      <c r="V234" s="2" t="s">
        <v>0</v>
      </c>
    </row>
    <row r="235" spans="1:22" ht="45" x14ac:dyDescent="0.25">
      <c r="A235" s="6"/>
      <c r="B235" s="10"/>
      <c r="C235" s="2" t="s">
        <v>2359</v>
      </c>
      <c r="D235" s="2" t="s">
        <v>398</v>
      </c>
      <c r="E235" s="1" t="str">
        <f>HYPERLINK("http://www-wds.worldbank.org/external/default/main?menuPK=64187510&amp;pagePK=64193027&amp;piPK=64187937&amp;menuPK=64154159&amp;searchMenuPK=64258546&amp;theSitePK=523679&amp;entityID=000090341_20070320101248","Marco de referencia para el programa en comunidades indigenas ")</f>
        <v xml:space="preserve">Marco de referencia para el programa en comunidades indigenas </v>
      </c>
      <c r="F235" s="3" t="s">
        <v>209</v>
      </c>
      <c r="G235" s="2" t="s">
        <v>2401</v>
      </c>
      <c r="H235" s="2" t="s">
        <v>10</v>
      </c>
      <c r="I235" s="2"/>
      <c r="J235" s="3"/>
      <c r="K235" s="2" t="s">
        <v>109</v>
      </c>
      <c r="L235" s="2" t="s">
        <v>2400</v>
      </c>
      <c r="M235" s="2" t="s">
        <v>634</v>
      </c>
      <c r="N235" s="2" t="s">
        <v>2399</v>
      </c>
      <c r="O235" s="2" t="s">
        <v>460</v>
      </c>
      <c r="P235" s="2"/>
      <c r="Q235" s="2"/>
      <c r="R235" s="2"/>
      <c r="S235" s="2"/>
      <c r="T235" s="2" t="s">
        <v>2398</v>
      </c>
      <c r="U235" s="2" t="s">
        <v>742</v>
      </c>
      <c r="V235" s="2" t="s">
        <v>0</v>
      </c>
    </row>
    <row r="236" spans="1:22" ht="105" x14ac:dyDescent="0.25">
      <c r="A236" s="6"/>
      <c r="B236" s="10"/>
      <c r="C236" s="2" t="s">
        <v>2359</v>
      </c>
      <c r="D236" s="2" t="s">
        <v>398</v>
      </c>
      <c r="E236" s="1" t="str">
        <f>HYPERLINK("http://www-wds.worldbank.org/external/default/main?menuPK=64187510&amp;pagePK=64193027&amp;piPK=64187937&amp;menuPK=64154159&amp;searchMenuPK=64258546&amp;theSitePK=523679&amp;entityID=000011823_20070206172233","Marco de planificación para los pueblos indigenas ")</f>
        <v xml:space="preserve">Marco de planificación para los pueblos indigenas </v>
      </c>
      <c r="F236" s="3" t="s">
        <v>2397</v>
      </c>
      <c r="G236" s="2" t="s">
        <v>2393</v>
      </c>
      <c r="H236" s="2" t="s">
        <v>10</v>
      </c>
      <c r="I236" s="2"/>
      <c r="J236" s="3"/>
      <c r="K236" s="2" t="s">
        <v>145</v>
      </c>
      <c r="L236" s="2" t="s">
        <v>2392</v>
      </c>
      <c r="M236" s="2" t="s">
        <v>634</v>
      </c>
      <c r="N236" s="2" t="s">
        <v>2391</v>
      </c>
      <c r="O236" s="2" t="s">
        <v>142</v>
      </c>
      <c r="P236" s="2"/>
      <c r="Q236" s="2" t="s">
        <v>2396</v>
      </c>
      <c r="R236" s="2" t="s">
        <v>2395</v>
      </c>
      <c r="S236" s="2"/>
      <c r="T236" s="2"/>
      <c r="U236" s="2" t="s">
        <v>706</v>
      </c>
      <c r="V236" s="2" t="s">
        <v>0</v>
      </c>
    </row>
    <row r="237" spans="1:22" ht="210" x14ac:dyDescent="0.25">
      <c r="A237" s="12" t="s">
        <v>552</v>
      </c>
      <c r="B237" s="15" t="s">
        <v>2394</v>
      </c>
      <c r="C237" s="2" t="s">
        <v>2359</v>
      </c>
      <c r="D237" s="14" t="s">
        <v>12</v>
      </c>
      <c r="E237" s="1" t="str">
        <f>HYPERLINK("http://www-wds.worldbank.org/external/default/main?menuPK=64187510&amp;pagePK=64193027&amp;piPK=64187937&amp;menuPK=64154159&amp;searchMenuPK=64258546&amp;theSitePK=523679&amp;entityID=000020953_20070125160554","Colombia - La Guajira Water and Sanitation Infrastructure and Service Management Project : indigenous peoples planning framework ")</f>
        <v xml:space="preserve">Colombia - La Guajira Water and Sanitation Infrastructure and Service Management Project : indigenous peoples planning framework </v>
      </c>
      <c r="F237" s="9">
        <v>39083</v>
      </c>
      <c r="G237" s="2" t="s">
        <v>2393</v>
      </c>
      <c r="H237" s="2" t="s">
        <v>10</v>
      </c>
      <c r="I237" s="2"/>
      <c r="J237" s="3"/>
      <c r="K237" s="2" t="s">
        <v>145</v>
      </c>
      <c r="L237" s="2" t="s">
        <v>2392</v>
      </c>
      <c r="M237" s="2" t="s">
        <v>634</v>
      </c>
      <c r="N237" s="2" t="s">
        <v>2391</v>
      </c>
      <c r="O237" s="2" t="s">
        <v>142</v>
      </c>
      <c r="P237" s="2"/>
      <c r="Q237" s="2" t="s">
        <v>2390</v>
      </c>
      <c r="R237" s="2" t="s">
        <v>717</v>
      </c>
      <c r="S237" s="2"/>
      <c r="T237" s="2"/>
      <c r="U237" s="2" t="s">
        <v>706</v>
      </c>
      <c r="V237" s="2" t="s">
        <v>0</v>
      </c>
    </row>
    <row r="238" spans="1:22" ht="60" x14ac:dyDescent="0.25">
      <c r="A238" s="6"/>
      <c r="B238" s="10"/>
      <c r="C238" s="2" t="s">
        <v>2359</v>
      </c>
      <c r="D238" s="2" t="s">
        <v>398</v>
      </c>
      <c r="E238" s="1" t="str">
        <f>HYPERLINK("http://www-wds.worldbank.org/external/default/main?menuPK=64187510&amp;pagePK=64193027&amp;piPK=64187937&amp;menuPK=64154159&amp;searchMenuPK=64258546&amp;theSitePK=523679&amp;entityID=000090341_20061129142536","Colombia - Caribbean Savannah Carbon Sink Project : indigenous peoples plan ")</f>
        <v xml:space="preserve">Colombia - Caribbean Savannah Carbon Sink Project : indigenous peoples plan </v>
      </c>
      <c r="F238" s="3" t="s">
        <v>2389</v>
      </c>
      <c r="G238" s="2" t="s">
        <v>2388</v>
      </c>
      <c r="H238" s="2" t="s">
        <v>10</v>
      </c>
      <c r="I238" s="2"/>
      <c r="J238" s="3"/>
      <c r="K238" s="2" t="s">
        <v>8</v>
      </c>
      <c r="L238" s="2" t="s">
        <v>2387</v>
      </c>
      <c r="M238" s="2" t="s">
        <v>634</v>
      </c>
      <c r="N238" s="2" t="s">
        <v>2386</v>
      </c>
      <c r="O238" s="2" t="s">
        <v>1449</v>
      </c>
      <c r="P238" s="2"/>
      <c r="Q238" s="2" t="s">
        <v>2385</v>
      </c>
      <c r="R238" s="2" t="s">
        <v>2384</v>
      </c>
      <c r="S238" s="2"/>
      <c r="T238" s="2"/>
      <c r="U238" s="2" t="s">
        <v>639</v>
      </c>
      <c r="V238" s="2" t="s">
        <v>0</v>
      </c>
    </row>
    <row r="239" spans="1:22" ht="90" x14ac:dyDescent="0.25">
      <c r="A239" s="6"/>
      <c r="B239" s="10"/>
      <c r="C239" s="2" t="s">
        <v>2359</v>
      </c>
      <c r="D239" s="2" t="s">
        <v>398</v>
      </c>
      <c r="E239" s="1" t="str">
        <f>HYPERLINK("http://www-wds.worldbank.org/external/default/main?menuPK=64187510&amp;pagePK=64193027&amp;piPK=64187937&amp;menuPK=64154159&amp;searchMenuPK=64258546&amp;theSitePK=523679&amp;entityID=000160016_20060224181759","El Proyecto GEF Fondo para la conservacion de areas protegidasmarco de planificacion para pueblos indigenas y comunidades Afrocolombianas ")</f>
        <v xml:space="preserve">El Proyecto GEF Fondo para la conservacion de areas protegidasmarco de planificacion para pueblos indigenas y comunidades Afrocolombianas </v>
      </c>
      <c r="F239" s="3" t="s">
        <v>2383</v>
      </c>
      <c r="G239" s="2" t="s">
        <v>2380</v>
      </c>
      <c r="H239" s="2" t="s">
        <v>10</v>
      </c>
      <c r="I239" s="2"/>
      <c r="J239" s="3"/>
      <c r="K239" s="2" t="s">
        <v>2379</v>
      </c>
      <c r="L239" s="2" t="s">
        <v>2378</v>
      </c>
      <c r="M239" s="2" t="s">
        <v>634</v>
      </c>
      <c r="N239" s="2" t="s">
        <v>2377</v>
      </c>
      <c r="O239" s="2" t="s">
        <v>2376</v>
      </c>
      <c r="P239" s="2"/>
      <c r="Q239" s="2" t="s">
        <v>2382</v>
      </c>
      <c r="R239" s="2" t="s">
        <v>2381</v>
      </c>
      <c r="S239" s="2"/>
      <c r="T239" s="2" t="s">
        <v>2373</v>
      </c>
      <c r="U239" s="2" t="s">
        <v>639</v>
      </c>
      <c r="V239" s="2" t="s">
        <v>70</v>
      </c>
    </row>
    <row r="240" spans="1:22" ht="90" x14ac:dyDescent="0.25">
      <c r="A240" s="6"/>
      <c r="B240" s="10"/>
      <c r="C240" s="2" t="s">
        <v>2359</v>
      </c>
      <c r="D240" s="2" t="s">
        <v>398</v>
      </c>
      <c r="E240" s="1" t="str">
        <f>HYPERLINK("http://www-wds.worldbank.org/external/default/main?menuPK=64187510&amp;pagePK=64193027&amp;piPK=64187937&amp;menuPK=64154159&amp;searchMenuPK=64258546&amp;theSitePK=523679&amp;entityID=000160016_20080403164540","Colombia - Fondo de Apoyo a la Biodiversidad y a las Areas Protegidas (FUNBAP) ")</f>
        <v xml:space="preserve">Colombia - Fondo de Apoyo a la Biodiversidad y a las Areas Protegidas (FUNBAP) </v>
      </c>
      <c r="F240" s="9">
        <v>38364</v>
      </c>
      <c r="G240" s="2" t="s">
        <v>2380</v>
      </c>
      <c r="H240" s="2" t="s">
        <v>10</v>
      </c>
      <c r="I240" s="2"/>
      <c r="J240" s="3"/>
      <c r="K240" s="2" t="s">
        <v>2379</v>
      </c>
      <c r="L240" s="2" t="s">
        <v>2378</v>
      </c>
      <c r="M240" s="2" t="s">
        <v>634</v>
      </c>
      <c r="N240" s="2" t="s">
        <v>2377</v>
      </c>
      <c r="O240" s="2" t="s">
        <v>2376</v>
      </c>
      <c r="P240" s="2"/>
      <c r="Q240" s="2" t="s">
        <v>2375</v>
      </c>
      <c r="R240" s="2" t="s">
        <v>2374</v>
      </c>
      <c r="S240" s="2"/>
      <c r="T240" s="2" t="s">
        <v>2373</v>
      </c>
      <c r="U240" s="2" t="s">
        <v>639</v>
      </c>
      <c r="V240" s="2" t="s">
        <v>59</v>
      </c>
    </row>
    <row r="241" spans="1:22" ht="105" x14ac:dyDescent="0.25">
      <c r="A241" s="12" t="s">
        <v>552</v>
      </c>
      <c r="B241" s="10" t="s">
        <v>2372</v>
      </c>
      <c r="C241" s="2" t="s">
        <v>2359</v>
      </c>
      <c r="D241" s="14" t="s">
        <v>12</v>
      </c>
      <c r="E241" s="1" t="str">
        <f>HYPERLINK("http://www-wds.worldbank.org/external/default/main?menuPK=64187510&amp;pagePK=64193027&amp;piPK=64187937&amp;menuPK=64154159&amp;searchMenuPK=64258546&amp;theSitePK=523679&amp;entityID=000011823_20050701115751","Colombia - Social Safety Net Project : indigenous peoples plan ")</f>
        <v xml:space="preserve">Colombia - Social Safety Net Project : indigenous peoples plan </v>
      </c>
      <c r="F241" s="3" t="s">
        <v>502</v>
      </c>
      <c r="G241" s="2" t="s">
        <v>2371</v>
      </c>
      <c r="H241" s="2" t="s">
        <v>10</v>
      </c>
      <c r="I241" s="2" t="s">
        <v>31</v>
      </c>
      <c r="J241" s="3"/>
      <c r="K241" s="2" t="s">
        <v>2001</v>
      </c>
      <c r="L241" s="2" t="s">
        <v>2370</v>
      </c>
      <c r="M241" s="2" t="s">
        <v>634</v>
      </c>
      <c r="N241" s="2" t="s">
        <v>2369</v>
      </c>
      <c r="O241" s="2" t="s">
        <v>2368</v>
      </c>
      <c r="P241" s="2"/>
      <c r="Q241" s="2"/>
      <c r="R241" s="2"/>
      <c r="S241" s="2"/>
      <c r="T241" s="2"/>
      <c r="U241" s="2" t="s">
        <v>742</v>
      </c>
      <c r="V241" s="2" t="s">
        <v>0</v>
      </c>
    </row>
    <row r="242" spans="1:22" ht="45" x14ac:dyDescent="0.25">
      <c r="A242" s="6"/>
      <c r="B242" s="10"/>
      <c r="C242" s="2" t="s">
        <v>2359</v>
      </c>
      <c r="D242" s="2" t="s">
        <v>398</v>
      </c>
      <c r="E242" s="1" t="str">
        <f>HYPERLINK("http://www-wds.worldbank.org/external/default/main?menuPK=64187510&amp;pagePK=64193027&amp;piPK=64187937&amp;menuPK=64154159&amp;searchMenuPK=64258546&amp;theSitePK=523679&amp;entityID=000012009_20050617160444","Colombia - Proyecto de Desarrollo Social : participacion social y plan de desarrollo de comunidades etnicas ")</f>
        <v xml:space="preserve">Colombia - Proyecto de Desarrollo Social : participacion social y plan de desarrollo de comunidades etnicas </v>
      </c>
      <c r="F242" s="9">
        <v>38358</v>
      </c>
      <c r="G242" s="2" t="s">
        <v>2371</v>
      </c>
      <c r="H242" s="2" t="s">
        <v>10</v>
      </c>
      <c r="I242" s="2" t="s">
        <v>31</v>
      </c>
      <c r="J242" s="3"/>
      <c r="K242" s="2" t="s">
        <v>2001</v>
      </c>
      <c r="L242" s="2" t="s">
        <v>2370</v>
      </c>
      <c r="M242" s="2" t="s">
        <v>634</v>
      </c>
      <c r="N242" s="2" t="s">
        <v>2369</v>
      </c>
      <c r="O242" s="2" t="s">
        <v>2368</v>
      </c>
      <c r="P242" s="2"/>
      <c r="Q242" s="2"/>
      <c r="R242" s="2"/>
      <c r="S242" s="2"/>
      <c r="T242" s="2"/>
      <c r="U242" s="2" t="s">
        <v>742</v>
      </c>
      <c r="V242" s="2" t="s">
        <v>0</v>
      </c>
    </row>
    <row r="243" spans="1:22" ht="105" x14ac:dyDescent="0.25">
      <c r="A243" s="12" t="s">
        <v>552</v>
      </c>
      <c r="B243" s="10" t="s">
        <v>2367</v>
      </c>
      <c r="C243" s="2" t="s">
        <v>2359</v>
      </c>
      <c r="D243" s="14" t="s">
        <v>12</v>
      </c>
      <c r="E243" s="1" t="str">
        <f>HYPERLINK("http://www-wds.worldbank.org/external/default/main?menuPK=64187510&amp;pagePK=64193027&amp;piPK=64187937&amp;menuPK=64154159&amp;searchMenuPK=64258546&amp;theSitePK=523679&amp;entityID=000012009_20040430143627","Colombia - Peace and Development Project : indigenous peoples plan ")</f>
        <v xml:space="preserve">Colombia - Peace and Development Project : indigenous peoples plan </v>
      </c>
      <c r="F243" s="9">
        <v>37990</v>
      </c>
      <c r="G243" s="2" t="s">
        <v>2366</v>
      </c>
      <c r="H243" s="2" t="s">
        <v>10</v>
      </c>
      <c r="I243" s="2" t="s">
        <v>31</v>
      </c>
      <c r="J243" s="3"/>
      <c r="K243" s="2" t="s">
        <v>1379</v>
      </c>
      <c r="L243" s="2" t="s">
        <v>2365</v>
      </c>
      <c r="M243" s="2" t="s">
        <v>634</v>
      </c>
      <c r="N243" s="2" t="s">
        <v>2364</v>
      </c>
      <c r="O243" s="2" t="s">
        <v>2363</v>
      </c>
      <c r="P243" s="2"/>
      <c r="Q243" s="2" t="s">
        <v>2362</v>
      </c>
      <c r="R243" s="2" t="s">
        <v>2361</v>
      </c>
      <c r="S243" s="2"/>
      <c r="T243" s="2" t="s">
        <v>2360</v>
      </c>
      <c r="U243" s="2" t="s">
        <v>798</v>
      </c>
      <c r="V243" s="2" t="s">
        <v>0</v>
      </c>
    </row>
    <row r="244" spans="1:22" ht="90" x14ac:dyDescent="0.25">
      <c r="A244" s="6"/>
      <c r="B244" s="10"/>
      <c r="C244" s="2" t="s">
        <v>2359</v>
      </c>
      <c r="D244" s="2" t="s">
        <v>398</v>
      </c>
      <c r="E244" s="1" t="str">
        <f>HYPERLINK("http://www-wds.worldbank.org/external/default/main?menuPK=64187510&amp;pagePK=64193027&amp;piPK=64187937&amp;menuPK=64154159&amp;searchMenuPK=64258546&amp;theSitePK=523679&amp;entityID=000094946_02101604302235","Colombia - Jepirachi Carbon Off-set Project : Indigenous Peoples Plan ")</f>
        <v xml:space="preserve">Colombia - Jepirachi Carbon Off-set Project : Indigenous Peoples Plan </v>
      </c>
      <c r="F244" s="3" t="s">
        <v>1699</v>
      </c>
      <c r="G244" s="2" t="s">
        <v>2358</v>
      </c>
      <c r="H244" s="2" t="s">
        <v>10</v>
      </c>
      <c r="I244" s="2" t="s">
        <v>2357</v>
      </c>
      <c r="J244" s="3"/>
      <c r="K244" s="2" t="s">
        <v>522</v>
      </c>
      <c r="L244" s="2" t="s">
        <v>2356</v>
      </c>
      <c r="M244" s="2" t="s">
        <v>634</v>
      </c>
      <c r="N244" s="2" t="s">
        <v>2355</v>
      </c>
      <c r="O244" s="2" t="s">
        <v>2354</v>
      </c>
      <c r="P244" s="2"/>
      <c r="Q244" s="2"/>
      <c r="R244" s="2"/>
      <c r="S244" s="2"/>
      <c r="T244" s="2"/>
      <c r="U244" s="2" t="s">
        <v>662</v>
      </c>
      <c r="V244" s="2">
        <v>1</v>
      </c>
    </row>
    <row r="245" spans="1:22" ht="75" x14ac:dyDescent="0.25">
      <c r="A245" s="6"/>
      <c r="B245" s="10"/>
      <c r="C245" s="2" t="s">
        <v>2311</v>
      </c>
      <c r="D245" s="2" t="s">
        <v>1308</v>
      </c>
      <c r="E245" s="1" t="str">
        <f>HYPERLINK("http://www-wds.worldbank.org/external/default/main?menuPK=64187510&amp;pagePK=64193027&amp;piPK=64187937&amp;menuPK=64154159&amp;searchMenuPK=64258546&amp;theSitePK=523679&amp;entityID=000020953_20101202140410","Cadre de Planification des Peuples Autochtones ")</f>
        <v xml:space="preserve">Cadre de Planification des Peuples Autochtones </v>
      </c>
      <c r="F245" s="3" t="s">
        <v>2353</v>
      </c>
      <c r="G245" s="2" t="s">
        <v>2352</v>
      </c>
      <c r="H245" s="2" t="s">
        <v>10</v>
      </c>
      <c r="I245" s="2"/>
      <c r="J245" s="3"/>
      <c r="K245" s="2" t="s">
        <v>593</v>
      </c>
      <c r="L245" s="2" t="s">
        <v>2351</v>
      </c>
      <c r="M245" s="2" t="s">
        <v>395</v>
      </c>
      <c r="N245" s="2" t="s">
        <v>2350</v>
      </c>
      <c r="O245" s="2" t="s">
        <v>2349</v>
      </c>
      <c r="P245" s="2"/>
      <c r="Q245" s="2" t="s">
        <v>353</v>
      </c>
      <c r="R245" s="2" t="s">
        <v>352</v>
      </c>
      <c r="S245" s="2"/>
      <c r="T245" s="2" t="s">
        <v>2348</v>
      </c>
      <c r="U245" s="2" t="s">
        <v>1500</v>
      </c>
      <c r="V245" s="2" t="s">
        <v>0</v>
      </c>
    </row>
    <row r="246" spans="1:22" ht="75" x14ac:dyDescent="0.25">
      <c r="A246" s="6"/>
      <c r="B246" s="10"/>
      <c r="C246" s="2" t="s">
        <v>2311</v>
      </c>
      <c r="D246" s="2" t="s">
        <v>1308</v>
      </c>
      <c r="E246" s="1" t="str">
        <f>HYPERLINK("http://www-wds.worldbank.org/external/default/main?menuPK=64187510&amp;pagePK=64193027&amp;piPK=64187937&amp;menuPK=64154159&amp;searchMenuPK=64258546&amp;theSitePK=523679&amp;entityID=000020953_20090527101146","Cadre de planification en faveur des populations autochtones ")</f>
        <v xml:space="preserve">Cadre de planification en faveur des populations autochtones </v>
      </c>
      <c r="F246" s="9">
        <v>39816</v>
      </c>
      <c r="G246" s="2" t="s">
        <v>2347</v>
      </c>
      <c r="H246" s="2" t="s">
        <v>10</v>
      </c>
      <c r="I246" s="2"/>
      <c r="J246" s="3"/>
      <c r="K246" s="2" t="s">
        <v>8</v>
      </c>
      <c r="L246" s="2" t="s">
        <v>2346</v>
      </c>
      <c r="M246" s="2" t="s">
        <v>395</v>
      </c>
      <c r="N246" s="2" t="s">
        <v>2345</v>
      </c>
      <c r="O246" s="2" t="s">
        <v>1449</v>
      </c>
      <c r="P246" s="2"/>
      <c r="Q246" s="2" t="s">
        <v>2344</v>
      </c>
      <c r="R246" s="2" t="s">
        <v>2343</v>
      </c>
      <c r="S246" s="2" t="s">
        <v>2342</v>
      </c>
      <c r="T246" s="2" t="s">
        <v>2341</v>
      </c>
      <c r="U246" s="2" t="s">
        <v>1476</v>
      </c>
      <c r="V246" s="2" t="s">
        <v>0</v>
      </c>
    </row>
    <row r="247" spans="1:22" ht="60" x14ac:dyDescent="0.25">
      <c r="A247" s="6"/>
      <c r="B247" s="10"/>
      <c r="C247" s="2" t="s">
        <v>2311</v>
      </c>
      <c r="D247" s="2" t="s">
        <v>1308</v>
      </c>
      <c r="E247" s="1" t="str">
        <f>HYPERLINK("http://www-wds.worldbank.org/external/default/main?menuPK=64187510&amp;pagePK=64193027&amp;piPK=64187937&amp;menuPK=64154159&amp;searchMenuPK=64258546&amp;theSitePK=523679&amp;entityID=000020953_20081114133130","Cadre de Politique pour les Peuples Autochtones (CPPA) du PNFoCo ")</f>
        <v xml:space="preserve">Cadre de Politique pour les Peuples Autochtones (CPPA) du PNFoCo </v>
      </c>
      <c r="F247" s="9">
        <v>39518</v>
      </c>
      <c r="G247" s="2" t="s">
        <v>2340</v>
      </c>
      <c r="H247" s="2" t="s">
        <v>10</v>
      </c>
      <c r="I247" s="2"/>
      <c r="J247" s="3"/>
      <c r="K247" s="2" t="s">
        <v>8</v>
      </c>
      <c r="L247" s="2" t="s">
        <v>2339</v>
      </c>
      <c r="M247" s="2" t="s">
        <v>395</v>
      </c>
      <c r="N247" s="2" t="s">
        <v>2338</v>
      </c>
      <c r="O247" s="2" t="s">
        <v>1203</v>
      </c>
      <c r="P247" s="2"/>
      <c r="Q247" s="2" t="s">
        <v>2337</v>
      </c>
      <c r="R247" s="2" t="s">
        <v>2336</v>
      </c>
      <c r="S247" s="2" t="s">
        <v>2335</v>
      </c>
      <c r="T247" s="2" t="s">
        <v>2334</v>
      </c>
      <c r="U247" s="2" t="s">
        <v>1513</v>
      </c>
      <c r="V247" s="2" t="s">
        <v>0</v>
      </c>
    </row>
    <row r="248" spans="1:22" ht="60" x14ac:dyDescent="0.25">
      <c r="A248" s="6"/>
      <c r="B248" s="10"/>
      <c r="C248" s="2" t="s">
        <v>2311</v>
      </c>
      <c r="D248" s="2" t="s">
        <v>1308</v>
      </c>
      <c r="E248" s="1" t="str">
        <f>HYPERLINK("http://www-wds.worldbank.org/external/default/main?menuPK=64187510&amp;pagePK=64193027&amp;piPK=64187937&amp;menuPK=64154159&amp;searchMenuPK=64258546&amp;theSitePK=523679&amp;entityID=000020953_20080617112846","Congo, Democratic Republic of - Support for the Rehabilitation of the Protected Areas System Project : indigenous peoples plan ")</f>
        <v xml:space="preserve">Congo, Democratic Republic of - Support for the Rehabilitation of the Protected Areas System Project : indigenous peoples plan </v>
      </c>
      <c r="F248" s="9">
        <v>39758</v>
      </c>
      <c r="G248" s="2" t="s">
        <v>2333</v>
      </c>
      <c r="H248" s="2" t="s">
        <v>10</v>
      </c>
      <c r="I248" s="2" t="s">
        <v>2332</v>
      </c>
      <c r="J248" s="3"/>
      <c r="K248" s="2" t="s">
        <v>8</v>
      </c>
      <c r="L248" s="2" t="s">
        <v>2331</v>
      </c>
      <c r="M248" s="2" t="s">
        <v>395</v>
      </c>
      <c r="N248" s="2" t="s">
        <v>2330</v>
      </c>
      <c r="O248" s="2" t="s">
        <v>4</v>
      </c>
      <c r="P248" s="2"/>
      <c r="Q248" s="2" t="s">
        <v>2329</v>
      </c>
      <c r="R248" s="2" t="s">
        <v>2328</v>
      </c>
      <c r="S248" s="2" t="s">
        <v>2327</v>
      </c>
      <c r="T248" s="2" t="s">
        <v>2326</v>
      </c>
      <c r="U248" s="2" t="s">
        <v>1513</v>
      </c>
      <c r="V248" s="2" t="s">
        <v>0</v>
      </c>
    </row>
    <row r="249" spans="1:22" ht="105" x14ac:dyDescent="0.25">
      <c r="A249" s="6"/>
      <c r="B249" s="10"/>
      <c r="C249" s="2" t="s">
        <v>2311</v>
      </c>
      <c r="D249" s="2" t="s">
        <v>1308</v>
      </c>
      <c r="E249" s="1" t="str">
        <f>HYPERLINK("http://www-wds.worldbank.org/external/default/main?menuPK=64187510&amp;pagePK=64193027&amp;piPK=64187937&amp;menuPK=64154159&amp;searchMenuPK=64258546&amp;theSitePK=523679&amp;entityID=000020953_20071009141319","Congo - PUSPRES Projet d'urgence et de soutien au processus de reunification economique et sociale Composante 3 : Rehabilitation des axes de transport prioritaires : indigenous people's plan ")</f>
        <v xml:space="preserve">Congo - PUSPRES Projet d'urgence et de soutien au processus de reunification economique et sociale Composante 3 : Rehabilitation des axes de transport prioritaires : indigenous people's plan </v>
      </c>
      <c r="F249" s="3" t="s">
        <v>1053</v>
      </c>
      <c r="G249" s="2" t="s">
        <v>2325</v>
      </c>
      <c r="H249" s="2" t="s">
        <v>10</v>
      </c>
      <c r="I249" s="2" t="s">
        <v>2324</v>
      </c>
      <c r="J249" s="3"/>
      <c r="K249" s="2" t="s">
        <v>1609</v>
      </c>
      <c r="L249" s="2" t="s">
        <v>2323</v>
      </c>
      <c r="M249" s="2" t="s">
        <v>395</v>
      </c>
      <c r="N249" s="2" t="s">
        <v>2322</v>
      </c>
      <c r="O249" s="2" t="s">
        <v>2321</v>
      </c>
      <c r="P249" s="2"/>
      <c r="Q249" s="2" t="s">
        <v>2320</v>
      </c>
      <c r="R249" s="2" t="s">
        <v>2021</v>
      </c>
      <c r="S249" s="2"/>
      <c r="T249" s="2"/>
      <c r="U249" s="2" t="s">
        <v>389</v>
      </c>
      <c r="V249" s="2" t="s">
        <v>0</v>
      </c>
    </row>
    <row r="250" spans="1:22" ht="120" x14ac:dyDescent="0.25">
      <c r="A250" s="6"/>
      <c r="B250" s="10"/>
      <c r="C250" s="2" t="s">
        <v>2311</v>
      </c>
      <c r="D250" s="2" t="s">
        <v>1308</v>
      </c>
      <c r="E250" s="1" t="str">
        <f>HYPERLINK("http://www-wds.worldbank.org/external/default/main?menuPK=64187510&amp;pagePK=64193027&amp;piPK=64187937&amp;menuPK=64154159&amp;searchMenuPK=64258546&amp;theSitePK=523679&amp;entityID=000011823_20071108165614","Plan des peuples autochtones (Kisangani - Bunduki et Fizi - Kasomeno routes) ")</f>
        <v xml:space="preserve">Plan des peuples autochtones (Kisangani - Bunduki et Fizi - Kasomeno routes) </v>
      </c>
      <c r="F250" s="9">
        <v>39091</v>
      </c>
      <c r="G250" s="2" t="s">
        <v>2319</v>
      </c>
      <c r="H250" s="2" t="s">
        <v>10</v>
      </c>
      <c r="I250" s="2" t="s">
        <v>2318</v>
      </c>
      <c r="J250" s="3"/>
      <c r="K250" s="2" t="s">
        <v>164</v>
      </c>
      <c r="L250" s="2" t="s">
        <v>2317</v>
      </c>
      <c r="M250" s="2" t="s">
        <v>395</v>
      </c>
      <c r="N250" s="2" t="s">
        <v>2316</v>
      </c>
      <c r="O250" s="2" t="s">
        <v>161</v>
      </c>
      <c r="P250" s="2"/>
      <c r="Q250" s="2" t="s">
        <v>2315</v>
      </c>
      <c r="R250" s="2" t="s">
        <v>2314</v>
      </c>
      <c r="S250" s="2"/>
      <c r="T250" s="2" t="s">
        <v>2313</v>
      </c>
      <c r="U250" s="2" t="s">
        <v>2312</v>
      </c>
      <c r="V250" s="2" t="s">
        <v>0</v>
      </c>
    </row>
    <row r="251" spans="1:22" ht="120" x14ac:dyDescent="0.25">
      <c r="A251" s="6"/>
      <c r="B251" s="10"/>
      <c r="C251" s="2" t="s">
        <v>2311</v>
      </c>
      <c r="D251" s="2" t="s">
        <v>1308</v>
      </c>
      <c r="E251" s="1" t="str">
        <f>HYPERLINK("http://www-wds.worldbank.org/external/default/main?menuPK=64187510&amp;pagePK=64193027&amp;piPK=64187937&amp;menuPK=64154159&amp;searchMenuPK=64258546&amp;theSitePK=523679&amp;entityID=000020953_20100201112335","Cadre de planification en faveur des populations autochtones ")</f>
        <v xml:space="preserve">Cadre de planification en faveur des populations autochtones </v>
      </c>
      <c r="F251" s="9">
        <v>39089</v>
      </c>
      <c r="G251" s="2" t="s">
        <v>2310</v>
      </c>
      <c r="H251" s="2" t="s">
        <v>10</v>
      </c>
      <c r="I251" s="2"/>
      <c r="J251" s="3"/>
      <c r="K251" s="2" t="s">
        <v>846</v>
      </c>
      <c r="L251" s="2" t="s">
        <v>2309</v>
      </c>
      <c r="M251" s="2" t="s">
        <v>395</v>
      </c>
      <c r="N251" s="2" t="s">
        <v>2308</v>
      </c>
      <c r="O251" s="2" t="s">
        <v>2307</v>
      </c>
      <c r="P251" s="2"/>
      <c r="Q251" s="2" t="s">
        <v>2306</v>
      </c>
      <c r="R251" s="2" t="s">
        <v>2305</v>
      </c>
      <c r="S251" s="2" t="s">
        <v>2304</v>
      </c>
      <c r="T251" s="2" t="s">
        <v>2303</v>
      </c>
      <c r="U251" s="2" t="s">
        <v>1494</v>
      </c>
      <c r="V251" s="2" t="s">
        <v>0</v>
      </c>
    </row>
    <row r="252" spans="1:22" ht="75" x14ac:dyDescent="0.25">
      <c r="A252" s="6"/>
      <c r="B252" s="10"/>
      <c r="C252" s="2" t="s">
        <v>2286</v>
      </c>
      <c r="D252" s="2" t="s">
        <v>12</v>
      </c>
      <c r="E252" s="1" t="str">
        <f>HYPERLINK("http://www-wds.worldbank.org/external/default/main?menuPK=64187510&amp;pagePK=64193027&amp;piPK=64187937&amp;menuPK=64154159&amp;searchMenuPK=64258546&amp;theSitePK=523679&amp;entityID=000333037_20090525054532","Congo, Republic of - Additional Financing for the HIV/AIDS and Health Project : indigenous peoples planning framework ")</f>
        <v xml:space="preserve">Congo, Republic of - Additional Financing for the HIV/AIDS and Health Project : indigenous peoples planning framework </v>
      </c>
      <c r="F252" s="3" t="s">
        <v>2302</v>
      </c>
      <c r="G252" s="2" t="s">
        <v>2301</v>
      </c>
      <c r="H252" s="2" t="s">
        <v>10</v>
      </c>
      <c r="I252" s="2"/>
      <c r="J252" s="3"/>
      <c r="K252" s="2" t="s">
        <v>593</v>
      </c>
      <c r="L252" s="2" t="s">
        <v>2300</v>
      </c>
      <c r="M252" s="2" t="s">
        <v>395</v>
      </c>
      <c r="N252" s="2" t="s">
        <v>2299</v>
      </c>
      <c r="O252" s="2" t="s">
        <v>2298</v>
      </c>
      <c r="P252" s="2"/>
      <c r="Q252" s="2" t="s">
        <v>353</v>
      </c>
      <c r="R252" s="2" t="s">
        <v>352</v>
      </c>
      <c r="S252" s="2" t="s">
        <v>2297</v>
      </c>
      <c r="T252" s="2"/>
      <c r="U252" s="2" t="s">
        <v>2279</v>
      </c>
      <c r="V252" s="2" t="s">
        <v>0</v>
      </c>
    </row>
    <row r="253" spans="1:22" ht="105" x14ac:dyDescent="0.25">
      <c r="A253" s="6"/>
      <c r="B253" s="10"/>
      <c r="C253" s="2" t="s">
        <v>2286</v>
      </c>
      <c r="D253" s="2" t="s">
        <v>1308</v>
      </c>
      <c r="E253" s="1" t="str">
        <f>HYPERLINK("http://www-wds.worldbank.org/external/default/main?menuPK=64187510&amp;pagePK=64193027&amp;piPK=64187937&amp;menuPK=64154159&amp;searchMenuPK=64258546&amp;theSitePK=523679&amp;entityID=000020953_20090320114603","Republique du Congo - Projet d'Appui a l'Education de Base ")</f>
        <v xml:space="preserve">Republique du Congo - Projet d'Appui a l'Education de Base </v>
      </c>
      <c r="F253" s="9">
        <v>39458</v>
      </c>
      <c r="G253" s="2" t="s">
        <v>2296</v>
      </c>
      <c r="H253" s="2" t="s">
        <v>10</v>
      </c>
      <c r="I253" s="2" t="s">
        <v>2295</v>
      </c>
      <c r="J253" s="3"/>
      <c r="K253" s="2" t="s">
        <v>1165</v>
      </c>
      <c r="L253" s="2" t="s">
        <v>2294</v>
      </c>
      <c r="M253" s="2" t="s">
        <v>395</v>
      </c>
      <c r="N253" s="2" t="s">
        <v>2293</v>
      </c>
      <c r="O253" s="2" t="s">
        <v>2292</v>
      </c>
      <c r="P253" s="2"/>
      <c r="Q253" s="2" t="s">
        <v>2291</v>
      </c>
      <c r="R253" s="2" t="s">
        <v>2290</v>
      </c>
      <c r="S253" s="2" t="s">
        <v>2289</v>
      </c>
      <c r="T253" s="2"/>
      <c r="U253" s="2" t="s">
        <v>2279</v>
      </c>
      <c r="V253" s="2" t="s">
        <v>0</v>
      </c>
    </row>
    <row r="254" spans="1:22" ht="60" x14ac:dyDescent="0.25">
      <c r="A254" s="6"/>
      <c r="B254" s="10"/>
      <c r="C254" s="2" t="s">
        <v>2286</v>
      </c>
      <c r="D254" s="2" t="s">
        <v>1308</v>
      </c>
      <c r="E254" s="1" t="str">
        <f>HYPERLINK("http://www-wds.worldbank.org/external/default/main?menuPK=64187510&amp;pagePK=64193027&amp;piPK=64187937&amp;menuPK=64154159&amp;searchMenuPK=64258546&amp;theSitePK=523679&amp;entityID=000020953_20080317120526","Cadre de politique de reinstallation (CPR) ")</f>
        <v xml:space="preserve">Cadre de politique de reinstallation (CPR) </v>
      </c>
      <c r="F254" s="9">
        <v>39449</v>
      </c>
      <c r="G254" s="2" t="s">
        <v>2285</v>
      </c>
      <c r="H254" s="2" t="s">
        <v>10</v>
      </c>
      <c r="I254" s="2" t="s">
        <v>2284</v>
      </c>
      <c r="J254" s="3"/>
      <c r="K254" s="2" t="s">
        <v>109</v>
      </c>
      <c r="L254" s="2" t="s">
        <v>2283</v>
      </c>
      <c r="M254" s="2" t="s">
        <v>395</v>
      </c>
      <c r="N254" s="2" t="s">
        <v>2282</v>
      </c>
      <c r="O254" s="2" t="s">
        <v>489</v>
      </c>
      <c r="P254" s="2"/>
      <c r="Q254" s="2"/>
      <c r="R254" s="2"/>
      <c r="S254" s="2" t="s">
        <v>2280</v>
      </c>
      <c r="T254" s="2"/>
      <c r="U254" s="2" t="s">
        <v>2279</v>
      </c>
      <c r="V254" s="2" t="s">
        <v>35</v>
      </c>
    </row>
    <row r="255" spans="1:22" ht="75" x14ac:dyDescent="0.25">
      <c r="A255" s="6"/>
      <c r="B255" s="10"/>
      <c r="C255" s="2" t="s">
        <v>2286</v>
      </c>
      <c r="D255" s="2" t="s">
        <v>12</v>
      </c>
      <c r="E255" s="1" t="str">
        <f>HYPERLINK("http://www-wds.worldbank.org/external/default/main?menuPK=64187510&amp;pagePK=64193027&amp;piPK=64187937&amp;menuPK=64154159&amp;searchMenuPK=64258546&amp;theSitePK=523679&amp;entityID=000020953_20080317140359","Executive summary of the CPR for the Congo health services development project ")</f>
        <v xml:space="preserve">Executive summary of the CPR for the Congo health services development project </v>
      </c>
      <c r="F255" s="9">
        <v>39449</v>
      </c>
      <c r="G255" s="2" t="s">
        <v>2285</v>
      </c>
      <c r="H255" s="2" t="s">
        <v>10</v>
      </c>
      <c r="I255" s="2" t="s">
        <v>2284</v>
      </c>
      <c r="J255" s="3"/>
      <c r="K255" s="2" t="s">
        <v>109</v>
      </c>
      <c r="L255" s="2" t="s">
        <v>2283</v>
      </c>
      <c r="M255" s="2" t="s">
        <v>395</v>
      </c>
      <c r="N255" s="2" t="s">
        <v>2282</v>
      </c>
      <c r="O255" s="2" t="s">
        <v>489</v>
      </c>
      <c r="P255" s="2"/>
      <c r="Q255" s="2" t="s">
        <v>2288</v>
      </c>
      <c r="R255" s="2" t="s">
        <v>2287</v>
      </c>
      <c r="S255" s="2" t="s">
        <v>2280</v>
      </c>
      <c r="T255" s="2"/>
      <c r="U255" s="2" t="s">
        <v>2279</v>
      </c>
      <c r="V255" s="2" t="s">
        <v>55</v>
      </c>
    </row>
    <row r="256" spans="1:22" ht="60" x14ac:dyDescent="0.25">
      <c r="A256" s="6"/>
      <c r="B256" s="10"/>
      <c r="C256" s="2" t="s">
        <v>2286</v>
      </c>
      <c r="D256" s="2" t="s">
        <v>12</v>
      </c>
      <c r="E256" s="1" t="str">
        <f>HYPERLINK("http://www-wds.worldbank.org/external/default/main?menuPK=64187510&amp;pagePK=64193027&amp;piPK=64187937&amp;menuPK=64154159&amp;searchMenuPK=64258546&amp;theSitePK=523679&amp;entityID=000020953_20080317143348","Health Sector Services Development Project : action plan for indigenous peoples framework (IPF) ")</f>
        <v xml:space="preserve">Health Sector Services Development Project : action plan for indigenous peoples framework (IPF) </v>
      </c>
      <c r="F256" s="9">
        <v>39449</v>
      </c>
      <c r="G256" s="2" t="s">
        <v>2285</v>
      </c>
      <c r="H256" s="2" t="s">
        <v>10</v>
      </c>
      <c r="I256" s="2" t="s">
        <v>2284</v>
      </c>
      <c r="J256" s="3"/>
      <c r="K256" s="2" t="s">
        <v>109</v>
      </c>
      <c r="L256" s="2" t="s">
        <v>2283</v>
      </c>
      <c r="M256" s="2" t="s">
        <v>395</v>
      </c>
      <c r="N256" s="2" t="s">
        <v>2282</v>
      </c>
      <c r="O256" s="2" t="s">
        <v>489</v>
      </c>
      <c r="P256" s="2"/>
      <c r="Q256" s="2" t="s">
        <v>2281</v>
      </c>
      <c r="R256" s="2" t="s">
        <v>352</v>
      </c>
      <c r="S256" s="2" t="s">
        <v>2280</v>
      </c>
      <c r="T256" s="2"/>
      <c r="U256" s="2" t="s">
        <v>2279</v>
      </c>
      <c r="V256" s="2" t="s">
        <v>93</v>
      </c>
    </row>
    <row r="257" spans="1:22" ht="90" x14ac:dyDescent="0.25">
      <c r="A257" s="6"/>
      <c r="B257" s="10"/>
      <c r="C257" s="2" t="s">
        <v>2264</v>
      </c>
      <c r="D257" s="2" t="s">
        <v>12</v>
      </c>
      <c r="E257" s="1" t="str">
        <f>HYPERLINK("http://www-wds.worldbank.org/external/default/main?menuPK=64187510&amp;pagePK=64193027&amp;piPK=64187937&amp;menuPK=64154159&amp;searchMenuPK=64258546&amp;theSitePK=523679&amp;entityID=000334955_20080724073742","Costa Rica - Telecom Sector Modernization Project : indigenous peoples planning framework ")</f>
        <v xml:space="preserve">Costa Rica - Telecom Sector Modernization Project : indigenous peoples planning framework </v>
      </c>
      <c r="F257" s="3" t="s">
        <v>2278</v>
      </c>
      <c r="G257" s="2" t="s">
        <v>2277</v>
      </c>
      <c r="H257" s="2" t="s">
        <v>10</v>
      </c>
      <c r="I257" s="2"/>
      <c r="J257" s="3"/>
      <c r="K257" s="2" t="s">
        <v>838</v>
      </c>
      <c r="L257" s="2" t="s">
        <v>2276</v>
      </c>
      <c r="M257" s="2" t="s">
        <v>634</v>
      </c>
      <c r="N257" s="2" t="s">
        <v>2275</v>
      </c>
      <c r="O257" s="2" t="s">
        <v>835</v>
      </c>
      <c r="P257" s="2"/>
      <c r="Q257" s="2" t="s">
        <v>2274</v>
      </c>
      <c r="R257" s="2" t="s">
        <v>2055</v>
      </c>
      <c r="S257" s="2" t="s">
        <v>2273</v>
      </c>
      <c r="T257" s="2" t="s">
        <v>2272</v>
      </c>
      <c r="U257" s="2" t="s">
        <v>830</v>
      </c>
      <c r="V257" s="2" t="s">
        <v>0</v>
      </c>
    </row>
    <row r="258" spans="1:22" ht="60" x14ac:dyDescent="0.25">
      <c r="A258" s="6"/>
      <c r="B258" s="10"/>
      <c r="C258" s="2" t="s">
        <v>2264</v>
      </c>
      <c r="D258" s="2" t="s">
        <v>398</v>
      </c>
      <c r="E258" s="1" t="str">
        <f>HYPERLINK("http://www-wds.worldbank.org/external/default/main?menuPK=64187510&amp;pagePK=64193027&amp;piPK=64187937&amp;menuPK=64154159&amp;searchMenuPK=64258546&amp;theSitePK=523679&amp;entityID=000012009_20060308133035","Costa Rica - Proyecto de Integracion de Instrumentos de Mercado para el Manejo Ambiental : plan de accion indígena ")</f>
        <v xml:space="preserve">Costa Rica - Proyecto de Integracion de Instrumentos de Mercado para el Manejo Ambiental : plan de accion indígena </v>
      </c>
      <c r="F258" s="9">
        <v>38719</v>
      </c>
      <c r="G258" s="2" t="s">
        <v>2271</v>
      </c>
      <c r="H258" s="2" t="s">
        <v>10</v>
      </c>
      <c r="I258" s="2" t="s">
        <v>2268</v>
      </c>
      <c r="J258" s="3"/>
      <c r="K258" s="2" t="s">
        <v>509</v>
      </c>
      <c r="L258" s="2" t="s">
        <v>2270</v>
      </c>
      <c r="M258" s="2" t="s">
        <v>634</v>
      </c>
      <c r="N258" s="2" t="s">
        <v>2266</v>
      </c>
      <c r="O258" s="2" t="s">
        <v>506</v>
      </c>
      <c r="P258" s="2"/>
      <c r="Q258" s="2" t="s">
        <v>859</v>
      </c>
      <c r="R258" s="2" t="s">
        <v>858</v>
      </c>
      <c r="S258" s="2"/>
      <c r="T258" s="2"/>
      <c r="U258" s="2" t="s">
        <v>639</v>
      </c>
      <c r="V258" s="2" t="s">
        <v>0</v>
      </c>
    </row>
    <row r="259" spans="1:22" ht="60" x14ac:dyDescent="0.25">
      <c r="A259" s="6"/>
      <c r="B259" s="10"/>
      <c r="C259" s="2" t="s">
        <v>2264</v>
      </c>
      <c r="D259" s="2" t="s">
        <v>398</v>
      </c>
      <c r="E259" s="1" t="str">
        <f>HYPERLINK("http://www-wds.worldbank.org/external/default/main?menuPK=64187510&amp;pagePK=64193027&amp;piPK=64187937&amp;menuPK=64154159&amp;searchMenuPK=64258546&amp;theSitePK=523679&amp;entityID=000012009_20060308131607","Costa Rica - Proyecto de Integracion de Instrumentos de Mercado para el Manejo Ambiental : plan de accion indígena ")</f>
        <v xml:space="preserve">Costa Rica - Proyecto de Integracion de Instrumentos de Mercado para el Manejo Ambiental : plan de accion indígena </v>
      </c>
      <c r="F259" s="9">
        <v>38719</v>
      </c>
      <c r="G259" s="2" t="s">
        <v>2269</v>
      </c>
      <c r="H259" s="2" t="s">
        <v>10</v>
      </c>
      <c r="I259" s="2" t="s">
        <v>2268</v>
      </c>
      <c r="J259" s="3"/>
      <c r="K259" s="2" t="s">
        <v>509</v>
      </c>
      <c r="L259" s="2" t="s">
        <v>2267</v>
      </c>
      <c r="M259" s="2" t="s">
        <v>634</v>
      </c>
      <c r="N259" s="2" t="s">
        <v>2266</v>
      </c>
      <c r="O259" s="2" t="s">
        <v>506</v>
      </c>
      <c r="P259" s="2"/>
      <c r="Q259" s="2" t="s">
        <v>859</v>
      </c>
      <c r="R259" s="2" t="s">
        <v>858</v>
      </c>
      <c r="S259" s="2"/>
      <c r="T259" s="2" t="s">
        <v>2265</v>
      </c>
      <c r="U259" s="2" t="s">
        <v>639</v>
      </c>
      <c r="V259" s="2" t="s">
        <v>0</v>
      </c>
    </row>
    <row r="260" spans="1:22" ht="75" x14ac:dyDescent="0.25">
      <c r="A260" s="6"/>
      <c r="B260" s="10"/>
      <c r="C260" s="2" t="s">
        <v>2264</v>
      </c>
      <c r="D260" s="2" t="s">
        <v>12</v>
      </c>
      <c r="E260" s="1" t="str">
        <f>HYPERLINK("http://www-wds.worldbank.org/external/default/main?menuPK=64187510&amp;pagePK=64193027&amp;piPK=64187937&amp;menuPK=64154159&amp;searchMenuPK=64258546&amp;theSitePK=523679&amp;entityID=000012009_20040311132659","Costa Rica - Equity and Efficiency of Education Project : indigenous peoples plan ")</f>
        <v xml:space="preserve">Costa Rica - Equity and Efficiency of Education Project : indigenous peoples plan </v>
      </c>
      <c r="F260" s="9">
        <v>37630</v>
      </c>
      <c r="G260" s="2" t="s">
        <v>2263</v>
      </c>
      <c r="H260" s="2" t="s">
        <v>10</v>
      </c>
      <c r="I260" s="2" t="s">
        <v>2262</v>
      </c>
      <c r="J260" s="3"/>
      <c r="K260" s="2" t="s">
        <v>21</v>
      </c>
      <c r="L260" s="2" t="s">
        <v>2261</v>
      </c>
      <c r="M260" s="2" t="s">
        <v>634</v>
      </c>
      <c r="N260" s="2" t="s">
        <v>2260</v>
      </c>
      <c r="O260" s="2" t="s">
        <v>1598</v>
      </c>
      <c r="P260" s="2"/>
      <c r="Q260" s="2" t="s">
        <v>26</v>
      </c>
      <c r="R260" s="2" t="s">
        <v>25</v>
      </c>
      <c r="S260" s="2"/>
      <c r="T260" s="2" t="s">
        <v>2259</v>
      </c>
      <c r="U260" s="2" t="s">
        <v>630</v>
      </c>
      <c r="V260" s="2" t="s">
        <v>0</v>
      </c>
    </row>
    <row r="261" spans="1:22" ht="120" x14ac:dyDescent="0.25">
      <c r="A261" s="6"/>
      <c r="B261" s="10"/>
      <c r="C261" s="2" t="s">
        <v>29</v>
      </c>
      <c r="D261" s="2" t="s">
        <v>12</v>
      </c>
      <c r="E261" s="1" t="str">
        <f>HYPERLINK("http://www-wds.worldbank.org/external/default/main?menuPK=64187510&amp;pagePK=64193027&amp;piPK=64187937&amp;menuPK=64154159&amp;searchMenuPK=64258546&amp;theSitePK=523679&amp;entityID=000012009_20050616132427","Strategy and guidelines for ethnic minority development : Vietnam ")</f>
        <v xml:space="preserve">Strategy and guidelines for ethnic minority development : Vietnam </v>
      </c>
      <c r="F261" s="9">
        <v>37997</v>
      </c>
      <c r="G261" s="2" t="s">
        <v>2255</v>
      </c>
      <c r="H261" s="2" t="s">
        <v>10</v>
      </c>
      <c r="I261" s="2" t="s">
        <v>31</v>
      </c>
      <c r="J261" s="3"/>
      <c r="K261" s="2" t="s">
        <v>509</v>
      </c>
      <c r="L261" s="2" t="s">
        <v>2254</v>
      </c>
      <c r="M261" s="2" t="s">
        <v>29</v>
      </c>
      <c r="N261" s="2" t="s">
        <v>2253</v>
      </c>
      <c r="O261" s="2" t="s">
        <v>2252</v>
      </c>
      <c r="P261" s="2"/>
      <c r="Q261" s="2" t="s">
        <v>2258</v>
      </c>
      <c r="R261" s="2" t="s">
        <v>1017</v>
      </c>
      <c r="S261" s="2"/>
      <c r="T261" s="2" t="s">
        <v>2250</v>
      </c>
      <c r="U261" s="2" t="s">
        <v>1</v>
      </c>
      <c r="V261" s="2" t="s">
        <v>93</v>
      </c>
    </row>
    <row r="262" spans="1:22" ht="120" x14ac:dyDescent="0.25">
      <c r="A262" s="6"/>
      <c r="B262" s="10"/>
      <c r="C262" s="2" t="s">
        <v>29</v>
      </c>
      <c r="D262" s="2" t="s">
        <v>12</v>
      </c>
      <c r="E262" s="1" t="str">
        <f>HYPERLINK("http://www-wds.worldbank.org/external/default/main?menuPK=64187510&amp;pagePK=64193027&amp;piPK=64187937&amp;menuPK=64154159&amp;searchMenuPK=64258546&amp;theSitePK=523679&amp;entityID=000012009_20050616132122","Strategy and guidelines for ethnic minority development : Thailand ")</f>
        <v xml:space="preserve">Strategy and guidelines for ethnic minority development : Thailand </v>
      </c>
      <c r="F262" s="9">
        <v>38331</v>
      </c>
      <c r="G262" s="2" t="s">
        <v>2255</v>
      </c>
      <c r="H262" s="2" t="s">
        <v>10</v>
      </c>
      <c r="I262" s="2" t="s">
        <v>31</v>
      </c>
      <c r="J262" s="3"/>
      <c r="K262" s="2" t="s">
        <v>509</v>
      </c>
      <c r="L262" s="2" t="s">
        <v>2254</v>
      </c>
      <c r="M262" s="2" t="s">
        <v>29</v>
      </c>
      <c r="N262" s="2" t="s">
        <v>2253</v>
      </c>
      <c r="O262" s="2" t="s">
        <v>2252</v>
      </c>
      <c r="P262" s="2"/>
      <c r="Q262" s="2" t="s">
        <v>2257</v>
      </c>
      <c r="R262" s="2" t="s">
        <v>487</v>
      </c>
      <c r="S262" s="2"/>
      <c r="T262" s="2" t="s">
        <v>2250</v>
      </c>
      <c r="U262" s="2" t="s">
        <v>1</v>
      </c>
      <c r="V262" s="2" t="s">
        <v>55</v>
      </c>
    </row>
    <row r="263" spans="1:22" ht="120" x14ac:dyDescent="0.25">
      <c r="A263" s="6"/>
      <c r="B263" s="10"/>
      <c r="C263" s="2" t="s">
        <v>29</v>
      </c>
      <c r="D263" s="2" t="s">
        <v>12</v>
      </c>
      <c r="E263" s="1" t="str">
        <f>HYPERLINK("http://www-wds.worldbank.org/external/default/main?menuPK=64187510&amp;pagePK=64193027&amp;piPK=64187937&amp;menuPK=64154159&amp;searchMenuPK=64258546&amp;theSitePK=523679&amp;entityID=000012009_20050616131625","Strategy and guidelines for ethnic minority development : Guangdong Province, China ")</f>
        <v xml:space="preserve">Strategy and guidelines for ethnic minority development : Guangdong Province, China </v>
      </c>
      <c r="F263" s="3" t="s">
        <v>2256</v>
      </c>
      <c r="G263" s="2" t="s">
        <v>2255</v>
      </c>
      <c r="H263" s="2" t="s">
        <v>10</v>
      </c>
      <c r="I263" s="2" t="s">
        <v>31</v>
      </c>
      <c r="J263" s="3"/>
      <c r="K263" s="2" t="s">
        <v>509</v>
      </c>
      <c r="L263" s="2" t="s">
        <v>2254</v>
      </c>
      <c r="M263" s="2" t="s">
        <v>29</v>
      </c>
      <c r="N263" s="2" t="s">
        <v>2253</v>
      </c>
      <c r="O263" s="2" t="s">
        <v>2252</v>
      </c>
      <c r="P263" s="2"/>
      <c r="Q263" s="2" t="s">
        <v>2251</v>
      </c>
      <c r="R263" s="2" t="s">
        <v>1017</v>
      </c>
      <c r="S263" s="2"/>
      <c r="T263" s="2" t="s">
        <v>2250</v>
      </c>
      <c r="U263" s="2" t="s">
        <v>1</v>
      </c>
      <c r="V263" s="2" t="s">
        <v>35</v>
      </c>
    </row>
    <row r="264" spans="1:22" ht="120" x14ac:dyDescent="0.25">
      <c r="A264" s="6"/>
      <c r="B264" s="10"/>
      <c r="C264" s="2" t="s">
        <v>2249</v>
      </c>
      <c r="D264" s="2" t="s">
        <v>12</v>
      </c>
      <c r="E264" s="1" t="str">
        <f>HYPERLINK("http://www-wds.worldbank.org/external/default/main?menuPK=64187510&amp;pagePK=64193027&amp;piPK=64187937&amp;menuPK=64154159&amp;searchMenuPK=64258546&amp;theSitePK=523679&amp;entityID=000333038_20080310061901","Kenya - Eastern Africa Lake Victoria Environmental Management (Phase 2) Project : indigenous peoples plan ")</f>
        <v xml:space="preserve">Kenya - Eastern Africa Lake Victoria Environmental Management (Phase 2) Project : indigenous peoples plan </v>
      </c>
      <c r="F264" s="9">
        <v>39449</v>
      </c>
      <c r="G264" s="2" t="s">
        <v>2248</v>
      </c>
      <c r="H264" s="2" t="s">
        <v>10</v>
      </c>
      <c r="I264" s="2"/>
      <c r="J264" s="3"/>
      <c r="K264" s="2" t="s">
        <v>509</v>
      </c>
      <c r="L264" s="2" t="s">
        <v>2247</v>
      </c>
      <c r="M264" s="2" t="s">
        <v>395</v>
      </c>
      <c r="N264" s="2" t="s">
        <v>2246</v>
      </c>
      <c r="O264" s="2" t="s">
        <v>2245</v>
      </c>
      <c r="P264" s="2"/>
      <c r="Q264" s="2" t="s">
        <v>2244</v>
      </c>
      <c r="R264" s="2" t="s">
        <v>2243</v>
      </c>
      <c r="S264" s="2" t="s">
        <v>2242</v>
      </c>
      <c r="T264" s="2" t="s">
        <v>2241</v>
      </c>
      <c r="U264" s="2" t="s">
        <v>1513</v>
      </c>
      <c r="V264" s="2" t="s">
        <v>0</v>
      </c>
    </row>
    <row r="265" spans="1:22" ht="75" x14ac:dyDescent="0.25">
      <c r="A265" s="6"/>
      <c r="B265" s="10"/>
      <c r="C265" s="2" t="s">
        <v>2194</v>
      </c>
      <c r="D265" s="2" t="s">
        <v>398</v>
      </c>
      <c r="E265" s="1" t="str">
        <f>HYPERLINK("http://www-wds.worldbank.org/external/default/main?menuPK=64187510&amp;pagePK=64193027&amp;piPK=64187937&amp;menuPK=64154159&amp;searchMenuPK=64258546&amp;theSitePK=523679&amp;entityID=000020953_20080807101930","Ecuador - Chimborazo Natural Resources Management Project : social assessment ")</f>
        <v xml:space="preserve">Ecuador - Chimborazo Natural Resources Management Project : social assessment </v>
      </c>
      <c r="F265" s="3" t="s">
        <v>2240</v>
      </c>
      <c r="G265" s="2" t="s">
        <v>2239</v>
      </c>
      <c r="H265" s="2" t="s">
        <v>10</v>
      </c>
      <c r="I265" s="2" t="s">
        <v>2238</v>
      </c>
      <c r="J265" s="3"/>
      <c r="K265" s="2" t="s">
        <v>8</v>
      </c>
      <c r="L265" s="2" t="s">
        <v>2237</v>
      </c>
      <c r="M265" s="2" t="s">
        <v>634</v>
      </c>
      <c r="N265" s="2" t="s">
        <v>2236</v>
      </c>
      <c r="O265" s="2" t="s">
        <v>4</v>
      </c>
      <c r="P265" s="2"/>
      <c r="Q265" s="2" t="s">
        <v>2235</v>
      </c>
      <c r="R265" s="2" t="s">
        <v>725</v>
      </c>
      <c r="S265" s="2" t="s">
        <v>2234</v>
      </c>
      <c r="T265" s="2" t="s">
        <v>2233</v>
      </c>
      <c r="U265" s="2" t="s">
        <v>639</v>
      </c>
      <c r="V265" s="2" t="s">
        <v>0</v>
      </c>
    </row>
    <row r="266" spans="1:22" ht="60" x14ac:dyDescent="0.25">
      <c r="A266" s="6"/>
      <c r="B266" s="10"/>
      <c r="C266" s="2" t="s">
        <v>2194</v>
      </c>
      <c r="D266" s="2" t="s">
        <v>398</v>
      </c>
      <c r="E266" s="1" t="str">
        <f>HYPERLINK("http://www-wds.worldbank.org/external/default/main?menuPK=64187510&amp;pagePK=64193027&amp;piPK=64187937&amp;menuPK=64154159&amp;searchMenuPK=64258546&amp;theSitePK=523679&amp;entityID=000011823_20070720153116","Evaluacion social y marco de planificacion para publos indigenas ")</f>
        <v xml:space="preserve">Evaluacion social y marco de planificacion para publos indigenas </v>
      </c>
      <c r="F266" s="3" t="s">
        <v>2232</v>
      </c>
      <c r="G266" s="2" t="s">
        <v>2231</v>
      </c>
      <c r="H266" s="2" t="s">
        <v>10</v>
      </c>
      <c r="I266" s="2" t="s">
        <v>2230</v>
      </c>
      <c r="J266" s="3"/>
      <c r="K266" s="2" t="s">
        <v>2229</v>
      </c>
      <c r="L266" s="2" t="s">
        <v>2228</v>
      </c>
      <c r="M266" s="2" t="s">
        <v>634</v>
      </c>
      <c r="N266" s="2" t="s">
        <v>2227</v>
      </c>
      <c r="O266" s="2" t="s">
        <v>2226</v>
      </c>
      <c r="P266" s="2"/>
      <c r="Q266" s="2" t="s">
        <v>2225</v>
      </c>
      <c r="R266" s="2" t="s">
        <v>2224</v>
      </c>
      <c r="S266" s="2"/>
      <c r="T266" s="2" t="s">
        <v>2223</v>
      </c>
      <c r="U266" s="2" t="s">
        <v>639</v>
      </c>
      <c r="V266" s="2" t="s">
        <v>0</v>
      </c>
    </row>
    <row r="267" spans="1:22" ht="75" x14ac:dyDescent="0.25">
      <c r="A267" s="6"/>
      <c r="B267" s="10"/>
      <c r="C267" s="2" t="s">
        <v>2194</v>
      </c>
      <c r="D267" s="2" t="s">
        <v>398</v>
      </c>
      <c r="E267" s="1" t="str">
        <f>HYPERLINK("http://www-wds.worldbank.org/external/default/main?menuPK=64187510&amp;pagePK=64193027&amp;piPK=64187937&amp;menuPK=64154159&amp;searchMenuPK=64258546&amp;theSitePK=523679&amp;entityID=000011823_20061017165053","Plan para los pueblos indigenas ")</f>
        <v xml:space="preserve">Plan para los pueblos indigenas </v>
      </c>
      <c r="F267" s="3" t="s">
        <v>2222</v>
      </c>
      <c r="G267" s="2" t="s">
        <v>2221</v>
      </c>
      <c r="H267" s="2" t="s">
        <v>10</v>
      </c>
      <c r="I267" s="2"/>
      <c r="J267" s="3"/>
      <c r="K267" s="2" t="s">
        <v>8</v>
      </c>
      <c r="L267" s="2" t="s">
        <v>2220</v>
      </c>
      <c r="M267" s="2" t="s">
        <v>634</v>
      </c>
      <c r="N267" s="2" t="s">
        <v>2219</v>
      </c>
      <c r="O267" s="2" t="s">
        <v>1058</v>
      </c>
      <c r="P267" s="2"/>
      <c r="Q267" s="2" t="s">
        <v>2218</v>
      </c>
      <c r="R267" s="2" t="s">
        <v>2217</v>
      </c>
      <c r="S267" s="2"/>
      <c r="T267" s="2" t="s">
        <v>2216</v>
      </c>
      <c r="U267" s="2" t="s">
        <v>670</v>
      </c>
      <c r="V267" s="2" t="s">
        <v>0</v>
      </c>
    </row>
    <row r="268" spans="1:22" ht="75" x14ac:dyDescent="0.25">
      <c r="A268" s="6"/>
      <c r="B268" s="10"/>
      <c r="C268" s="2" t="s">
        <v>2194</v>
      </c>
      <c r="D268" s="2" t="s">
        <v>12</v>
      </c>
      <c r="E268" s="1" t="str">
        <f>HYPERLINK("http://www-wds.worldbank.org/external/default/main?menuPK=64187510&amp;pagePK=64193027&amp;piPK=64187937&amp;menuPK=64154159&amp;searchMenuPK=64258546&amp;theSitePK=523679&amp;entityID=000160016_20060407114748","Ecuador - Second Rural and Small Towns Water Supply and Sanitation (PRAGUAS) Project : social assessment and indigenous peoples plan ")</f>
        <v xml:space="preserve">Ecuador - Second Rural and Small Towns Water Supply and Sanitation (PRAGUAS) Project : social assessment and indigenous peoples plan </v>
      </c>
      <c r="F268" s="9">
        <v>38811</v>
      </c>
      <c r="G268" s="2" t="s">
        <v>2215</v>
      </c>
      <c r="H268" s="2" t="s">
        <v>10</v>
      </c>
      <c r="I268" s="2"/>
      <c r="J268" s="3"/>
      <c r="K268" s="2" t="s">
        <v>128</v>
      </c>
      <c r="L268" s="2" t="s">
        <v>2214</v>
      </c>
      <c r="M268" s="2" t="s">
        <v>634</v>
      </c>
      <c r="N268" s="2" t="s">
        <v>2213</v>
      </c>
      <c r="O268" s="2" t="s">
        <v>2212</v>
      </c>
      <c r="P268" s="2"/>
      <c r="Q268" s="2" t="s">
        <v>2211</v>
      </c>
      <c r="R268" s="2" t="s">
        <v>1471</v>
      </c>
      <c r="S268" s="2"/>
      <c r="T268" s="2"/>
      <c r="U268" s="2" t="s">
        <v>768</v>
      </c>
      <c r="V268" s="2" t="s">
        <v>0</v>
      </c>
    </row>
    <row r="269" spans="1:22" ht="60" x14ac:dyDescent="0.25">
      <c r="A269" s="6"/>
      <c r="B269" s="10"/>
      <c r="C269" s="2" t="s">
        <v>2194</v>
      </c>
      <c r="D269" s="2" t="s">
        <v>12</v>
      </c>
      <c r="E269" s="1" t="str">
        <f>HYPERLINK("http://www-wds.worldbank.org/external/default/main?menuPK=64187510&amp;pagePK=64193027&amp;piPK=64187937&amp;menuPK=64154159&amp;searchMenuPK=64258546&amp;theSitePK=523679&amp;entityID=000012009_20051028134643","Ecuador - Health Insurance Project : indigenous peoples plan ")</f>
        <v xml:space="preserve">Ecuador - Health Insurance Project : indigenous peoples plan </v>
      </c>
      <c r="F269" s="9">
        <v>38362</v>
      </c>
      <c r="G269" s="2" t="s">
        <v>2210</v>
      </c>
      <c r="H269" s="2" t="s">
        <v>10</v>
      </c>
      <c r="I269" s="2" t="s">
        <v>31</v>
      </c>
      <c r="J269" s="3"/>
      <c r="K269" s="2" t="s">
        <v>109</v>
      </c>
      <c r="L269" s="2" t="s">
        <v>2209</v>
      </c>
      <c r="M269" s="2" t="s">
        <v>634</v>
      </c>
      <c r="N269" s="2" t="s">
        <v>2208</v>
      </c>
      <c r="O269" s="2" t="s">
        <v>106</v>
      </c>
      <c r="P269" s="2"/>
      <c r="Q269" s="2" t="s">
        <v>2207</v>
      </c>
      <c r="R269" s="2" t="s">
        <v>487</v>
      </c>
      <c r="S269" s="2"/>
      <c r="T269" s="2" t="s">
        <v>2206</v>
      </c>
      <c r="U269" s="2" t="s">
        <v>684</v>
      </c>
      <c r="V269" s="2" t="s">
        <v>0</v>
      </c>
    </row>
    <row r="270" spans="1:22" ht="75" x14ac:dyDescent="0.25">
      <c r="A270" s="6"/>
      <c r="B270" s="10"/>
      <c r="C270" s="2" t="s">
        <v>2194</v>
      </c>
      <c r="D270" s="2" t="s">
        <v>398</v>
      </c>
      <c r="E270" s="1" t="str">
        <f>HYPERLINK("http://www-wds.worldbank.org/external/default/main?menuPK=64187510&amp;pagePK=64193027&amp;piPK=64187937&amp;menuPK=64154159&amp;searchMenuPK=64258546&amp;theSitePK=523679&amp;entityID=000090341_20040506102902","Ecuador - Rural Roads Project : indigenous peoples plan ")</f>
        <v xml:space="preserve">Ecuador - Rural Roads Project : indigenous peoples plan </v>
      </c>
      <c r="F270" s="3" t="s">
        <v>2205</v>
      </c>
      <c r="G270" s="2" t="s">
        <v>2204</v>
      </c>
      <c r="H270" s="2" t="s">
        <v>10</v>
      </c>
      <c r="I270" s="2"/>
      <c r="J270" s="3"/>
      <c r="K270" s="2" t="s">
        <v>43</v>
      </c>
      <c r="L270" s="2" t="s">
        <v>2203</v>
      </c>
      <c r="M270" s="2" t="s">
        <v>634</v>
      </c>
      <c r="N270" s="2" t="s">
        <v>2202</v>
      </c>
      <c r="O270" s="2" t="s">
        <v>2201</v>
      </c>
      <c r="P270" s="2"/>
      <c r="Q270" s="2"/>
      <c r="R270" s="2"/>
      <c r="S270" s="2"/>
      <c r="T270" s="2" t="s">
        <v>2200</v>
      </c>
      <c r="U270" s="2" t="s">
        <v>655</v>
      </c>
      <c r="V270" s="2" t="s">
        <v>0</v>
      </c>
    </row>
    <row r="271" spans="1:22" ht="135" x14ac:dyDescent="0.25">
      <c r="A271" s="6"/>
      <c r="B271" s="10"/>
      <c r="C271" s="2" t="s">
        <v>2194</v>
      </c>
      <c r="D271" s="2" t="s">
        <v>12</v>
      </c>
      <c r="E271" s="1" t="str">
        <f>HYPERLINK("http://www-wds.worldbank.org/external/default/main?menuPK=64187510&amp;pagePK=64193027&amp;piPK=64187937&amp;menuPK=64154159&amp;searchMenuPK=64258546&amp;theSitePK=523679&amp;entityID=000094946_03041704054756","Ecuador - Programmatic Human Development Reform Loan Project : indigenous peoples plan ")</f>
        <v xml:space="preserve">Ecuador - Programmatic Human Development Reform Loan Project : indigenous peoples plan </v>
      </c>
      <c r="F271" s="3" t="s">
        <v>1555</v>
      </c>
      <c r="G271" s="2" t="s">
        <v>2199</v>
      </c>
      <c r="H271" s="2" t="s">
        <v>10</v>
      </c>
      <c r="I271" s="2" t="s">
        <v>31</v>
      </c>
      <c r="J271" s="3">
        <v>7173</v>
      </c>
      <c r="K271" s="2" t="s">
        <v>1541</v>
      </c>
      <c r="L271" s="2" t="s">
        <v>2198</v>
      </c>
      <c r="M271" s="2" t="s">
        <v>634</v>
      </c>
      <c r="N271" s="2" t="s">
        <v>2197</v>
      </c>
      <c r="O271" s="2" t="s">
        <v>2196</v>
      </c>
      <c r="P271" s="2"/>
      <c r="Q271" s="2" t="s">
        <v>2195</v>
      </c>
      <c r="R271" s="2" t="s">
        <v>25</v>
      </c>
      <c r="S271" s="2"/>
      <c r="T271" s="2"/>
      <c r="U271" s="2" t="s">
        <v>684</v>
      </c>
      <c r="V271" s="2">
        <v>1</v>
      </c>
    </row>
    <row r="272" spans="1:22" ht="60" x14ac:dyDescent="0.25">
      <c r="A272" s="6"/>
      <c r="B272" s="10"/>
      <c r="C272" s="2" t="s">
        <v>2194</v>
      </c>
      <c r="D272" s="2" t="s">
        <v>12</v>
      </c>
      <c r="E272" s="1" t="str">
        <f>HYPERLINK("http://www-wds.worldbank.org/external/default/main?menuPK=64187510&amp;pagePK=64193027&amp;piPK=64187937&amp;menuPK=64154159&amp;searchMenuPK=64258546&amp;theSitePK=523679&amp;entityID=000094946_03060404014229","Ecuador - National System of Protected Areas Project : indigenous peoples plan ")</f>
        <v xml:space="preserve">Ecuador - National System of Protected Areas Project : indigenous peoples plan </v>
      </c>
      <c r="F272" s="3" t="s">
        <v>2193</v>
      </c>
      <c r="G272" s="2" t="s">
        <v>2192</v>
      </c>
      <c r="H272" s="2" t="s">
        <v>10</v>
      </c>
      <c r="I272" s="2"/>
      <c r="J272" s="3"/>
      <c r="K272" s="2" t="s">
        <v>522</v>
      </c>
      <c r="L272" s="2" t="s">
        <v>2191</v>
      </c>
      <c r="M272" s="2" t="s">
        <v>634</v>
      </c>
      <c r="N272" s="2" t="s">
        <v>2190</v>
      </c>
      <c r="O272" s="2" t="s">
        <v>435</v>
      </c>
      <c r="P272" s="2"/>
      <c r="Q272" s="2" t="s">
        <v>2189</v>
      </c>
      <c r="R272" s="2" t="s">
        <v>487</v>
      </c>
      <c r="S272" s="2"/>
      <c r="T272" s="2" t="s">
        <v>2188</v>
      </c>
      <c r="U272" s="2" t="s">
        <v>639</v>
      </c>
      <c r="V272" s="2">
        <v>1</v>
      </c>
    </row>
    <row r="273" spans="1:22" ht="75" x14ac:dyDescent="0.25">
      <c r="A273" s="6"/>
      <c r="B273" s="10"/>
      <c r="C273" s="2" t="s">
        <v>2174</v>
      </c>
      <c r="D273" s="2" t="s">
        <v>398</v>
      </c>
      <c r="E273" s="1" t="str">
        <f>HYPERLINK("http://www-wds.worldbank.org/external/default/main?menuPK=64187510&amp;pagePK=64193027&amp;piPK=64187937&amp;menuPK=64154159&amp;searchMenuPK=64258546&amp;theSitePK=523679&amp;entityID=000020953_20100507123118","Marco para los pueblos indigenas ")</f>
        <v xml:space="preserve">Marco para los pueblos indigenas </v>
      </c>
      <c r="F273" s="9">
        <v>40363</v>
      </c>
      <c r="G273" s="2" t="s">
        <v>2187</v>
      </c>
      <c r="H273" s="2" t="s">
        <v>10</v>
      </c>
      <c r="I273" s="2" t="s">
        <v>2186</v>
      </c>
      <c r="J273" s="3"/>
      <c r="K273" s="2" t="s">
        <v>1124</v>
      </c>
      <c r="L273" s="2" t="s">
        <v>2185</v>
      </c>
      <c r="M273" s="2" t="s">
        <v>634</v>
      </c>
      <c r="N273" s="2" t="s">
        <v>2184</v>
      </c>
      <c r="O273" s="2" t="s">
        <v>2183</v>
      </c>
      <c r="P273" s="2"/>
      <c r="Q273" s="2" t="s">
        <v>2182</v>
      </c>
      <c r="R273" s="2" t="s">
        <v>2181</v>
      </c>
      <c r="S273" s="2"/>
      <c r="T273" s="2"/>
      <c r="U273" s="2" t="s">
        <v>670</v>
      </c>
      <c r="V273" s="2" t="s">
        <v>0</v>
      </c>
    </row>
    <row r="274" spans="1:22" ht="75" x14ac:dyDescent="0.25">
      <c r="A274" s="6"/>
      <c r="B274" s="10"/>
      <c r="C274" s="2" t="s">
        <v>2174</v>
      </c>
      <c r="D274" s="2" t="s">
        <v>12</v>
      </c>
      <c r="E274" s="1" t="str">
        <f>HYPERLINK("http://www-wds.worldbank.org/external/default/main?menuPK=64187510&amp;pagePK=64193027&amp;piPK=64187937&amp;menuPK=64154159&amp;searchMenuPK=64258546&amp;theSitePK=523679&amp;entityID=000090341_20050824153517","El Salvador - Social Protection and Local Development Project : indigenous peoples plan ")</f>
        <v xml:space="preserve">El Salvador - Social Protection and Local Development Project : indigenous peoples plan </v>
      </c>
      <c r="F274" s="3" t="s">
        <v>2180</v>
      </c>
      <c r="G274" s="2" t="s">
        <v>2179</v>
      </c>
      <c r="H274" s="2" t="s">
        <v>10</v>
      </c>
      <c r="I274" s="2"/>
      <c r="J274" s="3"/>
      <c r="K274" s="2" t="s">
        <v>109</v>
      </c>
      <c r="L274" s="2" t="s">
        <v>2178</v>
      </c>
      <c r="M274" s="2" t="s">
        <v>634</v>
      </c>
      <c r="N274" s="2" t="s">
        <v>2177</v>
      </c>
      <c r="O274" s="2" t="s">
        <v>460</v>
      </c>
      <c r="P274" s="2"/>
      <c r="Q274" s="2" t="s">
        <v>2176</v>
      </c>
      <c r="R274" s="2" t="s">
        <v>800</v>
      </c>
      <c r="S274" s="2"/>
      <c r="T274" s="2" t="s">
        <v>2175</v>
      </c>
      <c r="U274" s="2" t="s">
        <v>742</v>
      </c>
      <c r="V274" s="2" t="s">
        <v>0</v>
      </c>
    </row>
    <row r="275" spans="1:22" ht="60" x14ac:dyDescent="0.25">
      <c r="A275" s="6"/>
      <c r="B275" s="10"/>
      <c r="C275" s="2" t="s">
        <v>2174</v>
      </c>
      <c r="D275" s="2" t="s">
        <v>398</v>
      </c>
      <c r="E275" s="1" t="str">
        <f>HYPERLINK("http://www-wds.worldbank.org/external/default/main?menuPK=64187510&amp;pagePK=64193027&amp;piPK=64187937&amp;menuPK=64154159&amp;searchMenuPK=64258546&amp;theSitePK=523679&amp;entityID=000012009_20050112153828","El Salvador - Second Land Administration Project : indigenous peoples plan ")</f>
        <v xml:space="preserve">El Salvador - Second Land Administration Project : indigenous peoples plan </v>
      </c>
      <c r="F275" s="9">
        <v>37998</v>
      </c>
      <c r="G275" s="2" t="s">
        <v>2173</v>
      </c>
      <c r="H275" s="2" t="s">
        <v>10</v>
      </c>
      <c r="I275" s="2" t="s">
        <v>31</v>
      </c>
      <c r="J275" s="3"/>
      <c r="K275" s="2" t="s">
        <v>438</v>
      </c>
      <c r="L275" s="2" t="s">
        <v>2172</v>
      </c>
      <c r="M275" s="2" t="s">
        <v>634</v>
      </c>
      <c r="N275" s="2" t="s">
        <v>2171</v>
      </c>
      <c r="O275" s="2" t="s">
        <v>435</v>
      </c>
      <c r="P275" s="2"/>
      <c r="Q275" s="2"/>
      <c r="R275" s="2"/>
      <c r="S275" s="2"/>
      <c r="T275" s="2" t="s">
        <v>2170</v>
      </c>
      <c r="U275" s="2" t="s">
        <v>670</v>
      </c>
      <c r="V275" s="2" t="s">
        <v>2169</v>
      </c>
    </row>
    <row r="276" spans="1:22" ht="60" x14ac:dyDescent="0.25">
      <c r="A276" s="6"/>
      <c r="B276" s="10"/>
      <c r="C276" s="2" t="s">
        <v>2163</v>
      </c>
      <c r="D276" s="2" t="s">
        <v>1308</v>
      </c>
      <c r="E276" s="1" t="str">
        <f>HYPERLINK("http://www-wds.worldbank.org/external/default/main?menuPK=64187510&amp;pagePK=64193027&amp;piPK=64187937&amp;menuPK=64154159&amp;searchMenuPK=64258546&amp;theSitePK=523679&amp;entityID=000160016_20050915154644","Programme Sectoriel Forets et Environnement (PSFE) - Plan de developpement des peuples autochtones ")</f>
        <v xml:space="preserve">Programme Sectoriel Forets et Environnement (PSFE) - Plan de developpement des peuples autochtones </v>
      </c>
      <c r="F276" s="9">
        <v>38359</v>
      </c>
      <c r="G276" s="2" t="s">
        <v>2168</v>
      </c>
      <c r="H276" s="2" t="s">
        <v>10</v>
      </c>
      <c r="I276" s="2" t="s">
        <v>2161</v>
      </c>
      <c r="J276" s="3"/>
      <c r="K276" s="2" t="s">
        <v>8</v>
      </c>
      <c r="L276" s="2" t="s">
        <v>2167</v>
      </c>
      <c r="M276" s="2" t="s">
        <v>395</v>
      </c>
      <c r="N276" s="2" t="s">
        <v>2166</v>
      </c>
      <c r="O276" s="2" t="s">
        <v>50</v>
      </c>
      <c r="P276" s="2"/>
      <c r="Q276" s="2" t="s">
        <v>2165</v>
      </c>
      <c r="R276" s="2"/>
      <c r="S276" s="2"/>
      <c r="T276" s="2" t="s">
        <v>2164</v>
      </c>
      <c r="U276" s="2" t="s">
        <v>2154</v>
      </c>
      <c r="V276" s="2" t="s">
        <v>0</v>
      </c>
    </row>
    <row r="277" spans="1:22" ht="150" x14ac:dyDescent="0.25">
      <c r="A277" s="6"/>
      <c r="B277" s="10"/>
      <c r="C277" s="2" t="s">
        <v>2163</v>
      </c>
      <c r="D277" s="2" t="s">
        <v>1308</v>
      </c>
      <c r="E277" s="1" t="str">
        <f>HYPERLINK("http://www-wds.worldbank.org/external/default/main?menuPK=64187510&amp;pagePK=64193027&amp;piPK=64187937&amp;menuPK=64154159&amp;searchMenuPK=64258546&amp;theSitePK=523679&amp;entityID=000160016_20050915153516","Programme Sectoriel Forets et Environnement (PSFE) - GEF- Plan de developpement des peuples autochtones ")</f>
        <v xml:space="preserve">Programme Sectoriel Forets et Environnement (PSFE) - GEF- Plan de developpement des peuples autochtones </v>
      </c>
      <c r="F277" s="9">
        <v>38359</v>
      </c>
      <c r="G277" s="2" t="s">
        <v>2162</v>
      </c>
      <c r="H277" s="2" t="s">
        <v>10</v>
      </c>
      <c r="I277" s="2" t="s">
        <v>2161</v>
      </c>
      <c r="J277" s="3" t="s">
        <v>2160</v>
      </c>
      <c r="K277" s="2" t="s">
        <v>406</v>
      </c>
      <c r="L277" s="2" t="s">
        <v>2159</v>
      </c>
      <c r="M277" s="2" t="s">
        <v>395</v>
      </c>
      <c r="N277" s="2" t="s">
        <v>2158</v>
      </c>
      <c r="O277" s="2" t="s">
        <v>2157</v>
      </c>
      <c r="P277" s="2"/>
      <c r="Q277" s="2" t="s">
        <v>2156</v>
      </c>
      <c r="R277" s="2"/>
      <c r="S277" s="2"/>
      <c r="T277" s="2" t="s">
        <v>2155</v>
      </c>
      <c r="U277" s="2" t="s">
        <v>2154</v>
      </c>
      <c r="V277" s="2" t="s">
        <v>0</v>
      </c>
    </row>
    <row r="278" spans="1:22" ht="75" x14ac:dyDescent="0.25">
      <c r="A278" s="6"/>
      <c r="B278" s="10"/>
      <c r="C278" s="2" t="s">
        <v>2106</v>
      </c>
      <c r="D278" s="2" t="s">
        <v>398</v>
      </c>
      <c r="E278" s="1" t="str">
        <f>HYPERLINK("http://www-wds.worldbank.org/external/default/main?menuPK=64187510&amp;pagePK=64193027&amp;piPK=64187937&amp;menuPK=64154159&amp;searchMenuPK=64258546&amp;theSitePK=523679&amp;entityID=000020953_20101124135816","Marco de planificación para la participación de pueblos indígenas ")</f>
        <v xml:space="preserve">Marco de planificación para la participación de pueblos indígenas </v>
      </c>
      <c r="F278" s="9">
        <v>40189</v>
      </c>
      <c r="G278" s="2" t="s">
        <v>2153</v>
      </c>
      <c r="H278" s="2" t="s">
        <v>10</v>
      </c>
      <c r="I278" s="2"/>
      <c r="J278" s="3"/>
      <c r="K278" s="2" t="s">
        <v>417</v>
      </c>
      <c r="L278" s="2" t="s">
        <v>2152</v>
      </c>
      <c r="M278" s="2" t="s">
        <v>634</v>
      </c>
      <c r="N278" s="2" t="s">
        <v>2151</v>
      </c>
      <c r="O278" s="2" t="s">
        <v>2150</v>
      </c>
      <c r="P278" s="2"/>
      <c r="Q278" s="2" t="s">
        <v>2149</v>
      </c>
      <c r="R278" s="2" t="s">
        <v>2148</v>
      </c>
      <c r="S278" s="2"/>
      <c r="T278" s="2"/>
      <c r="U278" s="2" t="s">
        <v>951</v>
      </c>
      <c r="V278" s="2" t="s">
        <v>70</v>
      </c>
    </row>
    <row r="279" spans="1:22" ht="75" x14ac:dyDescent="0.25">
      <c r="A279" s="6"/>
      <c r="B279" s="10"/>
      <c r="C279" s="2" t="s">
        <v>2106</v>
      </c>
      <c r="D279" s="2" t="s">
        <v>398</v>
      </c>
      <c r="E279" s="1" t="str">
        <f>HYPERLINK("http://www-wds.worldbank.org/external/default/main?menuPK=64187510&amp;pagePK=64193027&amp;piPK=64187937&amp;menuPK=64154159&amp;searchMenuPK=64258546&amp;theSitePK=523679&amp;entityID=000020953_20101124140653","Evaluacion social : pueblos indigenas ")</f>
        <v xml:space="preserve">Evaluacion social : pueblos indigenas </v>
      </c>
      <c r="F279" s="9">
        <v>40189</v>
      </c>
      <c r="G279" s="2" t="s">
        <v>2153</v>
      </c>
      <c r="H279" s="2" t="s">
        <v>10</v>
      </c>
      <c r="I279" s="2"/>
      <c r="J279" s="3"/>
      <c r="K279" s="2" t="s">
        <v>417</v>
      </c>
      <c r="L279" s="2" t="s">
        <v>2152</v>
      </c>
      <c r="M279" s="2" t="s">
        <v>634</v>
      </c>
      <c r="N279" s="2" t="s">
        <v>2151</v>
      </c>
      <c r="O279" s="2" t="s">
        <v>2150</v>
      </c>
      <c r="P279" s="2"/>
      <c r="Q279" s="2" t="s">
        <v>2149</v>
      </c>
      <c r="R279" s="2" t="s">
        <v>2148</v>
      </c>
      <c r="S279" s="2"/>
      <c r="T279" s="2"/>
      <c r="U279" s="2" t="s">
        <v>951</v>
      </c>
      <c r="V279" s="2" t="s">
        <v>59</v>
      </c>
    </row>
    <row r="280" spans="1:22" ht="60" x14ac:dyDescent="0.25">
      <c r="A280" s="6"/>
      <c r="B280" s="10"/>
      <c r="C280" s="2" t="s">
        <v>2106</v>
      </c>
      <c r="D280" s="2" t="s">
        <v>398</v>
      </c>
      <c r="E280" s="1" t="str">
        <f>HYPERLINK("http://www-wds.worldbank.org/external/default/main?menuPK=64187510&amp;pagePK=64193027&amp;piPK=64187937&amp;menuPK=64154159&amp;searchMenuPK=64258546&amp;theSitePK=523679&amp;entityID=000020953_20090806155739","Guatemala - Expanding Opportunities for Vulnerable Groups Project : indigenous peoples plan ")</f>
        <v xml:space="preserve">Guatemala - Expanding Opportunities for Vulnerable Groups Project : indigenous peoples plan </v>
      </c>
      <c r="F280" s="9">
        <v>39820</v>
      </c>
      <c r="G280" s="2" t="s">
        <v>2147</v>
      </c>
      <c r="H280" s="2" t="s">
        <v>10</v>
      </c>
      <c r="I280" s="2"/>
      <c r="J280" s="3"/>
      <c r="K280" s="2" t="s">
        <v>2146</v>
      </c>
      <c r="L280" s="2" t="s">
        <v>2145</v>
      </c>
      <c r="M280" s="2" t="s">
        <v>634</v>
      </c>
      <c r="N280" s="2" t="s">
        <v>2144</v>
      </c>
      <c r="O280" s="2" t="s">
        <v>2143</v>
      </c>
      <c r="P280" s="2"/>
      <c r="Q280" s="2" t="s">
        <v>2142</v>
      </c>
      <c r="R280" s="2" t="s">
        <v>2141</v>
      </c>
      <c r="S280" s="2" t="s">
        <v>2140</v>
      </c>
      <c r="T280" s="2"/>
      <c r="U280" s="2" t="s">
        <v>742</v>
      </c>
      <c r="V280" s="2" t="s">
        <v>0</v>
      </c>
    </row>
    <row r="281" spans="1:22" ht="75" x14ac:dyDescent="0.25">
      <c r="A281" s="6"/>
      <c r="B281" s="10"/>
      <c r="C281" s="2" t="s">
        <v>2106</v>
      </c>
      <c r="D281" s="2" t="s">
        <v>12</v>
      </c>
      <c r="E281" s="1" t="str">
        <f>HYPERLINK("http://www-wds.worldbank.org/external/default/main?menuPK=64187510&amp;pagePK=64193027&amp;piPK=64187937&amp;menuPK=64154159&amp;searchMenuPK=64258546&amp;theSitePK=523679&amp;entityID=000090341_20061207111247","Guatemala - Land Administration Project : indigenous peoples plan ")</f>
        <v xml:space="preserve">Guatemala - Land Administration Project : indigenous peoples plan </v>
      </c>
      <c r="F281" s="9">
        <v>38819</v>
      </c>
      <c r="G281" s="2" t="s">
        <v>2139</v>
      </c>
      <c r="H281" s="2" t="s">
        <v>10</v>
      </c>
      <c r="I281" s="2"/>
      <c r="J281" s="3"/>
      <c r="K281" s="2" t="s">
        <v>8</v>
      </c>
      <c r="L281" s="2" t="s">
        <v>2138</v>
      </c>
      <c r="M281" s="2" t="s">
        <v>634</v>
      </c>
      <c r="N281" s="2" t="s">
        <v>2137</v>
      </c>
      <c r="O281" s="2" t="s">
        <v>4</v>
      </c>
      <c r="P281" s="2"/>
      <c r="Q281" s="2" t="s">
        <v>2136</v>
      </c>
      <c r="R281" s="2"/>
      <c r="S281" s="2"/>
      <c r="T281" s="2" t="s">
        <v>2135</v>
      </c>
      <c r="U281" s="2" t="s">
        <v>670</v>
      </c>
      <c r="V281" s="2" t="s">
        <v>0</v>
      </c>
    </row>
    <row r="282" spans="1:22" ht="45" x14ac:dyDescent="0.25">
      <c r="A282" s="6"/>
      <c r="B282" s="10"/>
      <c r="C282" s="2" t="s">
        <v>2106</v>
      </c>
      <c r="D282" s="2" t="s">
        <v>398</v>
      </c>
      <c r="E282" s="1" t="str">
        <f>HYPERLINK("http://www-wds.worldbank.org/external/default/main?menuPK=64187510&amp;pagePK=64193027&amp;piPK=64187937&amp;menuPK=64154159&amp;searchMenuPK=64258546&amp;theSitePK=523679&amp;entityID=000090341_20070319093933","Samples of socioeconomic studies ")</f>
        <v xml:space="preserve">Samples of socioeconomic studies </v>
      </c>
      <c r="F282" s="3" t="s">
        <v>2134</v>
      </c>
      <c r="G282" s="2" t="s">
        <v>2133</v>
      </c>
      <c r="H282" s="2" t="s">
        <v>10</v>
      </c>
      <c r="I282" s="2"/>
      <c r="J282" s="3"/>
      <c r="K282" s="2" t="s">
        <v>80</v>
      </c>
      <c r="L282" s="2" t="s">
        <v>2132</v>
      </c>
      <c r="M282" s="2" t="s">
        <v>634</v>
      </c>
      <c r="N282" s="2" t="s">
        <v>2131</v>
      </c>
      <c r="O282" s="2" t="s">
        <v>817</v>
      </c>
      <c r="P282" s="2"/>
      <c r="Q282" s="2"/>
      <c r="R282" s="2"/>
      <c r="S282" s="2"/>
      <c r="T282" s="2" t="s">
        <v>2130</v>
      </c>
      <c r="U282" s="2" t="s">
        <v>2015</v>
      </c>
      <c r="V282" s="2" t="s">
        <v>70</v>
      </c>
    </row>
    <row r="283" spans="1:22" ht="45" x14ac:dyDescent="0.25">
      <c r="A283" s="6"/>
      <c r="B283" s="10"/>
      <c r="C283" s="2" t="s">
        <v>2106</v>
      </c>
      <c r="D283" s="2" t="s">
        <v>398</v>
      </c>
      <c r="E283" s="1" t="str">
        <f>HYPERLINK("http://www-wds.worldbank.org/external/default/main?menuPK=64187510&amp;pagePK=64193027&amp;piPK=64187937&amp;menuPK=64154159&amp;searchMenuPK=64258546&amp;theSitePK=523679&amp;entityID=000090341_20070319094322","Recommendations ")</f>
        <v xml:space="preserve">Recommendations </v>
      </c>
      <c r="F283" s="3" t="s">
        <v>2134</v>
      </c>
      <c r="G283" s="2" t="s">
        <v>2133</v>
      </c>
      <c r="H283" s="2" t="s">
        <v>10</v>
      </c>
      <c r="I283" s="2"/>
      <c r="J283" s="3"/>
      <c r="K283" s="2" t="s">
        <v>80</v>
      </c>
      <c r="L283" s="2" t="s">
        <v>2132</v>
      </c>
      <c r="M283" s="2" t="s">
        <v>634</v>
      </c>
      <c r="N283" s="2" t="s">
        <v>2131</v>
      </c>
      <c r="O283" s="2" t="s">
        <v>817</v>
      </c>
      <c r="P283" s="2"/>
      <c r="Q283" s="2"/>
      <c r="R283" s="2"/>
      <c r="S283" s="2"/>
      <c r="T283" s="2" t="s">
        <v>2130</v>
      </c>
      <c r="U283" s="2" t="s">
        <v>2015</v>
      </c>
      <c r="V283" s="2" t="s">
        <v>59</v>
      </c>
    </row>
    <row r="284" spans="1:22" ht="60" x14ac:dyDescent="0.25">
      <c r="A284" s="6"/>
      <c r="B284" s="10"/>
      <c r="C284" s="2" t="s">
        <v>2106</v>
      </c>
      <c r="D284" s="2" t="s">
        <v>12</v>
      </c>
      <c r="E284" s="1" t="str">
        <f>HYPERLINK("http://www-wds.worldbank.org/external/default/main?menuPK=64187510&amp;pagePK=64193027&amp;piPK=64187937&amp;menuPK=64154159&amp;searchMenuPK=64258546&amp;theSitePK=523679&amp;entityID=000160016_20060821094209","Guatemala - Education Quality and Secondary Education Project : safeguard policy issues ")</f>
        <v xml:space="preserve">Guatemala - Education Quality and Secondary Education Project : safeguard policy issues </v>
      </c>
      <c r="F284" s="9">
        <v>38725</v>
      </c>
      <c r="G284" s="2" t="s">
        <v>2129</v>
      </c>
      <c r="H284" s="2" t="s">
        <v>10</v>
      </c>
      <c r="I284" s="2"/>
      <c r="J284" s="3"/>
      <c r="K284" s="2" t="s">
        <v>21</v>
      </c>
      <c r="L284" s="2" t="s">
        <v>2128</v>
      </c>
      <c r="M284" s="2" t="s">
        <v>634</v>
      </c>
      <c r="N284" s="2" t="s">
        <v>2127</v>
      </c>
      <c r="O284" s="2" t="s">
        <v>1188</v>
      </c>
      <c r="P284" s="2"/>
      <c r="Q284" s="2" t="s">
        <v>2041</v>
      </c>
      <c r="R284" s="2" t="s">
        <v>21</v>
      </c>
      <c r="S284" s="2"/>
      <c r="T284" s="2" t="s">
        <v>2126</v>
      </c>
      <c r="U284" s="2" t="s">
        <v>630</v>
      </c>
      <c r="V284" s="2" t="s">
        <v>0</v>
      </c>
    </row>
    <row r="285" spans="1:22" ht="75" x14ac:dyDescent="0.25">
      <c r="A285" s="6"/>
      <c r="B285" s="10"/>
      <c r="C285" s="2" t="s">
        <v>2106</v>
      </c>
      <c r="D285" s="2" t="s">
        <v>398</v>
      </c>
      <c r="E285" s="1" t="str">
        <f>HYPERLINK("http://www-wds.worldbank.org/external/default/main?menuPK=64187510&amp;pagePK=64193027&amp;piPK=64187937&amp;menuPK=64154159&amp;searchMenuPK=64258546&amp;theSitePK=523679&amp;entityID=000160016_20051227114719","Proyecto de Salud y Nutricion Salud Basica para Grupos Vulnerables : plan indigena ")</f>
        <v xml:space="preserve">Proyecto de Salud y Nutricion Salud Basica para Grupos Vulnerables : plan indigena </v>
      </c>
      <c r="F285" s="9">
        <v>38395</v>
      </c>
      <c r="G285" s="2" t="s">
        <v>2116</v>
      </c>
      <c r="H285" s="2" t="s">
        <v>10</v>
      </c>
      <c r="I285" s="2" t="s">
        <v>31</v>
      </c>
      <c r="J285" s="3"/>
      <c r="K285" s="2" t="s">
        <v>109</v>
      </c>
      <c r="L285" s="2" t="s">
        <v>2115</v>
      </c>
      <c r="M285" s="2" t="s">
        <v>634</v>
      </c>
      <c r="N285" s="2" t="s">
        <v>2114</v>
      </c>
      <c r="O285" s="2" t="s">
        <v>106</v>
      </c>
      <c r="P285" s="2"/>
      <c r="Q285" s="2" t="s">
        <v>2113</v>
      </c>
      <c r="R285" s="2" t="s">
        <v>2112</v>
      </c>
      <c r="S285" s="2"/>
      <c r="T285" s="2" t="s">
        <v>2111</v>
      </c>
      <c r="U285" s="2" t="s">
        <v>684</v>
      </c>
      <c r="V285" s="2" t="s">
        <v>0</v>
      </c>
    </row>
    <row r="286" spans="1:22" ht="225" x14ac:dyDescent="0.25">
      <c r="A286" s="6"/>
      <c r="B286" s="10"/>
      <c r="C286" s="2" t="s">
        <v>2106</v>
      </c>
      <c r="D286" s="2" t="s">
        <v>398</v>
      </c>
      <c r="E286" s="1" t="str">
        <f>HYPERLINK("http://www-wds.worldbank.org/external/default/main?menuPK=64187510&amp;pagePK=64193027&amp;piPK=64187937&amp;menuPK=64154159&amp;searchMenuPK=64258546&amp;theSitePK=523679&amp;entityID=000011823_20060202123248","Marco contextual y estrategia de participacion de actores Indigenas del programa desarrollo economico desde lo rural ")</f>
        <v xml:space="preserve">Marco contextual y estrategia de participacion de actores Indigenas del programa desarrollo economico desde lo rural </v>
      </c>
      <c r="F286" s="9">
        <v>38364</v>
      </c>
      <c r="G286" s="2" t="s">
        <v>2125</v>
      </c>
      <c r="H286" s="2" t="s">
        <v>10</v>
      </c>
      <c r="I286" s="2" t="s">
        <v>2124</v>
      </c>
      <c r="J286" s="3">
        <v>7374</v>
      </c>
      <c r="K286" s="2" t="s">
        <v>2123</v>
      </c>
      <c r="L286" s="2" t="s">
        <v>2122</v>
      </c>
      <c r="M286" s="2" t="s">
        <v>634</v>
      </c>
      <c r="N286" s="2" t="s">
        <v>2121</v>
      </c>
      <c r="O286" s="2" t="s">
        <v>2120</v>
      </c>
      <c r="P286" s="2"/>
      <c r="Q286" s="2" t="s">
        <v>2119</v>
      </c>
      <c r="R286" s="2" t="s">
        <v>2118</v>
      </c>
      <c r="S286" s="2"/>
      <c r="T286" s="2" t="s">
        <v>2117</v>
      </c>
      <c r="U286" s="2" t="s">
        <v>670</v>
      </c>
      <c r="V286" s="2" t="s">
        <v>0</v>
      </c>
    </row>
    <row r="287" spans="1:22" ht="75" x14ac:dyDescent="0.25">
      <c r="A287" s="6"/>
      <c r="B287" s="10"/>
      <c r="C287" s="2" t="s">
        <v>2106</v>
      </c>
      <c r="D287" s="2" t="s">
        <v>12</v>
      </c>
      <c r="E287" s="1" t="str">
        <f>HYPERLINK("http://www-wds.worldbank.org/external/default/main?menuPK=64187510&amp;pagePK=64193027&amp;piPK=64187937&amp;menuPK=64154159&amp;searchMenuPK=64258546&amp;theSitePK=523679&amp;entityID=000012009_20051201115216","Guatemala - Maternal and Infant Health and Nutrition Project : indigenous peoples plan ")</f>
        <v xml:space="preserve">Guatemala - Maternal and Infant Health and Nutrition Project : indigenous peoples plan </v>
      </c>
      <c r="F287" s="9">
        <v>38363</v>
      </c>
      <c r="G287" s="2" t="s">
        <v>2116</v>
      </c>
      <c r="H287" s="2" t="s">
        <v>10</v>
      </c>
      <c r="I287" s="2" t="s">
        <v>31</v>
      </c>
      <c r="J287" s="3"/>
      <c r="K287" s="2" t="s">
        <v>109</v>
      </c>
      <c r="L287" s="2" t="s">
        <v>2115</v>
      </c>
      <c r="M287" s="2" t="s">
        <v>634</v>
      </c>
      <c r="N287" s="2" t="s">
        <v>2114</v>
      </c>
      <c r="O287" s="2" t="s">
        <v>106</v>
      </c>
      <c r="P287" s="2"/>
      <c r="Q287" s="2" t="s">
        <v>2113</v>
      </c>
      <c r="R287" s="2" t="s">
        <v>2112</v>
      </c>
      <c r="S287" s="2"/>
      <c r="T287" s="2" t="s">
        <v>2111</v>
      </c>
      <c r="U287" s="2" t="s">
        <v>684</v>
      </c>
      <c r="V287" s="2" t="s">
        <v>0</v>
      </c>
    </row>
    <row r="288" spans="1:22" ht="75" x14ac:dyDescent="0.25">
      <c r="A288" s="6"/>
      <c r="B288" s="10"/>
      <c r="C288" s="2" t="s">
        <v>2106</v>
      </c>
      <c r="D288" s="2" t="s">
        <v>398</v>
      </c>
      <c r="E288" s="1" t="str">
        <f>HYPERLINK("http://www-wds.worldbank.org/external/default/main?menuPK=64187510&amp;pagePK=64193027&amp;piPK=64187937&amp;menuPK=64154159&amp;searchMenuPK=64258546&amp;theSitePK=523679&amp;entityID=000094946_03100304224842","Guatemala - Supplementary Project to the Western Altiplano Natural Resources Management Project : indigenous peoples development plan ")</f>
        <v xml:space="preserve">Guatemala - Supplementary Project to the Western Altiplano Natural Resources Management Project : indigenous peoples development plan </v>
      </c>
      <c r="F288" s="3" t="s">
        <v>1336</v>
      </c>
      <c r="G288" s="2" t="s">
        <v>2110</v>
      </c>
      <c r="H288" s="2" t="s">
        <v>10</v>
      </c>
      <c r="I288" s="2"/>
      <c r="J288" s="3"/>
      <c r="K288" s="2" t="s">
        <v>8</v>
      </c>
      <c r="L288" s="2" t="s">
        <v>2109</v>
      </c>
      <c r="M288" s="2" t="s">
        <v>634</v>
      </c>
      <c r="N288" s="2" t="s">
        <v>2108</v>
      </c>
      <c r="O288" s="2" t="s">
        <v>4</v>
      </c>
      <c r="P288" s="2"/>
      <c r="Q288" s="2"/>
      <c r="R288" s="2"/>
      <c r="S288" s="2"/>
      <c r="T288" s="2" t="s">
        <v>2107</v>
      </c>
      <c r="U288" s="2" t="s">
        <v>670</v>
      </c>
      <c r="V288" s="2">
        <v>1</v>
      </c>
    </row>
    <row r="289" spans="1:22" ht="120" x14ac:dyDescent="0.25">
      <c r="A289" s="6"/>
      <c r="B289" s="10"/>
      <c r="C289" s="2" t="s">
        <v>2106</v>
      </c>
      <c r="D289" s="2" t="s">
        <v>398</v>
      </c>
      <c r="E289" s="1" t="str">
        <f>HYPERLINK("http://www-wds.worldbank.org/external/default/main?menuPK=64187510&amp;pagePK=64193027&amp;piPK=64187937&amp;menuPK=64154159&amp;searchMenuPK=64258546&amp;theSitePK=523679&amp;entityID=000094946_03100304224741","Guatemala - Western Altiplano Natural Resources Management Project : indigenous peoples development plan ")</f>
        <v xml:space="preserve">Guatemala - Western Altiplano Natural Resources Management Project : indigenous peoples development plan </v>
      </c>
      <c r="F289" s="3" t="s">
        <v>1336</v>
      </c>
      <c r="G289" s="2" t="s">
        <v>2105</v>
      </c>
      <c r="H289" s="2" t="s">
        <v>10</v>
      </c>
      <c r="I289" s="2" t="s">
        <v>2104</v>
      </c>
      <c r="J289" s="3">
        <v>7175</v>
      </c>
      <c r="K289" s="2" t="s">
        <v>522</v>
      </c>
      <c r="L289" s="2" t="s">
        <v>2103</v>
      </c>
      <c r="M289" s="2" t="s">
        <v>634</v>
      </c>
      <c r="N289" s="2" t="s">
        <v>2102</v>
      </c>
      <c r="O289" s="2" t="s">
        <v>4</v>
      </c>
      <c r="P289" s="2"/>
      <c r="Q289" s="2"/>
      <c r="R289" s="2"/>
      <c r="S289" s="2"/>
      <c r="T289" s="2" t="s">
        <v>2101</v>
      </c>
      <c r="U289" s="2" t="s">
        <v>670</v>
      </c>
      <c r="V289" s="2">
        <v>1</v>
      </c>
    </row>
    <row r="290" spans="1:22" ht="105" x14ac:dyDescent="0.25">
      <c r="A290" s="6"/>
      <c r="B290" s="10"/>
      <c r="C290" s="2" t="s">
        <v>2088</v>
      </c>
      <c r="D290" s="2" t="s">
        <v>12</v>
      </c>
      <c r="E290" s="1" t="str">
        <f>HYPERLINK("http://www-wds.worldbank.org/external/default/main?menuPK=64187510&amp;pagePK=64193027&amp;piPK=64187937&amp;menuPK=64154159&amp;searchMenuPK=64258546&amp;theSitePK=523679&amp;entityID=000011823_20050610105408","Guyana - Protected Areas System Project : indigenous peoples development plan ")</f>
        <v xml:space="preserve">Guyana - Protected Areas System Project : indigenous peoples development plan </v>
      </c>
      <c r="F290" s="9">
        <v>37997</v>
      </c>
      <c r="G290" s="2" t="s">
        <v>2100</v>
      </c>
      <c r="H290" s="2" t="s">
        <v>10</v>
      </c>
      <c r="I290" s="2" t="s">
        <v>2088</v>
      </c>
      <c r="J290" s="3"/>
      <c r="K290" s="2" t="s">
        <v>438</v>
      </c>
      <c r="L290" s="2" t="s">
        <v>2099</v>
      </c>
      <c r="M290" s="2" t="s">
        <v>634</v>
      </c>
      <c r="N290" s="2" t="s">
        <v>2098</v>
      </c>
      <c r="O290" s="2" t="s">
        <v>2097</v>
      </c>
      <c r="P290" s="2"/>
      <c r="Q290" s="2" t="s">
        <v>2096</v>
      </c>
      <c r="R290" s="2" t="s">
        <v>725</v>
      </c>
      <c r="S290" s="2"/>
      <c r="T290" s="2" t="s">
        <v>2095</v>
      </c>
      <c r="U290" s="2" t="s">
        <v>639</v>
      </c>
      <c r="V290" s="2" t="s">
        <v>0</v>
      </c>
    </row>
    <row r="291" spans="1:22" ht="60" x14ac:dyDescent="0.25">
      <c r="A291" s="6"/>
      <c r="B291" s="10"/>
      <c r="C291" s="2" t="s">
        <v>2088</v>
      </c>
      <c r="D291" s="2" t="s">
        <v>12</v>
      </c>
      <c r="E291" s="1" t="str">
        <f>HYPERLINK("http://www-wds.worldbank.org/external/default/main?menuPK=64187510&amp;pagePK=64193027&amp;piPK=64187937&amp;menuPK=64154159&amp;searchMenuPK=64258546&amp;theSitePK=523679&amp;entityID=000012009_20041006102054","Guyana - Education For All (EFA) Fast Track Intitiative (FTI) Program ")</f>
        <v xml:space="preserve">Guyana - Education For All (EFA) Fast Track Intitiative (FTI) Program </v>
      </c>
      <c r="F291" s="3" t="s">
        <v>2094</v>
      </c>
      <c r="G291" s="2" t="s">
        <v>2093</v>
      </c>
      <c r="H291" s="2" t="s">
        <v>10</v>
      </c>
      <c r="I291" s="2" t="s">
        <v>31</v>
      </c>
      <c r="J291" s="3"/>
      <c r="K291" s="2" t="s">
        <v>21</v>
      </c>
      <c r="L291" s="2" t="s">
        <v>2092</v>
      </c>
      <c r="M291" s="2" t="s">
        <v>634</v>
      </c>
      <c r="N291" s="2" t="s">
        <v>2091</v>
      </c>
      <c r="O291" s="2" t="s">
        <v>27</v>
      </c>
      <c r="P291" s="2"/>
      <c r="Q291" s="2" t="s">
        <v>2090</v>
      </c>
      <c r="R291" s="2" t="s">
        <v>25</v>
      </c>
      <c r="S291" s="2"/>
      <c r="T291" s="2" t="s">
        <v>2089</v>
      </c>
      <c r="U291" s="2" t="s">
        <v>630</v>
      </c>
      <c r="V291" s="2" t="s">
        <v>0</v>
      </c>
    </row>
    <row r="292" spans="1:22" ht="75" x14ac:dyDescent="0.25">
      <c r="A292" s="6"/>
      <c r="B292" s="10"/>
      <c r="C292" s="2" t="s">
        <v>2088</v>
      </c>
      <c r="D292" s="2" t="s">
        <v>12</v>
      </c>
      <c r="E292" s="1" t="str">
        <f>HYPERLINK("http://www-wds.worldbank.org/external/default/main?menuPK=64187510&amp;pagePK=64193027&amp;piPK=64187937&amp;menuPK=64154159&amp;searchMenuPK=64258546&amp;theSitePK=523679&amp;entityID=000090341_20040303100543","Guyana - HIV/AIDS Prevention and Control Project : indigenous peoples plan ")</f>
        <v xml:space="preserve">Guyana - HIV/AIDS Prevention and Control Project : indigenous peoples plan </v>
      </c>
      <c r="F292" s="3" t="s">
        <v>2087</v>
      </c>
      <c r="G292" s="2" t="s">
        <v>2086</v>
      </c>
      <c r="H292" s="2" t="s">
        <v>10</v>
      </c>
      <c r="I292" s="2"/>
      <c r="J292" s="3"/>
      <c r="K292" s="2" t="s">
        <v>109</v>
      </c>
      <c r="L292" s="2" t="s">
        <v>2085</v>
      </c>
      <c r="M292" s="2" t="s">
        <v>634</v>
      </c>
      <c r="N292" s="2" t="s">
        <v>2084</v>
      </c>
      <c r="O292" s="2" t="s">
        <v>489</v>
      </c>
      <c r="P292" s="2"/>
      <c r="Q292" s="2" t="s">
        <v>495</v>
      </c>
      <c r="R292" s="2" t="s">
        <v>487</v>
      </c>
      <c r="S292" s="2"/>
      <c r="T292" s="2" t="s">
        <v>2083</v>
      </c>
      <c r="U292" s="2" t="s">
        <v>684</v>
      </c>
      <c r="V292" s="2" t="s">
        <v>0</v>
      </c>
    </row>
    <row r="293" spans="1:22" ht="60" x14ac:dyDescent="0.25">
      <c r="A293" s="6"/>
      <c r="B293" s="10"/>
      <c r="C293" s="2" t="s">
        <v>1968</v>
      </c>
      <c r="D293" s="2" t="s">
        <v>398</v>
      </c>
      <c r="E293" s="1" t="str">
        <f>HYPERLINK("http://www-wds.worldbank.org/external/default/main?menuPK=64187510&amp;pagePK=64193027&amp;piPK=64187937&amp;menuPK=64154159&amp;searchMenuPK=64258546&amp;theSitePK=523679&amp;entityID=000020953_20110203155043","El Plan de Pueblos Indígenas y Afro Hondureños para el Programa del Bono 10MIL (PPIAH) ")</f>
        <v xml:space="preserve">El Plan de Pueblos Indígenas y Afro Hondureños para el Programa del Bono 10MIL (PPIAH) </v>
      </c>
      <c r="F293" s="3" t="s">
        <v>2082</v>
      </c>
      <c r="G293" s="2" t="s">
        <v>2080</v>
      </c>
      <c r="H293" s="2" t="s">
        <v>10</v>
      </c>
      <c r="I293" s="2"/>
      <c r="J293" s="3"/>
      <c r="K293" s="2" t="s">
        <v>109</v>
      </c>
      <c r="L293" s="2" t="s">
        <v>2079</v>
      </c>
      <c r="M293" s="2" t="s">
        <v>634</v>
      </c>
      <c r="N293" s="2" t="s">
        <v>2078</v>
      </c>
      <c r="O293" s="2" t="s">
        <v>460</v>
      </c>
      <c r="P293" s="2"/>
      <c r="Q293" s="2" t="s">
        <v>2077</v>
      </c>
      <c r="R293" s="2" t="s">
        <v>1259</v>
      </c>
      <c r="S293" s="2"/>
      <c r="T293" s="2"/>
      <c r="U293" s="2" t="s">
        <v>742</v>
      </c>
      <c r="V293" s="2" t="s">
        <v>59</v>
      </c>
    </row>
    <row r="294" spans="1:22" ht="60" x14ac:dyDescent="0.25">
      <c r="A294" s="6"/>
      <c r="B294" s="10"/>
      <c r="C294" s="2" t="s">
        <v>1968</v>
      </c>
      <c r="D294" s="2" t="s">
        <v>12</v>
      </c>
      <c r="E294" s="1" t="str">
        <f>HYPERLINK("http://www-wds.worldbank.org/external/default/main?menuPK=64187510&amp;pagePK=64193027&amp;piPK=64187937&amp;menuPK=64154159&amp;searchMenuPK=64258546&amp;theSitePK=523679&amp;entityID=000334955_20100517081312","Honduras - Social Protection Project : indigenous peoples plan ")</f>
        <v xml:space="preserve">Honduras - Social Protection Project : indigenous peoples plan </v>
      </c>
      <c r="F294" s="3" t="s">
        <v>2081</v>
      </c>
      <c r="G294" s="2" t="s">
        <v>2080</v>
      </c>
      <c r="H294" s="2" t="s">
        <v>10</v>
      </c>
      <c r="I294" s="2"/>
      <c r="J294" s="3"/>
      <c r="K294" s="2" t="s">
        <v>109</v>
      </c>
      <c r="L294" s="2" t="s">
        <v>2079</v>
      </c>
      <c r="M294" s="2" t="s">
        <v>634</v>
      </c>
      <c r="N294" s="2" t="s">
        <v>2078</v>
      </c>
      <c r="O294" s="2" t="s">
        <v>460</v>
      </c>
      <c r="P294" s="2"/>
      <c r="Q294" s="2" t="s">
        <v>2077</v>
      </c>
      <c r="R294" s="2" t="s">
        <v>1259</v>
      </c>
      <c r="S294" s="2"/>
      <c r="T294" s="2"/>
      <c r="U294" s="2" t="s">
        <v>742</v>
      </c>
      <c r="V294" s="2" t="s">
        <v>70</v>
      </c>
    </row>
    <row r="295" spans="1:22" ht="90" x14ac:dyDescent="0.25">
      <c r="A295" s="6"/>
      <c r="B295" s="10"/>
      <c r="C295" s="2" t="s">
        <v>1968</v>
      </c>
      <c r="D295" s="2" t="s">
        <v>398</v>
      </c>
      <c r="E295" s="1" t="str">
        <f>HYPERLINK("http://www-wds.worldbank.org/external/default/main?menuPK=64187510&amp;pagePK=64193027&amp;piPK=64187937&amp;menuPK=64154159&amp;searchMenuPK=64258546&amp;theSitePK=523679&amp;entityID=000334955_20090608061928","Plan de participacion indigena (PPI PATH fase II) ")</f>
        <v xml:space="preserve">Plan de participacion indigena (PPI PATH fase II) </v>
      </c>
      <c r="F295" s="3" t="s">
        <v>2076</v>
      </c>
      <c r="G295" s="2" t="s">
        <v>2075</v>
      </c>
      <c r="H295" s="2" t="s">
        <v>10</v>
      </c>
      <c r="I295" s="2"/>
      <c r="J295" s="3"/>
      <c r="K295" s="2" t="s">
        <v>438</v>
      </c>
      <c r="L295" s="2" t="s">
        <v>2074</v>
      </c>
      <c r="M295" s="2" t="s">
        <v>634</v>
      </c>
      <c r="N295" s="2" t="s">
        <v>2073</v>
      </c>
      <c r="O295" s="2" t="s">
        <v>2072</v>
      </c>
      <c r="P295" s="2"/>
      <c r="Q295" s="2" t="s">
        <v>2071</v>
      </c>
      <c r="R295" s="2" t="s">
        <v>2070</v>
      </c>
      <c r="S295" s="2" t="s">
        <v>2069</v>
      </c>
      <c r="T295" s="2" t="s">
        <v>2068</v>
      </c>
      <c r="U295" s="2" t="s">
        <v>670</v>
      </c>
      <c r="V295" s="2" t="s">
        <v>0</v>
      </c>
    </row>
    <row r="296" spans="1:22" ht="60" x14ac:dyDescent="0.25">
      <c r="A296" s="6"/>
      <c r="B296" s="10"/>
      <c r="C296" s="2" t="s">
        <v>1968</v>
      </c>
      <c r="D296" s="2" t="s">
        <v>12</v>
      </c>
      <c r="E296" s="1" t="str">
        <f>HYPERLINK("http://www-wds.worldbank.org/external/default/main?menuPK=64187510&amp;pagePK=64193027&amp;piPK=64187937&amp;menuPK=64154159&amp;searchMenuPK=64258546&amp;theSitePK=523679&amp;entityID=000333037_20090514051714","Honduras - Improving Access and Quality of Basic Health Care Services Project : indigenous peoples plan ")</f>
        <v xml:space="preserve">Honduras - Improving Access and Quality of Basic Health Care Services Project : indigenous peoples plan </v>
      </c>
      <c r="F296" s="3" t="s">
        <v>2067</v>
      </c>
      <c r="G296" s="2" t="s">
        <v>2066</v>
      </c>
      <c r="H296" s="2" t="s">
        <v>10</v>
      </c>
      <c r="I296" s="2"/>
      <c r="J296" s="3"/>
      <c r="K296" s="2" t="s">
        <v>109</v>
      </c>
      <c r="L296" s="2" t="s">
        <v>2065</v>
      </c>
      <c r="M296" s="2" t="s">
        <v>634</v>
      </c>
      <c r="N296" s="2" t="s">
        <v>2064</v>
      </c>
      <c r="O296" s="2" t="s">
        <v>489</v>
      </c>
      <c r="P296" s="2"/>
      <c r="Q296" s="2" t="s">
        <v>2063</v>
      </c>
      <c r="R296" s="2" t="s">
        <v>2062</v>
      </c>
      <c r="S296" s="2" t="s">
        <v>2061</v>
      </c>
      <c r="T296" s="2"/>
      <c r="U296" s="2" t="s">
        <v>684</v>
      </c>
      <c r="V296" s="2" t="s">
        <v>0</v>
      </c>
    </row>
    <row r="297" spans="1:22" ht="75" x14ac:dyDescent="0.25">
      <c r="A297" s="6"/>
      <c r="B297" s="10"/>
      <c r="C297" s="2" t="s">
        <v>1968</v>
      </c>
      <c r="D297" s="2" t="s">
        <v>398</v>
      </c>
      <c r="E297" s="1" t="str">
        <f>HYPERLINK("http://www-wds.worldbank.org/external/default/main?menuPK=64187510&amp;pagePK=64193027&amp;piPK=64187937&amp;menuPK=64154159&amp;searchMenuPK=64258546&amp;theSitePK=523679&amp;entityID=000333038_20090319010156","Plan de participacion indigena y afrohondurena ")</f>
        <v xml:space="preserve">Plan de participacion indigena y afrohondurena </v>
      </c>
      <c r="F297" s="9">
        <v>39814</v>
      </c>
      <c r="G297" s="2" t="s">
        <v>1983</v>
      </c>
      <c r="H297" s="2" t="s">
        <v>10</v>
      </c>
      <c r="I297" s="2"/>
      <c r="J297" s="3"/>
      <c r="K297" s="2" t="s">
        <v>438</v>
      </c>
      <c r="L297" s="2" t="s">
        <v>1982</v>
      </c>
      <c r="M297" s="2" t="s">
        <v>634</v>
      </c>
      <c r="N297" s="2" t="s">
        <v>1981</v>
      </c>
      <c r="O297" s="2" t="s">
        <v>435</v>
      </c>
      <c r="P297" s="2"/>
      <c r="Q297" s="2" t="s">
        <v>1980</v>
      </c>
      <c r="R297" s="2" t="s">
        <v>1979</v>
      </c>
      <c r="S297" s="2"/>
      <c r="T297" s="2" t="s">
        <v>1978</v>
      </c>
      <c r="U297" s="2" t="s">
        <v>670</v>
      </c>
      <c r="V297" s="2" t="s">
        <v>59</v>
      </c>
    </row>
    <row r="298" spans="1:22" ht="75" x14ac:dyDescent="0.25">
      <c r="A298" s="6"/>
      <c r="B298" s="10"/>
      <c r="C298" s="2" t="s">
        <v>1968</v>
      </c>
      <c r="D298" s="2" t="s">
        <v>398</v>
      </c>
      <c r="E298" s="1" t="str">
        <f>HYPERLINK("http://www-wds.worldbank.org/external/default/main?menuPK=64187510&amp;pagePK=64193027&amp;piPK=64187937&amp;menuPK=64154159&amp;searchMenuPK=64258546&amp;theSitePK=523679&amp;entityID=000011823_20080501163225","Evaluacion social ")</f>
        <v xml:space="preserve">Evaluacion social </v>
      </c>
      <c r="F298" s="9">
        <v>39451</v>
      </c>
      <c r="G298" s="2" t="s">
        <v>2027</v>
      </c>
      <c r="H298" s="2" t="s">
        <v>10</v>
      </c>
      <c r="I298" s="2" t="s">
        <v>2026</v>
      </c>
      <c r="J298" s="3" t="s">
        <v>2025</v>
      </c>
      <c r="K298" s="2" t="s">
        <v>164</v>
      </c>
      <c r="L298" s="2" t="s">
        <v>2024</v>
      </c>
      <c r="M298" s="2" t="s">
        <v>634</v>
      </c>
      <c r="N298" s="2" t="s">
        <v>2023</v>
      </c>
      <c r="O298" s="2" t="s">
        <v>161</v>
      </c>
      <c r="P298" s="2"/>
      <c r="Q298" s="2" t="s">
        <v>2060</v>
      </c>
      <c r="R298" s="2" t="s">
        <v>2059</v>
      </c>
      <c r="S298" s="2" t="s">
        <v>2020</v>
      </c>
      <c r="T298" s="2"/>
      <c r="U298" s="2" t="s">
        <v>655</v>
      </c>
      <c r="V298" s="2" t="s">
        <v>312</v>
      </c>
    </row>
    <row r="299" spans="1:22" ht="75" x14ac:dyDescent="0.25">
      <c r="A299" s="6"/>
      <c r="B299" s="10"/>
      <c r="C299" s="2" t="s">
        <v>1968</v>
      </c>
      <c r="D299" s="2" t="s">
        <v>398</v>
      </c>
      <c r="E299" s="1" t="str">
        <f>HYPERLINK("http://www-wds.worldbank.org/external/default/main?menuPK=64187510&amp;pagePK=64193027&amp;piPK=64187937&amp;menuPK=64154159&amp;searchMenuPK=64258546&amp;theSitePK=523679&amp;entityID=000011823_20080501165350","Tablas : analisis de beneficios y riesgos / marco de actores claves / stockholders ")</f>
        <v xml:space="preserve">Tablas : analisis de beneficios y riesgos / marco de actores claves / stockholders </v>
      </c>
      <c r="F299" s="9">
        <v>39451</v>
      </c>
      <c r="G299" s="2" t="s">
        <v>2027</v>
      </c>
      <c r="H299" s="2" t="s">
        <v>10</v>
      </c>
      <c r="I299" s="2" t="s">
        <v>2026</v>
      </c>
      <c r="J299" s="3" t="s">
        <v>2025</v>
      </c>
      <c r="K299" s="2" t="s">
        <v>164</v>
      </c>
      <c r="L299" s="2" t="s">
        <v>2024</v>
      </c>
      <c r="M299" s="2" t="s">
        <v>634</v>
      </c>
      <c r="N299" s="2" t="s">
        <v>2023</v>
      </c>
      <c r="O299" s="2" t="s">
        <v>161</v>
      </c>
      <c r="P299" s="2"/>
      <c r="Q299" s="2" t="s">
        <v>2058</v>
      </c>
      <c r="R299" s="2" t="s">
        <v>2057</v>
      </c>
      <c r="S299" s="2" t="s">
        <v>2020</v>
      </c>
      <c r="T299" s="2"/>
      <c r="U299" s="2" t="s">
        <v>655</v>
      </c>
      <c r="V299" s="2" t="s">
        <v>344</v>
      </c>
    </row>
    <row r="300" spans="1:22" ht="75" x14ac:dyDescent="0.25">
      <c r="A300" s="6"/>
      <c r="B300" s="10"/>
      <c r="C300" s="2" t="s">
        <v>1968</v>
      </c>
      <c r="D300" s="2" t="s">
        <v>398</v>
      </c>
      <c r="E300" s="1" t="str">
        <f>HYPERLINK("http://www-wds.worldbank.org/external/default/main?menuPK=64187510&amp;pagePK=64193027&amp;piPK=64187937&amp;menuPK=64154159&amp;searchMenuPK=64258546&amp;theSitePK=523679&amp;entityID=000011823_20080501161827","Marco sobre pueblos indigenas ")</f>
        <v xml:space="preserve">Marco sobre pueblos indigenas </v>
      </c>
      <c r="F300" s="9">
        <v>39450</v>
      </c>
      <c r="G300" s="2" t="s">
        <v>2027</v>
      </c>
      <c r="H300" s="2" t="s">
        <v>10</v>
      </c>
      <c r="I300" s="2" t="s">
        <v>2026</v>
      </c>
      <c r="J300" s="3" t="s">
        <v>2025</v>
      </c>
      <c r="K300" s="2" t="s">
        <v>164</v>
      </c>
      <c r="L300" s="2" t="s">
        <v>2024</v>
      </c>
      <c r="M300" s="2" t="s">
        <v>634</v>
      </c>
      <c r="N300" s="2" t="s">
        <v>2023</v>
      </c>
      <c r="O300" s="2" t="s">
        <v>161</v>
      </c>
      <c r="P300" s="2"/>
      <c r="Q300" s="2" t="s">
        <v>2056</v>
      </c>
      <c r="R300" s="2" t="s">
        <v>2055</v>
      </c>
      <c r="S300" s="2" t="s">
        <v>2020</v>
      </c>
      <c r="T300" s="2"/>
      <c r="U300" s="2" t="s">
        <v>655</v>
      </c>
      <c r="V300" s="2" t="s">
        <v>347</v>
      </c>
    </row>
    <row r="301" spans="1:22" ht="105" x14ac:dyDescent="0.25">
      <c r="A301" s="6"/>
      <c r="B301" s="10"/>
      <c r="C301" s="2" t="s">
        <v>1968</v>
      </c>
      <c r="D301" s="2" t="s">
        <v>398</v>
      </c>
      <c r="E301" s="1" t="str">
        <f>HYPERLINK("http://www-wds.worldbank.org/external/default/main?menuPK=64187510&amp;pagePK=64193027&amp;piPK=64187937&amp;menuPK=64154159&amp;searchMenuPK=64258546&amp;theSitePK=523679&amp;entityID=000333037_20090525235142","Informe final de la consultoria ")</f>
        <v xml:space="preserve">Informe final de la consultoria </v>
      </c>
      <c r="F301" s="9">
        <v>39093</v>
      </c>
      <c r="G301" s="2" t="s">
        <v>1976</v>
      </c>
      <c r="H301" s="2" t="s">
        <v>10</v>
      </c>
      <c r="I301" s="2"/>
      <c r="J301" s="3"/>
      <c r="K301" s="2" t="s">
        <v>1975</v>
      </c>
      <c r="L301" s="2" t="s">
        <v>1974</v>
      </c>
      <c r="M301" s="2" t="s">
        <v>634</v>
      </c>
      <c r="N301" s="2" t="s">
        <v>1973</v>
      </c>
      <c r="O301" s="2" t="s">
        <v>1972</v>
      </c>
      <c r="P301" s="2"/>
      <c r="Q301" s="2" t="s">
        <v>1971</v>
      </c>
      <c r="R301" s="2" t="s">
        <v>1970</v>
      </c>
      <c r="S301" s="2"/>
      <c r="T301" s="2" t="s">
        <v>1969</v>
      </c>
      <c r="U301" s="2" t="s">
        <v>648</v>
      </c>
      <c r="V301" s="2" t="s">
        <v>59</v>
      </c>
    </row>
    <row r="302" spans="1:22" ht="90" x14ac:dyDescent="0.25">
      <c r="A302" s="6"/>
      <c r="B302" s="10"/>
      <c r="C302" s="2" t="s">
        <v>1968</v>
      </c>
      <c r="D302" s="2" t="s">
        <v>398</v>
      </c>
      <c r="E302" s="1" t="str">
        <f>HYPERLINK("http://www-wds.worldbank.org/external/default/main?menuPK=64187510&amp;pagePK=64193027&amp;piPK=64187937&amp;menuPK=64154159&amp;searchMenuPK=64258546&amp;theSitePK=523679&amp;entityID=000160016_20080922154842","Honduras - Programa de competitividad rural comrural : evaluacion social ")</f>
        <v xml:space="preserve">Honduras - Programa de competitividad rural comrural : evaluacion social </v>
      </c>
      <c r="F302" s="9">
        <v>39093</v>
      </c>
      <c r="G302" s="2" t="s">
        <v>2054</v>
      </c>
      <c r="H302" s="2" t="s">
        <v>10</v>
      </c>
      <c r="I302" s="2" t="s">
        <v>2053</v>
      </c>
      <c r="J302" s="3"/>
      <c r="K302" s="2" t="s">
        <v>1960</v>
      </c>
      <c r="L302" s="2" t="s">
        <v>2052</v>
      </c>
      <c r="M302" s="2" t="s">
        <v>634</v>
      </c>
      <c r="N302" s="2" t="s">
        <v>2051</v>
      </c>
      <c r="O302" s="2" t="s">
        <v>2050</v>
      </c>
      <c r="P302" s="2"/>
      <c r="Q302" s="2" t="s">
        <v>2049</v>
      </c>
      <c r="R302" s="2" t="s">
        <v>2048</v>
      </c>
      <c r="S302" s="2" t="s">
        <v>2047</v>
      </c>
      <c r="T302" s="2" t="s">
        <v>2046</v>
      </c>
      <c r="U302" s="2" t="s">
        <v>670</v>
      </c>
      <c r="V302" s="2" t="s">
        <v>0</v>
      </c>
    </row>
    <row r="303" spans="1:22" ht="60" x14ac:dyDescent="0.25">
      <c r="A303" s="6"/>
      <c r="B303" s="10"/>
      <c r="C303" s="2" t="s">
        <v>1968</v>
      </c>
      <c r="D303" s="2" t="s">
        <v>12</v>
      </c>
      <c r="E303" s="1" t="str">
        <f>HYPERLINK("http://www-wds.worldbank.org/external/default/main?menuPK=64187510&amp;pagePK=64193027&amp;piPK=64187937&amp;menuPK=64154159&amp;searchMenuPK=64258546&amp;theSitePK=523679&amp;entityID=000020439_20070814143048","Honduras - Education Project ")</f>
        <v xml:space="preserve">Honduras - Education Project </v>
      </c>
      <c r="F303" s="9">
        <v>39302</v>
      </c>
      <c r="G303" s="2" t="s">
        <v>2045</v>
      </c>
      <c r="H303" s="2" t="s">
        <v>10</v>
      </c>
      <c r="I303" s="2"/>
      <c r="J303" s="3"/>
      <c r="K303" s="2" t="s">
        <v>21</v>
      </c>
      <c r="L303" s="2" t="s">
        <v>2044</v>
      </c>
      <c r="M303" s="2" t="s">
        <v>634</v>
      </c>
      <c r="N303" s="2" t="s">
        <v>2043</v>
      </c>
      <c r="O303" s="2" t="s">
        <v>2042</v>
      </c>
      <c r="P303" s="2"/>
      <c r="Q303" s="2" t="s">
        <v>2041</v>
      </c>
      <c r="R303" s="2" t="s">
        <v>21</v>
      </c>
      <c r="S303" s="2"/>
      <c r="T303" s="2"/>
      <c r="U303" s="2" t="s">
        <v>630</v>
      </c>
      <c r="V303" s="2" t="s">
        <v>0</v>
      </c>
    </row>
    <row r="304" spans="1:22" ht="75" x14ac:dyDescent="0.25">
      <c r="A304" s="6"/>
      <c r="B304" s="10"/>
      <c r="C304" s="2" t="s">
        <v>1968</v>
      </c>
      <c r="D304" s="2" t="s">
        <v>398</v>
      </c>
      <c r="E304" s="1" t="str">
        <f>HYPERLINK("http://www-wds.worldbank.org/external/default/main?menuPK=64187510&amp;pagePK=64193027&amp;piPK=64187937&amp;menuPK=64154159&amp;searchMenuPK=64258546&amp;theSitePK=523679&amp;entityID=000020953_20070518120941","Honduras - Proyecto Mitigacion de Desastres Naturales : indigenous peoples plan ")</f>
        <v xml:space="preserve">Honduras - Proyecto Mitigacion de Desastres Naturales : indigenous peoples plan </v>
      </c>
      <c r="F304" s="9">
        <v>39146</v>
      </c>
      <c r="G304" s="2" t="s">
        <v>2040</v>
      </c>
      <c r="H304" s="2" t="s">
        <v>10</v>
      </c>
      <c r="I304" s="2" t="s">
        <v>2039</v>
      </c>
      <c r="J304" s="3"/>
      <c r="K304" s="2" t="s">
        <v>128</v>
      </c>
      <c r="L304" s="2" t="s">
        <v>2038</v>
      </c>
      <c r="M304" s="2" t="s">
        <v>634</v>
      </c>
      <c r="N304" s="2" t="s">
        <v>2037</v>
      </c>
      <c r="O304" s="2" t="s">
        <v>2036</v>
      </c>
      <c r="P304" s="2"/>
      <c r="Q304" s="2" t="s">
        <v>2035</v>
      </c>
      <c r="R304" s="2" t="s">
        <v>2034</v>
      </c>
      <c r="S304" s="2"/>
      <c r="T304" s="2"/>
      <c r="U304" s="2" t="s">
        <v>706</v>
      </c>
      <c r="V304" s="2" t="s">
        <v>0</v>
      </c>
    </row>
    <row r="305" spans="1:22" ht="90" x14ac:dyDescent="0.25">
      <c r="A305" s="6"/>
      <c r="B305" s="10"/>
      <c r="C305" s="2" t="s">
        <v>1968</v>
      </c>
      <c r="D305" s="2" t="s">
        <v>398</v>
      </c>
      <c r="E305" s="1" t="str">
        <f>HYPERLINK("http://www-wds.worldbank.org/external/default/main?menuPK=64187510&amp;pagePK=64193027&amp;piPK=64187937&amp;menuPK=64154159&amp;searchMenuPK=64258546&amp;theSitePK=523679&amp;entityID=000011823_20070725175352","Marco de politicas de comunidades indígenas y afrohondurenas ")</f>
        <v xml:space="preserve">Marco de politicas de comunidades indígenas y afrohondurenas </v>
      </c>
      <c r="F305" s="9">
        <v>39087</v>
      </c>
      <c r="G305" s="2" t="s">
        <v>2033</v>
      </c>
      <c r="H305" s="2" t="s">
        <v>10</v>
      </c>
      <c r="I305" s="2"/>
      <c r="J305" s="3"/>
      <c r="K305" s="2" t="s">
        <v>128</v>
      </c>
      <c r="L305" s="2" t="s">
        <v>2032</v>
      </c>
      <c r="M305" s="2" t="s">
        <v>634</v>
      </c>
      <c r="N305" s="2" t="s">
        <v>2031</v>
      </c>
      <c r="O305" s="2" t="s">
        <v>125</v>
      </c>
      <c r="P305" s="2"/>
      <c r="Q305" s="2" t="s">
        <v>2030</v>
      </c>
      <c r="R305" s="2" t="s">
        <v>2029</v>
      </c>
      <c r="S305" s="2"/>
      <c r="T305" s="2" t="s">
        <v>2028</v>
      </c>
      <c r="U305" s="2" t="s">
        <v>706</v>
      </c>
      <c r="V305" s="2" t="s">
        <v>0</v>
      </c>
    </row>
    <row r="306" spans="1:22" ht="60" x14ac:dyDescent="0.25">
      <c r="A306" s="6"/>
      <c r="B306" s="10"/>
      <c r="C306" s="2" t="s">
        <v>1968</v>
      </c>
      <c r="D306" s="2" t="s">
        <v>398</v>
      </c>
      <c r="E306" s="1" t="str">
        <f>HYPERLINK("http://www-wds.worldbank.org/external/default/main?menuPK=64187510&amp;pagePK=64193027&amp;piPK=64187937&amp;menuPK=64154159&amp;searchMenuPK=64258546&amp;theSitePK=523679&amp;entityID=000011823_20080501164125","Marco de reasentamiento involuntario ")</f>
        <v xml:space="preserve">Marco de reasentamiento involuntario </v>
      </c>
      <c r="F306" s="9">
        <v>39085</v>
      </c>
      <c r="G306" s="2" t="s">
        <v>2027</v>
      </c>
      <c r="H306" s="2" t="s">
        <v>10</v>
      </c>
      <c r="I306" s="2" t="s">
        <v>2026</v>
      </c>
      <c r="J306" s="3" t="s">
        <v>2025</v>
      </c>
      <c r="K306" s="2" t="s">
        <v>164</v>
      </c>
      <c r="L306" s="2" t="s">
        <v>2024</v>
      </c>
      <c r="M306" s="2" t="s">
        <v>634</v>
      </c>
      <c r="N306" s="2" t="s">
        <v>2023</v>
      </c>
      <c r="O306" s="2" t="s">
        <v>161</v>
      </c>
      <c r="P306" s="2"/>
      <c r="Q306" s="2" t="s">
        <v>2022</v>
      </c>
      <c r="R306" s="2" t="s">
        <v>2021</v>
      </c>
      <c r="S306" s="2" t="s">
        <v>2020</v>
      </c>
      <c r="T306" s="2"/>
      <c r="U306" s="2" t="s">
        <v>655</v>
      </c>
      <c r="V306" s="2" t="s">
        <v>308</v>
      </c>
    </row>
    <row r="307" spans="1:22" ht="45" x14ac:dyDescent="0.25">
      <c r="A307" s="6"/>
      <c r="B307" s="10"/>
      <c r="C307" s="2" t="s">
        <v>1968</v>
      </c>
      <c r="D307" s="2" t="s">
        <v>398</v>
      </c>
      <c r="E307" s="1" t="str">
        <f>HYPERLINK("http://www-wds.worldbank.org/external/default/main?menuPK=64187510&amp;pagePK=64193027&amp;piPK=64187937&amp;menuPK=64154159&amp;searchMenuPK=64258546&amp;theSitePK=523679&amp;entityID=000090341_20061208093604","Honduras - Water and Sanitation Output-Based Aid Project : indigenous peoples plan ")</f>
        <v xml:space="preserve">Honduras - Water and Sanitation Output-Based Aid Project : indigenous peoples plan </v>
      </c>
      <c r="F307" s="9">
        <v>38727</v>
      </c>
      <c r="G307" s="2" t="s">
        <v>2019</v>
      </c>
      <c r="H307" s="2" t="s">
        <v>10</v>
      </c>
      <c r="I307" s="2"/>
      <c r="J307" s="3"/>
      <c r="K307" s="2" t="s">
        <v>145</v>
      </c>
      <c r="L307" s="2" t="s">
        <v>2018</v>
      </c>
      <c r="M307" s="2" t="s">
        <v>634</v>
      </c>
      <c r="N307" s="2" t="s">
        <v>2017</v>
      </c>
      <c r="O307" s="2" t="s">
        <v>771</v>
      </c>
      <c r="P307" s="2"/>
      <c r="Q307" s="2"/>
      <c r="R307" s="2"/>
      <c r="S307" s="2"/>
      <c r="T307" s="2" t="s">
        <v>2016</v>
      </c>
      <c r="U307" s="2" t="s">
        <v>2015</v>
      </c>
      <c r="V307" s="2" t="s">
        <v>0</v>
      </c>
    </row>
    <row r="308" spans="1:22" ht="45" x14ac:dyDescent="0.25">
      <c r="A308" s="6"/>
      <c r="B308" s="10"/>
      <c r="C308" s="2" t="s">
        <v>1968</v>
      </c>
      <c r="D308" s="2" t="s">
        <v>398</v>
      </c>
      <c r="E308" s="1" t="str">
        <f>HYPERLINK("http://www-wds.worldbank.org/external/default/main?menuPK=64187510&amp;pagePK=64193027&amp;piPK=64187937&amp;menuPK=64154159&amp;searchMenuPK=64258546&amp;theSitePK=523679&amp;entityID=000090341_20060711094011","Honduras - Pico Bonito Sustainable Forests Project : indigenous peoples plan ")</f>
        <v xml:space="preserve">Honduras - Pico Bonito Sustainable Forests Project : indigenous peoples plan </v>
      </c>
      <c r="F308" s="9">
        <v>38722</v>
      </c>
      <c r="G308" s="2" t="s">
        <v>2014</v>
      </c>
      <c r="H308" s="2" t="s">
        <v>10</v>
      </c>
      <c r="I308" s="2"/>
      <c r="J308" s="3"/>
      <c r="K308" s="2" t="s">
        <v>8</v>
      </c>
      <c r="L308" s="2" t="s">
        <v>2013</v>
      </c>
      <c r="M308" s="2" t="s">
        <v>634</v>
      </c>
      <c r="N308" s="2" t="s">
        <v>2012</v>
      </c>
      <c r="O308" s="2" t="s">
        <v>50</v>
      </c>
      <c r="P308" s="2"/>
      <c r="Q308" s="2" t="s">
        <v>2011</v>
      </c>
      <c r="R308" s="2"/>
      <c r="S308" s="2"/>
      <c r="T308" s="2" t="s">
        <v>2010</v>
      </c>
      <c r="U308" s="2" t="s">
        <v>639</v>
      </c>
      <c r="V308" s="2" t="s">
        <v>0</v>
      </c>
    </row>
    <row r="309" spans="1:22" ht="105" x14ac:dyDescent="0.25">
      <c r="A309" s="6"/>
      <c r="B309" s="10"/>
      <c r="C309" s="2" t="s">
        <v>1968</v>
      </c>
      <c r="D309" s="2" t="s">
        <v>12</v>
      </c>
      <c r="E309" s="1" t="str">
        <f>HYPERLINK("http://www-wds.worldbank.org/external/default/main?menuPK=64187510&amp;pagePK=64193027&amp;piPK=64187937&amp;menuPK=64154159&amp;searchMenuPK=64258546&amp;theSitePK=523679&amp;entityID=000011823_20050523172856","Honduras - Judicial Branch Modernization Project : indigenous peoples plan ")</f>
        <v xml:space="preserve">Honduras - Judicial Branch Modernization Project : indigenous peoples plan </v>
      </c>
      <c r="F309" s="9">
        <v>38357</v>
      </c>
      <c r="G309" s="2" t="s">
        <v>2009</v>
      </c>
      <c r="H309" s="2" t="s">
        <v>10</v>
      </c>
      <c r="I309" s="2"/>
      <c r="J309" s="3"/>
      <c r="K309" s="2" t="s">
        <v>1124</v>
      </c>
      <c r="L309" s="2" t="s">
        <v>2008</v>
      </c>
      <c r="M309" s="2" t="s">
        <v>634</v>
      </c>
      <c r="N309" s="2" t="s">
        <v>2007</v>
      </c>
      <c r="O309" s="2" t="s">
        <v>2006</v>
      </c>
      <c r="P309" s="2"/>
      <c r="Q309" s="2" t="s">
        <v>2005</v>
      </c>
      <c r="R309" s="2" t="s">
        <v>21</v>
      </c>
      <c r="S309" s="2"/>
      <c r="T309" s="2" t="s">
        <v>2004</v>
      </c>
      <c r="U309" s="2" t="s">
        <v>2003</v>
      </c>
      <c r="V309" s="2" t="s">
        <v>0</v>
      </c>
    </row>
    <row r="310" spans="1:22" ht="60" x14ac:dyDescent="0.25">
      <c r="A310" s="6"/>
      <c r="B310" s="10"/>
      <c r="C310" s="2" t="s">
        <v>1968</v>
      </c>
      <c r="D310" s="2" t="s">
        <v>12</v>
      </c>
      <c r="E310" s="1" t="str">
        <f>HYPERLINK("http://www-wds.worldbank.org/external/default/main?menuPK=64187510&amp;pagePK=64193027&amp;piPK=64187937&amp;menuPK=64154159&amp;searchMenuPK=64258546&amp;theSitePK=523679&amp;entityID=000011823_20050531114319","Honduras - Nutrition and Social Protection Project : indigenous peoples plan ")</f>
        <v xml:space="preserve">Honduras - Nutrition and Social Protection Project : indigenous peoples plan </v>
      </c>
      <c r="F310" s="9">
        <v>38357</v>
      </c>
      <c r="G310" s="2" t="s">
        <v>2002</v>
      </c>
      <c r="H310" s="2" t="s">
        <v>10</v>
      </c>
      <c r="I310" s="2" t="s">
        <v>31</v>
      </c>
      <c r="J310" s="3"/>
      <c r="K310" s="2" t="s">
        <v>2001</v>
      </c>
      <c r="L310" s="2" t="s">
        <v>2000</v>
      </c>
      <c r="M310" s="2" t="s">
        <v>634</v>
      </c>
      <c r="N310" s="2" t="s">
        <v>1999</v>
      </c>
      <c r="O310" s="2" t="s">
        <v>1998</v>
      </c>
      <c r="P310" s="2"/>
      <c r="Q310" s="2" t="s">
        <v>1997</v>
      </c>
      <c r="R310" s="2" t="s">
        <v>25</v>
      </c>
      <c r="S310" s="2"/>
      <c r="T310" s="2" t="s">
        <v>1996</v>
      </c>
      <c r="U310" s="2" t="s">
        <v>742</v>
      </c>
      <c r="V310" s="2" t="s">
        <v>0</v>
      </c>
    </row>
    <row r="311" spans="1:22" ht="90" x14ac:dyDescent="0.25">
      <c r="A311" s="6"/>
      <c r="B311" s="10"/>
      <c r="C311" s="2" t="s">
        <v>1968</v>
      </c>
      <c r="D311" s="2" t="s">
        <v>398</v>
      </c>
      <c r="E311" s="1" t="str">
        <f>HYPERLINK("http://www-wds.worldbank.org/external/default/main?menuPK=64187510&amp;pagePK=64193027&amp;piPK=64187937&amp;menuPK=64154159&amp;searchMenuPK=64258546&amp;theSitePK=523679&amp;entityID=000011823_20050414162346","Marco de politicas sobre comunidades etnicas ")</f>
        <v xml:space="preserve">Marco de politicas sobre comunidades etnicas </v>
      </c>
      <c r="F311" s="9">
        <v>37998</v>
      </c>
      <c r="G311" s="2" t="s">
        <v>1995</v>
      </c>
      <c r="H311" s="2" t="s">
        <v>10</v>
      </c>
      <c r="I311" s="2" t="s">
        <v>1994</v>
      </c>
      <c r="J311" s="3"/>
      <c r="K311" s="2" t="s">
        <v>1212</v>
      </c>
      <c r="L311" s="2" t="s">
        <v>1993</v>
      </c>
      <c r="M311" s="2" t="s">
        <v>634</v>
      </c>
      <c r="N311" s="2" t="s">
        <v>1992</v>
      </c>
      <c r="O311" s="2" t="s">
        <v>1209</v>
      </c>
      <c r="P311" s="2"/>
      <c r="Q311" s="2"/>
      <c r="R311" s="2"/>
      <c r="S311" s="2"/>
      <c r="T311" s="2" t="s">
        <v>1991</v>
      </c>
      <c r="U311" s="2" t="s">
        <v>1990</v>
      </c>
      <c r="V311" s="2" t="s">
        <v>0</v>
      </c>
    </row>
    <row r="312" spans="1:22" ht="135" x14ac:dyDescent="0.25">
      <c r="A312" s="6"/>
      <c r="B312" s="10"/>
      <c r="C312" s="2" t="s">
        <v>1968</v>
      </c>
      <c r="D312" s="2" t="s">
        <v>398</v>
      </c>
      <c r="E312" s="1" t="str">
        <f>HYPERLINK("http://www-wds.worldbank.org/external/default/main?menuPK=64187510&amp;pagePK=64193027&amp;piPK=64187937&amp;menuPK=64154159&amp;searchMenuPK=64258546&amp;theSitePK=523679&amp;entityID=000012009_20040202155809","Honduras - Forests and Rural Productivity Project : indigenous peoples plan ")</f>
        <v xml:space="preserve">Honduras - Forests and Rural Productivity Project : indigenous peoples plan </v>
      </c>
      <c r="F312" s="3" t="s">
        <v>1989</v>
      </c>
      <c r="G312" s="2" t="s">
        <v>1988</v>
      </c>
      <c r="H312" s="2" t="s">
        <v>10</v>
      </c>
      <c r="I312" s="2" t="s">
        <v>31</v>
      </c>
      <c r="J312" s="3"/>
      <c r="K312" s="2" t="s">
        <v>8</v>
      </c>
      <c r="L312" s="2" t="s">
        <v>1987</v>
      </c>
      <c r="M312" s="2" t="s">
        <v>634</v>
      </c>
      <c r="N312" s="2" t="s">
        <v>1986</v>
      </c>
      <c r="O312" s="2" t="s">
        <v>4</v>
      </c>
      <c r="P312" s="2"/>
      <c r="Q312" s="2"/>
      <c r="R312" s="2"/>
      <c r="S312" s="2"/>
      <c r="T312" s="2" t="s">
        <v>1985</v>
      </c>
      <c r="U312" s="2" t="s">
        <v>670</v>
      </c>
      <c r="V312" s="2" t="s">
        <v>0</v>
      </c>
    </row>
    <row r="313" spans="1:22" ht="75" x14ac:dyDescent="0.25">
      <c r="A313" s="6"/>
      <c r="B313" s="10"/>
      <c r="C313" s="2" t="s">
        <v>1968</v>
      </c>
      <c r="D313" s="2" t="s">
        <v>398</v>
      </c>
      <c r="E313" s="1" t="str">
        <f>HYPERLINK("http://www-wds.worldbank.org/external/default/main?menuPK=64187510&amp;pagePK=64193027&amp;piPK=64187937&amp;menuPK=64154159&amp;searchMenuPK=64258546&amp;theSitePK=523679&amp;entityID=000012009_20040204135909","Plan de desarrollo indigena (administracion de tierras) ")</f>
        <v xml:space="preserve">Plan de desarrollo indigena (administracion de tierras) </v>
      </c>
      <c r="F313" s="3" t="s">
        <v>1984</v>
      </c>
      <c r="G313" s="2" t="s">
        <v>1983</v>
      </c>
      <c r="H313" s="2" t="s">
        <v>10</v>
      </c>
      <c r="I313" s="2"/>
      <c r="J313" s="3"/>
      <c r="K313" s="2" t="s">
        <v>438</v>
      </c>
      <c r="L313" s="2" t="s">
        <v>1982</v>
      </c>
      <c r="M313" s="2" t="s">
        <v>634</v>
      </c>
      <c r="N313" s="2" t="s">
        <v>1981</v>
      </c>
      <c r="O313" s="2" t="s">
        <v>435</v>
      </c>
      <c r="P313" s="2"/>
      <c r="Q313" s="2" t="s">
        <v>1980</v>
      </c>
      <c r="R313" s="2" t="s">
        <v>1979</v>
      </c>
      <c r="S313" s="2"/>
      <c r="T313" s="2" t="s">
        <v>1978</v>
      </c>
      <c r="U313" s="2" t="s">
        <v>670</v>
      </c>
      <c r="V313" s="2" t="s">
        <v>70</v>
      </c>
    </row>
    <row r="314" spans="1:22" ht="105" x14ac:dyDescent="0.25">
      <c r="A314" s="6"/>
      <c r="B314" s="10"/>
      <c r="C314" s="2" t="s">
        <v>1968</v>
      </c>
      <c r="D314" s="2" t="s">
        <v>12</v>
      </c>
      <c r="E314" s="1" t="str">
        <f>HYPERLINK("http://www-wds.worldbank.org/external/default/main?menuPK=64187510&amp;pagePK=64193027&amp;piPK=64187937&amp;menuPK=64154159&amp;searchMenuPK=64258546&amp;theSitePK=523679&amp;entityID=000094946_03082304104390","Framework for interventions with indigenous and Afro-Caribbean communities ")</f>
        <v xml:space="preserve">Framework for interventions with indigenous and Afro-Caribbean communities </v>
      </c>
      <c r="F314" s="3" t="s">
        <v>1977</v>
      </c>
      <c r="G314" s="2" t="s">
        <v>1976</v>
      </c>
      <c r="H314" s="2" t="s">
        <v>10</v>
      </c>
      <c r="I314" s="2"/>
      <c r="J314" s="3"/>
      <c r="K314" s="2" t="s">
        <v>1975</v>
      </c>
      <c r="L314" s="2" t="s">
        <v>1974</v>
      </c>
      <c r="M314" s="2" t="s">
        <v>634</v>
      </c>
      <c r="N314" s="2" t="s">
        <v>1973</v>
      </c>
      <c r="O314" s="2" t="s">
        <v>1972</v>
      </c>
      <c r="P314" s="2"/>
      <c r="Q314" s="2" t="s">
        <v>1971</v>
      </c>
      <c r="R314" s="2" t="s">
        <v>1970</v>
      </c>
      <c r="S314" s="2"/>
      <c r="T314" s="2" t="s">
        <v>1969</v>
      </c>
      <c r="U314" s="2" t="s">
        <v>648</v>
      </c>
      <c r="V314" s="2" t="s">
        <v>70</v>
      </c>
    </row>
    <row r="315" spans="1:22" ht="75" x14ac:dyDescent="0.25">
      <c r="A315" s="6"/>
      <c r="B315" s="10"/>
      <c r="C315" s="2" t="s">
        <v>1968</v>
      </c>
      <c r="D315" s="2" t="s">
        <v>12</v>
      </c>
      <c r="E315" s="1" t="str">
        <f>HYPERLINK("http://www-wds.worldbank.org/external/default/main?menuPK=64187510&amp;pagePK=64193027&amp;piPK=64187937&amp;menuPK=64154159&amp;searchMenuPK=64258546&amp;theSitePK=523679&amp;entityID=000094946_02051004110033","Honduras - Health System Reform Project : indigenous peoples development plan ")</f>
        <v xml:space="preserve">Honduras - Health System Reform Project : indigenous peoples development plan </v>
      </c>
      <c r="F315" s="3" t="s">
        <v>1324</v>
      </c>
      <c r="G315" s="2" t="s">
        <v>1967</v>
      </c>
      <c r="H315" s="2" t="s">
        <v>10</v>
      </c>
      <c r="I315" s="2"/>
      <c r="J315" s="3"/>
      <c r="K315" s="2" t="s">
        <v>1541</v>
      </c>
      <c r="L315" s="2" t="s">
        <v>1966</v>
      </c>
      <c r="M315" s="2" t="s">
        <v>634</v>
      </c>
      <c r="N315" s="2" t="s">
        <v>1965</v>
      </c>
      <c r="O315" s="2" t="s">
        <v>1964</v>
      </c>
      <c r="P315" s="2"/>
      <c r="Q315" s="2" t="s">
        <v>1963</v>
      </c>
      <c r="R315" s="2" t="s">
        <v>487</v>
      </c>
      <c r="S315" s="2"/>
      <c r="T315" s="2" t="s">
        <v>1962</v>
      </c>
      <c r="U315" s="2" t="s">
        <v>684</v>
      </c>
      <c r="V315" s="2">
        <v>1</v>
      </c>
    </row>
    <row r="316" spans="1:22" ht="105" x14ac:dyDescent="0.25">
      <c r="A316" s="6"/>
      <c r="B316" s="10"/>
      <c r="C316" s="2" t="s">
        <v>1673</v>
      </c>
      <c r="D316" s="2" t="s">
        <v>12</v>
      </c>
      <c r="E316" s="1" t="str">
        <f>HYPERLINK("http://www-wds.worldbank.org/external/default/main?menuPK=64187510&amp;pagePK=64193027&amp;piPK=64187937&amp;menuPK=64154159&amp;searchMenuPK=64258546&amp;theSitePK=523679&amp;entityID=000356161_20110223031520","India - National Rural Livelihood Project : social assessment report ")</f>
        <v xml:space="preserve">India - National Rural Livelihood Project : social assessment report </v>
      </c>
      <c r="F316" s="9">
        <v>40545</v>
      </c>
      <c r="G316" s="2" t="s">
        <v>1961</v>
      </c>
      <c r="H316" s="2" t="s">
        <v>10</v>
      </c>
      <c r="I316" s="2"/>
      <c r="J316" s="3"/>
      <c r="K316" s="2" t="s">
        <v>1960</v>
      </c>
      <c r="L316" s="2" t="s">
        <v>1959</v>
      </c>
      <c r="M316" s="2" t="s">
        <v>415</v>
      </c>
      <c r="N316" s="2" t="s">
        <v>1958</v>
      </c>
      <c r="O316" s="2" t="s">
        <v>1957</v>
      </c>
      <c r="P316" s="2"/>
      <c r="Q316" s="2" t="s">
        <v>1956</v>
      </c>
      <c r="R316" s="2" t="s">
        <v>1955</v>
      </c>
      <c r="S316" s="2"/>
      <c r="T316" s="2" t="s">
        <v>1954</v>
      </c>
      <c r="U316" s="2" t="s">
        <v>1038</v>
      </c>
      <c r="V316" s="2" t="s">
        <v>0</v>
      </c>
    </row>
    <row r="317" spans="1:22" ht="90" x14ac:dyDescent="0.25">
      <c r="A317" s="6"/>
      <c r="B317" s="10"/>
      <c r="C317" s="2" t="s">
        <v>1673</v>
      </c>
      <c r="D317" s="2" t="s">
        <v>12</v>
      </c>
      <c r="E317" s="1" t="str">
        <f>HYPERLINK("http://www-wds.worldbank.org/external/default/main?menuPK=64187510&amp;pagePK=64193027&amp;piPK=64187937&amp;menuPK=64154159&amp;searchMenuPK=64258546&amp;theSitePK=523679&amp;entityID=000333037_20110211003604","India - National Ganga River Basin Project : indigenous peoples plan ")</f>
        <v xml:space="preserve">India - National Ganga River Basin Project : indigenous peoples plan </v>
      </c>
      <c r="F317" s="9">
        <v>40544</v>
      </c>
      <c r="G317" s="2" t="s">
        <v>1953</v>
      </c>
      <c r="H317" s="2" t="s">
        <v>10</v>
      </c>
      <c r="I317" s="2"/>
      <c r="J317" s="3"/>
      <c r="K317" s="2" t="s">
        <v>128</v>
      </c>
      <c r="L317" s="2" t="s">
        <v>1952</v>
      </c>
      <c r="M317" s="2" t="s">
        <v>415</v>
      </c>
      <c r="N317" s="2" t="s">
        <v>1951</v>
      </c>
      <c r="O317" s="2" t="s">
        <v>1950</v>
      </c>
      <c r="P317" s="2"/>
      <c r="Q317" s="2" t="s">
        <v>1949</v>
      </c>
      <c r="R317" s="2" t="s">
        <v>792</v>
      </c>
      <c r="S317" s="2"/>
      <c r="T317" s="2" t="s">
        <v>1948</v>
      </c>
      <c r="U317" s="2" t="s">
        <v>427</v>
      </c>
      <c r="V317" s="2" t="s">
        <v>0</v>
      </c>
    </row>
    <row r="318" spans="1:22" ht="60" x14ac:dyDescent="0.25">
      <c r="A318" s="6"/>
      <c r="B318" s="10"/>
      <c r="C318" s="2" t="s">
        <v>1673</v>
      </c>
      <c r="D318" s="2" t="s">
        <v>12</v>
      </c>
      <c r="E318" s="1" t="str">
        <f>HYPERLINK("http://www-wds.worldbank.org/external/default/main?menuPK=64187510&amp;pagePK=64193027&amp;piPK=64187937&amp;menuPK=64154159&amp;searchMenuPK=64258546&amp;theSitePK=523679&amp;entityID=000334955_20101110031330","India - Pradhan Mantri Gram Sadak Yojana (PMGSY) Second Rural Roads Project : indigenous peoples planning framework ")</f>
        <v xml:space="preserve">India - Pradhan Mantri Gram Sadak Yojana (PMGSY) Second Rural Roads Project : indigenous peoples planning framework </v>
      </c>
      <c r="F318" s="9">
        <v>40339</v>
      </c>
      <c r="G318" s="2" t="s">
        <v>1947</v>
      </c>
      <c r="H318" s="2" t="s">
        <v>10</v>
      </c>
      <c r="I318" s="2"/>
      <c r="J318" s="3"/>
      <c r="K318" s="2" t="s">
        <v>164</v>
      </c>
      <c r="L318" s="2" t="s">
        <v>1946</v>
      </c>
      <c r="M318" s="2" t="s">
        <v>415</v>
      </c>
      <c r="N318" s="2" t="s">
        <v>1945</v>
      </c>
      <c r="O318" s="2" t="s">
        <v>161</v>
      </c>
      <c r="P318" s="2"/>
      <c r="Q318" s="2" t="s">
        <v>1944</v>
      </c>
      <c r="R318" s="2" t="s">
        <v>1943</v>
      </c>
      <c r="S318" s="2"/>
      <c r="T318" s="2"/>
      <c r="U318" s="2" t="s">
        <v>420</v>
      </c>
      <c r="V318" s="2" t="s">
        <v>0</v>
      </c>
    </row>
    <row r="319" spans="1:22" ht="60" x14ac:dyDescent="0.25">
      <c r="A319" s="6"/>
      <c r="B319" s="10"/>
      <c r="C319" s="2" t="s">
        <v>1673</v>
      </c>
      <c r="D319" s="2" t="s">
        <v>12</v>
      </c>
      <c r="E319" s="1" t="str">
        <f>HYPERLINK("http://www-wds.worldbank.org/external/default/main?menuPK=64187510&amp;pagePK=64193027&amp;piPK=64187937&amp;menuPK=64154159&amp;searchMenuPK=64258546&amp;theSitePK=523679&amp;entityID=000356161_20101123014113","India - Rajasthan Rural Livelihood Project : social assessment ")</f>
        <v xml:space="preserve">India - Rajasthan Rural Livelihood Project : social assessment </v>
      </c>
      <c r="F319" s="9">
        <v>40179</v>
      </c>
      <c r="G319" s="2" t="s">
        <v>1942</v>
      </c>
      <c r="H319" s="2" t="s">
        <v>10</v>
      </c>
      <c r="I319" s="2"/>
      <c r="J319" s="3"/>
      <c r="K319" s="2" t="s">
        <v>8</v>
      </c>
      <c r="L319" s="2" t="s">
        <v>1941</v>
      </c>
      <c r="M319" s="2" t="s">
        <v>415</v>
      </c>
      <c r="N319" s="2" t="s">
        <v>1940</v>
      </c>
      <c r="O319" s="2" t="s">
        <v>4</v>
      </c>
      <c r="P319" s="2"/>
      <c r="Q319" s="2" t="s">
        <v>1939</v>
      </c>
      <c r="R319" s="2" t="s">
        <v>1938</v>
      </c>
      <c r="S319" s="2"/>
      <c r="T319" s="2" t="s">
        <v>1937</v>
      </c>
      <c r="U319" s="2" t="s">
        <v>1038</v>
      </c>
      <c r="V319" s="2" t="s">
        <v>0</v>
      </c>
    </row>
    <row r="320" spans="1:22" ht="60" x14ac:dyDescent="0.25">
      <c r="A320" s="6"/>
      <c r="B320" s="10"/>
      <c r="C320" s="2" t="s">
        <v>1673</v>
      </c>
      <c r="D320" s="2" t="s">
        <v>12</v>
      </c>
      <c r="E320" s="1" t="str">
        <f>HYPERLINK("http://www-wds.worldbank.org/external/default/main?menuPK=64187510&amp;pagePK=64193027&amp;piPK=64187937&amp;menuPK=64154159&amp;searchMenuPK=64258546&amp;theSitePK=523679&amp;entityID=000334955_20091230025306","India - Second Technical Engineering Education Quality Improvement Project : indigenous peoples plan ")</f>
        <v xml:space="preserve">India - Second Technical Engineering Education Quality Improvement Project : indigenous peoples plan </v>
      </c>
      <c r="F320" s="3" t="s">
        <v>1936</v>
      </c>
      <c r="G320" s="2" t="s">
        <v>1935</v>
      </c>
      <c r="H320" s="2" t="s">
        <v>10</v>
      </c>
      <c r="I320" s="2"/>
      <c r="J320" s="3"/>
      <c r="K320" s="2" t="s">
        <v>1934</v>
      </c>
      <c r="L320" s="2" t="s">
        <v>1933</v>
      </c>
      <c r="M320" s="2" t="s">
        <v>415</v>
      </c>
      <c r="N320" s="2" t="s">
        <v>1932</v>
      </c>
      <c r="O320" s="2" t="s">
        <v>1931</v>
      </c>
      <c r="P320" s="2"/>
      <c r="Q320" s="2" t="s">
        <v>1930</v>
      </c>
      <c r="R320" s="2" t="s">
        <v>21</v>
      </c>
      <c r="S320" s="2" t="s">
        <v>1929</v>
      </c>
      <c r="T320" s="2"/>
      <c r="U320" s="2" t="s">
        <v>1011</v>
      </c>
      <c r="V320" s="2" t="s">
        <v>0</v>
      </c>
    </row>
    <row r="321" spans="1:22" ht="150" x14ac:dyDescent="0.25">
      <c r="A321" s="6"/>
      <c r="B321" s="10"/>
      <c r="C321" s="2" t="s">
        <v>1673</v>
      </c>
      <c r="D321" s="2" t="s">
        <v>12</v>
      </c>
      <c r="E321" s="1" t="str">
        <f>HYPERLINK("http://www-wds.worldbank.org/external/default/main?menuPK=64187510&amp;pagePK=64193027&amp;piPK=64187937&amp;menuPK=64154159&amp;searchMenuPK=64258546&amp;theSitePK=523679&amp;entityID=000334955_20091202021744","India - Integrated Coastal Zone Management Project : indigenous peoples plan ")</f>
        <v xml:space="preserve">India - Integrated Coastal Zone Management Project : indigenous peoples plan </v>
      </c>
      <c r="F321" s="9">
        <v>39821</v>
      </c>
      <c r="G321" s="2" t="s">
        <v>1928</v>
      </c>
      <c r="H321" s="2" t="s">
        <v>10</v>
      </c>
      <c r="I321" s="2"/>
      <c r="J321" s="3"/>
      <c r="K321" s="2" t="s">
        <v>1927</v>
      </c>
      <c r="L321" s="2" t="s">
        <v>1926</v>
      </c>
      <c r="M321" s="2" t="s">
        <v>415</v>
      </c>
      <c r="N321" s="2" t="s">
        <v>1925</v>
      </c>
      <c r="O321" s="2" t="s">
        <v>1924</v>
      </c>
      <c r="P321" s="2"/>
      <c r="Q321" s="2" t="s">
        <v>1923</v>
      </c>
      <c r="R321" s="2" t="s">
        <v>1922</v>
      </c>
      <c r="S321" s="2" t="s">
        <v>1921</v>
      </c>
      <c r="T321" s="2" t="s">
        <v>1920</v>
      </c>
      <c r="U321" s="2" t="s">
        <v>1919</v>
      </c>
      <c r="V321" s="2" t="s">
        <v>0</v>
      </c>
    </row>
    <row r="322" spans="1:22" ht="105" x14ac:dyDescent="0.25">
      <c r="A322" s="6"/>
      <c r="B322" s="10"/>
      <c r="C322" s="2" t="s">
        <v>1673</v>
      </c>
      <c r="D322" s="2" t="s">
        <v>12</v>
      </c>
      <c r="E322" s="1" t="str">
        <f>HYPERLINK("http://www-wds.worldbank.org/external/default/main?menuPK=64187510&amp;pagePK=64193027&amp;piPK=64187937&amp;menuPK=64154159&amp;searchMenuPK=64258546&amp;theSitePK=523679&amp;entityID=000334955_20090727031225","India - Biodiversity Conservation and Rural Livelihood Improvement Project : indigenous peoples planning framework ")</f>
        <v xml:space="preserve">India - Biodiversity Conservation and Rural Livelihood Improvement Project : indigenous peoples planning framework </v>
      </c>
      <c r="F322" s="3" t="s">
        <v>1917</v>
      </c>
      <c r="G322" s="2" t="s">
        <v>1918</v>
      </c>
      <c r="H322" s="2" t="s">
        <v>10</v>
      </c>
      <c r="I322" s="2"/>
      <c r="J322" s="3"/>
      <c r="K322" s="2" t="s">
        <v>805</v>
      </c>
      <c r="L322" s="2" t="s">
        <v>1915</v>
      </c>
      <c r="M322" s="2" t="s">
        <v>415</v>
      </c>
      <c r="N322" s="2" t="s">
        <v>1914</v>
      </c>
      <c r="O322" s="2" t="s">
        <v>1913</v>
      </c>
      <c r="P322" s="2"/>
      <c r="Q322" s="2" t="s">
        <v>1912</v>
      </c>
      <c r="R322" s="2" t="s">
        <v>1911</v>
      </c>
      <c r="S322" s="2" t="s">
        <v>1910</v>
      </c>
      <c r="T322" s="2" t="s">
        <v>1909</v>
      </c>
      <c r="U322" s="2" t="s">
        <v>1038</v>
      </c>
      <c r="V322" s="2" t="s">
        <v>0</v>
      </c>
    </row>
    <row r="323" spans="1:22" ht="105" x14ac:dyDescent="0.25">
      <c r="A323" s="6"/>
      <c r="B323" s="10"/>
      <c r="C323" s="2" t="s">
        <v>1673</v>
      </c>
      <c r="D323" s="2" t="s">
        <v>12</v>
      </c>
      <c r="E323" s="1" t="str">
        <f>HYPERLINK("http://www-wds.worldbank.org/external/default/main?menuPK=64187510&amp;pagePK=64193027&amp;piPK=64187937&amp;menuPK=64154159&amp;searchMenuPK=64258546&amp;theSitePK=523679&amp;entityID=000333037_20090727022041","India - Biodiversity Conservation and Rural Livelihood Improvement Project : indigenous peoples planning framework ")</f>
        <v xml:space="preserve">India - Biodiversity Conservation and Rural Livelihood Improvement Project : indigenous peoples planning framework </v>
      </c>
      <c r="F323" s="3" t="s">
        <v>1917</v>
      </c>
      <c r="G323" s="2" t="s">
        <v>1916</v>
      </c>
      <c r="H323" s="2" t="s">
        <v>10</v>
      </c>
      <c r="I323" s="2"/>
      <c r="J323" s="3"/>
      <c r="K323" s="2" t="s">
        <v>805</v>
      </c>
      <c r="L323" s="2" t="s">
        <v>1915</v>
      </c>
      <c r="M323" s="2" t="s">
        <v>415</v>
      </c>
      <c r="N323" s="2" t="s">
        <v>1914</v>
      </c>
      <c r="O323" s="2" t="s">
        <v>1913</v>
      </c>
      <c r="P323" s="2"/>
      <c r="Q323" s="2" t="s">
        <v>1912</v>
      </c>
      <c r="R323" s="2" t="s">
        <v>1911</v>
      </c>
      <c r="S323" s="2" t="s">
        <v>1910</v>
      </c>
      <c r="T323" s="2" t="s">
        <v>1909</v>
      </c>
      <c r="U323" s="2" t="s">
        <v>1038</v>
      </c>
      <c r="V323" s="2" t="s">
        <v>0</v>
      </c>
    </row>
    <row r="324" spans="1:22" ht="90" x14ac:dyDescent="0.25">
      <c r="A324" s="6"/>
      <c r="B324" s="10"/>
      <c r="C324" s="2" t="s">
        <v>1673</v>
      </c>
      <c r="D324" s="2" t="s">
        <v>12</v>
      </c>
      <c r="E324" s="1" t="str">
        <f>HYPERLINK("http://www-wds.worldbank.org/external/default/main?menuPK=64187510&amp;pagePK=64193027&amp;piPK=64187937&amp;menuPK=64154159&amp;searchMenuPK=64258546&amp;theSitePK=523679&amp;entityID=000334955_20090622090407","India - Andhra Pradesh Municipal Development Project : indigenous peoples plan ")</f>
        <v xml:space="preserve">India - Andhra Pradesh Municipal Development Project : indigenous peoples plan </v>
      </c>
      <c r="F324" s="3" t="s">
        <v>1908</v>
      </c>
      <c r="G324" s="2" t="s">
        <v>1907</v>
      </c>
      <c r="H324" s="2" t="s">
        <v>10</v>
      </c>
      <c r="I324" s="2"/>
      <c r="J324" s="3"/>
      <c r="K324" s="2" t="s">
        <v>1906</v>
      </c>
      <c r="L324" s="2" t="s">
        <v>1905</v>
      </c>
      <c r="M324" s="2" t="s">
        <v>415</v>
      </c>
      <c r="N324" s="2" t="s">
        <v>1904</v>
      </c>
      <c r="O324" s="2" t="s">
        <v>1903</v>
      </c>
      <c r="P324" s="2"/>
      <c r="Q324" s="2" t="s">
        <v>1902</v>
      </c>
      <c r="R324" s="2" t="s">
        <v>1901</v>
      </c>
      <c r="S324" s="2" t="s">
        <v>1900</v>
      </c>
      <c r="T324" s="2" t="s">
        <v>1899</v>
      </c>
      <c r="U324" s="2" t="s">
        <v>409</v>
      </c>
      <c r="V324" s="2" t="s">
        <v>0</v>
      </c>
    </row>
    <row r="325" spans="1:22" ht="75" x14ac:dyDescent="0.25">
      <c r="A325" s="6"/>
      <c r="B325" s="10"/>
      <c r="C325" s="2" t="s">
        <v>1673</v>
      </c>
      <c r="D325" s="2" t="s">
        <v>12</v>
      </c>
      <c r="E325" s="1" t="str">
        <f>HYPERLINK("http://www-wds.worldbank.org/external/default/main?menuPK=64187510&amp;pagePK=64193027&amp;piPK=64187937&amp;menuPK=64154159&amp;searchMenuPK=64258546&amp;theSitePK=523679&amp;entityID=000333038_20090331025650","Social management plan for upgrading of Mydukuru - Jammalamadugu road ")</f>
        <v xml:space="preserve">Social management plan for upgrading of Mydukuru - Jammalamadugu road </v>
      </c>
      <c r="F325" s="3" t="s">
        <v>1884</v>
      </c>
      <c r="G325" s="2" t="s">
        <v>1883</v>
      </c>
      <c r="H325" s="2" t="s">
        <v>10</v>
      </c>
      <c r="I325" s="2"/>
      <c r="J325" s="3"/>
      <c r="K325" s="2" t="s">
        <v>164</v>
      </c>
      <c r="L325" s="2" t="s">
        <v>1882</v>
      </c>
      <c r="M325" s="2" t="s">
        <v>415</v>
      </c>
      <c r="N325" s="2" t="s">
        <v>1881</v>
      </c>
      <c r="O325" s="2" t="s">
        <v>735</v>
      </c>
      <c r="P325" s="2"/>
      <c r="Q325" s="2" t="s">
        <v>1887</v>
      </c>
      <c r="R325" s="2" t="s">
        <v>1886</v>
      </c>
      <c r="S325" s="2" t="s">
        <v>1878</v>
      </c>
      <c r="T325" s="2" t="s">
        <v>1830</v>
      </c>
      <c r="U325" s="2" t="s">
        <v>420</v>
      </c>
      <c r="V325" s="2" t="s">
        <v>1898</v>
      </c>
    </row>
    <row r="326" spans="1:22" ht="75" x14ac:dyDescent="0.25">
      <c r="A326" s="6"/>
      <c r="B326" s="10"/>
      <c r="C326" s="2" t="s">
        <v>1673</v>
      </c>
      <c r="D326" s="2" t="s">
        <v>12</v>
      </c>
      <c r="E326" s="1" t="str">
        <f>HYPERLINK("http://www-wds.worldbank.org/external/default/main?menuPK=64187510&amp;pagePK=64193027&amp;piPK=64187937&amp;menuPK=64154159&amp;searchMenuPK=64258546&amp;theSitePK=523679&amp;entityID=000333038_20090331030339","Social management plan for upgrading of Mydukuru - Jammalamadugu road ")</f>
        <v xml:space="preserve">Social management plan for upgrading of Mydukuru - Jammalamadugu road </v>
      </c>
      <c r="F326" s="3" t="s">
        <v>1884</v>
      </c>
      <c r="G326" s="2" t="s">
        <v>1883</v>
      </c>
      <c r="H326" s="2" t="s">
        <v>10</v>
      </c>
      <c r="I326" s="2"/>
      <c r="J326" s="3"/>
      <c r="K326" s="2" t="s">
        <v>164</v>
      </c>
      <c r="L326" s="2" t="s">
        <v>1882</v>
      </c>
      <c r="M326" s="2" t="s">
        <v>415</v>
      </c>
      <c r="N326" s="2" t="s">
        <v>1881</v>
      </c>
      <c r="O326" s="2" t="s">
        <v>735</v>
      </c>
      <c r="P326" s="2"/>
      <c r="Q326" s="2" t="s">
        <v>1897</v>
      </c>
      <c r="R326" s="2" t="s">
        <v>1896</v>
      </c>
      <c r="S326" s="2" t="s">
        <v>1878</v>
      </c>
      <c r="T326" s="2" t="s">
        <v>1830</v>
      </c>
      <c r="U326" s="2" t="s">
        <v>420</v>
      </c>
      <c r="V326" s="2" t="s">
        <v>1895</v>
      </c>
    </row>
    <row r="327" spans="1:22" ht="75" x14ac:dyDescent="0.25">
      <c r="A327" s="6"/>
      <c r="B327" s="10"/>
      <c r="C327" s="2" t="s">
        <v>1673</v>
      </c>
      <c r="D327" s="2" t="s">
        <v>12</v>
      </c>
      <c r="E327" s="1" t="str">
        <f>HYPERLINK("http://www-wds.worldbank.org/external/default/main?menuPK=64187510&amp;pagePK=64193027&amp;piPK=64187937&amp;menuPK=64154159&amp;searchMenuPK=64258546&amp;theSitePK=523679&amp;entityID=000333038_20090331030940","Social management plan for upgrading of Chittoor - Puttur road ")</f>
        <v xml:space="preserve">Social management plan for upgrading of Chittoor - Puttur road </v>
      </c>
      <c r="F327" s="3" t="s">
        <v>1884</v>
      </c>
      <c r="G327" s="2" t="s">
        <v>1883</v>
      </c>
      <c r="H327" s="2" t="s">
        <v>10</v>
      </c>
      <c r="I327" s="2"/>
      <c r="J327" s="3"/>
      <c r="K327" s="2" t="s">
        <v>164</v>
      </c>
      <c r="L327" s="2" t="s">
        <v>1882</v>
      </c>
      <c r="M327" s="2" t="s">
        <v>415</v>
      </c>
      <c r="N327" s="2" t="s">
        <v>1881</v>
      </c>
      <c r="O327" s="2" t="s">
        <v>735</v>
      </c>
      <c r="P327" s="2"/>
      <c r="Q327" s="2" t="s">
        <v>1894</v>
      </c>
      <c r="R327" s="2" t="s">
        <v>1893</v>
      </c>
      <c r="S327" s="2" t="s">
        <v>1878</v>
      </c>
      <c r="T327" s="2" t="s">
        <v>1830</v>
      </c>
      <c r="U327" s="2" t="s">
        <v>420</v>
      </c>
      <c r="V327" s="2" t="s">
        <v>1892</v>
      </c>
    </row>
    <row r="328" spans="1:22" ht="75" x14ac:dyDescent="0.25">
      <c r="A328" s="6"/>
      <c r="B328" s="10"/>
      <c r="C328" s="2" t="s">
        <v>1673</v>
      </c>
      <c r="D328" s="2" t="s">
        <v>12</v>
      </c>
      <c r="E328" s="1" t="str">
        <f>HYPERLINK("http://www-wds.worldbank.org/external/default/main?menuPK=64187510&amp;pagePK=64193027&amp;piPK=64187937&amp;menuPK=64154159&amp;searchMenuPK=64258546&amp;theSitePK=523679&amp;entityID=000333038_20090331031650","Social management plan for upgrading of Chittoor - Puttur road ")</f>
        <v xml:space="preserve">Social management plan for upgrading of Chittoor - Puttur road </v>
      </c>
      <c r="F328" s="3" t="s">
        <v>1884</v>
      </c>
      <c r="G328" s="2" t="s">
        <v>1883</v>
      </c>
      <c r="H328" s="2" t="s">
        <v>10</v>
      </c>
      <c r="I328" s="2"/>
      <c r="J328" s="3"/>
      <c r="K328" s="2" t="s">
        <v>164</v>
      </c>
      <c r="L328" s="2" t="s">
        <v>1882</v>
      </c>
      <c r="M328" s="2" t="s">
        <v>415</v>
      </c>
      <c r="N328" s="2" t="s">
        <v>1881</v>
      </c>
      <c r="O328" s="2" t="s">
        <v>735</v>
      </c>
      <c r="P328" s="2"/>
      <c r="Q328" s="2" t="s">
        <v>1891</v>
      </c>
      <c r="R328" s="2" t="s">
        <v>1890</v>
      </c>
      <c r="S328" s="2" t="s">
        <v>1878</v>
      </c>
      <c r="T328" s="2" t="s">
        <v>1830</v>
      </c>
      <c r="U328" s="2" t="s">
        <v>420</v>
      </c>
      <c r="V328" s="2" t="s">
        <v>1889</v>
      </c>
    </row>
    <row r="329" spans="1:22" ht="75" x14ac:dyDescent="0.25">
      <c r="A329" s="6"/>
      <c r="B329" s="10"/>
      <c r="C329" s="2" t="s">
        <v>1673</v>
      </c>
      <c r="D329" s="2" t="s">
        <v>12</v>
      </c>
      <c r="E329" s="1" t="str">
        <f>HYPERLINK("http://www-wds.worldbank.org/external/default/main?menuPK=64187510&amp;pagePK=64193027&amp;piPK=64187937&amp;menuPK=64154159&amp;searchMenuPK=64258546&amp;theSitePK=523679&amp;entityID=000333038_20090331032731","Social management plan for upgrading of Kurnool - Devanakonda road ")</f>
        <v xml:space="preserve">Social management plan for upgrading of Kurnool - Devanakonda road </v>
      </c>
      <c r="F329" s="3" t="s">
        <v>1884</v>
      </c>
      <c r="G329" s="2" t="s">
        <v>1883</v>
      </c>
      <c r="H329" s="2" t="s">
        <v>10</v>
      </c>
      <c r="I329" s="2"/>
      <c r="J329" s="3"/>
      <c r="K329" s="2" t="s">
        <v>164</v>
      </c>
      <c r="L329" s="2" t="s">
        <v>1882</v>
      </c>
      <c r="M329" s="2" t="s">
        <v>415</v>
      </c>
      <c r="N329" s="2" t="s">
        <v>1881</v>
      </c>
      <c r="O329" s="2" t="s">
        <v>735</v>
      </c>
      <c r="P329" s="2"/>
      <c r="Q329" s="2" t="s">
        <v>1887</v>
      </c>
      <c r="R329" s="2" t="s">
        <v>1886</v>
      </c>
      <c r="S329" s="2" t="s">
        <v>1878</v>
      </c>
      <c r="T329" s="2" t="s">
        <v>1830</v>
      </c>
      <c r="U329" s="2" t="s">
        <v>420</v>
      </c>
      <c r="V329" s="2" t="s">
        <v>1888</v>
      </c>
    </row>
    <row r="330" spans="1:22" ht="75" x14ac:dyDescent="0.25">
      <c r="A330" s="6"/>
      <c r="B330" s="10"/>
      <c r="C330" s="2" t="s">
        <v>1673</v>
      </c>
      <c r="D330" s="2" t="s">
        <v>12</v>
      </c>
      <c r="E330" s="1" t="str">
        <f>HYPERLINK("http://www-wds.worldbank.org/external/default/main?menuPK=64187510&amp;pagePK=64193027&amp;piPK=64187937&amp;menuPK=64154159&amp;searchMenuPK=64258546&amp;theSitePK=523679&amp;entityID=000333038_20090331033219","Social management plan for upgrading of Kandi - Shadnagar road ")</f>
        <v xml:space="preserve">Social management plan for upgrading of Kandi - Shadnagar road </v>
      </c>
      <c r="F330" s="3" t="s">
        <v>1884</v>
      </c>
      <c r="G330" s="2" t="s">
        <v>1883</v>
      </c>
      <c r="H330" s="2" t="s">
        <v>10</v>
      </c>
      <c r="I330" s="2"/>
      <c r="J330" s="3"/>
      <c r="K330" s="2" t="s">
        <v>164</v>
      </c>
      <c r="L330" s="2" t="s">
        <v>1882</v>
      </c>
      <c r="M330" s="2" t="s">
        <v>415</v>
      </c>
      <c r="N330" s="2" t="s">
        <v>1881</v>
      </c>
      <c r="O330" s="2" t="s">
        <v>735</v>
      </c>
      <c r="P330" s="2"/>
      <c r="Q330" s="2" t="s">
        <v>1887</v>
      </c>
      <c r="R330" s="2" t="s">
        <v>1886</v>
      </c>
      <c r="S330" s="2" t="s">
        <v>1878</v>
      </c>
      <c r="T330" s="2" t="s">
        <v>1830</v>
      </c>
      <c r="U330" s="2" t="s">
        <v>420</v>
      </c>
      <c r="V330" s="2" t="s">
        <v>1885</v>
      </c>
    </row>
    <row r="331" spans="1:22" ht="75" x14ac:dyDescent="0.25">
      <c r="A331" s="6"/>
      <c r="B331" s="10"/>
      <c r="C331" s="2" t="s">
        <v>1673</v>
      </c>
      <c r="D331" s="2" t="s">
        <v>12</v>
      </c>
      <c r="E331" s="1" t="str">
        <f>HYPERLINK("http://www-wds.worldbank.org/external/default/main?menuPK=64187510&amp;pagePK=64193027&amp;piPK=64187937&amp;menuPK=64154159&amp;searchMenuPK=64258546&amp;theSitePK=523679&amp;entityID=000333038_20090331034003","Social management plan for upgrading of Kandi - Shadnagar road ")</f>
        <v xml:space="preserve">Social management plan for upgrading of Kandi - Shadnagar road </v>
      </c>
      <c r="F331" s="3" t="s">
        <v>1884</v>
      </c>
      <c r="G331" s="2" t="s">
        <v>1883</v>
      </c>
      <c r="H331" s="2" t="s">
        <v>10</v>
      </c>
      <c r="I331" s="2"/>
      <c r="J331" s="3"/>
      <c r="K331" s="2" t="s">
        <v>164</v>
      </c>
      <c r="L331" s="2" t="s">
        <v>1882</v>
      </c>
      <c r="M331" s="2" t="s">
        <v>415</v>
      </c>
      <c r="N331" s="2" t="s">
        <v>1881</v>
      </c>
      <c r="O331" s="2" t="s">
        <v>735</v>
      </c>
      <c r="P331" s="2"/>
      <c r="Q331" s="2" t="s">
        <v>1880</v>
      </c>
      <c r="R331" s="2" t="s">
        <v>1879</v>
      </c>
      <c r="S331" s="2" t="s">
        <v>1878</v>
      </c>
      <c r="T331" s="2" t="s">
        <v>1830</v>
      </c>
      <c r="U331" s="2" t="s">
        <v>420</v>
      </c>
      <c r="V331" s="2" t="s">
        <v>1877</v>
      </c>
    </row>
    <row r="332" spans="1:22" ht="75" x14ac:dyDescent="0.25">
      <c r="A332" s="6"/>
      <c r="B332" s="10"/>
      <c r="C332" s="2" t="s">
        <v>1673</v>
      </c>
      <c r="D332" s="2" t="s">
        <v>12</v>
      </c>
      <c r="E332" s="1" t="str">
        <f>HYPERLINK("http://www-wds.worldbank.org/external/default/main?menuPK=64187510&amp;pagePK=64193027&amp;piPK=64187937&amp;menuPK=64154159&amp;searchMenuPK=64258546&amp;theSitePK=523679&amp;entityID=000334955_20090115033218","India - Second Madhya Pradesh District Poverty Initiatives Project (MP-DPIP II) : indigenous peoples plan ")</f>
        <v xml:space="preserve">India - Second Madhya Pradesh District Poverty Initiatives Project (MP-DPIP II) : indigenous peoples plan </v>
      </c>
      <c r="F332" s="3" t="s">
        <v>1875</v>
      </c>
      <c r="G332" s="2" t="s">
        <v>1874</v>
      </c>
      <c r="H332" s="2" t="s">
        <v>10</v>
      </c>
      <c r="I332" s="2"/>
      <c r="J332" s="3"/>
      <c r="K332" s="2" t="s">
        <v>872</v>
      </c>
      <c r="L332" s="2" t="s">
        <v>1873</v>
      </c>
      <c r="M332" s="2" t="s">
        <v>415</v>
      </c>
      <c r="N332" s="2" t="s">
        <v>1872</v>
      </c>
      <c r="O332" s="2" t="s">
        <v>1871</v>
      </c>
      <c r="P332" s="2"/>
      <c r="Q332" s="2" t="s">
        <v>1876</v>
      </c>
      <c r="R332" s="2" t="s">
        <v>744</v>
      </c>
      <c r="S332" s="2" t="s">
        <v>1869</v>
      </c>
      <c r="T332" s="2" t="s">
        <v>1859</v>
      </c>
      <c r="U332" s="2" t="s">
        <v>1038</v>
      </c>
      <c r="V332" s="2" t="s">
        <v>70</v>
      </c>
    </row>
    <row r="333" spans="1:22" ht="75" x14ac:dyDescent="0.25">
      <c r="A333" s="6"/>
      <c r="B333" s="10"/>
      <c r="C333" s="2" t="s">
        <v>1673</v>
      </c>
      <c r="D333" s="2" t="s">
        <v>12</v>
      </c>
      <c r="E333" s="1" t="str">
        <f>HYPERLINK("http://www-wds.worldbank.org/external/default/main?menuPK=64187510&amp;pagePK=64193027&amp;piPK=64187937&amp;menuPK=64154159&amp;searchMenuPK=64258546&amp;theSitePK=523679&amp;entityID=000334955_20090115033644","Tribal development framework ")</f>
        <v xml:space="preserve">Tribal development framework </v>
      </c>
      <c r="F333" s="3" t="s">
        <v>1875</v>
      </c>
      <c r="G333" s="2" t="s">
        <v>1874</v>
      </c>
      <c r="H333" s="2" t="s">
        <v>10</v>
      </c>
      <c r="I333" s="2"/>
      <c r="J333" s="3"/>
      <c r="K333" s="2" t="s">
        <v>872</v>
      </c>
      <c r="L333" s="2" t="s">
        <v>1873</v>
      </c>
      <c r="M333" s="2" t="s">
        <v>415</v>
      </c>
      <c r="N333" s="2" t="s">
        <v>1872</v>
      </c>
      <c r="O333" s="2" t="s">
        <v>1871</v>
      </c>
      <c r="P333" s="2"/>
      <c r="Q333" s="2" t="s">
        <v>1870</v>
      </c>
      <c r="R333" s="2" t="s">
        <v>744</v>
      </c>
      <c r="S333" s="2" t="s">
        <v>1869</v>
      </c>
      <c r="T333" s="2" t="s">
        <v>1859</v>
      </c>
      <c r="U333" s="2" t="s">
        <v>1038</v>
      </c>
      <c r="V333" s="2" t="s">
        <v>59</v>
      </c>
    </row>
    <row r="334" spans="1:22" ht="75" x14ac:dyDescent="0.25">
      <c r="A334" s="6"/>
      <c r="B334" s="10"/>
      <c r="C334" s="2" t="s">
        <v>1673</v>
      </c>
      <c r="D334" s="2" t="s">
        <v>12</v>
      </c>
      <c r="E334" s="1" t="str">
        <f>HYPERLINK("http://www-wds.worldbank.org/external/default/main?menuPK=64187510&amp;pagePK=64193027&amp;piPK=64187937&amp;menuPK=64154159&amp;searchMenuPK=64258546&amp;theSitePK=523679&amp;entityID=000334955_20081216030848","Draft final report ")</f>
        <v xml:space="preserve">Draft final report </v>
      </c>
      <c r="F334" s="9">
        <v>39794</v>
      </c>
      <c r="G334" s="2" t="s">
        <v>1865</v>
      </c>
      <c r="H334" s="2" t="s">
        <v>10</v>
      </c>
      <c r="I334" s="2"/>
      <c r="J334" s="3"/>
      <c r="K334" s="2" t="s">
        <v>8</v>
      </c>
      <c r="L334" s="2" t="s">
        <v>1864</v>
      </c>
      <c r="M334" s="2" t="s">
        <v>415</v>
      </c>
      <c r="N334" s="2" t="s">
        <v>1863</v>
      </c>
      <c r="O334" s="2" t="s">
        <v>1823</v>
      </c>
      <c r="P334" s="2"/>
      <c r="Q334" s="2" t="s">
        <v>1868</v>
      </c>
      <c r="R334" s="2" t="s">
        <v>717</v>
      </c>
      <c r="S334" s="2" t="s">
        <v>1860</v>
      </c>
      <c r="T334" s="2" t="s">
        <v>1859</v>
      </c>
      <c r="U334" s="2" t="s">
        <v>1038</v>
      </c>
      <c r="V334" s="2" t="s">
        <v>35</v>
      </c>
    </row>
    <row r="335" spans="1:22" ht="60" x14ac:dyDescent="0.25">
      <c r="A335" s="6"/>
      <c r="B335" s="10"/>
      <c r="C335" s="2" t="s">
        <v>1673</v>
      </c>
      <c r="D335" s="2" t="s">
        <v>12</v>
      </c>
      <c r="E335" s="1" t="str">
        <f>HYPERLINK("http://www-wds.worldbank.org/external/default/main?menuPK=64187510&amp;pagePK=64193027&amp;piPK=64187937&amp;menuPK=64154159&amp;searchMenuPK=64258546&amp;theSitePK=523679&amp;entityID=000334955_20081216031343","Annexure to the report ")</f>
        <v xml:space="preserve">Annexure to the report </v>
      </c>
      <c r="F335" s="9">
        <v>39794</v>
      </c>
      <c r="G335" s="2" t="s">
        <v>1865</v>
      </c>
      <c r="H335" s="2" t="s">
        <v>10</v>
      </c>
      <c r="I335" s="2"/>
      <c r="J335" s="3"/>
      <c r="K335" s="2" t="s">
        <v>8</v>
      </c>
      <c r="L335" s="2" t="s">
        <v>1864</v>
      </c>
      <c r="M335" s="2" t="s">
        <v>415</v>
      </c>
      <c r="N335" s="2" t="s">
        <v>1863</v>
      </c>
      <c r="O335" s="2" t="s">
        <v>1823</v>
      </c>
      <c r="P335" s="2"/>
      <c r="Q335" s="2" t="s">
        <v>1867</v>
      </c>
      <c r="R335" s="2" t="s">
        <v>1866</v>
      </c>
      <c r="S335" s="2" t="s">
        <v>1860</v>
      </c>
      <c r="T335" s="2" t="s">
        <v>1859</v>
      </c>
      <c r="U335" s="2" t="s">
        <v>1038</v>
      </c>
      <c r="V335" s="2" t="s">
        <v>55</v>
      </c>
    </row>
    <row r="336" spans="1:22" ht="75" x14ac:dyDescent="0.25">
      <c r="A336" s="6"/>
      <c r="B336" s="10"/>
      <c r="C336" s="2" t="s">
        <v>1673</v>
      </c>
      <c r="D336" s="2" t="s">
        <v>12</v>
      </c>
      <c r="E336" s="1" t="str">
        <f>HYPERLINK("http://www-wds.worldbank.org/external/default/main?menuPK=64187510&amp;pagePK=64193027&amp;piPK=64187937&amp;menuPK=64154159&amp;searchMenuPK=64258546&amp;theSitePK=523679&amp;entityID=000334955_20081216031722","Draft final report - first year packages ")</f>
        <v xml:space="preserve">Draft final report - first year packages </v>
      </c>
      <c r="F336" s="9">
        <v>39794</v>
      </c>
      <c r="G336" s="2" t="s">
        <v>1865</v>
      </c>
      <c r="H336" s="2" t="s">
        <v>10</v>
      </c>
      <c r="I336" s="2"/>
      <c r="J336" s="3"/>
      <c r="K336" s="2" t="s">
        <v>8</v>
      </c>
      <c r="L336" s="2" t="s">
        <v>1864</v>
      </c>
      <c r="M336" s="2" t="s">
        <v>415</v>
      </c>
      <c r="N336" s="2" t="s">
        <v>1863</v>
      </c>
      <c r="O336" s="2" t="s">
        <v>1823</v>
      </c>
      <c r="P336" s="2"/>
      <c r="Q336" s="2" t="s">
        <v>1862</v>
      </c>
      <c r="R336" s="2" t="s">
        <v>1861</v>
      </c>
      <c r="S336" s="2" t="s">
        <v>1860</v>
      </c>
      <c r="T336" s="2" t="s">
        <v>1859</v>
      </c>
      <c r="U336" s="2" t="s">
        <v>1038</v>
      </c>
      <c r="V336" s="2" t="s">
        <v>93</v>
      </c>
    </row>
    <row r="337" spans="1:22" ht="60" x14ac:dyDescent="0.25">
      <c r="A337" s="6"/>
      <c r="B337" s="10"/>
      <c r="C337" s="2" t="s">
        <v>1673</v>
      </c>
      <c r="D337" s="2" t="s">
        <v>12</v>
      </c>
      <c r="E337" s="1" t="str">
        <f>HYPERLINK("http://www-wds.worldbank.org/external/default/main?menuPK=64187510&amp;pagePK=64193027&amp;piPK=64187937&amp;menuPK=64154159&amp;searchMenuPK=64258546&amp;theSitePK=523679&amp;entityID=000334955_20090331052353","Social assessment ")</f>
        <v xml:space="preserve">Social assessment </v>
      </c>
      <c r="F337" s="9">
        <v>39454</v>
      </c>
      <c r="G337" s="2" t="s">
        <v>1858</v>
      </c>
      <c r="H337" s="2" t="s">
        <v>10</v>
      </c>
      <c r="I337" s="2"/>
      <c r="J337" s="3"/>
      <c r="K337" s="2" t="s">
        <v>145</v>
      </c>
      <c r="L337" s="2" t="s">
        <v>1857</v>
      </c>
      <c r="M337" s="2" t="s">
        <v>415</v>
      </c>
      <c r="N337" s="2" t="s">
        <v>1856</v>
      </c>
      <c r="O337" s="2" t="s">
        <v>886</v>
      </c>
      <c r="P337" s="2"/>
      <c r="Q337" s="2" t="s">
        <v>1472</v>
      </c>
      <c r="R337" s="2" t="s">
        <v>1471</v>
      </c>
      <c r="S337" s="2" t="s">
        <v>298</v>
      </c>
      <c r="T337" s="2" t="s">
        <v>1855</v>
      </c>
      <c r="U337" s="2" t="s">
        <v>409</v>
      </c>
      <c r="V337" s="2" t="s">
        <v>0</v>
      </c>
    </row>
    <row r="338" spans="1:22" ht="75" x14ac:dyDescent="0.25">
      <c r="A338" s="6"/>
      <c r="B338" s="10"/>
      <c r="C338" s="2" t="s">
        <v>1673</v>
      </c>
      <c r="D338" s="2" t="s">
        <v>12</v>
      </c>
      <c r="E338" s="1" t="str">
        <f>HYPERLINK("http://www-wds.worldbank.org/external/default/main?menuPK=64187510&amp;pagePK=64193027&amp;piPK=64187937&amp;menuPK=64154159&amp;searchMenuPK=64258546&amp;theSitePK=523679&amp;entityID=000334955_20080623045909","Environmental and social safeguards frameworks ")</f>
        <v xml:space="preserve">Environmental and social safeguards frameworks </v>
      </c>
      <c r="F338" s="3" t="s">
        <v>1854</v>
      </c>
      <c r="G338" s="2" t="s">
        <v>1853</v>
      </c>
      <c r="H338" s="2" t="s">
        <v>10</v>
      </c>
      <c r="I338" s="2"/>
      <c r="J338" s="3"/>
      <c r="K338" s="2" t="s">
        <v>1852</v>
      </c>
      <c r="L338" s="2" t="s">
        <v>1851</v>
      </c>
      <c r="M338" s="2" t="s">
        <v>415</v>
      </c>
      <c r="N338" s="2" t="s">
        <v>1850</v>
      </c>
      <c r="O338" s="2" t="s">
        <v>1849</v>
      </c>
      <c r="P338" s="2"/>
      <c r="Q338" s="2" t="s">
        <v>1848</v>
      </c>
      <c r="R338" s="2" t="s">
        <v>1847</v>
      </c>
      <c r="S338" s="2" t="s">
        <v>1630</v>
      </c>
      <c r="T338" s="2" t="s">
        <v>1846</v>
      </c>
      <c r="U338" s="2" t="s">
        <v>1845</v>
      </c>
      <c r="V338" s="2" t="s">
        <v>0</v>
      </c>
    </row>
    <row r="339" spans="1:22" ht="120" x14ac:dyDescent="0.25">
      <c r="A339" s="6"/>
      <c r="B339" s="10"/>
      <c r="C339" s="2" t="s">
        <v>1673</v>
      </c>
      <c r="D339" s="2" t="s">
        <v>12</v>
      </c>
      <c r="E339" s="1" t="str">
        <f>HYPERLINK("http://www-wds.worldbank.org/external/default/main?menuPK=64187510&amp;pagePK=64193027&amp;piPK=64187937&amp;menuPK=64154159&amp;searchMenuPK=64258546&amp;theSitePK=523679&amp;entityID=000333037_20080212035115","Tribal inclusion and development assessment ")</f>
        <v xml:space="preserve">Tribal inclusion and development assessment </v>
      </c>
      <c r="F339" s="9">
        <v>39570</v>
      </c>
      <c r="G339" s="2" t="s">
        <v>1844</v>
      </c>
      <c r="H339" s="2" t="s">
        <v>10</v>
      </c>
      <c r="I339" s="2"/>
      <c r="J339" s="3"/>
      <c r="K339" s="2" t="s">
        <v>1843</v>
      </c>
      <c r="L339" s="2" t="s">
        <v>1842</v>
      </c>
      <c r="M339" s="2" t="s">
        <v>415</v>
      </c>
      <c r="N339" s="2" t="s">
        <v>1841</v>
      </c>
      <c r="O339" s="2" t="s">
        <v>1840</v>
      </c>
      <c r="P339" s="2"/>
      <c r="Q339" s="2" t="s">
        <v>1839</v>
      </c>
      <c r="R339" s="2" t="s">
        <v>1838</v>
      </c>
      <c r="S339" s="2" t="s">
        <v>362</v>
      </c>
      <c r="T339" s="2" t="s">
        <v>1837</v>
      </c>
      <c r="U339" s="2" t="s">
        <v>1038</v>
      </c>
      <c r="V339" s="2" t="s">
        <v>0</v>
      </c>
    </row>
    <row r="340" spans="1:22" ht="120" x14ac:dyDescent="0.25">
      <c r="A340" s="6"/>
      <c r="B340" s="10"/>
      <c r="C340" s="2" t="s">
        <v>1673</v>
      </c>
      <c r="D340" s="2" t="s">
        <v>12</v>
      </c>
      <c r="E340" s="1" t="str">
        <f>HYPERLINK("http://www-wds.worldbank.org/external/default/main?menuPK=64187510&amp;pagePK=64193027&amp;piPK=64187937&amp;menuPK=64154159&amp;searchMenuPK=64258546&amp;theSitePK=523679&amp;entityID=000020953_20080303094334","Social management framework - handbook for implementation of safeguard instruments ")</f>
        <v xml:space="preserve">Social management framework - handbook for implementation of safeguard instruments </v>
      </c>
      <c r="F340" s="9">
        <v>39449</v>
      </c>
      <c r="G340" s="2" t="s">
        <v>1836</v>
      </c>
      <c r="H340" s="2" t="s">
        <v>10</v>
      </c>
      <c r="I340" s="2" t="s">
        <v>1835</v>
      </c>
      <c r="J340" s="3"/>
      <c r="K340" s="2" t="s">
        <v>164</v>
      </c>
      <c r="L340" s="2" t="s">
        <v>1834</v>
      </c>
      <c r="M340" s="2" t="s">
        <v>415</v>
      </c>
      <c r="N340" s="2" t="s">
        <v>1833</v>
      </c>
      <c r="O340" s="2" t="s">
        <v>161</v>
      </c>
      <c r="P340" s="2"/>
      <c r="Q340" s="2" t="s">
        <v>1832</v>
      </c>
      <c r="R340" s="2" t="s">
        <v>1831</v>
      </c>
      <c r="S340" s="2" t="s">
        <v>298</v>
      </c>
      <c r="T340" s="2" t="s">
        <v>1830</v>
      </c>
      <c r="U340" s="2" t="s">
        <v>420</v>
      </c>
      <c r="V340" s="2" t="s">
        <v>59</v>
      </c>
    </row>
    <row r="341" spans="1:22" ht="120" x14ac:dyDescent="0.25">
      <c r="A341" s="6"/>
      <c r="B341" s="10"/>
      <c r="C341" s="2" t="s">
        <v>1673</v>
      </c>
      <c r="D341" s="2" t="s">
        <v>12</v>
      </c>
      <c r="E341" s="1" t="str">
        <f>HYPERLINK("http://www-wds.worldbank.org/external/default/main?menuPK=64187510&amp;pagePK=64193027&amp;piPK=64187937&amp;menuPK=64154159&amp;searchMenuPK=64258546&amp;theSitePK=523679&amp;entityID=000334955_20081119044319","Tribal development plan ")</f>
        <v xml:space="preserve">Tribal development plan </v>
      </c>
      <c r="F341" s="9">
        <v>39275</v>
      </c>
      <c r="G341" s="2" t="s">
        <v>1827</v>
      </c>
      <c r="H341" s="2" t="s">
        <v>10</v>
      </c>
      <c r="I341" s="2" t="s">
        <v>1826</v>
      </c>
      <c r="J341" s="3"/>
      <c r="K341" s="2" t="s">
        <v>8</v>
      </c>
      <c r="L341" s="2" t="s">
        <v>1825</v>
      </c>
      <c r="M341" s="2" t="s">
        <v>415</v>
      </c>
      <c r="N341" s="2" t="s">
        <v>1824</v>
      </c>
      <c r="O341" s="2" t="s">
        <v>1823</v>
      </c>
      <c r="P341" s="2"/>
      <c r="Q341" s="2" t="s">
        <v>1829</v>
      </c>
      <c r="R341" s="2" t="s">
        <v>1828</v>
      </c>
      <c r="S341" s="2"/>
      <c r="T341" s="2" t="s">
        <v>1820</v>
      </c>
      <c r="U341" s="2" t="s">
        <v>1038</v>
      </c>
      <c r="V341" s="2" t="s">
        <v>70</v>
      </c>
    </row>
    <row r="342" spans="1:22" ht="120" x14ac:dyDescent="0.25">
      <c r="A342" s="6"/>
      <c r="B342" s="10"/>
      <c r="C342" s="2" t="s">
        <v>1673</v>
      </c>
      <c r="D342" s="2" t="s">
        <v>12</v>
      </c>
      <c r="E342" s="1" t="str">
        <f>HYPERLINK("http://www-wds.worldbank.org/external/default/main?menuPK=64187510&amp;pagePK=64193027&amp;piPK=64187937&amp;menuPK=64154159&amp;searchMenuPK=64258546&amp;theSitePK=523679&amp;entityID=000334955_20081119044648","Social assessment ")</f>
        <v xml:space="preserve">Social assessment </v>
      </c>
      <c r="F342" s="9">
        <v>39275</v>
      </c>
      <c r="G342" s="2" t="s">
        <v>1827</v>
      </c>
      <c r="H342" s="2" t="s">
        <v>10</v>
      </c>
      <c r="I342" s="2" t="s">
        <v>1826</v>
      </c>
      <c r="J342" s="3"/>
      <c r="K342" s="2" t="s">
        <v>8</v>
      </c>
      <c r="L342" s="2" t="s">
        <v>1825</v>
      </c>
      <c r="M342" s="2" t="s">
        <v>415</v>
      </c>
      <c r="N342" s="2" t="s">
        <v>1824</v>
      </c>
      <c r="O342" s="2" t="s">
        <v>1823</v>
      </c>
      <c r="P342" s="2"/>
      <c r="Q342" s="2" t="s">
        <v>1822</v>
      </c>
      <c r="R342" s="2" t="s">
        <v>1821</v>
      </c>
      <c r="S342" s="2"/>
      <c r="T342" s="2" t="s">
        <v>1820</v>
      </c>
      <c r="U342" s="2" t="s">
        <v>1038</v>
      </c>
      <c r="V342" s="2" t="s">
        <v>59</v>
      </c>
    </row>
    <row r="343" spans="1:22" ht="60" x14ac:dyDescent="0.25">
      <c r="A343" s="6"/>
      <c r="B343" s="10"/>
      <c r="C343" s="2" t="s">
        <v>1673</v>
      </c>
      <c r="D343" s="2" t="s">
        <v>12</v>
      </c>
      <c r="E343" s="1" t="str">
        <f>HYPERLINK("http://www-wds.worldbank.org/external/default/main?menuPK=64187510&amp;pagePK=64193027&amp;piPK=64187937&amp;menuPK=64154159&amp;searchMenuPK=64258546&amp;theSitePK=523679&amp;entityID=000011823_20071221122240","India - Vector Borne Disease Control Project : indigenous peoples plan ")</f>
        <v xml:space="preserve">India - Vector Borne Disease Control Project : indigenous peoples plan </v>
      </c>
      <c r="F343" s="9">
        <v>39094</v>
      </c>
      <c r="G343" s="2" t="s">
        <v>1819</v>
      </c>
      <c r="H343" s="2" t="s">
        <v>10</v>
      </c>
      <c r="I343" s="2"/>
      <c r="J343" s="3"/>
      <c r="K343" s="2" t="s">
        <v>109</v>
      </c>
      <c r="L343" s="2" t="s">
        <v>1818</v>
      </c>
      <c r="M343" s="2" t="s">
        <v>415</v>
      </c>
      <c r="N343" s="2" t="s">
        <v>1817</v>
      </c>
      <c r="O343" s="2" t="s">
        <v>489</v>
      </c>
      <c r="P343" s="2"/>
      <c r="Q343" s="2" t="s">
        <v>1816</v>
      </c>
      <c r="R343" s="2" t="s">
        <v>1815</v>
      </c>
      <c r="S343" s="2"/>
      <c r="T343" s="2" t="s">
        <v>1814</v>
      </c>
      <c r="U343" s="2" t="s">
        <v>1011</v>
      </c>
      <c r="V343" s="2" t="s">
        <v>0</v>
      </c>
    </row>
    <row r="344" spans="1:22" ht="90" x14ac:dyDescent="0.25">
      <c r="A344" s="6"/>
      <c r="B344" s="10"/>
      <c r="C344" s="2" t="s">
        <v>1673</v>
      </c>
      <c r="D344" s="2" t="s">
        <v>12</v>
      </c>
      <c r="E344" s="1" t="str">
        <f>HYPERLINK("http://www-wds.worldbank.org/external/default/main?menuPK=64187510&amp;pagePK=64193027&amp;piPK=64187937&amp;menuPK=64154159&amp;searchMenuPK=64258546&amp;theSitePK=523679&amp;entityID=000020953_20070925154914","India - Primary Education (SSA II) Project : Sarva Shiksha Abhiyan (SSA) : tribal development plan ")</f>
        <v xml:space="preserve">India - Primary Education (SSA II) Project : Sarva Shiksha Abhiyan (SSA) : tribal development plan </v>
      </c>
      <c r="F344" s="3" t="s">
        <v>1813</v>
      </c>
      <c r="G344" s="2" t="s">
        <v>1812</v>
      </c>
      <c r="H344" s="2" t="s">
        <v>10</v>
      </c>
      <c r="I344" s="2" t="s">
        <v>1811</v>
      </c>
      <c r="J344" s="3"/>
      <c r="K344" s="2" t="s">
        <v>21</v>
      </c>
      <c r="L344" s="2" t="s">
        <v>1810</v>
      </c>
      <c r="M344" s="2" t="s">
        <v>415</v>
      </c>
      <c r="N344" s="2" t="s">
        <v>1809</v>
      </c>
      <c r="O344" s="2" t="s">
        <v>27</v>
      </c>
      <c r="P344" s="2"/>
      <c r="Q344" s="2" t="s">
        <v>1808</v>
      </c>
      <c r="R344" s="2" t="s">
        <v>329</v>
      </c>
      <c r="S344" s="2"/>
      <c r="T344" s="2" t="s">
        <v>1807</v>
      </c>
      <c r="U344" s="2" t="s">
        <v>1011</v>
      </c>
      <c r="V344" s="2" t="s">
        <v>0</v>
      </c>
    </row>
    <row r="345" spans="1:22" ht="90" x14ac:dyDescent="0.25">
      <c r="A345" s="6"/>
      <c r="B345" s="10"/>
      <c r="C345" s="2" t="s">
        <v>1673</v>
      </c>
      <c r="D345" s="2" t="s">
        <v>12</v>
      </c>
      <c r="E345" s="1" t="str">
        <f>HYPERLINK("http://www-wds.worldbank.org/external/default/main?menuPK=64187510&amp;pagePK=64193027&amp;piPK=64187937&amp;menuPK=64154159&amp;searchMenuPK=64258546&amp;theSitePK=523679&amp;entityID=000160016_20080416125425","India - Bihar Rural Livelihoods Development Project: social assessment ")</f>
        <v xml:space="preserve">India - Bihar Rural Livelihoods Development Project: social assessment </v>
      </c>
      <c r="F345" s="3" t="s">
        <v>1806</v>
      </c>
      <c r="G345" s="2" t="s">
        <v>1803</v>
      </c>
      <c r="H345" s="2" t="s">
        <v>10</v>
      </c>
      <c r="I345" s="2" t="s">
        <v>1802</v>
      </c>
      <c r="J345" s="3"/>
      <c r="K345" s="2" t="s">
        <v>1801</v>
      </c>
      <c r="L345" s="2" t="s">
        <v>1800</v>
      </c>
      <c r="M345" s="2" t="s">
        <v>415</v>
      </c>
      <c r="N345" s="2" t="s">
        <v>1799</v>
      </c>
      <c r="O345" s="2" t="s">
        <v>1798</v>
      </c>
      <c r="P345" s="2"/>
      <c r="Q345" s="2" t="s">
        <v>1805</v>
      </c>
      <c r="R345" s="2" t="s">
        <v>1804</v>
      </c>
      <c r="S345" s="2"/>
      <c r="T345" s="2" t="s">
        <v>1795</v>
      </c>
      <c r="U345" s="2" t="s">
        <v>1038</v>
      </c>
      <c r="V345" s="2" t="s">
        <v>59</v>
      </c>
    </row>
    <row r="346" spans="1:22" ht="90" x14ac:dyDescent="0.25">
      <c r="A346" s="6"/>
      <c r="B346" s="10"/>
      <c r="C346" s="2" t="s">
        <v>1673</v>
      </c>
      <c r="D346" s="2" t="s">
        <v>12</v>
      </c>
      <c r="E346" s="1" t="str">
        <f>HYPERLINK("http://www-wds.worldbank.org/external/default/main?menuPK=64187510&amp;pagePK=64193027&amp;piPK=64187937&amp;menuPK=64154159&amp;searchMenuPK=64258546&amp;theSitePK=523679&amp;entityID=000020439_20070517152015","India - Bihar Rural Livelihoods Development Project ")</f>
        <v xml:space="preserve">India - Bihar Rural Livelihoods Development Project </v>
      </c>
      <c r="F346" s="9">
        <v>39360</v>
      </c>
      <c r="G346" s="2" t="s">
        <v>1803</v>
      </c>
      <c r="H346" s="2" t="s">
        <v>10</v>
      </c>
      <c r="I346" s="2" t="s">
        <v>1802</v>
      </c>
      <c r="J346" s="3"/>
      <c r="K346" s="2" t="s">
        <v>1801</v>
      </c>
      <c r="L346" s="2" t="s">
        <v>1800</v>
      </c>
      <c r="M346" s="2" t="s">
        <v>415</v>
      </c>
      <c r="N346" s="2" t="s">
        <v>1799</v>
      </c>
      <c r="O346" s="2" t="s">
        <v>1798</v>
      </c>
      <c r="P346" s="2"/>
      <c r="Q346" s="2" t="s">
        <v>1797</v>
      </c>
      <c r="R346" s="2" t="s">
        <v>1796</v>
      </c>
      <c r="S346" s="2"/>
      <c r="T346" s="2" t="s">
        <v>1795</v>
      </c>
      <c r="U346" s="2" t="s">
        <v>1038</v>
      </c>
      <c r="V346" s="2" t="s">
        <v>70</v>
      </c>
    </row>
    <row r="347" spans="1:22" ht="45" x14ac:dyDescent="0.25">
      <c r="A347" s="6"/>
      <c r="B347" s="10"/>
      <c r="C347" s="2" t="s">
        <v>1673</v>
      </c>
      <c r="D347" s="2" t="s">
        <v>12</v>
      </c>
      <c r="E347" s="1" t="str">
        <f>HYPERLINK("http://www-wds.worldbank.org/external/default/main?menuPK=64187510&amp;pagePK=64193027&amp;piPK=64187937&amp;menuPK=64154159&amp;searchMenuPK=64258546&amp;theSitePK=523679&amp;entityID=000020439_20070314112809","Equity assurance plan for the disadvangted groups in vocational education and training in India ")</f>
        <v xml:space="preserve">Equity assurance plan for the disadvangted groups in vocational education and training in India </v>
      </c>
      <c r="F347" s="9">
        <v>39083</v>
      </c>
      <c r="G347" s="2" t="s">
        <v>1794</v>
      </c>
      <c r="H347" s="2" t="s">
        <v>10</v>
      </c>
      <c r="I347" s="2"/>
      <c r="J347" s="3"/>
      <c r="K347" s="2" t="s">
        <v>21</v>
      </c>
      <c r="L347" s="2" t="s">
        <v>1793</v>
      </c>
      <c r="M347" s="2" t="s">
        <v>415</v>
      </c>
      <c r="N347" s="2" t="s">
        <v>1792</v>
      </c>
      <c r="O347" s="2" t="s">
        <v>1791</v>
      </c>
      <c r="P347" s="2"/>
      <c r="Q347" s="2" t="s">
        <v>1790</v>
      </c>
      <c r="R347" s="2" t="s">
        <v>21</v>
      </c>
      <c r="S347" s="2"/>
      <c r="T347" s="2"/>
      <c r="U347" s="2" t="s">
        <v>1011</v>
      </c>
      <c r="V347" s="2" t="s">
        <v>0</v>
      </c>
    </row>
    <row r="348" spans="1:22" ht="75" x14ac:dyDescent="0.25">
      <c r="A348" s="6"/>
      <c r="B348" s="10"/>
      <c r="C348" s="2" t="s">
        <v>1673</v>
      </c>
      <c r="D348" s="2" t="s">
        <v>12</v>
      </c>
      <c r="E348" s="1" t="str">
        <f>HYPERLINK("http://www-wds.worldbank.org/external/default/main?menuPK=64187510&amp;pagePK=64193027&amp;piPK=64187937&amp;menuPK=64154159&amp;searchMenuPK=64258546&amp;theSitePK=523679&amp;entityID=000333038_20080310053054","Environment and social management framework ")</f>
        <v xml:space="preserve">Environment and social management framework </v>
      </c>
      <c r="F348" s="9">
        <v>39083</v>
      </c>
      <c r="G348" s="2" t="s">
        <v>1789</v>
      </c>
      <c r="H348" s="2" t="s">
        <v>10</v>
      </c>
      <c r="I348" s="2"/>
      <c r="J348" s="3"/>
      <c r="K348" s="2" t="s">
        <v>8</v>
      </c>
      <c r="L348" s="2" t="s">
        <v>1788</v>
      </c>
      <c r="M348" s="2" t="s">
        <v>415</v>
      </c>
      <c r="N348" s="2" t="s">
        <v>1787</v>
      </c>
      <c r="O348" s="2" t="s">
        <v>4</v>
      </c>
      <c r="P348" s="2"/>
      <c r="Q348" s="2" t="s">
        <v>1786</v>
      </c>
      <c r="R348" s="2" t="s">
        <v>1785</v>
      </c>
      <c r="S348" s="2" t="s">
        <v>1784</v>
      </c>
      <c r="T348" s="2" t="s">
        <v>1783</v>
      </c>
      <c r="U348" s="2" t="s">
        <v>1038</v>
      </c>
      <c r="V348" s="2" t="s">
        <v>0</v>
      </c>
    </row>
    <row r="349" spans="1:22" ht="75" x14ac:dyDescent="0.25">
      <c r="A349" s="6"/>
      <c r="B349" s="10"/>
      <c r="C349" s="2" t="s">
        <v>1673</v>
      </c>
      <c r="D349" s="2" t="s">
        <v>12</v>
      </c>
      <c r="E349" s="1" t="str">
        <f>HYPERLINK("http://www-wds.worldbank.org/external/default/main?menuPK=64187510&amp;pagePK=64193027&amp;piPK=64187937&amp;menuPK=64154159&amp;searchMenuPK=64258546&amp;theSitePK=523679&amp;entityID=000020953_20061117141000","India - Third National AIDS Control Project : social assessment of HIV/AIDS among tribal people in India ")</f>
        <v xml:space="preserve">India - Third National AIDS Control Project : social assessment of HIV/AIDS among tribal people in India </v>
      </c>
      <c r="F349" s="3" t="s">
        <v>1782</v>
      </c>
      <c r="G349" s="2" t="s">
        <v>1781</v>
      </c>
      <c r="H349" s="2" t="s">
        <v>10</v>
      </c>
      <c r="I349" s="2" t="s">
        <v>1780</v>
      </c>
      <c r="J349" s="3"/>
      <c r="K349" s="2" t="s">
        <v>109</v>
      </c>
      <c r="L349" s="2" t="s">
        <v>1779</v>
      </c>
      <c r="M349" s="2" t="s">
        <v>415</v>
      </c>
      <c r="N349" s="2" t="s">
        <v>1778</v>
      </c>
      <c r="O349" s="2" t="s">
        <v>489</v>
      </c>
      <c r="P349" s="2"/>
      <c r="Q349" s="2" t="s">
        <v>1777</v>
      </c>
      <c r="R349" s="2" t="s">
        <v>1776</v>
      </c>
      <c r="S349" s="2"/>
      <c r="T349" s="2" t="s">
        <v>1775</v>
      </c>
      <c r="U349" s="2" t="s">
        <v>1011</v>
      </c>
      <c r="V349" s="2" t="s">
        <v>0</v>
      </c>
    </row>
    <row r="350" spans="1:22" ht="60" x14ac:dyDescent="0.25">
      <c r="A350" s="6"/>
      <c r="B350" s="10"/>
      <c r="C350" s="2" t="s">
        <v>1673</v>
      </c>
      <c r="D350" s="2" t="s">
        <v>12</v>
      </c>
      <c r="E350" s="1" t="str">
        <f>HYPERLINK("http://www-wds.worldbank.org/external/default/main?menuPK=64187510&amp;pagePK=64193027&amp;piPK=64187937&amp;menuPK=64154159&amp;searchMenuPK=64258546&amp;theSitePK=523679&amp;entityID=000011823_20050510172009","India - Second National Tuberculosis Control Project : tribal action plan ")</f>
        <v xml:space="preserve">India - Second National Tuberculosis Control Project : tribal action plan </v>
      </c>
      <c r="F350" s="3" t="s">
        <v>1774</v>
      </c>
      <c r="G350" s="2" t="s">
        <v>1773</v>
      </c>
      <c r="H350" s="2" t="s">
        <v>10</v>
      </c>
      <c r="I350" s="2"/>
      <c r="J350" s="3"/>
      <c r="K350" s="2" t="s">
        <v>109</v>
      </c>
      <c r="L350" s="2" t="s">
        <v>1772</v>
      </c>
      <c r="M350" s="2" t="s">
        <v>415</v>
      </c>
      <c r="N350" s="2" t="s">
        <v>1771</v>
      </c>
      <c r="O350" s="2" t="s">
        <v>489</v>
      </c>
      <c r="P350" s="2"/>
      <c r="Q350" s="2" t="s">
        <v>1770</v>
      </c>
      <c r="R350" s="2" t="s">
        <v>1017</v>
      </c>
      <c r="S350" s="2"/>
      <c r="T350" s="2" t="s">
        <v>1769</v>
      </c>
      <c r="U350" s="2" t="s">
        <v>1011</v>
      </c>
      <c r="V350" s="2" t="s">
        <v>0</v>
      </c>
    </row>
    <row r="351" spans="1:22" ht="75" x14ac:dyDescent="0.25">
      <c r="A351" s="6"/>
      <c r="B351" s="10"/>
      <c r="C351" s="2" t="s">
        <v>1673</v>
      </c>
      <c r="D351" s="2" t="s">
        <v>12</v>
      </c>
      <c r="E351" s="1" t="str">
        <f>HYPERLINK("http://www-wds.worldbank.org/external/default/main?menuPK=64187510&amp;pagePK=64193027&amp;piPK=64187937&amp;menuPK=64154159&amp;searchMenuPK=64258546&amp;theSitePK=523679&amp;entityID=000011823_20050602113106","India - Karnataka Health Systems Project : vulnerable communities health plan (VCHP) ")</f>
        <v xml:space="preserve">India - Karnataka Health Systems Project : vulnerable communities health plan (VCHP) </v>
      </c>
      <c r="F351" s="9">
        <v>38356</v>
      </c>
      <c r="G351" s="2" t="s">
        <v>1768</v>
      </c>
      <c r="H351" s="2" t="s">
        <v>10</v>
      </c>
      <c r="I351" s="2"/>
      <c r="J351" s="3"/>
      <c r="K351" s="2" t="s">
        <v>109</v>
      </c>
      <c r="L351" s="2" t="s">
        <v>1767</v>
      </c>
      <c r="M351" s="2" t="s">
        <v>415</v>
      </c>
      <c r="N351" s="2" t="s">
        <v>1766</v>
      </c>
      <c r="O351" s="2" t="s">
        <v>489</v>
      </c>
      <c r="P351" s="2"/>
      <c r="Q351" s="2" t="s">
        <v>1765</v>
      </c>
      <c r="R351" s="2" t="s">
        <v>48</v>
      </c>
      <c r="S351" s="2"/>
      <c r="T351" s="2" t="s">
        <v>1764</v>
      </c>
      <c r="U351" s="2" t="s">
        <v>1011</v>
      </c>
      <c r="V351" s="2" t="s">
        <v>0</v>
      </c>
    </row>
    <row r="352" spans="1:22" ht="60" x14ac:dyDescent="0.25">
      <c r="A352" s="6"/>
      <c r="B352" s="10"/>
      <c r="C352" s="2" t="s">
        <v>1673</v>
      </c>
      <c r="D352" s="2" t="s">
        <v>12</v>
      </c>
      <c r="E352" s="1" t="str">
        <f>HYPERLINK("http://www-wds.worldbank.org/external/default/main?menuPK=64187510&amp;pagePK=64193027&amp;piPK=64187937&amp;menuPK=64154159&amp;searchMenuPK=64258546&amp;theSitePK=523679&amp;entityID=000012009_20050415130550","India - Karnataka Panchayats Strengthening Project : indigenous peoples plan ")</f>
        <v xml:space="preserve">India - Karnataka Panchayats Strengthening Project : indigenous peoples plan </v>
      </c>
      <c r="F352" s="9">
        <v>38355</v>
      </c>
      <c r="G352" s="2" t="s">
        <v>1763</v>
      </c>
      <c r="H352" s="2" t="s">
        <v>10</v>
      </c>
      <c r="I352" s="2" t="s">
        <v>31</v>
      </c>
      <c r="J352" s="3"/>
      <c r="K352" s="2" t="s">
        <v>593</v>
      </c>
      <c r="L352" s="2" t="s">
        <v>1762</v>
      </c>
      <c r="M352" s="2" t="s">
        <v>415</v>
      </c>
      <c r="N352" s="2" t="s">
        <v>1761</v>
      </c>
      <c r="O352" s="2" t="s">
        <v>1760</v>
      </c>
      <c r="P352" s="2"/>
      <c r="Q352" s="2" t="s">
        <v>1759</v>
      </c>
      <c r="R352" s="2" t="s">
        <v>1017</v>
      </c>
      <c r="S352" s="2"/>
      <c r="T352" s="2" t="s">
        <v>1758</v>
      </c>
      <c r="U352" s="2" t="s">
        <v>1038</v>
      </c>
      <c r="V352" s="2" t="s">
        <v>0</v>
      </c>
    </row>
    <row r="353" spans="1:22" ht="90" x14ac:dyDescent="0.25">
      <c r="A353" s="6"/>
      <c r="B353" s="10"/>
      <c r="C353" s="2" t="s">
        <v>1673</v>
      </c>
      <c r="D353" s="2" t="s">
        <v>12</v>
      </c>
      <c r="E353" s="1" t="str">
        <f>HYPERLINK("http://www-wds.worldbank.org/external/default/main?menuPK=64187510&amp;pagePK=64193027&amp;piPK=64187937&amp;menuPK=64154159&amp;searchMenuPK=64258546&amp;theSitePK=523679&amp;entityID=000090341_20050419093703","India - Maharashtra Water Sector Improvement Project : indigenous peoples plan ")</f>
        <v xml:space="preserve">India - Maharashtra Water Sector Improvement Project : indigenous peoples plan </v>
      </c>
      <c r="F353" s="3" t="s">
        <v>1757</v>
      </c>
      <c r="G353" s="2" t="s">
        <v>1756</v>
      </c>
      <c r="H353" s="2" t="s">
        <v>10</v>
      </c>
      <c r="I353" s="2"/>
      <c r="J353" s="3"/>
      <c r="K353" s="2" t="s">
        <v>805</v>
      </c>
      <c r="L353" s="2" t="s">
        <v>1755</v>
      </c>
      <c r="M353" s="2" t="s">
        <v>415</v>
      </c>
      <c r="N353" s="2" t="s">
        <v>1754</v>
      </c>
      <c r="O353" s="2" t="s">
        <v>1753</v>
      </c>
      <c r="P353" s="2"/>
      <c r="Q353" s="2" t="s">
        <v>1752</v>
      </c>
      <c r="R353" s="2" t="s">
        <v>487</v>
      </c>
      <c r="S353" s="2"/>
      <c r="T353" s="2" t="s">
        <v>1751</v>
      </c>
      <c r="U353" s="2" t="s">
        <v>1038</v>
      </c>
      <c r="V353" s="2" t="s">
        <v>0</v>
      </c>
    </row>
    <row r="354" spans="1:22" ht="180" x14ac:dyDescent="0.25">
      <c r="A354" s="6"/>
      <c r="B354" s="10"/>
      <c r="C354" s="2" t="s">
        <v>1673</v>
      </c>
      <c r="D354" s="2" t="s">
        <v>12</v>
      </c>
      <c r="E354" s="1" t="str">
        <f>HYPERLINK("http://www-wds.worldbank.org/external/default/main?menuPK=64187510&amp;pagePK=64193027&amp;piPK=64187937&amp;menuPK=64154159&amp;searchMenuPK=64258546&amp;theSitePK=523679&amp;entityID=000090341_20050228085912","India - Tamil Nadu Empowerment and Poverty Reduction Project : indigenous peoples plan ")</f>
        <v xml:space="preserve">India - Tamil Nadu Empowerment and Poverty Reduction Project : indigenous peoples plan </v>
      </c>
      <c r="F354" s="3" t="s">
        <v>1750</v>
      </c>
      <c r="G354" s="2" t="s">
        <v>1749</v>
      </c>
      <c r="H354" s="2" t="s">
        <v>10</v>
      </c>
      <c r="I354" s="2"/>
      <c r="J354" s="3"/>
      <c r="K354" s="2" t="s">
        <v>1748</v>
      </c>
      <c r="L354" s="2" t="s">
        <v>1747</v>
      </c>
      <c r="M354" s="2" t="s">
        <v>415</v>
      </c>
      <c r="N354" s="2" t="s">
        <v>1746</v>
      </c>
      <c r="O354" s="2" t="s">
        <v>1745</v>
      </c>
      <c r="P354" s="2"/>
      <c r="Q354" s="2" t="s">
        <v>1744</v>
      </c>
      <c r="R354" s="2" t="s">
        <v>1017</v>
      </c>
      <c r="S354" s="2"/>
      <c r="T354" s="2" t="s">
        <v>1743</v>
      </c>
      <c r="U354" s="2" t="s">
        <v>1038</v>
      </c>
      <c r="V354" s="2" t="s">
        <v>0</v>
      </c>
    </row>
    <row r="355" spans="1:22" ht="60" x14ac:dyDescent="0.25">
      <c r="A355" s="6"/>
      <c r="B355" s="10"/>
      <c r="C355" s="2" t="s">
        <v>1673</v>
      </c>
      <c r="D355" s="2" t="s">
        <v>12</v>
      </c>
      <c r="E355" s="1" t="str">
        <f>HYPERLINK("http://www-wds.worldbank.org/external/default/main?menuPK=64187510&amp;pagePK=64193027&amp;piPK=64187937&amp;menuPK=64154159&amp;searchMenuPK=64258546&amp;theSitePK=523679&amp;entityID=000012009_20040329154325","India - Uttaranchal Decentralized Watershed Development Project : indigenous peoples plan ")</f>
        <v xml:space="preserve">India - Uttaranchal Decentralized Watershed Development Project : indigenous peoples plan </v>
      </c>
      <c r="F355" s="3" t="s">
        <v>1742</v>
      </c>
      <c r="G355" s="2" t="s">
        <v>1741</v>
      </c>
      <c r="H355" s="2" t="s">
        <v>10</v>
      </c>
      <c r="I355" s="2" t="s">
        <v>1740</v>
      </c>
      <c r="J355" s="3"/>
      <c r="K355" s="2" t="s">
        <v>8</v>
      </c>
      <c r="L355" s="2" t="s">
        <v>1739</v>
      </c>
      <c r="M355" s="2" t="s">
        <v>415</v>
      </c>
      <c r="N355" s="2" t="s">
        <v>1738</v>
      </c>
      <c r="O355" s="2" t="s">
        <v>1737</v>
      </c>
      <c r="P355" s="2"/>
      <c r="Q355" s="2" t="s">
        <v>1736</v>
      </c>
      <c r="R355" s="2" t="s">
        <v>1089</v>
      </c>
      <c r="S355" s="2"/>
      <c r="T355" s="2" t="s">
        <v>1735</v>
      </c>
      <c r="U355" s="2" t="s">
        <v>1038</v>
      </c>
      <c r="V355" s="2" t="s">
        <v>0</v>
      </c>
    </row>
    <row r="356" spans="1:22" ht="60" x14ac:dyDescent="0.25">
      <c r="A356" s="6"/>
      <c r="B356" s="10"/>
      <c r="C356" s="2" t="s">
        <v>1673</v>
      </c>
      <c r="D356" s="2" t="s">
        <v>12</v>
      </c>
      <c r="E356" s="1" t="str">
        <f>HYPERLINK("http://www-wds.worldbank.org/external/default/main?menuPK=64187510&amp;pagePK=64193027&amp;piPK=64187937&amp;menuPK=64154159&amp;searchMenuPK=64258546&amp;theSitePK=523679&amp;entityID=000012009_20040212124746","India - Elementary Education Project : indigenous peoples plan ")</f>
        <v xml:space="preserve">India - Elementary Education Project : indigenous peoples plan </v>
      </c>
      <c r="F356" s="3" t="s">
        <v>1734</v>
      </c>
      <c r="G356" s="2" t="s">
        <v>1733</v>
      </c>
      <c r="H356" s="2" t="s">
        <v>10</v>
      </c>
      <c r="I356" s="2" t="s">
        <v>31</v>
      </c>
      <c r="J356" s="3"/>
      <c r="K356" s="2" t="s">
        <v>21</v>
      </c>
      <c r="L356" s="2" t="s">
        <v>1732</v>
      </c>
      <c r="M356" s="2" t="s">
        <v>415</v>
      </c>
      <c r="N356" s="2" t="s">
        <v>1731</v>
      </c>
      <c r="O356" s="2" t="s">
        <v>27</v>
      </c>
      <c r="P356" s="2"/>
      <c r="Q356" s="2" t="s">
        <v>26</v>
      </c>
      <c r="R356" s="2" t="s">
        <v>25</v>
      </c>
      <c r="S356" s="2"/>
      <c r="T356" s="2" t="s">
        <v>1730</v>
      </c>
      <c r="U356" s="2" t="s">
        <v>1011</v>
      </c>
      <c r="V356" s="2" t="s">
        <v>0</v>
      </c>
    </row>
    <row r="357" spans="1:22" ht="60" x14ac:dyDescent="0.25">
      <c r="A357" s="6"/>
      <c r="B357" s="10"/>
      <c r="C357" s="2" t="s">
        <v>1673</v>
      </c>
      <c r="D357" s="2" t="s">
        <v>12</v>
      </c>
      <c r="E357" s="1" t="str">
        <f>HYPERLINK("http://www-wds.worldbank.org/external/default/main?menuPK=64187510&amp;pagePK=64193027&amp;piPK=64187937&amp;menuPK=64154159&amp;searchMenuPK=64258546&amp;theSitePK=523679&amp;entityID=000094946_03092504154270","Resettlement and indigenous peoples development plan ")</f>
        <v xml:space="preserve">Resettlement and indigenous peoples development plan </v>
      </c>
      <c r="F357" s="9">
        <v>37626</v>
      </c>
      <c r="G357" s="2" t="s">
        <v>1727</v>
      </c>
      <c r="H357" s="2" t="s">
        <v>10</v>
      </c>
      <c r="I357" s="2" t="s">
        <v>1726</v>
      </c>
      <c r="J357" s="3"/>
      <c r="K357" s="2" t="s">
        <v>164</v>
      </c>
      <c r="L357" s="2" t="s">
        <v>1725</v>
      </c>
      <c r="M357" s="2" t="s">
        <v>415</v>
      </c>
      <c r="N357" s="2" t="s">
        <v>1724</v>
      </c>
      <c r="O357" s="2" t="s">
        <v>567</v>
      </c>
      <c r="P357" s="2"/>
      <c r="Q357" s="2" t="s">
        <v>1729</v>
      </c>
      <c r="R357" s="2" t="s">
        <v>1728</v>
      </c>
      <c r="S357" s="2"/>
      <c r="T357" s="2"/>
      <c r="U357" s="2" t="s">
        <v>441</v>
      </c>
      <c r="V357" s="2" t="s">
        <v>70</v>
      </c>
    </row>
    <row r="358" spans="1:22" ht="75" x14ac:dyDescent="0.25">
      <c r="A358" s="6"/>
      <c r="B358" s="10"/>
      <c r="C358" s="2" t="s">
        <v>1673</v>
      </c>
      <c r="D358" s="2" t="s">
        <v>12</v>
      </c>
      <c r="E358" s="1" t="str">
        <f>HYPERLINK("http://www-wds.worldbank.org/external/default/main?menuPK=64187510&amp;pagePK=64193027&amp;piPK=64187937&amp;menuPK=64154159&amp;searchMenuPK=64258546&amp;theSitePK=523679&amp;entityID=000094946_03092504154371","Baseline profile of PAPs ")</f>
        <v xml:space="preserve">Baseline profile of PAPs </v>
      </c>
      <c r="F358" s="9">
        <v>37626</v>
      </c>
      <c r="G358" s="2" t="s">
        <v>1727</v>
      </c>
      <c r="H358" s="2" t="s">
        <v>10</v>
      </c>
      <c r="I358" s="2" t="s">
        <v>1726</v>
      </c>
      <c r="J358" s="3"/>
      <c r="K358" s="2" t="s">
        <v>164</v>
      </c>
      <c r="L358" s="2" t="s">
        <v>1725</v>
      </c>
      <c r="M358" s="2" t="s">
        <v>415</v>
      </c>
      <c r="N358" s="2" t="s">
        <v>1724</v>
      </c>
      <c r="O358" s="2" t="s">
        <v>567</v>
      </c>
      <c r="P358" s="2"/>
      <c r="Q358" s="2" t="s">
        <v>1723</v>
      </c>
      <c r="R358" s="2" t="s">
        <v>1722</v>
      </c>
      <c r="S358" s="2"/>
      <c r="T358" s="2"/>
      <c r="U358" s="2" t="s">
        <v>441</v>
      </c>
      <c r="V358" s="2" t="s">
        <v>59</v>
      </c>
    </row>
    <row r="359" spans="1:22" ht="105" x14ac:dyDescent="0.25">
      <c r="A359" s="6"/>
      <c r="B359" s="10"/>
      <c r="C359" s="2" t="s">
        <v>1673</v>
      </c>
      <c r="D359" s="2" t="s">
        <v>12</v>
      </c>
      <c r="E359" s="1" t="str">
        <f>HYPERLINK("http://www-wds.worldbank.org/external/default/main?menuPK=64187510&amp;pagePK=64193027&amp;piPK=64187937&amp;menuPK=64154159&amp;searchMenuPK=64258546&amp;theSitePK=523679&amp;entityID=000094946_03051504172878","India - Integrated Disease Surveillance Project : indigenous peoples plan ")</f>
        <v xml:space="preserve">India - Integrated Disease Surveillance Project : indigenous peoples plan </v>
      </c>
      <c r="F359" s="3" t="s">
        <v>1555</v>
      </c>
      <c r="G359" s="2" t="s">
        <v>1721</v>
      </c>
      <c r="H359" s="2" t="s">
        <v>10</v>
      </c>
      <c r="I359" s="2" t="s">
        <v>31</v>
      </c>
      <c r="J359" s="3"/>
      <c r="K359" s="2" t="s">
        <v>1541</v>
      </c>
      <c r="L359" s="2" t="s">
        <v>1720</v>
      </c>
      <c r="M359" s="2" t="s">
        <v>415</v>
      </c>
      <c r="N359" s="2" t="s">
        <v>1719</v>
      </c>
      <c r="O359" s="2" t="s">
        <v>1718</v>
      </c>
      <c r="P359" s="2"/>
      <c r="Q359" s="2" t="s">
        <v>1717</v>
      </c>
      <c r="R359" s="2" t="s">
        <v>25</v>
      </c>
      <c r="S359" s="2"/>
      <c r="T359" s="2"/>
      <c r="U359" s="2" t="s">
        <v>1011</v>
      </c>
      <c r="V359" s="2">
        <v>1</v>
      </c>
    </row>
    <row r="360" spans="1:22" ht="60" x14ac:dyDescent="0.25">
      <c r="A360" s="6"/>
      <c r="B360" s="10"/>
      <c r="C360" s="2" t="s">
        <v>1673</v>
      </c>
      <c r="D360" s="2" t="s">
        <v>12</v>
      </c>
      <c r="E360" s="1" t="str">
        <f>HYPERLINK("http://www-wds.worldbank.org/external/default/main?menuPK=64187510&amp;pagePK=64193027&amp;piPK=64187937&amp;menuPK=64154159&amp;searchMenuPK=64258546&amp;theSitePK=523679&amp;entityID=000094946_03051504172879","India - Rajasthan Health Systems Development Project : indigenous peoples plan ")</f>
        <v xml:space="preserve">India - Rajasthan Health Systems Development Project : indigenous peoples plan </v>
      </c>
      <c r="F360" s="3" t="s">
        <v>1555</v>
      </c>
      <c r="G360" s="2" t="s">
        <v>1716</v>
      </c>
      <c r="H360" s="2" t="s">
        <v>10</v>
      </c>
      <c r="I360" s="2"/>
      <c r="J360" s="3"/>
      <c r="K360" s="2" t="s">
        <v>1541</v>
      </c>
      <c r="L360" s="2" t="s">
        <v>1715</v>
      </c>
      <c r="M360" s="2" t="s">
        <v>415</v>
      </c>
      <c r="N360" s="2" t="s">
        <v>1714</v>
      </c>
      <c r="O360" s="2" t="s">
        <v>106</v>
      </c>
      <c r="P360" s="2"/>
      <c r="Q360" s="2" t="s">
        <v>1713</v>
      </c>
      <c r="R360" s="2" t="s">
        <v>487</v>
      </c>
      <c r="S360" s="2"/>
      <c r="T360" s="2"/>
      <c r="U360" s="2" t="s">
        <v>1011</v>
      </c>
      <c r="V360" s="2">
        <v>1</v>
      </c>
    </row>
    <row r="361" spans="1:22" ht="75" x14ac:dyDescent="0.25">
      <c r="A361" s="6"/>
      <c r="B361" s="10"/>
      <c r="C361" s="2" t="s">
        <v>1673</v>
      </c>
      <c r="D361" s="2" t="s">
        <v>12</v>
      </c>
      <c r="E361" s="1" t="str">
        <f>HYPERLINK("http://www-wds.worldbank.org/external/default/main?menuPK=64187510&amp;pagePK=64193027&amp;piPK=64187937&amp;menuPK=64154159&amp;searchMenuPK=64258546&amp;theSitePK=523679&amp;entityID=000094946_03052004071312","India - Maharashtra Rural Water Supply and Sanitation Project : indigenous peoples plan ")</f>
        <v xml:space="preserve">India - Maharashtra Rural Water Supply and Sanitation Project : indigenous peoples plan </v>
      </c>
      <c r="F361" s="3" t="s">
        <v>1712</v>
      </c>
      <c r="G361" s="2" t="s">
        <v>1711</v>
      </c>
      <c r="H361" s="2" t="s">
        <v>10</v>
      </c>
      <c r="I361" s="2"/>
      <c r="J361" s="3"/>
      <c r="K361" s="2" t="s">
        <v>145</v>
      </c>
      <c r="L361" s="2" t="s">
        <v>1710</v>
      </c>
      <c r="M361" s="2" t="s">
        <v>415</v>
      </c>
      <c r="N361" s="2" t="s">
        <v>1709</v>
      </c>
      <c r="O361" s="2" t="s">
        <v>886</v>
      </c>
      <c r="P361" s="2"/>
      <c r="Q361" s="2" t="s">
        <v>1708</v>
      </c>
      <c r="R361" s="2" t="s">
        <v>48</v>
      </c>
      <c r="S361" s="2"/>
      <c r="T361" s="2" t="s">
        <v>1707</v>
      </c>
      <c r="U361" s="2" t="s">
        <v>1038</v>
      </c>
      <c r="V361" s="2">
        <v>1</v>
      </c>
    </row>
    <row r="362" spans="1:22" ht="105" x14ac:dyDescent="0.25">
      <c r="A362" s="6"/>
      <c r="B362" s="10"/>
      <c r="C362" s="2" t="s">
        <v>1673</v>
      </c>
      <c r="D362" s="2" t="s">
        <v>12</v>
      </c>
      <c r="E362" s="1" t="str">
        <f>HYPERLINK("http://www-wds.worldbank.org/external/default/main?menuPK=64187510&amp;pagePK=64193027&amp;piPK=64187937&amp;menuPK=64154159&amp;searchMenuPK=64258546&amp;theSitePK=523679&amp;entityID=000094946_0305200407139","Section 3 ")</f>
        <v xml:space="preserve">Section 3 </v>
      </c>
      <c r="F362" s="9">
        <v>37622</v>
      </c>
      <c r="G362" s="2" t="s">
        <v>1705</v>
      </c>
      <c r="H362" s="2" t="s">
        <v>10</v>
      </c>
      <c r="I362" s="2" t="s">
        <v>1704</v>
      </c>
      <c r="J362" s="3"/>
      <c r="K362" s="2" t="s">
        <v>8</v>
      </c>
      <c r="L362" s="2" t="s">
        <v>1703</v>
      </c>
      <c r="M362" s="2" t="s">
        <v>415</v>
      </c>
      <c r="N362" s="2" t="s">
        <v>1702</v>
      </c>
      <c r="O362" s="2" t="s">
        <v>1694</v>
      </c>
      <c r="P362" s="2"/>
      <c r="Q362" s="2" t="s">
        <v>1701</v>
      </c>
      <c r="R362" s="2" t="s">
        <v>1700</v>
      </c>
      <c r="S362" s="2"/>
      <c r="T362" s="2"/>
      <c r="U362" s="2" t="s">
        <v>1038</v>
      </c>
      <c r="V362" s="2" t="s">
        <v>59</v>
      </c>
    </row>
    <row r="363" spans="1:22" ht="105" x14ac:dyDescent="0.25">
      <c r="A363" s="6"/>
      <c r="B363" s="10"/>
      <c r="C363" s="2" t="s">
        <v>1673</v>
      </c>
      <c r="D363" s="2" t="s">
        <v>12</v>
      </c>
      <c r="E363" s="1" t="str">
        <f>HYPERLINK("http://www-wds.worldbank.org/external/default/main?menuPK=64187510&amp;pagePK=64193027&amp;piPK=64187937&amp;menuPK=64154159&amp;searchMenuPK=64258546&amp;theSitePK=523679&amp;entityID=000094946_02122404053764","Main report ")</f>
        <v xml:space="preserve">Main report </v>
      </c>
      <c r="F363" s="3" t="s">
        <v>1706</v>
      </c>
      <c r="G363" s="2" t="s">
        <v>1705</v>
      </c>
      <c r="H363" s="2" t="s">
        <v>10</v>
      </c>
      <c r="I363" s="2" t="s">
        <v>1704</v>
      </c>
      <c r="J363" s="3"/>
      <c r="K363" s="2" t="s">
        <v>8</v>
      </c>
      <c r="L363" s="2" t="s">
        <v>1703</v>
      </c>
      <c r="M363" s="2" t="s">
        <v>415</v>
      </c>
      <c r="N363" s="2" t="s">
        <v>1702</v>
      </c>
      <c r="O363" s="2" t="s">
        <v>1694</v>
      </c>
      <c r="P363" s="2"/>
      <c r="Q363" s="2" t="s">
        <v>1701</v>
      </c>
      <c r="R363" s="2" t="s">
        <v>1700</v>
      </c>
      <c r="S363" s="2"/>
      <c r="T363" s="2"/>
      <c r="U363" s="2" t="s">
        <v>1038</v>
      </c>
      <c r="V363" s="2" t="s">
        <v>70</v>
      </c>
    </row>
    <row r="364" spans="1:22" ht="75" x14ac:dyDescent="0.25">
      <c r="A364" s="6"/>
      <c r="B364" s="10"/>
      <c r="C364" s="2" t="s">
        <v>1673</v>
      </c>
      <c r="D364" s="2" t="s">
        <v>12</v>
      </c>
      <c r="E364" s="1" t="str">
        <f>HYPERLINK("http://www-wds.worldbank.org/external/default/main?menuPK=64187510&amp;pagePK=64193027&amp;piPK=64187937&amp;menuPK=64154159&amp;searchMenuPK=64258546&amp;theSitePK=523679&amp;entityID=000094946_02100104011656","India - Andhra Pradesh Rural Poverty Reduction Project : indigenous peoples plan ")</f>
        <v xml:space="preserve">India - Andhra Pradesh Rural Poverty Reduction Project : indigenous peoples plan </v>
      </c>
      <c r="F364" s="3" t="s">
        <v>1699</v>
      </c>
      <c r="G364" s="2" t="s">
        <v>1698</v>
      </c>
      <c r="H364" s="2" t="s">
        <v>10</v>
      </c>
      <c r="I364" s="2" t="s">
        <v>1697</v>
      </c>
      <c r="J364" s="3"/>
      <c r="K364" s="2" t="s">
        <v>1124</v>
      </c>
      <c r="L364" s="2" t="s">
        <v>1696</v>
      </c>
      <c r="M364" s="2" t="s">
        <v>415</v>
      </c>
      <c r="N364" s="2" t="s">
        <v>1695</v>
      </c>
      <c r="O364" s="2" t="s">
        <v>1694</v>
      </c>
      <c r="P364" s="2"/>
      <c r="Q364" s="2" t="s">
        <v>1693</v>
      </c>
      <c r="R364" s="2" t="s">
        <v>1017</v>
      </c>
      <c r="S364" s="2"/>
      <c r="T364" s="2" t="s">
        <v>1692</v>
      </c>
      <c r="U364" s="2" t="s">
        <v>1038</v>
      </c>
      <c r="V364" s="2">
        <v>1</v>
      </c>
    </row>
    <row r="365" spans="1:22" ht="60" x14ac:dyDescent="0.25">
      <c r="A365" s="6"/>
      <c r="B365" s="10"/>
      <c r="C365" s="2" t="s">
        <v>1673</v>
      </c>
      <c r="D365" s="2" t="s">
        <v>12</v>
      </c>
      <c r="E365" s="1" t="str">
        <f>HYPERLINK("http://www-wds.worldbank.org/external/default/main?menuPK=64187510&amp;pagePK=64193027&amp;piPK=64187937&amp;menuPK=64154159&amp;searchMenuPK=64258546&amp;theSitePK=523679&amp;entityID=000094946_02071004093971","India - Engineering and Technical Education Quality Improvement Program Project : indigenous peoples plan ")</f>
        <v xml:space="preserve">India - Engineering and Technical Education Quality Improvement Program Project : indigenous peoples plan </v>
      </c>
      <c r="F365" s="3" t="s">
        <v>465</v>
      </c>
      <c r="G365" s="2" t="s">
        <v>1691</v>
      </c>
      <c r="H365" s="2" t="s">
        <v>10</v>
      </c>
      <c r="I365" s="2" t="s">
        <v>1690</v>
      </c>
      <c r="J365" s="3"/>
      <c r="K365" s="2" t="s">
        <v>21</v>
      </c>
      <c r="L365" s="2" t="s">
        <v>1689</v>
      </c>
      <c r="M365" s="2" t="s">
        <v>415</v>
      </c>
      <c r="N365" s="2" t="s">
        <v>1688</v>
      </c>
      <c r="O365" s="2" t="s">
        <v>1687</v>
      </c>
      <c r="P365" s="2"/>
      <c r="Q365" s="2" t="s">
        <v>1686</v>
      </c>
      <c r="R365" s="2" t="s">
        <v>25</v>
      </c>
      <c r="S365" s="2"/>
      <c r="T365" s="2"/>
      <c r="U365" s="2" t="s">
        <v>1011</v>
      </c>
      <c r="V365" s="2">
        <v>1</v>
      </c>
    </row>
    <row r="366" spans="1:22" ht="120" x14ac:dyDescent="0.25">
      <c r="A366" s="6"/>
      <c r="B366" s="10"/>
      <c r="C366" s="2" t="s">
        <v>1673</v>
      </c>
      <c r="D366" s="2" t="s">
        <v>12</v>
      </c>
      <c r="E366" s="1" t="str">
        <f>HYPERLINK("http://www-wds.worldbank.org/external/default/main?menuPK=64187510&amp;pagePK=64193027&amp;piPK=64187937&amp;menuPK=64154159&amp;searchMenuPK=64258546&amp;theSitePK=523679&amp;entityID=000094946_02050404111941","India - Karnataka Community Based Tank Management Project : indigenous peoples development plan ")</f>
        <v xml:space="preserve">India - Karnataka Community Based Tank Management Project : indigenous peoples development plan </v>
      </c>
      <c r="F366" s="3" t="s">
        <v>455</v>
      </c>
      <c r="G366" s="2" t="s">
        <v>1685</v>
      </c>
      <c r="H366" s="2" t="s">
        <v>10</v>
      </c>
      <c r="I366" s="2"/>
      <c r="J366" s="3"/>
      <c r="K366" s="2" t="s">
        <v>8</v>
      </c>
      <c r="L366" s="2" t="s">
        <v>1684</v>
      </c>
      <c r="M366" s="2" t="s">
        <v>415</v>
      </c>
      <c r="N366" s="2" t="s">
        <v>1683</v>
      </c>
      <c r="O366" s="2" t="s">
        <v>1682</v>
      </c>
      <c r="P366" s="2"/>
      <c r="Q366" s="2" t="s">
        <v>1681</v>
      </c>
      <c r="R366" s="2" t="s">
        <v>1680</v>
      </c>
      <c r="S366" s="2"/>
      <c r="T366" s="2" t="s">
        <v>1679</v>
      </c>
      <c r="U366" s="2" t="s">
        <v>1038</v>
      </c>
      <c r="V366" s="2">
        <v>1</v>
      </c>
    </row>
    <row r="367" spans="1:22" ht="75" x14ac:dyDescent="0.25">
      <c r="A367" s="6"/>
      <c r="B367" s="10"/>
      <c r="C367" s="2" t="s">
        <v>1673</v>
      </c>
      <c r="D367" s="2" t="s">
        <v>12</v>
      </c>
      <c r="E367" s="1" t="str">
        <f>HYPERLINK("http://www-wds.worldbank.org/external/default/main?menuPK=64187510&amp;pagePK=64193027&amp;piPK=64187937&amp;menuPK=64154159&amp;searchMenuPK=64258546&amp;theSitePK=523679&amp;entityID=000094946_02050404112043","India - Andhra Pradesh Community Forest Management Project : indigenous peoples plan ")</f>
        <v xml:space="preserve">India - Andhra Pradesh Community Forest Management Project : indigenous peoples plan </v>
      </c>
      <c r="F367" s="3" t="s">
        <v>1678</v>
      </c>
      <c r="G367" s="2" t="s">
        <v>1677</v>
      </c>
      <c r="H367" s="2" t="s">
        <v>10</v>
      </c>
      <c r="I367" s="2"/>
      <c r="J367" s="3"/>
      <c r="K367" s="2" t="s">
        <v>8</v>
      </c>
      <c r="L367" s="2" t="s">
        <v>1676</v>
      </c>
      <c r="M367" s="2" t="s">
        <v>415</v>
      </c>
      <c r="N367" s="2" t="s">
        <v>1675</v>
      </c>
      <c r="O367" s="2" t="s">
        <v>1140</v>
      </c>
      <c r="P367" s="2"/>
      <c r="Q367" s="2" t="s">
        <v>1674</v>
      </c>
      <c r="R367" s="2" t="s">
        <v>487</v>
      </c>
      <c r="S367" s="2"/>
      <c r="T367" s="2"/>
      <c r="U367" s="2" t="s">
        <v>1038</v>
      </c>
      <c r="V367" s="2">
        <v>1</v>
      </c>
    </row>
    <row r="368" spans="1:22" ht="105" x14ac:dyDescent="0.25">
      <c r="A368" s="6"/>
      <c r="B368" s="10"/>
      <c r="C368" s="2" t="s">
        <v>1673</v>
      </c>
      <c r="D368" s="2" t="s">
        <v>12</v>
      </c>
      <c r="E368" s="1" t="str">
        <f>HYPERLINK("http://www-wds.worldbank.org/external/default/main?menuPK=64187510&amp;pagePK=64193027&amp;piPK=64187937&amp;menuPK=64154159&amp;searchMenuPK=64258546&amp;theSitePK=523679&amp;entityID=000094946_02050404111636","India - Second Karnataka Rural Water Supply and Sanitation Project : indigenous peoples development plan ")</f>
        <v xml:space="preserve">India - Second Karnataka Rural Water Supply and Sanitation Project : indigenous peoples development plan </v>
      </c>
      <c r="F368" s="9">
        <v>36902</v>
      </c>
      <c r="G368" s="2" t="s">
        <v>1672</v>
      </c>
      <c r="H368" s="2" t="s">
        <v>10</v>
      </c>
      <c r="I368" s="2"/>
      <c r="J368" s="3"/>
      <c r="K368" s="2" t="s">
        <v>145</v>
      </c>
      <c r="L368" s="2" t="s">
        <v>1671</v>
      </c>
      <c r="M368" s="2" t="s">
        <v>415</v>
      </c>
      <c r="N368" s="2" t="s">
        <v>1670</v>
      </c>
      <c r="O368" s="2" t="s">
        <v>1669</v>
      </c>
      <c r="P368" s="2"/>
      <c r="Q368" s="2" t="s">
        <v>1668</v>
      </c>
      <c r="R368" s="2" t="s">
        <v>48</v>
      </c>
      <c r="S368" s="2"/>
      <c r="T368" s="2"/>
      <c r="U368" s="2" t="s">
        <v>1038</v>
      </c>
      <c r="V368" s="2">
        <v>1</v>
      </c>
    </row>
    <row r="369" spans="1:22" ht="105" x14ac:dyDescent="0.25">
      <c r="A369" s="6"/>
      <c r="B369" s="10"/>
      <c r="C369" s="2" t="s">
        <v>1535</v>
      </c>
      <c r="D369" s="2" t="s">
        <v>12</v>
      </c>
      <c r="E369" s="1" t="str">
        <f>HYPERLINK("http://www-wds.worldbank.org/external/default/main?menuPK=64187510&amp;pagePK=64193027&amp;piPK=64187937&amp;menuPK=64154159&amp;searchMenuPK=64258546&amp;theSitePK=523679&amp;entityID=000333038_20101216235235","Indonesia - Second Water Resources and Irrigation Sector Management Project : indigenous peoples plan ")</f>
        <v xml:space="preserve">Indonesia - Second Water Resources and Irrigation Sector Management Project : indigenous peoples plan </v>
      </c>
      <c r="F369" s="9">
        <v>40190</v>
      </c>
      <c r="G369" s="2" t="s">
        <v>1667</v>
      </c>
      <c r="H369" s="2" t="s">
        <v>10</v>
      </c>
      <c r="I369" s="2"/>
      <c r="J369" s="3"/>
      <c r="K369" s="2" t="s">
        <v>509</v>
      </c>
      <c r="L369" s="2" t="s">
        <v>1666</v>
      </c>
      <c r="M369" s="2" t="s">
        <v>29</v>
      </c>
      <c r="N369" s="2" t="s">
        <v>1665</v>
      </c>
      <c r="O369" s="2" t="s">
        <v>719</v>
      </c>
      <c r="P369" s="2"/>
      <c r="Q369" s="2" t="s">
        <v>1664</v>
      </c>
      <c r="R369" s="2" t="s">
        <v>1663</v>
      </c>
      <c r="S369" s="2"/>
      <c r="T369" s="2"/>
      <c r="U369" s="2" t="s">
        <v>1602</v>
      </c>
      <c r="V369" s="2" t="s">
        <v>0</v>
      </c>
    </row>
    <row r="370" spans="1:22" ht="90" x14ac:dyDescent="0.25">
      <c r="A370" s="6"/>
      <c r="B370" s="10"/>
      <c r="C370" s="2" t="s">
        <v>1535</v>
      </c>
      <c r="D370" s="2" t="s">
        <v>12</v>
      </c>
      <c r="E370" s="1" t="str">
        <f>HYPERLINK("http://www-wds.worldbank.org/external/default/main?menuPK=64187510&amp;pagePK=64193027&amp;piPK=64187937&amp;menuPK=64154159&amp;searchMenuPK=64258546&amp;theSitePK=523679&amp;entityID=000334955_20101001023652","Indonesia - Integrating Environment and Forest Protection into the Recovery and Future Development of Aceh Project : indigenous peoples planning framework ")</f>
        <v xml:space="preserve">Indonesia - Integrating Environment and Forest Protection into the Recovery and Future Development of Aceh Project : indigenous peoples planning framework </v>
      </c>
      <c r="F370" s="3" t="s">
        <v>1662</v>
      </c>
      <c r="G370" s="2" t="s">
        <v>1661</v>
      </c>
      <c r="H370" s="2" t="s">
        <v>10</v>
      </c>
      <c r="I370" s="2"/>
      <c r="J370" s="3"/>
      <c r="K370" s="2" t="s">
        <v>8</v>
      </c>
      <c r="L370" s="2" t="s">
        <v>1660</v>
      </c>
      <c r="M370" s="2" t="s">
        <v>29</v>
      </c>
      <c r="N370" s="2" t="s">
        <v>1659</v>
      </c>
      <c r="O370" s="2" t="s">
        <v>50</v>
      </c>
      <c r="P370" s="2"/>
      <c r="Q370" s="2" t="s">
        <v>1658</v>
      </c>
      <c r="R370" s="2" t="s">
        <v>1657</v>
      </c>
      <c r="S370" s="2"/>
      <c r="T370" s="2" t="s">
        <v>1656</v>
      </c>
      <c r="U370" s="2" t="s">
        <v>1602</v>
      </c>
      <c r="V370" s="2" t="s">
        <v>0</v>
      </c>
    </row>
    <row r="371" spans="1:22" ht="120" x14ac:dyDescent="0.25">
      <c r="A371" s="6"/>
      <c r="B371" s="10"/>
      <c r="C371" s="2" t="s">
        <v>1535</v>
      </c>
      <c r="D371" s="2" t="s">
        <v>12</v>
      </c>
      <c r="E371" s="1" t="str">
        <f>HYPERLINK("http://www-wds.worldbank.org/external/default/main?menuPK=64187510&amp;pagePK=64193027&amp;piPK=64187937&amp;menuPK=64154159&amp;searchMenuPK=64258546&amp;theSitePK=523679&amp;entityID=000333037_20100726021329","Isolated and vulnerable peoples planning framework ")</f>
        <v xml:space="preserve">Isolated and vulnerable peoples planning framework </v>
      </c>
      <c r="F371" s="3" t="s">
        <v>1655</v>
      </c>
      <c r="G371" s="2" t="s">
        <v>1649</v>
      </c>
      <c r="H371" s="2" t="s">
        <v>10</v>
      </c>
      <c r="I371" s="2"/>
      <c r="J371" s="3"/>
      <c r="K371" s="2" t="s">
        <v>1620</v>
      </c>
      <c r="L371" s="2" t="s">
        <v>1648</v>
      </c>
      <c r="M371" s="2" t="s">
        <v>29</v>
      </c>
      <c r="N371" s="2" t="s">
        <v>1647</v>
      </c>
      <c r="O371" s="2" t="s">
        <v>1617</v>
      </c>
      <c r="P371" s="2"/>
      <c r="Q371" s="2" t="s">
        <v>1646</v>
      </c>
      <c r="R371" s="2" t="s">
        <v>1645</v>
      </c>
      <c r="S371" s="2" t="s">
        <v>1614</v>
      </c>
      <c r="T371" s="2"/>
      <c r="U371" s="2" t="s">
        <v>1602</v>
      </c>
      <c r="V371" s="2" t="s">
        <v>59</v>
      </c>
    </row>
    <row r="372" spans="1:22" ht="75" x14ac:dyDescent="0.25">
      <c r="A372" s="6"/>
      <c r="B372" s="10"/>
      <c r="C372" s="2" t="s">
        <v>1535</v>
      </c>
      <c r="D372" s="2" t="s">
        <v>12</v>
      </c>
      <c r="E372" s="1" t="str">
        <f>HYPERLINK("http://www-wds.worldbank.org/external/default/main?menuPK=64187510&amp;pagePK=64193027&amp;piPK=64187937&amp;menuPK=64154159&amp;searchMenuPK=64258546&amp;theSitePK=523679&amp;entityID=000334955_20100715042949","Indonesia - Third Life Skills Education for Employment and Entrepreneurship (LSE3) Project : indigenous peoples planning framework (IPPF) ")</f>
        <v xml:space="preserve">Indonesia - Third Life Skills Education for Employment and Entrepreneurship (LSE3) Project : indigenous peoples planning framework (IPPF) </v>
      </c>
      <c r="F372" s="9">
        <v>40428</v>
      </c>
      <c r="G372" s="2" t="s">
        <v>1654</v>
      </c>
      <c r="H372" s="2" t="s">
        <v>10</v>
      </c>
      <c r="I372" s="2"/>
      <c r="J372" s="3"/>
      <c r="K372" s="2" t="s">
        <v>21</v>
      </c>
      <c r="L372" s="2" t="s">
        <v>1653</v>
      </c>
      <c r="M372" s="2" t="s">
        <v>29</v>
      </c>
      <c r="N372" s="2" t="s">
        <v>1652</v>
      </c>
      <c r="O372" s="2" t="s">
        <v>1651</v>
      </c>
      <c r="P372" s="2"/>
      <c r="Q372" s="2" t="s">
        <v>1650</v>
      </c>
      <c r="R372" s="2" t="s">
        <v>1259</v>
      </c>
      <c r="S372" s="2"/>
      <c r="T372" s="2"/>
      <c r="U372" s="2" t="s">
        <v>1422</v>
      </c>
      <c r="V372" s="2" t="s">
        <v>0</v>
      </c>
    </row>
    <row r="373" spans="1:22" ht="120" x14ac:dyDescent="0.25">
      <c r="A373" s="6"/>
      <c r="B373" s="10"/>
      <c r="C373" s="2" t="s">
        <v>1535</v>
      </c>
      <c r="D373" s="2" t="s">
        <v>12</v>
      </c>
      <c r="E373" s="1" t="str">
        <f>HYPERLINK("http://www-wds.worldbank.org/external/default/main?menuPK=64187510&amp;pagePK=64193027&amp;piPK=64187937&amp;menuPK=64154159&amp;searchMenuPK=64258546&amp;theSitePK=523679&amp;entityID=000334955_20100310011851","Indigenous people policy framework ")</f>
        <v xml:space="preserve">Indigenous people policy framework </v>
      </c>
      <c r="F373" s="9">
        <v>40301</v>
      </c>
      <c r="G373" s="2" t="s">
        <v>1649</v>
      </c>
      <c r="H373" s="2" t="s">
        <v>10</v>
      </c>
      <c r="I373" s="2"/>
      <c r="J373" s="3"/>
      <c r="K373" s="2" t="s">
        <v>1620</v>
      </c>
      <c r="L373" s="2" t="s">
        <v>1648</v>
      </c>
      <c r="M373" s="2" t="s">
        <v>29</v>
      </c>
      <c r="N373" s="2" t="s">
        <v>1647</v>
      </c>
      <c r="O373" s="2" t="s">
        <v>1617</v>
      </c>
      <c r="P373" s="2"/>
      <c r="Q373" s="2" t="s">
        <v>1646</v>
      </c>
      <c r="R373" s="2" t="s">
        <v>1645</v>
      </c>
      <c r="S373" s="2" t="s">
        <v>1614</v>
      </c>
      <c r="T373" s="2"/>
      <c r="U373" s="2" t="s">
        <v>1602</v>
      </c>
      <c r="V373" s="2" t="s">
        <v>70</v>
      </c>
    </row>
    <row r="374" spans="1:22" ht="105" x14ac:dyDescent="0.25">
      <c r="A374" s="6"/>
      <c r="B374" s="10"/>
      <c r="C374" s="2" t="s">
        <v>1535</v>
      </c>
      <c r="D374" s="2" t="s">
        <v>12</v>
      </c>
      <c r="E374" s="1" t="str">
        <f>HYPERLINK("http://www-wds.worldbank.org/external/default/main?menuPK=64187510&amp;pagePK=64193027&amp;piPK=64187937&amp;menuPK=64154159&amp;searchMenuPK=64258546&amp;theSitePK=523679&amp;entityID=000334955_20100302045653","Framework for treatment of indigenous or isolated vulnerable peoples ")</f>
        <v xml:space="preserve">Framework for treatment of indigenous or isolated vulnerable peoples </v>
      </c>
      <c r="F374" s="3" t="s">
        <v>1644</v>
      </c>
      <c r="G374" s="2" t="s">
        <v>1643</v>
      </c>
      <c r="H374" s="2" t="s">
        <v>10</v>
      </c>
      <c r="I374" s="2"/>
      <c r="J374" s="3"/>
      <c r="K374" s="2" t="s">
        <v>1642</v>
      </c>
      <c r="L374" s="2" t="s">
        <v>1641</v>
      </c>
      <c r="M374" s="2" t="s">
        <v>29</v>
      </c>
      <c r="N374" s="2" t="s">
        <v>1640</v>
      </c>
      <c r="O374" s="2" t="s">
        <v>1639</v>
      </c>
      <c r="P374" s="2"/>
      <c r="Q374" s="2" t="s">
        <v>1638</v>
      </c>
      <c r="R374" s="2" t="s">
        <v>615</v>
      </c>
      <c r="S374" s="2" t="s">
        <v>1637</v>
      </c>
      <c r="T374" s="2"/>
      <c r="U374" s="2" t="s">
        <v>1602</v>
      </c>
      <c r="V374" s="2" t="s">
        <v>0</v>
      </c>
    </row>
    <row r="375" spans="1:22" ht="75" x14ac:dyDescent="0.25">
      <c r="A375" s="6"/>
      <c r="B375" s="10"/>
      <c r="C375" s="2" t="s">
        <v>1535</v>
      </c>
      <c r="D375" s="2" t="s">
        <v>12</v>
      </c>
      <c r="E375" s="1" t="str">
        <f>HYPERLINK("http://www-wds.worldbank.org/external/default/main?menuPK=64187510&amp;pagePK=64193027&amp;piPK=64187937&amp;menuPK=64154159&amp;searchMenuPK=64258546&amp;theSitePK=523679&amp;entityID=000333037_20090603012313","Draft environmental and social safeguards framework ")</f>
        <v xml:space="preserve">Draft environmental and social safeguards framework </v>
      </c>
      <c r="F375" s="3" t="s">
        <v>1636</v>
      </c>
      <c r="G375" s="2" t="s">
        <v>1635</v>
      </c>
      <c r="H375" s="2" t="s">
        <v>10</v>
      </c>
      <c r="I375" s="2"/>
      <c r="J375" s="3"/>
      <c r="K375" s="2" t="s">
        <v>204</v>
      </c>
      <c r="L375" s="2" t="s">
        <v>1634</v>
      </c>
      <c r="M375" s="2" t="s">
        <v>29</v>
      </c>
      <c r="N375" s="2" t="s">
        <v>1633</v>
      </c>
      <c r="O375" s="2" t="s">
        <v>201</v>
      </c>
      <c r="P375" s="2"/>
      <c r="Q375" s="2" t="s">
        <v>1632</v>
      </c>
      <c r="R375" s="2" t="s">
        <v>1631</v>
      </c>
      <c r="S375" s="2" t="s">
        <v>1630</v>
      </c>
      <c r="T375" s="2"/>
      <c r="U375" s="2" t="s">
        <v>1629</v>
      </c>
      <c r="V375" s="2" t="s">
        <v>0</v>
      </c>
    </row>
    <row r="376" spans="1:22" ht="75" x14ac:dyDescent="0.25">
      <c r="A376" s="6"/>
      <c r="B376" s="10"/>
      <c r="C376" s="2" t="s">
        <v>1535</v>
      </c>
      <c r="D376" s="2" t="s">
        <v>1563</v>
      </c>
      <c r="E376" s="1" t="str">
        <f>HYPERLINK("http://www-wds.worldbank.org/external/default/main?menuPK=64187510&amp;pagePK=64193027&amp;piPK=64187937&amp;menuPK=64154159&amp;searchMenuPK=64258546&amp;theSitePK=523679&amp;entityID=000333037_20090603013132","Draft kerangka kerja perlindungan lingkungan hidup dan sosial ")</f>
        <v xml:space="preserve">Draft kerangka kerja perlindungan lingkungan hidup dan sosial </v>
      </c>
      <c r="F376" s="3" t="s">
        <v>1636</v>
      </c>
      <c r="G376" s="2" t="s">
        <v>1635</v>
      </c>
      <c r="H376" s="2" t="s">
        <v>10</v>
      </c>
      <c r="I376" s="2"/>
      <c r="J376" s="3"/>
      <c r="K376" s="2" t="s">
        <v>204</v>
      </c>
      <c r="L376" s="2" t="s">
        <v>1634</v>
      </c>
      <c r="M376" s="2" t="s">
        <v>29</v>
      </c>
      <c r="N376" s="2" t="s">
        <v>1633</v>
      </c>
      <c r="O376" s="2" t="s">
        <v>201</v>
      </c>
      <c r="P376" s="2"/>
      <c r="Q376" s="2" t="s">
        <v>1632</v>
      </c>
      <c r="R376" s="2" t="s">
        <v>1631</v>
      </c>
      <c r="S376" s="2" t="s">
        <v>1630</v>
      </c>
      <c r="T376" s="2"/>
      <c r="U376" s="2" t="s">
        <v>1629</v>
      </c>
      <c r="V376" s="2" t="s">
        <v>0</v>
      </c>
    </row>
    <row r="377" spans="1:22" ht="120" x14ac:dyDescent="0.25">
      <c r="A377" s="6"/>
      <c r="B377" s="10"/>
      <c r="C377" s="2" t="s">
        <v>1535</v>
      </c>
      <c r="D377" s="2" t="s">
        <v>12</v>
      </c>
      <c r="E377" s="1" t="str">
        <f>HYPERLINK("http://www-wds.worldbank.org/external/default/main?menuPK=64187510&amp;pagePK=64193027&amp;piPK=64187937&amp;menuPK=64154159&amp;searchMenuPK=64258546&amp;theSitePK=523679&amp;entityID=000333038_20081223032048","Indonesia - Second National Program for Community Empowerment in Rural Areas Project : indigenous peoples plan - additional funding ")</f>
        <v xml:space="preserve">Indonesia - Second National Program for Community Empowerment in Rural Areas Project : indigenous peoples plan - additional funding </v>
      </c>
      <c r="F377" s="3" t="s">
        <v>1628</v>
      </c>
      <c r="G377" s="2" t="s">
        <v>1627</v>
      </c>
      <c r="H377" s="2" t="s">
        <v>10</v>
      </c>
      <c r="I377" s="2"/>
      <c r="J377" s="3"/>
      <c r="K377" s="2" t="s">
        <v>1620</v>
      </c>
      <c r="L377" s="2" t="s">
        <v>1626</v>
      </c>
      <c r="M377" s="2" t="s">
        <v>29</v>
      </c>
      <c r="N377" s="2" t="s">
        <v>1625</v>
      </c>
      <c r="O377" s="2" t="s">
        <v>1617</v>
      </c>
      <c r="P377" s="2"/>
      <c r="Q377" s="2" t="s">
        <v>1624</v>
      </c>
      <c r="R377" s="2" t="s">
        <v>1623</v>
      </c>
      <c r="S377" s="2" t="s">
        <v>1614</v>
      </c>
      <c r="T377" s="2"/>
      <c r="U377" s="2" t="s">
        <v>1602</v>
      </c>
      <c r="V377" s="2" t="s">
        <v>0</v>
      </c>
    </row>
    <row r="378" spans="1:22" ht="120" x14ac:dyDescent="0.25">
      <c r="A378" s="6"/>
      <c r="B378" s="10"/>
      <c r="C378" s="2" t="s">
        <v>1535</v>
      </c>
      <c r="D378" s="2" t="s">
        <v>12</v>
      </c>
      <c r="E378" s="1" t="str">
        <f>HYPERLINK("http://www-wds.worldbank.org/external/default/main?menuPK=64187510&amp;pagePK=64193027&amp;piPK=64187937&amp;menuPK=64154159&amp;searchMenuPK=64258546&amp;theSitePK=523679&amp;entityID=000333037_20080422020734","National Program for Community Empowerment in Rural Areas (PNPM-RURAL) : indigenous peoples plan ")</f>
        <v xml:space="preserve">National Program for Community Empowerment in Rural Areas (PNPM-RURAL) : indigenous peoples plan </v>
      </c>
      <c r="F378" s="3" t="s">
        <v>1622</v>
      </c>
      <c r="G378" s="2" t="s">
        <v>1621</v>
      </c>
      <c r="H378" s="2" t="s">
        <v>10</v>
      </c>
      <c r="I378" s="2"/>
      <c r="J378" s="3"/>
      <c r="K378" s="2" t="s">
        <v>1620</v>
      </c>
      <c r="L378" s="2" t="s">
        <v>1619</v>
      </c>
      <c r="M378" s="2" t="s">
        <v>29</v>
      </c>
      <c r="N378" s="2" t="s">
        <v>1618</v>
      </c>
      <c r="O378" s="2" t="s">
        <v>1617</v>
      </c>
      <c r="P378" s="2"/>
      <c r="Q378" s="2" t="s">
        <v>1616</v>
      </c>
      <c r="R378" s="2" t="s">
        <v>1615</v>
      </c>
      <c r="S378" s="2" t="s">
        <v>1614</v>
      </c>
      <c r="T378" s="2" t="s">
        <v>1613</v>
      </c>
      <c r="U378" s="2" t="s">
        <v>1602</v>
      </c>
      <c r="V378" s="2" t="s">
        <v>0</v>
      </c>
    </row>
    <row r="379" spans="1:22" ht="75" x14ac:dyDescent="0.25">
      <c r="A379" s="6"/>
      <c r="B379" s="10"/>
      <c r="C379" s="2" t="s">
        <v>1535</v>
      </c>
      <c r="D379" s="2" t="s">
        <v>1563</v>
      </c>
      <c r="E379" s="1" t="str">
        <f>HYPERLINK("http://www-wds.worldbank.org/external/default/main?menuPK=64187510&amp;pagePK=64193027&amp;piPK=64187937&amp;menuPK=64154159&amp;searchMenuPK=64258546&amp;theSitePK=523679&amp;entityID=000334955_20090717023819","Sub proyek EIB-155 Kabupaten Paniai - provinsi Papua ")</f>
        <v xml:space="preserve">Sub proyek EIB-155 Kabupaten Paniai - provinsi Papua </v>
      </c>
      <c r="F379" s="9">
        <v>39451</v>
      </c>
      <c r="G379" s="2" t="s">
        <v>1588</v>
      </c>
      <c r="H379" s="2" t="s">
        <v>10</v>
      </c>
      <c r="I379" s="2"/>
      <c r="J379" s="3">
        <v>4744</v>
      </c>
      <c r="K379" s="2" t="s">
        <v>43</v>
      </c>
      <c r="L379" s="2" t="s">
        <v>1587</v>
      </c>
      <c r="M379" s="2" t="s">
        <v>29</v>
      </c>
      <c r="N379" s="2" t="s">
        <v>1586</v>
      </c>
      <c r="O379" s="2" t="s">
        <v>1585</v>
      </c>
      <c r="P379" s="2"/>
      <c r="Q379" s="2" t="s">
        <v>1612</v>
      </c>
      <c r="R379" s="2" t="s">
        <v>1611</v>
      </c>
      <c r="S379" s="2"/>
      <c r="T379" s="2" t="s">
        <v>1584</v>
      </c>
      <c r="U379" s="2" t="s">
        <v>36</v>
      </c>
      <c r="V379" s="2" t="s">
        <v>93</v>
      </c>
    </row>
    <row r="380" spans="1:22" ht="90" x14ac:dyDescent="0.25">
      <c r="A380" s="6"/>
      <c r="B380" s="10"/>
      <c r="C380" s="2" t="s">
        <v>1535</v>
      </c>
      <c r="D380" s="2" t="s">
        <v>12</v>
      </c>
      <c r="E380" s="1" t="str">
        <f>HYPERLINK("http://www-wds.worldbank.org/external/default/main?menuPK=64187510&amp;pagePK=64193027&amp;piPK=64187937&amp;menuPK=64154159&amp;searchMenuPK=64258546&amp;theSitePK=523679&amp;entityID=000333037_20080313063348","Indonesia - National Program for Community Empowerment in Urban Areas : indigeneous peoples plan ")</f>
        <v xml:space="preserve">Indonesia - National Program for Community Empowerment in Urban Areas : indigeneous peoples plan </v>
      </c>
      <c r="F380" s="9">
        <v>39724</v>
      </c>
      <c r="G380" s="2" t="s">
        <v>1610</v>
      </c>
      <c r="H380" s="2" t="s">
        <v>10</v>
      </c>
      <c r="I380" s="2"/>
      <c r="J380" s="3"/>
      <c r="K380" s="2" t="s">
        <v>1609</v>
      </c>
      <c r="L380" s="2" t="s">
        <v>1608</v>
      </c>
      <c r="M380" s="2" t="s">
        <v>29</v>
      </c>
      <c r="N380" s="2" t="s">
        <v>1607</v>
      </c>
      <c r="O380" s="2" t="s">
        <v>1606</v>
      </c>
      <c r="P380" s="2"/>
      <c r="Q380" s="2" t="s">
        <v>1605</v>
      </c>
      <c r="R380" s="2" t="s">
        <v>1604</v>
      </c>
      <c r="S380" s="2" t="s">
        <v>1603</v>
      </c>
      <c r="T380" s="2"/>
      <c r="U380" s="2" t="s">
        <v>1602</v>
      </c>
      <c r="V380" s="2" t="s">
        <v>0</v>
      </c>
    </row>
    <row r="381" spans="1:22" ht="90" x14ac:dyDescent="0.25">
      <c r="A381" s="6"/>
      <c r="B381" s="10"/>
      <c r="C381" s="2" t="s">
        <v>1535</v>
      </c>
      <c r="D381" s="2" t="s">
        <v>12</v>
      </c>
      <c r="E381" s="1" t="str">
        <f>HYPERLINK("http://www-wds.worldbank.org/external/default/main?menuPK=64187510&amp;pagePK=64193027&amp;piPK=64187937&amp;menuPK=64154159&amp;searchMenuPK=64258546&amp;theSitePK=523679&amp;entityID=000011823_20070504154816","Indonesia - Better Education and Reformed Management for Universal Teacher Upgrading (BERMUTU) : Framework for treatment of indigenous or isolated vulnerable peoples ")</f>
        <v xml:space="preserve">Indonesia - Better Education and Reformed Management for Universal Teacher Upgrading (BERMUTU) : Framework for treatment of indigenous or isolated vulnerable peoples </v>
      </c>
      <c r="F381" s="9">
        <v>39086</v>
      </c>
      <c r="G381" s="2" t="s">
        <v>1601</v>
      </c>
      <c r="H381" s="2" t="s">
        <v>10</v>
      </c>
      <c r="I381" s="2"/>
      <c r="J381" s="3"/>
      <c r="K381" s="2" t="s">
        <v>21</v>
      </c>
      <c r="L381" s="2" t="s">
        <v>1600</v>
      </c>
      <c r="M381" s="2" t="s">
        <v>29</v>
      </c>
      <c r="N381" s="2" t="s">
        <v>1599</v>
      </c>
      <c r="O381" s="2" t="s">
        <v>1598</v>
      </c>
      <c r="P381" s="2"/>
      <c r="Q381" s="2" t="s">
        <v>1597</v>
      </c>
      <c r="R381" s="2" t="s">
        <v>329</v>
      </c>
      <c r="S381" s="2"/>
      <c r="T381" s="2"/>
      <c r="U381" s="2" t="s">
        <v>23</v>
      </c>
      <c r="V381" s="2" t="s">
        <v>0</v>
      </c>
    </row>
    <row r="382" spans="1:22" ht="75" x14ac:dyDescent="0.25">
      <c r="A382" s="6"/>
      <c r="B382" s="10"/>
      <c r="C382" s="2" t="s">
        <v>1535</v>
      </c>
      <c r="D382" s="2" t="s">
        <v>12</v>
      </c>
      <c r="E382" s="1" t="str">
        <f>HYPERLINK("http://www-wds.worldbank.org/external/default/main?menuPK=64187510&amp;pagePK=64193027&amp;piPK=64187937&amp;menuPK=64154159&amp;searchMenuPK=64258546&amp;theSitePK=523679&amp;entityID=000090341_20070305105255","Indonesia - Partnerships for Conservation Management of Aketajawe Lolobata National Park, North Maluku : indigenous peoples plan ")</f>
        <v xml:space="preserve">Indonesia - Partnerships for Conservation Management of Aketajawe Lolobata National Park, North Maluku : indigenous peoples plan </v>
      </c>
      <c r="F382" s="3" t="s">
        <v>1596</v>
      </c>
      <c r="G382" s="2" t="s">
        <v>1595</v>
      </c>
      <c r="H382" s="2" t="s">
        <v>10</v>
      </c>
      <c r="I382" s="2" t="s">
        <v>1594</v>
      </c>
      <c r="J382" s="3"/>
      <c r="K382" s="2" t="s">
        <v>8</v>
      </c>
      <c r="L382" s="2" t="s">
        <v>1593</v>
      </c>
      <c r="M382" s="2" t="s">
        <v>29</v>
      </c>
      <c r="N382" s="2" t="s">
        <v>1592</v>
      </c>
      <c r="O382" s="2" t="s">
        <v>4</v>
      </c>
      <c r="P382" s="2"/>
      <c r="Q382" s="2" t="s">
        <v>1591</v>
      </c>
      <c r="R382" s="2" t="s">
        <v>1590</v>
      </c>
      <c r="S382" s="2"/>
      <c r="T382" s="2"/>
      <c r="U382" s="2" t="s">
        <v>503</v>
      </c>
      <c r="V382" s="2" t="s">
        <v>0</v>
      </c>
    </row>
    <row r="383" spans="1:22" ht="75" x14ac:dyDescent="0.25">
      <c r="A383" s="6"/>
      <c r="B383" s="10"/>
      <c r="C383" s="2" t="s">
        <v>1535</v>
      </c>
      <c r="D383" s="2" t="s">
        <v>1563</v>
      </c>
      <c r="E383" s="1" t="str">
        <f>HYPERLINK("http://www-wds.worldbank.org/external/default/main?menuPK=64187510&amp;pagePK=64193027&amp;piPK=64187937&amp;menuPK=64154159&amp;searchMenuPK=64258546&amp;theSitePK=523679&amp;entityID=000090341_20070403153524","Sub proyek nduaria - warundari dan nuanilu - hangalande ")</f>
        <v xml:space="preserve">Sub proyek nduaria - warundari dan nuanilu - hangalande </v>
      </c>
      <c r="F383" s="3" t="s">
        <v>1589</v>
      </c>
      <c r="G383" s="2" t="s">
        <v>1588</v>
      </c>
      <c r="H383" s="2" t="s">
        <v>10</v>
      </c>
      <c r="I383" s="2"/>
      <c r="J383" s="3">
        <v>4744</v>
      </c>
      <c r="K383" s="2" t="s">
        <v>43</v>
      </c>
      <c r="L383" s="2" t="s">
        <v>1587</v>
      </c>
      <c r="M383" s="2" t="s">
        <v>29</v>
      </c>
      <c r="N383" s="2" t="s">
        <v>1586</v>
      </c>
      <c r="O383" s="2" t="s">
        <v>1585</v>
      </c>
      <c r="P383" s="2"/>
      <c r="Q383" s="2"/>
      <c r="R383" s="2"/>
      <c r="S383" s="2"/>
      <c r="T383" s="2" t="s">
        <v>1584</v>
      </c>
      <c r="U383" s="2" t="s">
        <v>36</v>
      </c>
      <c r="V383" s="2" t="s">
        <v>35</v>
      </c>
    </row>
    <row r="384" spans="1:22" ht="75" x14ac:dyDescent="0.25">
      <c r="A384" s="6"/>
      <c r="B384" s="10"/>
      <c r="C384" s="2" t="s">
        <v>1535</v>
      </c>
      <c r="D384" s="2" t="s">
        <v>1563</v>
      </c>
      <c r="E384" s="1" t="str">
        <f>HYPERLINK("http://www-wds.worldbank.org/external/default/main?menuPK=64187510&amp;pagePK=64193027&amp;piPK=64187937&amp;menuPK=64154159&amp;searchMenuPK=64258546&amp;theSitePK=523679&amp;entityID=000090341_20070403153904","Sub proyek bukapiting apui ")</f>
        <v xml:space="preserve">Sub proyek bukapiting apui </v>
      </c>
      <c r="F384" s="9">
        <v>39031</v>
      </c>
      <c r="G384" s="2" t="s">
        <v>1588</v>
      </c>
      <c r="H384" s="2" t="s">
        <v>10</v>
      </c>
      <c r="I384" s="2"/>
      <c r="J384" s="3">
        <v>4744</v>
      </c>
      <c r="K384" s="2" t="s">
        <v>43</v>
      </c>
      <c r="L384" s="2" t="s">
        <v>1587</v>
      </c>
      <c r="M384" s="2" t="s">
        <v>29</v>
      </c>
      <c r="N384" s="2" t="s">
        <v>1586</v>
      </c>
      <c r="O384" s="2" t="s">
        <v>1585</v>
      </c>
      <c r="P384" s="2"/>
      <c r="Q384" s="2"/>
      <c r="R384" s="2"/>
      <c r="S384" s="2"/>
      <c r="T384" s="2" t="s">
        <v>1584</v>
      </c>
      <c r="U384" s="2" t="s">
        <v>36</v>
      </c>
      <c r="V384" s="2" t="s">
        <v>55</v>
      </c>
    </row>
    <row r="385" spans="1:22" ht="60" x14ac:dyDescent="0.25">
      <c r="A385" s="6"/>
      <c r="B385" s="10"/>
      <c r="C385" s="2" t="s">
        <v>1535</v>
      </c>
      <c r="D385" s="2" t="s">
        <v>12</v>
      </c>
      <c r="E385" s="1" t="str">
        <f>HYPERLINK("http://www-wds.worldbank.org/external/default/main?menuPK=64187510&amp;pagePK=64193027&amp;piPK=64187937&amp;menuPK=64154159&amp;searchMenuPK=64258546&amp;theSitePK=523679&amp;entityID=000012009_20060315155628","Indonesia - Early Childhood Education and Development Project : indigenous peoples plan ")</f>
        <v xml:space="preserve">Indonesia - Early Childhood Education and Development Project : indigenous peoples plan </v>
      </c>
      <c r="F385" s="9">
        <v>38720</v>
      </c>
      <c r="G385" s="2" t="s">
        <v>1583</v>
      </c>
      <c r="H385" s="2" t="s">
        <v>10</v>
      </c>
      <c r="I385" s="2" t="s">
        <v>31</v>
      </c>
      <c r="J385" s="3"/>
      <c r="K385" s="2" t="s">
        <v>21</v>
      </c>
      <c r="L385" s="2" t="s">
        <v>1582</v>
      </c>
      <c r="M385" s="2" t="s">
        <v>29</v>
      </c>
      <c r="N385" s="2" t="s">
        <v>1581</v>
      </c>
      <c r="O385" s="2" t="s">
        <v>1580</v>
      </c>
      <c r="P385" s="2"/>
      <c r="Q385" s="2" t="s">
        <v>1579</v>
      </c>
      <c r="R385" s="2" t="s">
        <v>1578</v>
      </c>
      <c r="S385" s="2"/>
      <c r="T385" s="2" t="s">
        <v>1577</v>
      </c>
      <c r="U385" s="2" t="s">
        <v>23</v>
      </c>
      <c r="V385" s="2" t="s">
        <v>0</v>
      </c>
    </row>
    <row r="386" spans="1:22" ht="90" x14ac:dyDescent="0.25">
      <c r="A386" s="6"/>
      <c r="B386" s="10"/>
      <c r="C386" s="2" t="s">
        <v>1535</v>
      </c>
      <c r="D386" s="2" t="s">
        <v>12</v>
      </c>
      <c r="E386" s="1" t="str">
        <f>HYPERLINK("http://www-wds.worldbank.org/external/default/main?menuPK=64187510&amp;pagePK=64193027&amp;piPK=64187937&amp;menuPK=64154159&amp;searchMenuPK=64258546&amp;theSitePK=523679&amp;entityID=000090341_20040430095947","Indonesia - Urban Water and Sanitation Improvement and Expansion Project : indigenous peoples plan ")</f>
        <v xml:space="preserve">Indonesia - Urban Water and Sanitation Improvement and Expansion Project : indigenous peoples plan </v>
      </c>
      <c r="F386" s="3" t="s">
        <v>1576</v>
      </c>
      <c r="G386" s="2" t="s">
        <v>1575</v>
      </c>
      <c r="H386" s="2" t="s">
        <v>10</v>
      </c>
      <c r="I386" s="2"/>
      <c r="J386" s="3"/>
      <c r="K386" s="2" t="s">
        <v>145</v>
      </c>
      <c r="L386" s="2" t="s">
        <v>1574</v>
      </c>
      <c r="M386" s="2" t="s">
        <v>29</v>
      </c>
      <c r="N386" s="2" t="s">
        <v>1573</v>
      </c>
      <c r="O386" s="2" t="s">
        <v>886</v>
      </c>
      <c r="P386" s="2"/>
      <c r="Q386" s="2" t="s">
        <v>1572</v>
      </c>
      <c r="R386" s="2" t="s">
        <v>487</v>
      </c>
      <c r="S386" s="2"/>
      <c r="T386" s="2"/>
      <c r="U386" s="2" t="s">
        <v>112</v>
      </c>
      <c r="V386" s="2" t="s">
        <v>0</v>
      </c>
    </row>
    <row r="387" spans="1:22" ht="120" x14ac:dyDescent="0.25">
      <c r="A387" s="6"/>
      <c r="B387" s="10"/>
      <c r="C387" s="2" t="s">
        <v>1535</v>
      </c>
      <c r="D387" s="2" t="s">
        <v>12</v>
      </c>
      <c r="E387" s="1" t="str">
        <f>HYPERLINK("http://www-wds.worldbank.org/external/default/main?menuPK=64187510&amp;pagePK=64193027&amp;piPK=64187937&amp;menuPK=64154159&amp;searchMenuPK=64258546&amp;theSitePK=523679&amp;entityID=000012009_20040331114143","Indonesia - Third Urban Poverty Project : Indigenous Peoples Plan ")</f>
        <v xml:space="preserve">Indonesia - Third Urban Poverty Project : Indigenous Peoples Plan </v>
      </c>
      <c r="F387" s="9">
        <v>37989</v>
      </c>
      <c r="G387" s="2" t="s">
        <v>1571</v>
      </c>
      <c r="H387" s="2" t="s">
        <v>10</v>
      </c>
      <c r="I387" s="2" t="s">
        <v>31</v>
      </c>
      <c r="J387" s="3"/>
      <c r="K387" s="2" t="s">
        <v>1570</v>
      </c>
      <c r="L387" s="2" t="s">
        <v>1569</v>
      </c>
      <c r="M387" s="2" t="s">
        <v>29</v>
      </c>
      <c r="N387" s="2" t="s">
        <v>1568</v>
      </c>
      <c r="O387" s="2" t="s">
        <v>1567</v>
      </c>
      <c r="P387" s="2"/>
      <c r="Q387" s="2" t="s">
        <v>1566</v>
      </c>
      <c r="R387" s="2" t="s">
        <v>61</v>
      </c>
      <c r="S387" s="2"/>
      <c r="T387" s="2"/>
      <c r="U387" s="2" t="s">
        <v>112</v>
      </c>
      <c r="V387" s="2" t="s">
        <v>0</v>
      </c>
    </row>
    <row r="388" spans="1:22" ht="150" x14ac:dyDescent="0.25">
      <c r="A388" s="6"/>
      <c r="B388" s="10"/>
      <c r="C388" s="2" t="s">
        <v>1535</v>
      </c>
      <c r="D388" s="2" t="s">
        <v>12</v>
      </c>
      <c r="E388" s="1" t="str">
        <f>HYPERLINK("http://www-wds.worldbank.org/external/default/main?menuPK=64187510&amp;pagePK=64193027&amp;piPK=64187937&amp;menuPK=64154159&amp;searchMenuPK=64258546&amp;theSitePK=523679&amp;entityID=000112742_20040713153659","Indonesia - Urban Sector Development and Reform Project : indigenous peoples plan ")</f>
        <v xml:space="preserve">Indonesia - Urban Sector Development and Reform Project : indigenous peoples plan </v>
      </c>
      <c r="F388" s="9">
        <v>37989</v>
      </c>
      <c r="G388" s="2" t="s">
        <v>1562</v>
      </c>
      <c r="H388" s="2" t="s">
        <v>10</v>
      </c>
      <c r="I388" s="2"/>
      <c r="J388" s="3"/>
      <c r="K388" s="2" t="s">
        <v>1561</v>
      </c>
      <c r="L388" s="2" t="s">
        <v>1560</v>
      </c>
      <c r="M388" s="2" t="s">
        <v>29</v>
      </c>
      <c r="N388" s="2" t="s">
        <v>1559</v>
      </c>
      <c r="O388" s="2" t="s">
        <v>1558</v>
      </c>
      <c r="P388" s="2"/>
      <c r="Q388" s="2" t="s">
        <v>1565</v>
      </c>
      <c r="R388" s="2" t="s">
        <v>61</v>
      </c>
      <c r="S388" s="2"/>
      <c r="T388" s="2" t="s">
        <v>1556</v>
      </c>
      <c r="U388" s="2" t="s">
        <v>112</v>
      </c>
      <c r="V388" s="2" t="s">
        <v>70</v>
      </c>
    </row>
    <row r="389" spans="1:22" ht="150" x14ac:dyDescent="0.25">
      <c r="A389" s="6"/>
      <c r="B389" s="10"/>
      <c r="C389" s="2" t="s">
        <v>1535</v>
      </c>
      <c r="D389" s="2" t="s">
        <v>12</v>
      </c>
      <c r="E389" s="1" t="str">
        <f>HYPERLINK("http://www-wds.worldbank.org/external/default/main?menuPK=64187510&amp;pagePK=64193027&amp;piPK=64187937&amp;menuPK=64154159&amp;searchMenuPK=64258546&amp;theSitePK=523679&amp;entityID=000012009_20040806112048","General guideline : safeguard framework - isolated and vulnerable people (Book 5-C2) ")</f>
        <v xml:space="preserve">General guideline : safeguard framework - isolated and vulnerable people (Book 5-C2) </v>
      </c>
      <c r="F389" s="9">
        <v>37633</v>
      </c>
      <c r="G389" s="2" t="s">
        <v>1562</v>
      </c>
      <c r="H389" s="2" t="s">
        <v>10</v>
      </c>
      <c r="I389" s="2"/>
      <c r="J389" s="3"/>
      <c r="K389" s="2" t="s">
        <v>1561</v>
      </c>
      <c r="L389" s="2" t="s">
        <v>1560</v>
      </c>
      <c r="M389" s="2" t="s">
        <v>29</v>
      </c>
      <c r="N389" s="2" t="s">
        <v>1559</v>
      </c>
      <c r="O389" s="2" t="s">
        <v>1558</v>
      </c>
      <c r="P389" s="2"/>
      <c r="Q389" s="2" t="s">
        <v>1564</v>
      </c>
      <c r="R389" s="2" t="s">
        <v>1017</v>
      </c>
      <c r="S389" s="2"/>
      <c r="T389" s="2" t="s">
        <v>1556</v>
      </c>
      <c r="U389" s="2" t="s">
        <v>112</v>
      </c>
      <c r="V389" s="2" t="s">
        <v>59</v>
      </c>
    </row>
    <row r="390" spans="1:22" ht="150" x14ac:dyDescent="0.25">
      <c r="A390" s="6"/>
      <c r="B390" s="10"/>
      <c r="C390" s="2" t="s">
        <v>1535</v>
      </c>
      <c r="D390" s="2" t="s">
        <v>1563</v>
      </c>
      <c r="E390" s="1" t="str">
        <f>HYPERLINK("http://www-wds.worldbank.org/external/default/main?menuPK=64187510&amp;pagePK=64193027&amp;piPK=64187937&amp;menuPK=64154159&amp;searchMenuPK=64258546&amp;theSitePK=523679&amp;entityID=000012009_20040806112337","Panduan Umum : kerangka safeguard - warga terasing dan rentan (Buku 5C1) ")</f>
        <v xml:space="preserve">Panduan Umum : kerangka safeguard - warga terasing dan rentan (Buku 5C1) </v>
      </c>
      <c r="F390" s="9">
        <v>37633</v>
      </c>
      <c r="G390" s="2" t="s">
        <v>1562</v>
      </c>
      <c r="H390" s="2" t="s">
        <v>10</v>
      </c>
      <c r="I390" s="2"/>
      <c r="J390" s="3"/>
      <c r="K390" s="2" t="s">
        <v>1561</v>
      </c>
      <c r="L390" s="2" t="s">
        <v>1560</v>
      </c>
      <c r="M390" s="2" t="s">
        <v>29</v>
      </c>
      <c r="N390" s="2" t="s">
        <v>1559</v>
      </c>
      <c r="O390" s="2" t="s">
        <v>1558</v>
      </c>
      <c r="P390" s="2"/>
      <c r="Q390" s="2" t="s">
        <v>1557</v>
      </c>
      <c r="R390" s="2" t="s">
        <v>1017</v>
      </c>
      <c r="S390" s="2"/>
      <c r="T390" s="2" t="s">
        <v>1556</v>
      </c>
      <c r="U390" s="2" t="s">
        <v>112</v>
      </c>
      <c r="V390" s="2" t="s">
        <v>59</v>
      </c>
    </row>
    <row r="391" spans="1:22" ht="90" x14ac:dyDescent="0.25">
      <c r="A391" s="6"/>
      <c r="B391" s="10"/>
      <c r="C391" s="2" t="s">
        <v>1535</v>
      </c>
      <c r="D391" s="2" t="s">
        <v>12</v>
      </c>
      <c r="E391" s="1" t="str">
        <f>HYPERLINK("http://www-wds.worldbank.org/external/default/main?menuPK=64187510&amp;pagePK=64193027&amp;piPK=64187937&amp;menuPK=64154159&amp;searchMenuPK=64258546&amp;theSitePK=523679&amp;entityID=000094946_03042404092230","Indonesia - Third Kecamatan Development Project : indigenous peoples plan ")</f>
        <v xml:space="preserve">Indonesia - Third Kecamatan Development Project : indigenous peoples plan </v>
      </c>
      <c r="F391" s="3" t="s">
        <v>1555</v>
      </c>
      <c r="G391" s="2" t="s">
        <v>1554</v>
      </c>
      <c r="H391" s="2" t="s">
        <v>10</v>
      </c>
      <c r="I391" s="2" t="s">
        <v>31</v>
      </c>
      <c r="J391" s="3"/>
      <c r="K391" s="2" t="s">
        <v>463</v>
      </c>
      <c r="L391" s="2" t="s">
        <v>1553</v>
      </c>
      <c r="M391" s="2" t="s">
        <v>29</v>
      </c>
      <c r="N391" s="2" t="s">
        <v>1552</v>
      </c>
      <c r="O391" s="2" t="s">
        <v>1551</v>
      </c>
      <c r="P391" s="2"/>
      <c r="Q391" s="2" t="s">
        <v>1550</v>
      </c>
      <c r="R391" s="2" t="s">
        <v>25</v>
      </c>
      <c r="S391" s="2"/>
      <c r="T391" s="2"/>
      <c r="U391" s="2" t="s">
        <v>457</v>
      </c>
      <c r="V391" s="2">
        <v>1</v>
      </c>
    </row>
    <row r="392" spans="1:22" ht="105" x14ac:dyDescent="0.25">
      <c r="A392" s="6"/>
      <c r="B392" s="10"/>
      <c r="C392" s="2" t="s">
        <v>1535</v>
      </c>
      <c r="D392" s="2" t="s">
        <v>12</v>
      </c>
      <c r="E392" s="1" t="str">
        <f>HYPERLINK("http://www-wds.worldbank.org/external/default/main?menuPK=64187510&amp;pagePK=64193027&amp;piPK=64187937&amp;menuPK=64154159&amp;searchMenuPK=64258546&amp;theSitePK=523679&amp;entityID=000094946_03051404055825","Indonesia - Water Resources and Irrigation Sector Management Program Project : indigenous peoples plan ")</f>
        <v xml:space="preserve">Indonesia - Water Resources and Irrigation Sector Management Program Project : indigenous peoples plan </v>
      </c>
      <c r="F392" s="3" t="s">
        <v>1549</v>
      </c>
      <c r="G392" s="2" t="s">
        <v>1548</v>
      </c>
      <c r="H392" s="2" t="s">
        <v>10</v>
      </c>
      <c r="I392" s="2" t="s">
        <v>31</v>
      </c>
      <c r="J392" s="3"/>
      <c r="K392" s="2" t="s">
        <v>8</v>
      </c>
      <c r="L392" s="2" t="s">
        <v>1547</v>
      </c>
      <c r="M392" s="2" t="s">
        <v>29</v>
      </c>
      <c r="N392" s="2" t="s">
        <v>1546</v>
      </c>
      <c r="O392" s="2" t="s">
        <v>719</v>
      </c>
      <c r="P392" s="2"/>
      <c r="Q392" s="2" t="s">
        <v>1545</v>
      </c>
      <c r="R392" s="2" t="s">
        <v>48</v>
      </c>
      <c r="S392" s="2"/>
      <c r="T392" s="2" t="s">
        <v>1544</v>
      </c>
      <c r="U392" s="2" t="s">
        <v>1</v>
      </c>
      <c r="V392" s="2">
        <v>1</v>
      </c>
    </row>
    <row r="393" spans="1:22" ht="135" x14ac:dyDescent="0.25">
      <c r="A393" s="6"/>
      <c r="B393" s="10"/>
      <c r="C393" s="2" t="s">
        <v>1535</v>
      </c>
      <c r="D393" s="2" t="s">
        <v>12</v>
      </c>
      <c r="E393" s="1" t="str">
        <f>HYPERLINK("http://www-wds.worldbank.org/external/default/main?menuPK=64187510&amp;pagePK=64193027&amp;piPK=64187937&amp;menuPK=64154159&amp;searchMenuPK=64258546&amp;theSitePK=523679&amp;entityID=000094946_03020404013312","Indonesia - Health Workforce and Services Project : indigenous peoples plan ")</f>
        <v xml:space="preserve">Indonesia - Health Workforce and Services Project : indigenous peoples plan </v>
      </c>
      <c r="F393" s="3" t="s">
        <v>1543</v>
      </c>
      <c r="G393" s="2" t="s">
        <v>1542</v>
      </c>
      <c r="H393" s="2" t="s">
        <v>10</v>
      </c>
      <c r="I393" s="2" t="s">
        <v>1535</v>
      </c>
      <c r="J393" s="3"/>
      <c r="K393" s="2" t="s">
        <v>1541</v>
      </c>
      <c r="L393" s="2" t="s">
        <v>1540</v>
      </c>
      <c r="M393" s="2" t="s">
        <v>29</v>
      </c>
      <c r="N393" s="2" t="s">
        <v>1539</v>
      </c>
      <c r="O393" s="2" t="s">
        <v>1538</v>
      </c>
      <c r="P393" s="2"/>
      <c r="Q393" s="2" t="s">
        <v>1537</v>
      </c>
      <c r="R393" s="2" t="s">
        <v>25</v>
      </c>
      <c r="S393" s="2"/>
      <c r="T393" s="2" t="s">
        <v>1536</v>
      </c>
      <c r="U393" s="2" t="s">
        <v>23</v>
      </c>
      <c r="V393" s="2">
        <v>1</v>
      </c>
    </row>
    <row r="394" spans="1:22" ht="90" x14ac:dyDescent="0.25">
      <c r="A394" s="6"/>
      <c r="B394" s="10"/>
      <c r="C394" s="2" t="s">
        <v>1535</v>
      </c>
      <c r="D394" s="2" t="s">
        <v>12</v>
      </c>
      <c r="E394" s="1" t="str">
        <f>HYPERLINK("http://www-wds.worldbank.org/external/default/main?menuPK=64187510&amp;pagePK=64193027&amp;piPK=64187937&amp;menuPK=64154159&amp;searchMenuPK=64258546&amp;theSitePK=523679&amp;entityID=000094946_0205140421386","Indonesia - Second Urban Poverty Project (UPP2) : indigenous peoples plan ")</f>
        <v xml:space="preserve">Indonesia - Second Urban Poverty Project (UPP2) : indigenous peoples plan </v>
      </c>
      <c r="F394" s="3" t="s">
        <v>1104</v>
      </c>
      <c r="G394" s="2" t="s">
        <v>1534</v>
      </c>
      <c r="H394" s="2" t="s">
        <v>10</v>
      </c>
      <c r="I394" s="2"/>
      <c r="J394" s="3">
        <v>4664</v>
      </c>
      <c r="K394" s="2" t="s">
        <v>1533</v>
      </c>
      <c r="L394" s="2" t="s">
        <v>1532</v>
      </c>
      <c r="M394" s="2" t="s">
        <v>29</v>
      </c>
      <c r="N394" s="2" t="s">
        <v>1531</v>
      </c>
      <c r="O394" s="2" t="s">
        <v>1530</v>
      </c>
      <c r="P394" s="2"/>
      <c r="Q394" s="2" t="s">
        <v>1529</v>
      </c>
      <c r="R394" s="2" t="s">
        <v>21</v>
      </c>
      <c r="S394" s="2"/>
      <c r="T394" s="2" t="s">
        <v>1528</v>
      </c>
      <c r="U394" s="2" t="s">
        <v>112</v>
      </c>
      <c r="V394" s="2">
        <v>1</v>
      </c>
    </row>
    <row r="395" spans="1:22" ht="165" x14ac:dyDescent="0.25">
      <c r="A395" s="12" t="s">
        <v>552</v>
      </c>
      <c r="B395" s="15" t="s">
        <v>1527</v>
      </c>
      <c r="C395" s="2" t="s">
        <v>1454</v>
      </c>
      <c r="D395" s="14" t="s">
        <v>12</v>
      </c>
      <c r="E395" s="1" t="str">
        <f>HYPERLINK("http://www-wds.worldbank.org/external/default/main?menuPK=64187510&amp;pagePK=64193027&amp;piPK=64187937&amp;menuPK=64154159&amp;searchMenuPK=64258546&amp;theSitePK=523679&amp;entityID=000356161_20101102033457","Kenya - Additional Financing for Total War against HIV and AIDS (TOWA) Project : indigenous peoples planning framework ")</f>
        <v xml:space="preserve">Kenya - Additional Financing for Total War against HIV and AIDS (TOWA) Project : indigenous peoples planning framework </v>
      </c>
      <c r="F395" s="3" t="s">
        <v>1526</v>
      </c>
      <c r="G395" s="2" t="s">
        <v>1525</v>
      </c>
      <c r="H395" s="2" t="s">
        <v>10</v>
      </c>
      <c r="I395" s="2"/>
      <c r="J395" s="3"/>
      <c r="K395" s="2" t="s">
        <v>109</v>
      </c>
      <c r="L395" s="2" t="s">
        <v>1524</v>
      </c>
      <c r="M395" s="2" t="s">
        <v>395</v>
      </c>
      <c r="N395" s="2" t="s">
        <v>1523</v>
      </c>
      <c r="O395" s="2" t="s">
        <v>489</v>
      </c>
      <c r="P395" s="2"/>
      <c r="Q395" s="2" t="s">
        <v>1522</v>
      </c>
      <c r="R395" s="2" t="s">
        <v>1521</v>
      </c>
      <c r="S395" s="2"/>
      <c r="T395" s="2"/>
      <c r="U395" s="2" t="s">
        <v>1500</v>
      </c>
      <c r="V395" s="2" t="s">
        <v>0</v>
      </c>
    </row>
    <row r="396" spans="1:22" ht="60" x14ac:dyDescent="0.25">
      <c r="A396" s="12" t="s">
        <v>552</v>
      </c>
      <c r="B396" s="10" t="s">
        <v>1520</v>
      </c>
      <c r="C396" s="2" t="s">
        <v>1454</v>
      </c>
      <c r="D396" s="14" t="s">
        <v>12</v>
      </c>
      <c r="E396" s="1" t="str">
        <f>HYPERLINK("http://www-wds.worldbank.org/external/default/main?menuPK=64187510&amp;pagePK=64193027&amp;piPK=64187937&amp;menuPK=64154159&amp;searchMenuPK=64258546&amp;theSitePK=523679&amp;entityID=000333038_20100611023851","Kenya - Coastal Development Project : indigenous peoples planning framework ")</f>
        <v xml:space="preserve">Kenya - Coastal Development Project : indigenous peoples planning framework </v>
      </c>
      <c r="F396" s="9">
        <v>40179</v>
      </c>
      <c r="G396" s="2" t="s">
        <v>1519</v>
      </c>
      <c r="H396" s="2" t="s">
        <v>10</v>
      </c>
      <c r="I396" s="2"/>
      <c r="J396" s="3"/>
      <c r="K396" s="2" t="s">
        <v>8</v>
      </c>
      <c r="L396" s="2" t="s">
        <v>1518</v>
      </c>
      <c r="M396" s="2" t="s">
        <v>395</v>
      </c>
      <c r="N396" s="2" t="s">
        <v>1517</v>
      </c>
      <c r="O396" s="2" t="s">
        <v>4</v>
      </c>
      <c r="P396" s="2"/>
      <c r="Q396" s="2" t="s">
        <v>1516</v>
      </c>
      <c r="R396" s="2" t="s">
        <v>1515</v>
      </c>
      <c r="S396" s="2"/>
      <c r="T396" s="2" t="s">
        <v>1514</v>
      </c>
      <c r="U396" s="2" t="s">
        <v>1513</v>
      </c>
      <c r="V396" s="2" t="s">
        <v>0</v>
      </c>
    </row>
    <row r="397" spans="1:22" ht="90" x14ac:dyDescent="0.25">
      <c r="A397" s="12" t="s">
        <v>552</v>
      </c>
      <c r="B397" s="10" t="s">
        <v>1512</v>
      </c>
      <c r="C397" s="2" t="s">
        <v>1454</v>
      </c>
      <c r="D397" s="14" t="s">
        <v>12</v>
      </c>
      <c r="E397" s="1" t="str">
        <f>HYPERLINK("http://www-wds.worldbank.org/external/default/main?menuPK=64187510&amp;pagePK=64193027&amp;piPK=64187937&amp;menuPK=64154159&amp;searchMenuPK=64258546&amp;theSitePK=523679&amp;entityID=000334955_20100128015413","Kenya - Electricity Expansion Project : indigenous peoples planning framework ")</f>
        <v xml:space="preserve">Kenya - Electricity Expansion Project : indigenous peoples planning framework </v>
      </c>
      <c r="F397" s="9">
        <v>40179</v>
      </c>
      <c r="G397" s="2" t="s">
        <v>1511</v>
      </c>
      <c r="H397" s="2" t="s">
        <v>10</v>
      </c>
      <c r="I397" s="2"/>
      <c r="J397" s="3"/>
      <c r="K397" s="2" t="s">
        <v>80</v>
      </c>
      <c r="L397" s="2" t="s">
        <v>1510</v>
      </c>
      <c r="M397" s="2" t="s">
        <v>395</v>
      </c>
      <c r="N397" s="2" t="s">
        <v>1509</v>
      </c>
      <c r="O397" s="2" t="s">
        <v>444</v>
      </c>
      <c r="P397" s="2"/>
      <c r="Q397" s="2" t="s">
        <v>608</v>
      </c>
      <c r="R397" s="2" t="s">
        <v>186</v>
      </c>
      <c r="S397" s="2" t="s">
        <v>1508</v>
      </c>
      <c r="T397" s="2"/>
      <c r="U397" s="2" t="s">
        <v>1507</v>
      </c>
      <c r="V397" s="2" t="s">
        <v>0</v>
      </c>
    </row>
    <row r="398" spans="1:22" ht="180" x14ac:dyDescent="0.25">
      <c r="A398" s="12" t="s">
        <v>552</v>
      </c>
      <c r="B398" s="10" t="s">
        <v>1506</v>
      </c>
      <c r="C398" s="2" t="s">
        <v>1454</v>
      </c>
      <c r="D398" s="14" t="s">
        <v>12</v>
      </c>
      <c r="E398" s="1" t="str">
        <f>HYPERLINK("http://www-wds.worldbank.org/external/default/main?menuPK=64187510&amp;pagePK=64193027&amp;piPK=64187937&amp;menuPK=64154159&amp;searchMenuPK=64258546&amp;theSitePK=523679&amp;entityID=000334955_20100519042958","Kenya - Health Sector Reform Support Project : indigenous peoples plan ")</f>
        <v xml:space="preserve">Kenya - Health Sector Reform Support Project : indigenous peoples plan </v>
      </c>
      <c r="F398" s="9">
        <v>40179</v>
      </c>
      <c r="G398" s="2" t="s">
        <v>1505</v>
      </c>
      <c r="H398" s="2" t="s">
        <v>10</v>
      </c>
      <c r="I398" s="2"/>
      <c r="J398" s="3"/>
      <c r="K398" s="2" t="s">
        <v>109</v>
      </c>
      <c r="L398" s="2" t="s">
        <v>1504</v>
      </c>
      <c r="M398" s="2" t="s">
        <v>395</v>
      </c>
      <c r="N398" s="2" t="s">
        <v>1503</v>
      </c>
      <c r="O398" s="2" t="s">
        <v>489</v>
      </c>
      <c r="P398" s="2"/>
      <c r="Q398" s="2" t="s">
        <v>1502</v>
      </c>
      <c r="R398" s="2" t="s">
        <v>186</v>
      </c>
      <c r="S398" s="2"/>
      <c r="T398" s="2" t="s">
        <v>1501</v>
      </c>
      <c r="U398" s="2" t="s">
        <v>1500</v>
      </c>
      <c r="V398" s="2" t="s">
        <v>0</v>
      </c>
    </row>
    <row r="399" spans="1:22" ht="45" x14ac:dyDescent="0.25">
      <c r="A399" s="12" t="s">
        <v>552</v>
      </c>
      <c r="B399" s="10" t="s">
        <v>1487</v>
      </c>
      <c r="C399" s="2" t="s">
        <v>1454</v>
      </c>
      <c r="D399" s="14" t="s">
        <v>12</v>
      </c>
      <c r="E399" s="1" t="str">
        <f>HYPERLINK("http://www-wds.worldbank.org/external/default/main?menuPK=64187510&amp;pagePK=64193027&amp;piPK=64187937&amp;menuPK=64154159&amp;searchMenuPK=64258546&amp;theSitePK=523679&amp;entityID=000334955_20091231050226","Kenya - Youth Empowerment Project : indigenous peoples policy framework ")</f>
        <v xml:space="preserve">Kenya - Youth Empowerment Project : indigenous peoples policy framework </v>
      </c>
      <c r="F399" s="9">
        <v>39825</v>
      </c>
      <c r="G399" s="2" t="s">
        <v>1499</v>
      </c>
      <c r="H399" s="2" t="s">
        <v>10</v>
      </c>
      <c r="I399" s="2"/>
      <c r="J399" s="3"/>
      <c r="K399" s="2" t="s">
        <v>109</v>
      </c>
      <c r="L399" s="2" t="s">
        <v>1498</v>
      </c>
      <c r="M399" s="2" t="s">
        <v>395</v>
      </c>
      <c r="N399" s="2" t="s">
        <v>1497</v>
      </c>
      <c r="O399" s="2" t="s">
        <v>460</v>
      </c>
      <c r="P399" s="2"/>
      <c r="Q399" s="2" t="s">
        <v>1496</v>
      </c>
      <c r="R399" s="2" t="s">
        <v>841</v>
      </c>
      <c r="S399" s="2" t="s">
        <v>1495</v>
      </c>
      <c r="T399" s="2"/>
      <c r="U399" s="2" t="s">
        <v>1494</v>
      </c>
      <c r="V399" s="2" t="s">
        <v>0</v>
      </c>
    </row>
    <row r="400" spans="1:22" ht="105" x14ac:dyDescent="0.25">
      <c r="A400" s="12" t="s">
        <v>552</v>
      </c>
      <c r="B400" s="10" t="s">
        <v>1487</v>
      </c>
      <c r="C400" s="2" t="s">
        <v>1454</v>
      </c>
      <c r="D400" s="14" t="s">
        <v>12</v>
      </c>
      <c r="E400" s="1" t="str">
        <f>HYPERLINK("http://www-wds.worldbank.org/external/default/main?menuPK=64187510&amp;pagePK=64193027&amp;piPK=64187937&amp;menuPK=64154159&amp;searchMenuPK=64258546&amp;theSitePK=523679&amp;entityID=000333037_20090925005405","Kenya - Adaptation to Climate Change in Arid and Semi Arid Lands (KAACCAL) Project : indigenous peoples policy framework ")</f>
        <v xml:space="preserve">Kenya - Adaptation to Climate Change in Arid and Semi Arid Lands (KAACCAL) Project : indigenous peoples policy framework </v>
      </c>
      <c r="F400" s="9">
        <v>39821</v>
      </c>
      <c r="G400" s="2" t="s">
        <v>1493</v>
      </c>
      <c r="H400" s="2" t="s">
        <v>10</v>
      </c>
      <c r="I400" s="2"/>
      <c r="J400" s="3"/>
      <c r="K400" s="2" t="s">
        <v>8</v>
      </c>
      <c r="L400" s="2" t="s">
        <v>1492</v>
      </c>
      <c r="M400" s="2" t="s">
        <v>395</v>
      </c>
      <c r="N400" s="2" t="s">
        <v>1491</v>
      </c>
      <c r="O400" s="2" t="s">
        <v>4</v>
      </c>
      <c r="P400" s="2"/>
      <c r="Q400" s="2" t="s">
        <v>1490</v>
      </c>
      <c r="R400" s="2" t="s">
        <v>884</v>
      </c>
      <c r="S400" s="2" t="s">
        <v>1489</v>
      </c>
      <c r="T400" s="2" t="s">
        <v>1488</v>
      </c>
      <c r="U400" s="2" t="s">
        <v>1476</v>
      </c>
      <c r="V400" s="2" t="s">
        <v>0</v>
      </c>
    </row>
    <row r="401" spans="1:22" ht="75" x14ac:dyDescent="0.25">
      <c r="A401" s="12" t="s">
        <v>552</v>
      </c>
      <c r="B401" s="10" t="s">
        <v>1487</v>
      </c>
      <c r="C401" s="2" t="s">
        <v>1454</v>
      </c>
      <c r="D401" s="14" t="s">
        <v>12</v>
      </c>
      <c r="E401" s="1" t="str">
        <f>HYPERLINK("http://www-wds.worldbank.org/external/default/main?menuPK=64187510&amp;pagePK=64193027&amp;piPK=64187937&amp;menuPK=64154159&amp;searchMenuPK=64258546&amp;theSitePK=523679&amp;entityID=000334955_20090820062223","Vulnerable/marginalized groups planning framework ")</f>
        <v xml:space="preserve">Vulnerable/marginalized groups planning framework </v>
      </c>
      <c r="F401" s="9">
        <v>39821</v>
      </c>
      <c r="G401" s="2" t="s">
        <v>1486</v>
      </c>
      <c r="H401" s="2" t="s">
        <v>10</v>
      </c>
      <c r="I401" s="2"/>
      <c r="J401" s="3"/>
      <c r="K401" s="2" t="s">
        <v>21</v>
      </c>
      <c r="L401" s="2" t="s">
        <v>1485</v>
      </c>
      <c r="M401" s="2" t="s">
        <v>395</v>
      </c>
      <c r="N401" s="2" t="s">
        <v>1484</v>
      </c>
      <c r="O401" s="2" t="s">
        <v>1188</v>
      </c>
      <c r="P401" s="2"/>
      <c r="Q401" s="2" t="s">
        <v>1483</v>
      </c>
      <c r="R401" s="2" t="s">
        <v>329</v>
      </c>
      <c r="S401" s="2" t="s">
        <v>316</v>
      </c>
      <c r="T401" s="2"/>
      <c r="U401" s="2" t="s">
        <v>1482</v>
      </c>
      <c r="V401" s="2" t="s">
        <v>0</v>
      </c>
    </row>
    <row r="402" spans="1:22" ht="150" x14ac:dyDescent="0.25">
      <c r="A402" s="16" t="s">
        <v>552</v>
      </c>
      <c r="B402" s="15" t="s">
        <v>1481</v>
      </c>
      <c r="C402" s="2" t="s">
        <v>1454</v>
      </c>
      <c r="D402" s="14" t="s">
        <v>12</v>
      </c>
      <c r="E402" s="1" t="str">
        <f>HYPERLINK("http://www-wds.worldbank.org/external/default/main?menuPK=64187510&amp;pagePK=64193027&amp;piPK=64187937&amp;menuPK=64154159&amp;searchMenuPK=64258546&amp;theSitePK=523679&amp;entityID=000333038_20090630014245","Kenya - Agricultural Productivity and Agribusiness Project : indigenous peoples planning framework ")</f>
        <v xml:space="preserve">Kenya - Agricultural Productivity and Agribusiness Project : indigenous peoples planning framework </v>
      </c>
      <c r="F402" s="9">
        <v>39818</v>
      </c>
      <c r="G402" s="2" t="s">
        <v>1480</v>
      </c>
      <c r="H402" s="2" t="s">
        <v>10</v>
      </c>
      <c r="I402" s="2"/>
      <c r="J402" s="3"/>
      <c r="K402" s="2" t="s">
        <v>8</v>
      </c>
      <c r="L402" s="2" t="s">
        <v>1479</v>
      </c>
      <c r="M402" s="2" t="s">
        <v>395</v>
      </c>
      <c r="N402" s="2" t="s">
        <v>1478</v>
      </c>
      <c r="O402" s="2" t="s">
        <v>1449</v>
      </c>
      <c r="P402" s="2"/>
      <c r="Q402" s="2" t="s">
        <v>1477</v>
      </c>
      <c r="R402" s="2" t="s">
        <v>186</v>
      </c>
      <c r="S402" s="2" t="s">
        <v>298</v>
      </c>
      <c r="T402" s="2"/>
      <c r="U402" s="2" t="s">
        <v>1476</v>
      </c>
      <c r="V402" s="2" t="s">
        <v>0</v>
      </c>
    </row>
    <row r="403" spans="1:22" ht="60" x14ac:dyDescent="0.25">
      <c r="A403" s="6"/>
      <c r="B403" s="10"/>
      <c r="C403" s="2" t="s">
        <v>1454</v>
      </c>
      <c r="D403" s="2" t="s">
        <v>12</v>
      </c>
      <c r="E403" s="1" t="str">
        <f>HYPERLINK("http://www-wds.worldbank.org/external/default/main?menuPK=64187510&amp;pagePK=64193027&amp;piPK=64187937&amp;menuPK=64154159&amp;searchMenuPK=64258546&amp;theSitePK=523679&amp;entityID=000020439_20071031095355","Kenya - Water and Sanitation Service Improvement Project ")</f>
        <v xml:space="preserve">Kenya - Water and Sanitation Service Improvement Project </v>
      </c>
      <c r="F403" s="9">
        <v>39092</v>
      </c>
      <c r="G403" s="2" t="s">
        <v>1475</v>
      </c>
      <c r="H403" s="2" t="s">
        <v>10</v>
      </c>
      <c r="I403" s="2"/>
      <c r="J403" s="3"/>
      <c r="K403" s="2" t="s">
        <v>145</v>
      </c>
      <c r="L403" s="2" t="s">
        <v>1474</v>
      </c>
      <c r="M403" s="2" t="s">
        <v>395</v>
      </c>
      <c r="N403" s="2" t="s">
        <v>1473</v>
      </c>
      <c r="O403" s="2" t="s">
        <v>771</v>
      </c>
      <c r="P403" s="2"/>
      <c r="Q403" s="2" t="s">
        <v>1472</v>
      </c>
      <c r="R403" s="2" t="s">
        <v>1471</v>
      </c>
      <c r="S403" s="2"/>
      <c r="T403" s="2"/>
      <c r="U403" s="2" t="s">
        <v>1470</v>
      </c>
      <c r="V403" s="2" t="s">
        <v>0</v>
      </c>
    </row>
    <row r="404" spans="1:22" ht="60" x14ac:dyDescent="0.25">
      <c r="A404" s="6"/>
      <c r="B404" s="10"/>
      <c r="C404" s="2" t="s">
        <v>1454</v>
      </c>
      <c r="D404" s="2" t="s">
        <v>12</v>
      </c>
      <c r="E404" s="1" t="str">
        <f>HYPERLINK("http://www-wds.worldbank.org/external/default/main?menuPK=64187510&amp;pagePK=64193027&amp;piPK=64187937&amp;menuPK=64154159&amp;searchMenuPK=64258546&amp;theSitePK=523679&amp;entityID=000011823_20071017131514","Indigenous Peoples Planning Framework (IPPF) ")</f>
        <v xml:space="preserve">Indigenous Peoples Planning Framework (IPPF) </v>
      </c>
      <c r="F404" s="3" t="s">
        <v>1469</v>
      </c>
      <c r="G404" s="2" t="s">
        <v>1452</v>
      </c>
      <c r="H404" s="2" t="s">
        <v>10</v>
      </c>
      <c r="I404" s="2"/>
      <c r="J404" s="3"/>
      <c r="K404" s="2" t="s">
        <v>8</v>
      </c>
      <c r="L404" s="2" t="s">
        <v>1451</v>
      </c>
      <c r="M404" s="2" t="s">
        <v>395</v>
      </c>
      <c r="N404" s="2" t="s">
        <v>1450</v>
      </c>
      <c r="O404" s="2" t="s">
        <v>1449</v>
      </c>
      <c r="P404" s="2"/>
      <c r="Q404" s="2" t="s">
        <v>1468</v>
      </c>
      <c r="R404" s="2" t="s">
        <v>1447</v>
      </c>
      <c r="S404" s="2"/>
      <c r="T404" s="2" t="s">
        <v>1446</v>
      </c>
      <c r="U404" s="2" t="s">
        <v>1445</v>
      </c>
      <c r="V404" s="2" t="s">
        <v>59</v>
      </c>
    </row>
    <row r="405" spans="1:22" ht="150" x14ac:dyDescent="0.25">
      <c r="A405" s="6"/>
      <c r="B405" s="10"/>
      <c r="C405" s="2" t="s">
        <v>1454</v>
      </c>
      <c r="D405" s="2" t="s">
        <v>12</v>
      </c>
      <c r="E405" s="1" t="str">
        <f>HYPERLINK("http://www-wds.worldbank.org/external/default/main?menuPK=64187510&amp;pagePK=64193027&amp;piPK=64187937&amp;menuPK=64154159&amp;searchMenuPK=64258546&amp;theSitePK=523679&amp;entityID=000090341_20070125150126","Kenya - Community-driven Development and Flood Mitigation Project : indigenous peoples plan ")</f>
        <v xml:space="preserve">Kenya - Community-driven Development and Flood Mitigation Project : indigenous peoples plan </v>
      </c>
      <c r="F405" s="9">
        <v>38729</v>
      </c>
      <c r="G405" s="2" t="s">
        <v>1467</v>
      </c>
      <c r="H405" s="2" t="s">
        <v>10</v>
      </c>
      <c r="I405" s="2"/>
      <c r="J405" s="3"/>
      <c r="K405" s="2" t="s">
        <v>1043</v>
      </c>
      <c r="L405" s="2" t="s">
        <v>1466</v>
      </c>
      <c r="M405" s="2" t="s">
        <v>395</v>
      </c>
      <c r="N405" s="2" t="s">
        <v>1465</v>
      </c>
      <c r="O405" s="2" t="s">
        <v>1464</v>
      </c>
      <c r="P405" s="2"/>
      <c r="Q405" s="2" t="s">
        <v>1457</v>
      </c>
      <c r="R405" s="2" t="s">
        <v>1447</v>
      </c>
      <c r="S405" s="2"/>
      <c r="T405" s="2" t="s">
        <v>1463</v>
      </c>
      <c r="U405" s="2" t="s">
        <v>1455</v>
      </c>
      <c r="V405" s="2" t="s">
        <v>0</v>
      </c>
    </row>
    <row r="406" spans="1:22" ht="195" x14ac:dyDescent="0.25">
      <c r="A406" s="6"/>
      <c r="B406" s="10"/>
      <c r="C406" s="2" t="s">
        <v>1454</v>
      </c>
      <c r="D406" s="2" t="s">
        <v>12</v>
      </c>
      <c r="E406" s="1" t="str">
        <f>HYPERLINK("http://www-wds.worldbank.org/external/default/main?menuPK=64187510&amp;pagePK=64193027&amp;piPK=64187937&amp;menuPK=64154159&amp;searchMenuPK=64258546&amp;theSitePK=523679&amp;entityID=000011823_20070126130759","Kenya - Natural Resource Management project : indigenous peoples planning framework ")</f>
        <v xml:space="preserve">Kenya - Natural Resource Management project : indigenous peoples planning framework </v>
      </c>
      <c r="F406" s="9">
        <v>38729</v>
      </c>
      <c r="G406" s="2" t="s">
        <v>1462</v>
      </c>
      <c r="H406" s="2" t="s">
        <v>10</v>
      </c>
      <c r="I406" s="2" t="s">
        <v>1461</v>
      </c>
      <c r="J406" s="3"/>
      <c r="K406" s="2" t="s">
        <v>509</v>
      </c>
      <c r="L406" s="2" t="s">
        <v>1460</v>
      </c>
      <c r="M406" s="2" t="s">
        <v>395</v>
      </c>
      <c r="N406" s="2" t="s">
        <v>1459</v>
      </c>
      <c r="O406" s="2" t="s">
        <v>1458</v>
      </c>
      <c r="P406" s="2"/>
      <c r="Q406" s="2" t="s">
        <v>1457</v>
      </c>
      <c r="R406" s="2" t="s">
        <v>1447</v>
      </c>
      <c r="S406" s="2"/>
      <c r="T406" s="2" t="s">
        <v>1456</v>
      </c>
      <c r="U406" s="2" t="s">
        <v>1455</v>
      </c>
      <c r="V406" s="2" t="s">
        <v>0</v>
      </c>
    </row>
    <row r="407" spans="1:22" ht="60" x14ac:dyDescent="0.25">
      <c r="A407" s="6"/>
      <c r="B407" s="10"/>
      <c r="C407" s="2" t="s">
        <v>1454</v>
      </c>
      <c r="D407" s="2" t="s">
        <v>12</v>
      </c>
      <c r="E407" s="1" t="str">
        <f>HYPERLINK("http://www-wds.worldbank.org/external/default/main?menuPK=64187510&amp;pagePK=64193027&amp;piPK=64187937&amp;menuPK=64154159&amp;searchMenuPK=64258546&amp;theSitePK=523679&amp;entityID=000090341_20070711141709","Indigenous peoples plan (Ilchamus, Ogiek and Sengwer) ")</f>
        <v xml:space="preserve">Indigenous peoples plan (Ilchamus, Ogiek and Sengwer) </v>
      </c>
      <c r="F407" s="3" t="s">
        <v>1453</v>
      </c>
      <c r="G407" s="2" t="s">
        <v>1452</v>
      </c>
      <c r="H407" s="2" t="s">
        <v>10</v>
      </c>
      <c r="I407" s="2"/>
      <c r="J407" s="3"/>
      <c r="K407" s="2" t="s">
        <v>8</v>
      </c>
      <c r="L407" s="2" t="s">
        <v>1451</v>
      </c>
      <c r="M407" s="2" t="s">
        <v>395</v>
      </c>
      <c r="N407" s="2" t="s">
        <v>1450</v>
      </c>
      <c r="O407" s="2" t="s">
        <v>1449</v>
      </c>
      <c r="P407" s="2"/>
      <c r="Q407" s="2" t="s">
        <v>1448</v>
      </c>
      <c r="R407" s="2" t="s">
        <v>1447</v>
      </c>
      <c r="S407" s="2"/>
      <c r="T407" s="2" t="s">
        <v>1446</v>
      </c>
      <c r="U407" s="2" t="s">
        <v>1445</v>
      </c>
      <c r="V407" s="2" t="s">
        <v>0</v>
      </c>
    </row>
    <row r="408" spans="1:22" ht="75" x14ac:dyDescent="0.25">
      <c r="A408" s="6"/>
      <c r="B408" s="10"/>
      <c r="C408" s="2" t="s">
        <v>1318</v>
      </c>
      <c r="D408" s="2" t="s">
        <v>12</v>
      </c>
      <c r="E408" s="1" t="str">
        <f>HYPERLINK("http://www-wds.worldbank.org/external/default/main?menuPK=64187510&amp;pagePK=64193027&amp;piPK=64187937&amp;menuPK=64154159&amp;searchMenuPK=64258546&amp;theSitePK=523679&amp;entityID=000333037_20110124030142","Electrice du Laos: ethnic group development framework ")</f>
        <v xml:space="preserve">Electrice du Laos: ethnic group development framework </v>
      </c>
      <c r="F408" s="9">
        <v>40544</v>
      </c>
      <c r="G408" s="2" t="s">
        <v>1444</v>
      </c>
      <c r="H408" s="2" t="s">
        <v>10</v>
      </c>
      <c r="I408" s="2"/>
      <c r="J408" s="3"/>
      <c r="K408" s="2" t="s">
        <v>80</v>
      </c>
      <c r="L408" s="2" t="s">
        <v>1443</v>
      </c>
      <c r="M408" s="2" t="s">
        <v>29</v>
      </c>
      <c r="N408" s="2" t="s">
        <v>1442</v>
      </c>
      <c r="O408" s="2" t="s">
        <v>444</v>
      </c>
      <c r="P408" s="2"/>
      <c r="Q408" s="2" t="s">
        <v>1440</v>
      </c>
      <c r="R408" s="2" t="s">
        <v>800</v>
      </c>
      <c r="S408" s="2"/>
      <c r="T408" s="2" t="s">
        <v>1441</v>
      </c>
      <c r="U408" s="2" t="s">
        <v>1291</v>
      </c>
      <c r="V408" s="2" t="s">
        <v>70</v>
      </c>
    </row>
    <row r="409" spans="1:22" ht="75" x14ac:dyDescent="0.25">
      <c r="A409" s="6"/>
      <c r="B409" s="10"/>
      <c r="C409" s="2" t="s">
        <v>1318</v>
      </c>
      <c r="D409" s="2" t="s">
        <v>12</v>
      </c>
      <c r="E409" s="1" t="str">
        <f>HYPERLINK("http://www-wds.worldbank.org/external/default/main?menuPK=64187510&amp;pagePK=64193027&amp;piPK=64187937&amp;menuPK=64154159&amp;searchMenuPK=64258546&amp;theSitePK=523679&amp;entityID=000333037_20110124030553","Department of electricity component : ethnic group development frameworks ")</f>
        <v xml:space="preserve">Department of electricity component : ethnic group development frameworks </v>
      </c>
      <c r="F409" s="9">
        <v>40544</v>
      </c>
      <c r="G409" s="2" t="s">
        <v>1444</v>
      </c>
      <c r="H409" s="2" t="s">
        <v>10</v>
      </c>
      <c r="I409" s="2"/>
      <c r="J409" s="3"/>
      <c r="K409" s="2" t="s">
        <v>80</v>
      </c>
      <c r="L409" s="2" t="s">
        <v>1443</v>
      </c>
      <c r="M409" s="2" t="s">
        <v>29</v>
      </c>
      <c r="N409" s="2" t="s">
        <v>1442</v>
      </c>
      <c r="O409" s="2" t="s">
        <v>444</v>
      </c>
      <c r="P409" s="2"/>
      <c r="Q409" s="2" t="s">
        <v>1436</v>
      </c>
      <c r="R409" s="2" t="s">
        <v>800</v>
      </c>
      <c r="S409" s="2"/>
      <c r="T409" s="2" t="s">
        <v>1441</v>
      </c>
      <c r="U409" s="2" t="s">
        <v>1291</v>
      </c>
      <c r="V409" s="2" t="s">
        <v>59</v>
      </c>
    </row>
    <row r="410" spans="1:22" ht="60" x14ac:dyDescent="0.25">
      <c r="A410" s="6"/>
      <c r="B410" s="10"/>
      <c r="C410" s="2" t="s">
        <v>1318</v>
      </c>
      <c r="D410" s="2" t="s">
        <v>12</v>
      </c>
      <c r="E410" s="1" t="str">
        <f>HYPERLINK("http://www-wds.worldbank.org/external/default/main?menuPK=64187510&amp;pagePK=64193027&amp;piPK=64187937&amp;menuPK=64154159&amp;searchMenuPK=64258546&amp;theSitePK=523679&amp;entityID=000371432_20110107144941","Department of electricity component : ethnic group development frameworks ")</f>
        <v xml:space="preserve">Department of electricity component : ethnic group development frameworks </v>
      </c>
      <c r="F410" s="9">
        <v>40338</v>
      </c>
      <c r="G410" s="2" t="s">
        <v>1439</v>
      </c>
      <c r="H410" s="2" t="s">
        <v>10</v>
      </c>
      <c r="I410" s="2"/>
      <c r="J410" s="3"/>
      <c r="K410" s="2" t="s">
        <v>80</v>
      </c>
      <c r="L410" s="2" t="s">
        <v>1438</v>
      </c>
      <c r="M410" s="2" t="s">
        <v>29</v>
      </c>
      <c r="N410" s="2" t="s">
        <v>1437</v>
      </c>
      <c r="O410" s="2" t="s">
        <v>444</v>
      </c>
      <c r="P410" s="2"/>
      <c r="Q410" s="2" t="s">
        <v>1440</v>
      </c>
      <c r="R410" s="2" t="s">
        <v>800</v>
      </c>
      <c r="S410" s="2"/>
      <c r="T410" s="2" t="s">
        <v>1435</v>
      </c>
      <c r="U410" s="2" t="s">
        <v>1291</v>
      </c>
      <c r="V410" s="2" t="s">
        <v>70</v>
      </c>
    </row>
    <row r="411" spans="1:22" ht="60" x14ac:dyDescent="0.25">
      <c r="A411" s="6"/>
      <c r="B411" s="10"/>
      <c r="C411" s="2" t="s">
        <v>1318</v>
      </c>
      <c r="D411" s="2" t="s">
        <v>12</v>
      </c>
      <c r="E411" s="1" t="str">
        <f>HYPERLINK("http://www-wds.worldbank.org/external/default/main?menuPK=64187510&amp;pagePK=64193027&amp;piPK=64187937&amp;menuPK=64154159&amp;searchMenuPK=64258546&amp;theSitePK=523679&amp;entityID=000371432_20110107145742","Electricite du Laos component : ethnic group development frameworks ")</f>
        <v xml:space="preserve">Electricite du Laos component : ethnic group development frameworks </v>
      </c>
      <c r="F411" s="9">
        <v>40338</v>
      </c>
      <c r="G411" s="2" t="s">
        <v>1439</v>
      </c>
      <c r="H411" s="2" t="s">
        <v>10</v>
      </c>
      <c r="I411" s="2"/>
      <c r="J411" s="3"/>
      <c r="K411" s="2" t="s">
        <v>80</v>
      </c>
      <c r="L411" s="2" t="s">
        <v>1438</v>
      </c>
      <c r="M411" s="2" t="s">
        <v>29</v>
      </c>
      <c r="N411" s="2" t="s">
        <v>1437</v>
      </c>
      <c r="O411" s="2" t="s">
        <v>444</v>
      </c>
      <c r="P411" s="2"/>
      <c r="Q411" s="2" t="s">
        <v>1436</v>
      </c>
      <c r="R411" s="2" t="s">
        <v>800</v>
      </c>
      <c r="S411" s="2"/>
      <c r="T411" s="2" t="s">
        <v>1435</v>
      </c>
      <c r="U411" s="2" t="s">
        <v>1291</v>
      </c>
      <c r="V411" s="2" t="s">
        <v>59</v>
      </c>
    </row>
    <row r="412" spans="1:22" ht="90" x14ac:dyDescent="0.25">
      <c r="A412" s="6"/>
      <c r="B412" s="10"/>
      <c r="C412" s="2" t="s">
        <v>1318</v>
      </c>
      <c r="D412" s="2" t="s">
        <v>12</v>
      </c>
      <c r="E412" s="1" t="str">
        <f>HYPERLINK("http://www-wds.worldbank.org/external/default/main?menuPK=64187510&amp;pagePK=64193027&amp;piPK=64187937&amp;menuPK=64154159&amp;searchMenuPK=64258546&amp;theSitePK=523679&amp;entityID=000334955_20101111020025","Lao People's Democratic Republic - Community Nutrition Project : ethnic group development framework ")</f>
        <v xml:space="preserve">Lao People's Democratic Republic - Community Nutrition Project : ethnic group development framework </v>
      </c>
      <c r="F412" s="3" t="s">
        <v>1434</v>
      </c>
      <c r="G412" s="2" t="s">
        <v>1433</v>
      </c>
      <c r="H412" s="2" t="s">
        <v>10</v>
      </c>
      <c r="I412" s="2"/>
      <c r="J412" s="3"/>
      <c r="K412" s="2" t="s">
        <v>109</v>
      </c>
      <c r="L412" s="2" t="s">
        <v>1432</v>
      </c>
      <c r="M412" s="2" t="s">
        <v>29</v>
      </c>
      <c r="N412" s="2" t="s">
        <v>1431</v>
      </c>
      <c r="O412" s="2" t="s">
        <v>489</v>
      </c>
      <c r="P412" s="2"/>
      <c r="Q412" s="2" t="s">
        <v>1430</v>
      </c>
      <c r="R412" s="2" t="s">
        <v>1429</v>
      </c>
      <c r="S412" s="2"/>
      <c r="T412" s="2" t="s">
        <v>1428</v>
      </c>
      <c r="U412" s="2" t="s">
        <v>349</v>
      </c>
      <c r="V412" s="2" t="s">
        <v>0</v>
      </c>
    </row>
    <row r="413" spans="1:22" ht="60" x14ac:dyDescent="0.25">
      <c r="A413" s="6"/>
      <c r="B413" s="10"/>
      <c r="C413" s="2" t="s">
        <v>1318</v>
      </c>
      <c r="D413" s="2" t="s">
        <v>12</v>
      </c>
      <c r="E413" s="1" t="str">
        <f>HYPERLINK("http://www-wds.worldbank.org/external/default/main?menuPK=64187510&amp;pagePK=64193027&amp;piPK=64187937&amp;menuPK=64154159&amp;searchMenuPK=64258546&amp;theSitePK=523679&amp;entityID=000334955_20091203021325","Lao People's Democratic Republic - Additional Financing for the Second Education Development Project : indigenous peoples plan ")</f>
        <v xml:space="preserve">Lao People's Democratic Republic - Additional Financing for the Second Education Development Project : indigenous peoples plan </v>
      </c>
      <c r="F413" s="3" t="s">
        <v>1427</v>
      </c>
      <c r="G413" s="2" t="s">
        <v>1426</v>
      </c>
      <c r="H413" s="2" t="s">
        <v>10</v>
      </c>
      <c r="I413" s="2"/>
      <c r="J413" s="3"/>
      <c r="K413" s="2" t="s">
        <v>21</v>
      </c>
      <c r="L413" s="2" t="s">
        <v>1425</v>
      </c>
      <c r="M413" s="2" t="s">
        <v>29</v>
      </c>
      <c r="N413" s="2" t="s">
        <v>1424</v>
      </c>
      <c r="O413" s="2" t="s">
        <v>27</v>
      </c>
      <c r="P413" s="2"/>
      <c r="Q413" s="2" t="s">
        <v>1423</v>
      </c>
      <c r="R413" s="2" t="s">
        <v>1259</v>
      </c>
      <c r="S413" s="2" t="s">
        <v>316</v>
      </c>
      <c r="T413" s="2"/>
      <c r="U413" s="2" t="s">
        <v>1422</v>
      </c>
      <c r="V413" s="2" t="s">
        <v>0</v>
      </c>
    </row>
    <row r="414" spans="1:22" ht="105" x14ac:dyDescent="0.25">
      <c r="A414" s="6"/>
      <c r="B414" s="10"/>
      <c r="C414" s="2" t="s">
        <v>1318</v>
      </c>
      <c r="D414" s="2" t="s">
        <v>12</v>
      </c>
      <c r="E414" s="1" t="str">
        <f>HYPERLINK("http://www-wds.worldbank.org/external/default/main?menuPK=64187510&amp;pagePK=64193027&amp;piPK=64187937&amp;menuPK=64154159&amp;searchMenuPK=64258546&amp;theSitePK=523679&amp;entityID=000334955_20090925030156","Ethnic group's development framework ")</f>
        <v xml:space="preserve">Ethnic group's development framework </v>
      </c>
      <c r="F414" s="3" t="s">
        <v>1421</v>
      </c>
      <c r="G414" s="2" t="s">
        <v>1420</v>
      </c>
      <c r="H414" s="2" t="s">
        <v>10</v>
      </c>
      <c r="I414" s="2"/>
      <c r="J414" s="3"/>
      <c r="K414" s="2" t="s">
        <v>1379</v>
      </c>
      <c r="L414" s="2" t="s">
        <v>1419</v>
      </c>
      <c r="M414" s="2" t="s">
        <v>29</v>
      </c>
      <c r="N414" s="2" t="s">
        <v>1418</v>
      </c>
      <c r="O414" s="2" t="s">
        <v>1376</v>
      </c>
      <c r="P414" s="2"/>
      <c r="Q414" s="2" t="s">
        <v>1417</v>
      </c>
      <c r="R414" s="2" t="s">
        <v>1416</v>
      </c>
      <c r="S414" s="2" t="s">
        <v>1415</v>
      </c>
      <c r="T414" s="2"/>
      <c r="U414" s="2" t="s">
        <v>1291</v>
      </c>
      <c r="V414" s="2" t="s">
        <v>0</v>
      </c>
    </row>
    <row r="415" spans="1:22" ht="75" x14ac:dyDescent="0.25">
      <c r="A415" s="6"/>
      <c r="B415" s="10"/>
      <c r="C415" s="2" t="s">
        <v>1318</v>
      </c>
      <c r="D415" s="2" t="s">
        <v>12</v>
      </c>
      <c r="E415" s="1" t="str">
        <f>HYPERLINK("http://www-wds.worldbank.org/external/default/main?menuPK=64187510&amp;pagePK=64193027&amp;piPK=64187937&amp;menuPK=64154159&amp;searchMenuPK=64258546&amp;theSitePK=523679&amp;entityID=000333038_20090320051726","Improvement of national road 1B subproject ethnic communities development plan ")</f>
        <v xml:space="preserve">Improvement of national road 1B subproject ethnic communities development plan </v>
      </c>
      <c r="F415" s="3" t="s">
        <v>1414</v>
      </c>
      <c r="G415" s="2" t="s">
        <v>1410</v>
      </c>
      <c r="H415" s="2" t="s">
        <v>10</v>
      </c>
      <c r="I415" s="2"/>
      <c r="J415" s="3"/>
      <c r="K415" s="2" t="s">
        <v>164</v>
      </c>
      <c r="L415" s="2" t="s">
        <v>1409</v>
      </c>
      <c r="M415" s="2" t="s">
        <v>29</v>
      </c>
      <c r="N415" s="2" t="s">
        <v>1408</v>
      </c>
      <c r="O415" s="2" t="s">
        <v>1407</v>
      </c>
      <c r="P415" s="2"/>
      <c r="Q415" s="2" t="s">
        <v>1406</v>
      </c>
      <c r="R415" s="2" t="s">
        <v>1405</v>
      </c>
      <c r="S415" s="2" t="s">
        <v>1404</v>
      </c>
      <c r="T415" s="2" t="s">
        <v>1403</v>
      </c>
      <c r="U415" s="2" t="s">
        <v>36</v>
      </c>
      <c r="V415" s="2" t="s">
        <v>55</v>
      </c>
    </row>
    <row r="416" spans="1:22" ht="75" x14ac:dyDescent="0.25">
      <c r="A416" s="6"/>
      <c r="B416" s="10"/>
      <c r="C416" s="2" t="s">
        <v>1318</v>
      </c>
      <c r="D416" s="2" t="s">
        <v>12</v>
      </c>
      <c r="E416" s="1" t="str">
        <f>HYPERLINK("http://www-wds.worldbank.org/external/default/main?menuPK=64187510&amp;pagePK=64193027&amp;piPK=64187937&amp;menuPK=64154159&amp;searchMenuPK=64258546&amp;theSitePK=523679&amp;entityID=000333038_20090320051310","Ethnic groups development framework ")</f>
        <v xml:space="preserve">Ethnic groups development framework </v>
      </c>
      <c r="F416" s="3" t="s">
        <v>1411</v>
      </c>
      <c r="G416" s="2" t="s">
        <v>1410</v>
      </c>
      <c r="H416" s="2" t="s">
        <v>10</v>
      </c>
      <c r="I416" s="2"/>
      <c r="J416" s="3"/>
      <c r="K416" s="2" t="s">
        <v>164</v>
      </c>
      <c r="L416" s="2" t="s">
        <v>1409</v>
      </c>
      <c r="M416" s="2" t="s">
        <v>29</v>
      </c>
      <c r="N416" s="2" t="s">
        <v>1408</v>
      </c>
      <c r="O416" s="2" t="s">
        <v>1407</v>
      </c>
      <c r="P416" s="2"/>
      <c r="Q416" s="2" t="s">
        <v>1413</v>
      </c>
      <c r="R416" s="2" t="s">
        <v>1412</v>
      </c>
      <c r="S416" s="2" t="s">
        <v>1404</v>
      </c>
      <c r="T416" s="2" t="s">
        <v>1403</v>
      </c>
      <c r="U416" s="2" t="s">
        <v>36</v>
      </c>
      <c r="V416" s="2" t="s">
        <v>35</v>
      </c>
    </row>
    <row r="417" spans="1:22" ht="75" x14ac:dyDescent="0.25">
      <c r="A417" s="6"/>
      <c r="B417" s="10"/>
      <c r="C417" s="2" t="s">
        <v>1318</v>
      </c>
      <c r="D417" s="2" t="s">
        <v>12</v>
      </c>
      <c r="E417" s="1" t="str">
        <f>HYPERLINK("http://www-wds.worldbank.org/external/default/main?menuPK=64187510&amp;pagePK=64193027&amp;piPK=64187937&amp;menuPK=64154159&amp;searchMenuPK=64258546&amp;theSitePK=523679&amp;entityID=000333038_20090320052051","Improvement of national road 6A subproject ethnic communities development plan ")</f>
        <v xml:space="preserve">Improvement of national road 6A subproject ethnic communities development plan </v>
      </c>
      <c r="F417" s="3" t="s">
        <v>1411</v>
      </c>
      <c r="G417" s="2" t="s">
        <v>1410</v>
      </c>
      <c r="H417" s="2" t="s">
        <v>10</v>
      </c>
      <c r="I417" s="2"/>
      <c r="J417" s="3"/>
      <c r="K417" s="2" t="s">
        <v>164</v>
      </c>
      <c r="L417" s="2" t="s">
        <v>1409</v>
      </c>
      <c r="M417" s="2" t="s">
        <v>29</v>
      </c>
      <c r="N417" s="2" t="s">
        <v>1408</v>
      </c>
      <c r="O417" s="2" t="s">
        <v>1407</v>
      </c>
      <c r="P417" s="2"/>
      <c r="Q417" s="2" t="s">
        <v>1406</v>
      </c>
      <c r="R417" s="2" t="s">
        <v>1405</v>
      </c>
      <c r="S417" s="2" t="s">
        <v>1404</v>
      </c>
      <c r="T417" s="2" t="s">
        <v>1403</v>
      </c>
      <c r="U417" s="2" t="s">
        <v>36</v>
      </c>
      <c r="V417" s="2" t="s">
        <v>93</v>
      </c>
    </row>
    <row r="418" spans="1:22" ht="60" x14ac:dyDescent="0.25">
      <c r="A418" s="6"/>
      <c r="B418" s="10"/>
      <c r="C418" s="2" t="s">
        <v>1318</v>
      </c>
      <c r="D418" s="2" t="s">
        <v>12</v>
      </c>
      <c r="E418" s="1" t="str">
        <f>HYPERLINK("http://www-wds.worldbank.org/external/default/main?menuPK=64187510&amp;pagePK=64193027&amp;piPK=64187937&amp;menuPK=64154159&amp;searchMenuPK=64258546&amp;theSitePK=523679&amp;entityID=000333037_20081016025958","Village development operational manual ")</f>
        <v xml:space="preserve">Village development operational manual </v>
      </c>
      <c r="F418" s="9">
        <v>39547</v>
      </c>
      <c r="G418" s="2" t="s">
        <v>1402</v>
      </c>
      <c r="H418" s="2" t="s">
        <v>10</v>
      </c>
      <c r="I418" s="2"/>
      <c r="J418" s="3"/>
      <c r="K418" s="2" t="s">
        <v>8</v>
      </c>
      <c r="L418" s="2" t="s">
        <v>1401</v>
      </c>
      <c r="M418" s="2" t="s">
        <v>29</v>
      </c>
      <c r="N418" s="2" t="s">
        <v>1400</v>
      </c>
      <c r="O418" s="2" t="s">
        <v>50</v>
      </c>
      <c r="P418" s="2"/>
      <c r="Q418" s="2" t="s">
        <v>1399</v>
      </c>
      <c r="R418" s="2" t="s">
        <v>1398</v>
      </c>
      <c r="S418" s="2" t="s">
        <v>1397</v>
      </c>
      <c r="T418" s="2"/>
      <c r="U418" s="2" t="s">
        <v>1</v>
      </c>
      <c r="V418" s="2" t="s">
        <v>0</v>
      </c>
    </row>
    <row r="419" spans="1:22" ht="150" x14ac:dyDescent="0.25">
      <c r="A419" s="6"/>
      <c r="B419" s="10"/>
      <c r="C419" s="2" t="s">
        <v>1318</v>
      </c>
      <c r="D419" s="2" t="s">
        <v>12</v>
      </c>
      <c r="E419" s="1" t="str">
        <f>HYPERLINK("http://www-wds.worldbank.org/external/default/main?menuPK=64187510&amp;pagePK=64193027&amp;piPK=64187937&amp;menuPK=64154159&amp;searchMenuPK=64258546&amp;theSitePK=523679&amp;entityID=000333038_20080307074212","Social impact assessment ")</f>
        <v xml:space="preserve">Social impact assessment </v>
      </c>
      <c r="F419" s="3" t="s">
        <v>1396</v>
      </c>
      <c r="G419" s="2" t="s">
        <v>1395</v>
      </c>
      <c r="H419" s="2" t="s">
        <v>10</v>
      </c>
      <c r="I419" s="2"/>
      <c r="J419" s="3"/>
      <c r="K419" s="2" t="s">
        <v>438</v>
      </c>
      <c r="L419" s="2" t="s">
        <v>1394</v>
      </c>
      <c r="M419" s="2" t="s">
        <v>29</v>
      </c>
      <c r="N419" s="2" t="s">
        <v>1393</v>
      </c>
      <c r="O419" s="2" t="s">
        <v>1392</v>
      </c>
      <c r="P419" s="2"/>
      <c r="Q419" s="2" t="s">
        <v>1391</v>
      </c>
      <c r="R419" s="2" t="s">
        <v>1390</v>
      </c>
      <c r="S419" s="2" t="s">
        <v>1389</v>
      </c>
      <c r="T419" s="2" t="s">
        <v>1388</v>
      </c>
      <c r="U419" s="2" t="s">
        <v>1</v>
      </c>
      <c r="V419" s="2" t="s">
        <v>0</v>
      </c>
    </row>
    <row r="420" spans="1:22" ht="90" x14ac:dyDescent="0.25">
      <c r="A420" s="6"/>
      <c r="B420" s="10"/>
      <c r="C420" s="2" t="s">
        <v>1318</v>
      </c>
      <c r="D420" s="2" t="s">
        <v>12</v>
      </c>
      <c r="E420" s="1" t="str">
        <f>HYPERLINK("http://www-wds.worldbank.org/external/default/main?menuPK=64187510&amp;pagePK=64193027&amp;piPK=64187937&amp;menuPK=64154159&amp;searchMenuPK=64258546&amp;theSitePK=523679&amp;entityID=000020953_20070213114605","Lao PDR - Avian and Human Influenza Control and Preparedness Emergency Project : ethnic group planning framework ")</f>
        <v xml:space="preserve">Lao PDR - Avian and Human Influenza Control and Preparedness Emergency Project : ethnic group planning framework </v>
      </c>
      <c r="F420" s="9">
        <v>39265</v>
      </c>
      <c r="G420" s="2" t="s">
        <v>1387</v>
      </c>
      <c r="H420" s="2" t="s">
        <v>10</v>
      </c>
      <c r="I420" s="2" t="s">
        <v>1386</v>
      </c>
      <c r="J420" s="3"/>
      <c r="K420" s="2" t="s">
        <v>805</v>
      </c>
      <c r="L420" s="2" t="s">
        <v>1385</v>
      </c>
      <c r="M420" s="2" t="s">
        <v>29</v>
      </c>
      <c r="N420" s="2" t="s">
        <v>1384</v>
      </c>
      <c r="O420" s="2" t="s">
        <v>1383</v>
      </c>
      <c r="P420" s="2"/>
      <c r="Q420" s="2" t="s">
        <v>1382</v>
      </c>
      <c r="R420" s="2" t="s">
        <v>1174</v>
      </c>
      <c r="S420" s="2"/>
      <c r="T420" s="2" t="s">
        <v>1381</v>
      </c>
      <c r="U420" s="2" t="s">
        <v>23</v>
      </c>
      <c r="V420" s="2" t="s">
        <v>0</v>
      </c>
    </row>
    <row r="421" spans="1:22" ht="105" x14ac:dyDescent="0.25">
      <c r="A421" s="6"/>
      <c r="B421" s="10"/>
      <c r="C421" s="2" t="s">
        <v>1318</v>
      </c>
      <c r="D421" s="2" t="s">
        <v>12</v>
      </c>
      <c r="E421" s="1" t="str">
        <f>HYPERLINK("http://www-wds.worldbank.org/external/default/main?menuPK=64187510&amp;pagePK=64193027&amp;piPK=64187937&amp;menuPK=64154159&amp;searchMenuPK=64258546&amp;theSitePK=523679&amp;entityID=000160016_20050913150309","Lao People's Democratic Republic - Environment and Social Project : indigenous people's development plan ")</f>
        <v xml:space="preserve">Lao People's Democratic Republic - Environment and Social Project : indigenous people's development plan </v>
      </c>
      <c r="F421" s="9">
        <v>38389</v>
      </c>
      <c r="G421" s="2" t="s">
        <v>1380</v>
      </c>
      <c r="H421" s="2" t="s">
        <v>10</v>
      </c>
      <c r="I421" s="2" t="s">
        <v>492</v>
      </c>
      <c r="J421" s="3"/>
      <c r="K421" s="2" t="s">
        <v>1379</v>
      </c>
      <c r="L421" s="2" t="s">
        <v>1378</v>
      </c>
      <c r="M421" s="2" t="s">
        <v>29</v>
      </c>
      <c r="N421" s="2" t="s">
        <v>1377</v>
      </c>
      <c r="O421" s="2" t="s">
        <v>1376</v>
      </c>
      <c r="P421" s="2"/>
      <c r="Q421" s="2" t="s">
        <v>1375</v>
      </c>
      <c r="R421" s="2" t="s">
        <v>1374</v>
      </c>
      <c r="S421" s="2"/>
      <c r="T421" s="2"/>
      <c r="U421" s="2" t="s">
        <v>457</v>
      </c>
      <c r="V421" s="2" t="s">
        <v>0</v>
      </c>
    </row>
    <row r="422" spans="1:22" ht="60" x14ac:dyDescent="0.25">
      <c r="A422" s="6"/>
      <c r="B422" s="10"/>
      <c r="C422" s="2" t="s">
        <v>1318</v>
      </c>
      <c r="D422" s="2" t="s">
        <v>12</v>
      </c>
      <c r="E422" s="1" t="str">
        <f>HYPERLINK("http://www-wds.worldbank.org/external/default/main?menuPK=64187510&amp;pagePK=64193027&amp;piPK=64187937&amp;menuPK=64154159&amp;searchMenuPK=64258546&amp;theSitePK=523679&amp;entityID=000012009_20050408101945","Lao - Health Services Improvement Project : indigenous peoples development plan ")</f>
        <v xml:space="preserve">Lao - Health Services Improvement Project : indigenous peoples development plan </v>
      </c>
      <c r="F422" s="9">
        <v>38355</v>
      </c>
      <c r="G422" s="2" t="s">
        <v>1373</v>
      </c>
      <c r="H422" s="2" t="s">
        <v>10</v>
      </c>
      <c r="I422" s="2"/>
      <c r="J422" s="3"/>
      <c r="K422" s="2" t="s">
        <v>593</v>
      </c>
      <c r="L422" s="2" t="s">
        <v>1372</v>
      </c>
      <c r="M422" s="2" t="s">
        <v>29</v>
      </c>
      <c r="N422" s="2" t="s">
        <v>1371</v>
      </c>
      <c r="O422" s="2" t="s">
        <v>1370</v>
      </c>
      <c r="P422" s="2"/>
      <c r="Q422" s="2" t="s">
        <v>1369</v>
      </c>
      <c r="R422" s="2" t="s">
        <v>25</v>
      </c>
      <c r="S422" s="2"/>
      <c r="T422" s="2" t="s">
        <v>1368</v>
      </c>
      <c r="U422" s="2" t="s">
        <v>23</v>
      </c>
      <c r="V422" s="2" t="s">
        <v>0</v>
      </c>
    </row>
    <row r="423" spans="1:22" ht="105" x14ac:dyDescent="0.25">
      <c r="A423" s="6"/>
      <c r="B423" s="10"/>
      <c r="C423" s="2" t="s">
        <v>1318</v>
      </c>
      <c r="D423" s="2" t="s">
        <v>12</v>
      </c>
      <c r="E423" s="1" t="str">
        <f>HYPERLINK("http://www-wds.worldbank.org/external/default/main?menuPK=64187510&amp;pagePK=64193027&amp;piPK=64187937&amp;menuPK=64154159&amp;searchMenuPK=64258546&amp;theSitePK=523679&amp;entityID=000112742_20050318103903","Addenda and supplementary information to Volume 1 ")</f>
        <v xml:space="preserve">Addenda and supplementary information to Volume 1 </v>
      </c>
      <c r="F423" s="9">
        <v>38353</v>
      </c>
      <c r="G423" s="2" t="s">
        <v>1360</v>
      </c>
      <c r="H423" s="2" t="s">
        <v>10</v>
      </c>
      <c r="I423" s="2"/>
      <c r="J423" s="3"/>
      <c r="K423" s="2" t="s">
        <v>80</v>
      </c>
      <c r="L423" s="2" t="s">
        <v>1359</v>
      </c>
      <c r="M423" s="2" t="s">
        <v>29</v>
      </c>
      <c r="N423" s="2" t="s">
        <v>1351</v>
      </c>
      <c r="O423" s="2" t="s">
        <v>77</v>
      </c>
      <c r="P423" s="2"/>
      <c r="Q423" s="2" t="s">
        <v>1366</v>
      </c>
      <c r="R423" s="2" t="s">
        <v>487</v>
      </c>
      <c r="S423" s="2"/>
      <c r="T423" s="2" t="s">
        <v>1357</v>
      </c>
      <c r="U423" s="2" t="s">
        <v>73</v>
      </c>
      <c r="V423" s="2" t="s">
        <v>293</v>
      </c>
    </row>
    <row r="424" spans="1:22" ht="105" x14ac:dyDescent="0.25">
      <c r="A424" s="6"/>
      <c r="B424" s="10"/>
      <c r="C424" s="2" t="s">
        <v>1318</v>
      </c>
      <c r="D424" s="2" t="s">
        <v>12</v>
      </c>
      <c r="E424" s="1" t="str">
        <f>HYPERLINK("http://www-wds.worldbank.org/external/default/main?menuPK=64187510&amp;pagePK=64193027&amp;piPK=64187937&amp;menuPK=64154159&amp;searchMenuPK=64258546&amp;theSitePK=523679&amp;entityID=000112742_20050318114013","Addenda and supplementary information to Volume 2 ")</f>
        <v xml:space="preserve">Addenda and supplementary information to Volume 2 </v>
      </c>
      <c r="F424" s="9">
        <v>38353</v>
      </c>
      <c r="G424" s="2" t="s">
        <v>1360</v>
      </c>
      <c r="H424" s="2" t="s">
        <v>10</v>
      </c>
      <c r="I424" s="2"/>
      <c r="J424" s="3"/>
      <c r="K424" s="2" t="s">
        <v>80</v>
      </c>
      <c r="L424" s="2" t="s">
        <v>1359</v>
      </c>
      <c r="M424" s="2" t="s">
        <v>29</v>
      </c>
      <c r="N424" s="2" t="s">
        <v>1351</v>
      </c>
      <c r="O424" s="2" t="s">
        <v>77</v>
      </c>
      <c r="P424" s="2"/>
      <c r="Q424" s="2" t="s">
        <v>1365</v>
      </c>
      <c r="R424" s="2" t="s">
        <v>1017</v>
      </c>
      <c r="S424" s="2"/>
      <c r="T424" s="2" t="s">
        <v>1357</v>
      </c>
      <c r="U424" s="2" t="s">
        <v>73</v>
      </c>
      <c r="V424" s="2" t="s">
        <v>273</v>
      </c>
    </row>
    <row r="425" spans="1:22" ht="105" x14ac:dyDescent="0.25">
      <c r="A425" s="6"/>
      <c r="B425" s="10"/>
      <c r="C425" s="2" t="s">
        <v>1318</v>
      </c>
      <c r="D425" s="2" t="s">
        <v>12</v>
      </c>
      <c r="E425" s="1" t="str">
        <f>HYPERLINK("http://www-wds.worldbank.org/external/default/main?menuPK=64187510&amp;pagePK=64193027&amp;piPK=64187937&amp;menuPK=64154159&amp;searchMenuPK=64258546&amp;theSitePK=523679&amp;entityID=000112742_20050318164929","Addenda and supplementary information to volume 3 ")</f>
        <v xml:space="preserve">Addenda and supplementary information to volume 3 </v>
      </c>
      <c r="F425" s="9">
        <v>38353</v>
      </c>
      <c r="G425" s="2" t="s">
        <v>1360</v>
      </c>
      <c r="H425" s="2" t="s">
        <v>10</v>
      </c>
      <c r="I425" s="2"/>
      <c r="J425" s="3"/>
      <c r="K425" s="2" t="s">
        <v>80</v>
      </c>
      <c r="L425" s="2" t="s">
        <v>1359</v>
      </c>
      <c r="M425" s="2" t="s">
        <v>29</v>
      </c>
      <c r="N425" s="2" t="s">
        <v>1351</v>
      </c>
      <c r="O425" s="2" t="s">
        <v>77</v>
      </c>
      <c r="P425" s="2"/>
      <c r="Q425" s="2" t="s">
        <v>1364</v>
      </c>
      <c r="R425" s="2" t="s">
        <v>48</v>
      </c>
      <c r="S425" s="2"/>
      <c r="T425" s="2" t="s">
        <v>1357</v>
      </c>
      <c r="U425" s="2" t="s">
        <v>73</v>
      </c>
      <c r="V425" s="2" t="s">
        <v>378</v>
      </c>
    </row>
    <row r="426" spans="1:22" ht="105" x14ac:dyDescent="0.25">
      <c r="A426" s="6"/>
      <c r="B426" s="10"/>
      <c r="C426" s="2" t="s">
        <v>1318</v>
      </c>
      <c r="D426" s="2" t="s">
        <v>12</v>
      </c>
      <c r="E426" s="1" t="str">
        <f>HYPERLINK("http://www-wds.worldbank.org/external/default/main?menuPK=64187510&amp;pagePK=64193027&amp;piPK=64187937&amp;menuPK=64154159&amp;searchMenuPK=64258546&amp;theSitePK=523679&amp;entityID=000112742_20050321095239","Addenda and supplementary information to volume 4 ")</f>
        <v xml:space="preserve">Addenda and supplementary information to volume 4 </v>
      </c>
      <c r="F426" s="9">
        <v>38353</v>
      </c>
      <c r="G426" s="2" t="s">
        <v>1360</v>
      </c>
      <c r="H426" s="2" t="s">
        <v>10</v>
      </c>
      <c r="I426" s="2"/>
      <c r="J426" s="3"/>
      <c r="K426" s="2" t="s">
        <v>80</v>
      </c>
      <c r="L426" s="2" t="s">
        <v>1359</v>
      </c>
      <c r="M426" s="2" t="s">
        <v>29</v>
      </c>
      <c r="N426" s="2" t="s">
        <v>1351</v>
      </c>
      <c r="O426" s="2" t="s">
        <v>77</v>
      </c>
      <c r="P426" s="2"/>
      <c r="Q426" s="2" t="s">
        <v>1367</v>
      </c>
      <c r="R426" s="2" t="s">
        <v>48</v>
      </c>
      <c r="S426" s="2"/>
      <c r="T426" s="2" t="s">
        <v>1357</v>
      </c>
      <c r="U426" s="2" t="s">
        <v>73</v>
      </c>
      <c r="V426" s="2" t="s">
        <v>384</v>
      </c>
    </row>
    <row r="427" spans="1:22" ht="105" x14ac:dyDescent="0.25">
      <c r="A427" s="6"/>
      <c r="B427" s="10"/>
      <c r="C427" s="2" t="s">
        <v>1318</v>
      </c>
      <c r="D427" s="2" t="s">
        <v>12</v>
      </c>
      <c r="E427" s="1" t="str">
        <f>HYPERLINK("http://www-wds.worldbank.org/external/default/main?menuPK=64187510&amp;pagePK=64193027&amp;piPK=64187937&amp;menuPK=64154159&amp;searchMenuPK=64258546&amp;theSitePK=523679&amp;entityID=000112742_20050321115146","Construction phase social management plan ")</f>
        <v xml:space="preserve">Construction phase social management plan </v>
      </c>
      <c r="F427" s="9">
        <v>38353</v>
      </c>
      <c r="G427" s="2" t="s">
        <v>1360</v>
      </c>
      <c r="H427" s="2" t="s">
        <v>10</v>
      </c>
      <c r="I427" s="2"/>
      <c r="J427" s="3"/>
      <c r="K427" s="2" t="s">
        <v>80</v>
      </c>
      <c r="L427" s="2" t="s">
        <v>1359</v>
      </c>
      <c r="M427" s="2" t="s">
        <v>29</v>
      </c>
      <c r="N427" s="2" t="s">
        <v>1351</v>
      </c>
      <c r="O427" s="2" t="s">
        <v>77</v>
      </c>
      <c r="P427" s="2"/>
      <c r="Q427" s="2" t="s">
        <v>1362</v>
      </c>
      <c r="R427" s="2" t="s">
        <v>48</v>
      </c>
      <c r="S427" s="2"/>
      <c r="T427" s="2" t="s">
        <v>1357</v>
      </c>
      <c r="U427" s="2" t="s">
        <v>73</v>
      </c>
      <c r="V427" s="2" t="s">
        <v>381</v>
      </c>
    </row>
    <row r="428" spans="1:22" ht="90" x14ac:dyDescent="0.25">
      <c r="A428" s="6"/>
      <c r="B428" s="10"/>
      <c r="C428" s="2" t="s">
        <v>1318</v>
      </c>
      <c r="D428" s="2" t="s">
        <v>12</v>
      </c>
      <c r="E428" s="1" t="str">
        <f>HYPERLINK("http://www-wds.worldbank.org/external/default/main?menuPK=64187510&amp;pagePK=64193027&amp;piPK=64187937&amp;menuPK=64154159&amp;searchMenuPK=64258546&amp;theSitePK=523679&amp;entityID=000112742_20050318105638","Addenda and supplementary information to Volume 1 ")</f>
        <v xml:space="preserve">Addenda and supplementary information to Volume 1 </v>
      </c>
      <c r="F428" s="9">
        <v>38353</v>
      </c>
      <c r="G428" s="2" t="s">
        <v>1353</v>
      </c>
      <c r="H428" s="2" t="s">
        <v>10</v>
      </c>
      <c r="I428" s="2"/>
      <c r="J428" s="3"/>
      <c r="K428" s="2" t="s">
        <v>145</v>
      </c>
      <c r="L428" s="2" t="s">
        <v>1352</v>
      </c>
      <c r="M428" s="2" t="s">
        <v>29</v>
      </c>
      <c r="N428" s="2" t="s">
        <v>1351</v>
      </c>
      <c r="O428" s="2" t="s">
        <v>142</v>
      </c>
      <c r="P428" s="2"/>
      <c r="Q428" s="2" t="s">
        <v>1366</v>
      </c>
      <c r="R428" s="2" t="s">
        <v>487</v>
      </c>
      <c r="S428" s="2"/>
      <c r="T428" s="2" t="s">
        <v>1349</v>
      </c>
      <c r="U428" s="2" t="s">
        <v>457</v>
      </c>
      <c r="V428" s="2" t="s">
        <v>293</v>
      </c>
    </row>
    <row r="429" spans="1:22" ht="90" x14ac:dyDescent="0.25">
      <c r="A429" s="6"/>
      <c r="B429" s="10"/>
      <c r="C429" s="2" t="s">
        <v>1318</v>
      </c>
      <c r="D429" s="2" t="s">
        <v>12</v>
      </c>
      <c r="E429" s="1" t="str">
        <f>HYPERLINK("http://www-wds.worldbank.org/external/default/main?menuPK=64187510&amp;pagePK=64193027&amp;piPK=64187937&amp;menuPK=64154159&amp;searchMenuPK=64258546&amp;theSitePK=523679&amp;entityID=000112742_20050318121648","Laos - Nam Theun 2 Hydroelectric Project : Ethnic minority development plan ")</f>
        <v xml:space="preserve">Laos - Nam Theun 2 Hydroelectric Project : Ethnic minority development plan </v>
      </c>
      <c r="F429" s="9">
        <v>38353</v>
      </c>
      <c r="G429" s="2" t="s">
        <v>1353</v>
      </c>
      <c r="H429" s="2" t="s">
        <v>10</v>
      </c>
      <c r="I429" s="2"/>
      <c r="J429" s="3"/>
      <c r="K429" s="2" t="s">
        <v>145</v>
      </c>
      <c r="L429" s="2" t="s">
        <v>1352</v>
      </c>
      <c r="M429" s="2" t="s">
        <v>29</v>
      </c>
      <c r="N429" s="2" t="s">
        <v>1351</v>
      </c>
      <c r="O429" s="2" t="s">
        <v>142</v>
      </c>
      <c r="P429" s="2"/>
      <c r="Q429" s="2" t="s">
        <v>1365</v>
      </c>
      <c r="R429" s="2" t="s">
        <v>1017</v>
      </c>
      <c r="S429" s="2"/>
      <c r="T429" s="2" t="s">
        <v>1349</v>
      </c>
      <c r="U429" s="2" t="s">
        <v>457</v>
      </c>
      <c r="V429" s="2" t="s">
        <v>273</v>
      </c>
    </row>
    <row r="430" spans="1:22" ht="90" x14ac:dyDescent="0.25">
      <c r="A430" s="6"/>
      <c r="B430" s="10"/>
      <c r="C430" s="2" t="s">
        <v>1318</v>
      </c>
      <c r="D430" s="2" t="s">
        <v>12</v>
      </c>
      <c r="E430" s="1" t="str">
        <f>HYPERLINK("http://www-wds.worldbank.org/external/default/main?menuPK=64187510&amp;pagePK=64193027&amp;piPK=64187937&amp;menuPK=64154159&amp;searchMenuPK=64258546&amp;theSitePK=523679&amp;entityID=000112742_20050318173640","Addenda and supplementary information to Volume 3 ")</f>
        <v xml:space="preserve">Addenda and supplementary information to Volume 3 </v>
      </c>
      <c r="F430" s="9">
        <v>38353</v>
      </c>
      <c r="G430" s="2" t="s">
        <v>1353</v>
      </c>
      <c r="H430" s="2" t="s">
        <v>10</v>
      </c>
      <c r="I430" s="2"/>
      <c r="J430" s="3"/>
      <c r="K430" s="2" t="s">
        <v>145</v>
      </c>
      <c r="L430" s="2" t="s">
        <v>1352</v>
      </c>
      <c r="M430" s="2" t="s">
        <v>29</v>
      </c>
      <c r="N430" s="2" t="s">
        <v>1351</v>
      </c>
      <c r="O430" s="2" t="s">
        <v>142</v>
      </c>
      <c r="P430" s="2"/>
      <c r="Q430" s="2" t="s">
        <v>1364</v>
      </c>
      <c r="R430" s="2" t="s">
        <v>48</v>
      </c>
      <c r="S430" s="2"/>
      <c r="T430" s="2" t="s">
        <v>1349</v>
      </c>
      <c r="U430" s="2" t="s">
        <v>457</v>
      </c>
      <c r="V430" s="2" t="s">
        <v>378</v>
      </c>
    </row>
    <row r="431" spans="1:22" ht="90" x14ac:dyDescent="0.25">
      <c r="A431" s="6"/>
      <c r="B431" s="10"/>
      <c r="C431" s="2" t="s">
        <v>1318</v>
      </c>
      <c r="D431" s="2" t="s">
        <v>12</v>
      </c>
      <c r="E431" s="1" t="str">
        <f>HYPERLINK("http://www-wds.worldbank.org/external/default/main?menuPK=64187510&amp;pagePK=64193027&amp;piPK=64187937&amp;menuPK=64154159&amp;searchMenuPK=64258546&amp;theSitePK=523679&amp;entityID=000112742_20050321103016","Addenda and supplementary information to volume 4 ")</f>
        <v xml:space="preserve">Addenda and supplementary information to volume 4 </v>
      </c>
      <c r="F431" s="9">
        <v>38353</v>
      </c>
      <c r="G431" s="2" t="s">
        <v>1353</v>
      </c>
      <c r="H431" s="2" t="s">
        <v>10</v>
      </c>
      <c r="I431" s="2"/>
      <c r="J431" s="3"/>
      <c r="K431" s="2" t="s">
        <v>145</v>
      </c>
      <c r="L431" s="2" t="s">
        <v>1352</v>
      </c>
      <c r="M431" s="2" t="s">
        <v>29</v>
      </c>
      <c r="N431" s="2" t="s">
        <v>1351</v>
      </c>
      <c r="O431" s="2" t="s">
        <v>142</v>
      </c>
      <c r="P431" s="2"/>
      <c r="Q431" s="2" t="s">
        <v>1363</v>
      </c>
      <c r="R431" s="2"/>
      <c r="S431" s="2"/>
      <c r="T431" s="2" t="s">
        <v>1349</v>
      </c>
      <c r="U431" s="2" t="s">
        <v>457</v>
      </c>
      <c r="V431" s="2" t="s">
        <v>384</v>
      </c>
    </row>
    <row r="432" spans="1:22" ht="90" x14ac:dyDescent="0.25">
      <c r="A432" s="6"/>
      <c r="B432" s="10"/>
      <c r="C432" s="2" t="s">
        <v>1318</v>
      </c>
      <c r="D432" s="2" t="s">
        <v>12</v>
      </c>
      <c r="E432" s="1" t="str">
        <f>HYPERLINK("http://www-wds.worldbank.org/external/default/main?menuPK=64187510&amp;pagePK=64193027&amp;piPK=64187937&amp;menuPK=64154159&amp;searchMenuPK=64258546&amp;theSitePK=523679&amp;entityID=000112742_20050321115512","Laos - Nam Theun 2 Hydroelectric Project : Ethnic minority development plan ")</f>
        <v xml:space="preserve">Laos - Nam Theun 2 Hydroelectric Project : Ethnic minority development plan </v>
      </c>
      <c r="F432" s="9">
        <v>38353</v>
      </c>
      <c r="G432" s="2" t="s">
        <v>1353</v>
      </c>
      <c r="H432" s="2" t="s">
        <v>10</v>
      </c>
      <c r="I432" s="2"/>
      <c r="J432" s="3"/>
      <c r="K432" s="2" t="s">
        <v>145</v>
      </c>
      <c r="L432" s="2" t="s">
        <v>1352</v>
      </c>
      <c r="M432" s="2" t="s">
        <v>29</v>
      </c>
      <c r="N432" s="2" t="s">
        <v>1351</v>
      </c>
      <c r="O432" s="2" t="s">
        <v>142</v>
      </c>
      <c r="P432" s="2"/>
      <c r="Q432" s="2" t="s">
        <v>1362</v>
      </c>
      <c r="R432" s="2" t="s">
        <v>48</v>
      </c>
      <c r="S432" s="2"/>
      <c r="T432" s="2" t="s">
        <v>1349</v>
      </c>
      <c r="U432" s="2" t="s">
        <v>457</v>
      </c>
      <c r="V432" s="2" t="s">
        <v>381</v>
      </c>
    </row>
    <row r="433" spans="1:22" ht="105" x14ac:dyDescent="0.25">
      <c r="A433" s="6"/>
      <c r="B433" s="10"/>
      <c r="C433" s="2" t="s">
        <v>1318</v>
      </c>
      <c r="D433" s="2" t="s">
        <v>12</v>
      </c>
      <c r="E433" s="1" t="str">
        <f>HYPERLINK("http://www-wds.worldbank.org/external/default/main?menuPK=64187510&amp;pagePK=64193027&amp;piPK=64187937&amp;menuPK=64154159&amp;searchMenuPK=64258546&amp;theSitePK=523679&amp;entityID=000112742_20041214173500","Introduction and cross-cutting issues ")</f>
        <v xml:space="preserve">Introduction and cross-cutting issues </v>
      </c>
      <c r="F433" s="9">
        <v>37997</v>
      </c>
      <c r="G433" s="2" t="s">
        <v>1360</v>
      </c>
      <c r="H433" s="2" t="s">
        <v>10</v>
      </c>
      <c r="I433" s="2"/>
      <c r="J433" s="3"/>
      <c r="K433" s="2" t="s">
        <v>80</v>
      </c>
      <c r="L433" s="2" t="s">
        <v>1359</v>
      </c>
      <c r="M433" s="2" t="s">
        <v>29</v>
      </c>
      <c r="N433" s="2" t="s">
        <v>1351</v>
      </c>
      <c r="O433" s="2" t="s">
        <v>77</v>
      </c>
      <c r="P433" s="2"/>
      <c r="Q433" s="2" t="s">
        <v>1356</v>
      </c>
      <c r="R433" s="2" t="s">
        <v>1017</v>
      </c>
      <c r="S433" s="2"/>
      <c r="T433" s="2" t="s">
        <v>1357</v>
      </c>
      <c r="U433" s="2" t="s">
        <v>73</v>
      </c>
      <c r="V433" s="2" t="s">
        <v>347</v>
      </c>
    </row>
    <row r="434" spans="1:22" ht="105" x14ac:dyDescent="0.25">
      <c r="A434" s="6"/>
      <c r="B434" s="10"/>
      <c r="C434" s="2" t="s">
        <v>1318</v>
      </c>
      <c r="D434" s="2" t="s">
        <v>12</v>
      </c>
      <c r="E434" s="1" t="str">
        <f>HYPERLINK("http://www-wds.worldbank.org/external/default/main?menuPK=64187510&amp;pagePK=64193027&amp;piPK=64187937&amp;menuPK=64154159&amp;searchMenuPK=64258546&amp;theSitePK=523679&amp;entityID=000112742_20041214171846","Nakai plateau - EMDP and RAP ")</f>
        <v xml:space="preserve">Nakai plateau - EMDP and RAP </v>
      </c>
      <c r="F434" s="9">
        <v>37997</v>
      </c>
      <c r="G434" s="2" t="s">
        <v>1360</v>
      </c>
      <c r="H434" s="2" t="s">
        <v>10</v>
      </c>
      <c r="I434" s="2"/>
      <c r="J434" s="3"/>
      <c r="K434" s="2" t="s">
        <v>80</v>
      </c>
      <c r="L434" s="2" t="s">
        <v>1359</v>
      </c>
      <c r="M434" s="2" t="s">
        <v>29</v>
      </c>
      <c r="N434" s="2" t="s">
        <v>1351</v>
      </c>
      <c r="O434" s="2" t="s">
        <v>77</v>
      </c>
      <c r="P434" s="2"/>
      <c r="Q434" s="2" t="s">
        <v>1361</v>
      </c>
      <c r="R434" s="2" t="s">
        <v>48</v>
      </c>
      <c r="S434" s="2"/>
      <c r="T434" s="2" t="s">
        <v>1357</v>
      </c>
      <c r="U434" s="2" t="s">
        <v>73</v>
      </c>
      <c r="V434" s="2" t="s">
        <v>312</v>
      </c>
    </row>
    <row r="435" spans="1:22" ht="105" x14ac:dyDescent="0.25">
      <c r="A435" s="6"/>
      <c r="B435" s="10"/>
      <c r="C435" s="2" t="s">
        <v>1318</v>
      </c>
      <c r="D435" s="2" t="s">
        <v>12</v>
      </c>
      <c r="E435" s="1" t="str">
        <f>HYPERLINK("http://www-wds.worldbank.org/external/default/main?menuPK=64187510&amp;pagePK=64193027&amp;piPK=64187937&amp;menuPK=64154159&amp;searchMenuPK=64258546&amp;theSitePK=523679&amp;entityID=000112742_20041214171327","Downstream areas - EMDP and resettlement and compensation framework ")</f>
        <v xml:space="preserve">Downstream areas - EMDP and resettlement and compensation framework </v>
      </c>
      <c r="F435" s="9">
        <v>37997</v>
      </c>
      <c r="G435" s="2" t="s">
        <v>1360</v>
      </c>
      <c r="H435" s="2" t="s">
        <v>10</v>
      </c>
      <c r="I435" s="2"/>
      <c r="J435" s="3"/>
      <c r="K435" s="2" t="s">
        <v>80</v>
      </c>
      <c r="L435" s="2" t="s">
        <v>1359</v>
      </c>
      <c r="M435" s="2" t="s">
        <v>29</v>
      </c>
      <c r="N435" s="2" t="s">
        <v>1351</v>
      </c>
      <c r="O435" s="2" t="s">
        <v>77</v>
      </c>
      <c r="P435" s="2"/>
      <c r="Q435" s="2" t="s">
        <v>1354</v>
      </c>
      <c r="R435" s="2" t="s">
        <v>48</v>
      </c>
      <c r="S435" s="2"/>
      <c r="T435" s="2" t="s">
        <v>1357</v>
      </c>
      <c r="U435" s="2" t="s">
        <v>73</v>
      </c>
      <c r="V435" s="2" t="s">
        <v>93</v>
      </c>
    </row>
    <row r="436" spans="1:22" ht="105" x14ac:dyDescent="0.25">
      <c r="A436" s="6"/>
      <c r="B436" s="10"/>
      <c r="C436" s="2" t="s">
        <v>1318</v>
      </c>
      <c r="D436" s="2" t="s">
        <v>12</v>
      </c>
      <c r="E436" s="1" t="str">
        <f>HYPERLINK("http://www-wds.worldbank.org/external/default/main?menuPK=64187510&amp;pagePK=64193027&amp;piPK=64187937&amp;menuPK=64154159&amp;searchMenuPK=64258546&amp;theSitePK=523679&amp;entityID=000112742_20041214170629","Project lands resettlement (acquisition and compensation) framework ")</f>
        <v xml:space="preserve">Project lands resettlement (acquisition and compensation) framework </v>
      </c>
      <c r="F436" s="9">
        <v>37997</v>
      </c>
      <c r="G436" s="2" t="s">
        <v>1360</v>
      </c>
      <c r="H436" s="2" t="s">
        <v>10</v>
      </c>
      <c r="I436" s="2"/>
      <c r="J436" s="3"/>
      <c r="K436" s="2" t="s">
        <v>80</v>
      </c>
      <c r="L436" s="2" t="s">
        <v>1359</v>
      </c>
      <c r="M436" s="2" t="s">
        <v>29</v>
      </c>
      <c r="N436" s="2" t="s">
        <v>1351</v>
      </c>
      <c r="O436" s="2" t="s">
        <v>77</v>
      </c>
      <c r="P436" s="2"/>
      <c r="Q436" s="2" t="s">
        <v>1358</v>
      </c>
      <c r="R436" s="2" t="s">
        <v>48</v>
      </c>
      <c r="S436" s="2"/>
      <c r="T436" s="2" t="s">
        <v>1357</v>
      </c>
      <c r="U436" s="2" t="s">
        <v>73</v>
      </c>
      <c r="V436" s="2" t="s">
        <v>344</v>
      </c>
    </row>
    <row r="437" spans="1:22" ht="90" x14ac:dyDescent="0.25">
      <c r="A437" s="6"/>
      <c r="B437" s="10"/>
      <c r="C437" s="2" t="s">
        <v>1318</v>
      </c>
      <c r="D437" s="2" t="s">
        <v>12</v>
      </c>
      <c r="E437" s="1" t="str">
        <f>HYPERLINK("http://www-wds.worldbank.org/external/default/main?menuPK=64187510&amp;pagePK=64193027&amp;piPK=64187937&amp;menuPK=64154159&amp;searchMenuPK=64258546&amp;theSitePK=523679&amp;entityID=000112742_20041214175347","Introduction and cross-cutting issues ")</f>
        <v xml:space="preserve">Introduction and cross-cutting issues </v>
      </c>
      <c r="F437" s="9">
        <v>37997</v>
      </c>
      <c r="G437" s="2" t="s">
        <v>1353</v>
      </c>
      <c r="H437" s="2" t="s">
        <v>10</v>
      </c>
      <c r="I437" s="2"/>
      <c r="J437" s="3"/>
      <c r="K437" s="2" t="s">
        <v>145</v>
      </c>
      <c r="L437" s="2" t="s">
        <v>1352</v>
      </c>
      <c r="M437" s="2" t="s">
        <v>29</v>
      </c>
      <c r="N437" s="2" t="s">
        <v>1351</v>
      </c>
      <c r="O437" s="2" t="s">
        <v>142</v>
      </c>
      <c r="P437" s="2"/>
      <c r="Q437" s="2" t="s">
        <v>1356</v>
      </c>
      <c r="R437" s="2" t="s">
        <v>1017</v>
      </c>
      <c r="S437" s="2"/>
      <c r="T437" s="2" t="s">
        <v>1349</v>
      </c>
      <c r="U437" s="2" t="s">
        <v>457</v>
      </c>
      <c r="V437" s="2" t="s">
        <v>0</v>
      </c>
    </row>
    <row r="438" spans="1:22" ht="90" x14ac:dyDescent="0.25">
      <c r="A438" s="6"/>
      <c r="B438" s="10"/>
      <c r="C438" s="2" t="s">
        <v>1318</v>
      </c>
      <c r="D438" s="2" t="s">
        <v>12</v>
      </c>
      <c r="E438" s="1" t="str">
        <f>HYPERLINK("http://www-wds.worldbank.org/external/default/main?menuPK=64187510&amp;pagePK=64193027&amp;piPK=64187937&amp;menuPK=64154159&amp;searchMenuPK=64258546&amp;theSitePK=523679&amp;entityID=000112742_20041214180118","Nakai plateau - EMDP and RAP ")</f>
        <v xml:space="preserve">Nakai plateau - EMDP and RAP </v>
      </c>
      <c r="F438" s="9">
        <v>37997</v>
      </c>
      <c r="G438" s="2" t="s">
        <v>1353</v>
      </c>
      <c r="H438" s="2" t="s">
        <v>10</v>
      </c>
      <c r="I438" s="2"/>
      <c r="J438" s="3"/>
      <c r="K438" s="2" t="s">
        <v>145</v>
      </c>
      <c r="L438" s="2" t="s">
        <v>1352</v>
      </c>
      <c r="M438" s="2" t="s">
        <v>29</v>
      </c>
      <c r="N438" s="2" t="s">
        <v>1351</v>
      </c>
      <c r="O438" s="2" t="s">
        <v>142</v>
      </c>
      <c r="P438" s="2"/>
      <c r="Q438" s="2" t="s">
        <v>1355</v>
      </c>
      <c r="R438" s="2" t="s">
        <v>48</v>
      </c>
      <c r="S438" s="2"/>
      <c r="T438" s="2" t="s">
        <v>1349</v>
      </c>
      <c r="U438" s="2" t="s">
        <v>457</v>
      </c>
      <c r="V438" s="2" t="s">
        <v>312</v>
      </c>
    </row>
    <row r="439" spans="1:22" ht="90" x14ac:dyDescent="0.25">
      <c r="A439" s="6"/>
      <c r="B439" s="10"/>
      <c r="C439" s="2" t="s">
        <v>1318</v>
      </c>
      <c r="D439" s="2" t="s">
        <v>12</v>
      </c>
      <c r="E439" s="1" t="str">
        <f>HYPERLINK("http://www-wds.worldbank.org/external/default/main?menuPK=64187510&amp;pagePK=64193027&amp;piPK=64187937&amp;menuPK=64154159&amp;searchMenuPK=64258546&amp;theSitePK=523679&amp;entityID=000112742_20041214180834","Downstream areas - EMDP and resettlement and compensation framework ")</f>
        <v xml:space="preserve">Downstream areas - EMDP and resettlement and compensation framework </v>
      </c>
      <c r="F439" s="9">
        <v>37997</v>
      </c>
      <c r="G439" s="2" t="s">
        <v>1353</v>
      </c>
      <c r="H439" s="2" t="s">
        <v>10</v>
      </c>
      <c r="I439" s="2"/>
      <c r="J439" s="3"/>
      <c r="K439" s="2" t="s">
        <v>145</v>
      </c>
      <c r="L439" s="2" t="s">
        <v>1352</v>
      </c>
      <c r="M439" s="2" t="s">
        <v>29</v>
      </c>
      <c r="N439" s="2" t="s">
        <v>1351</v>
      </c>
      <c r="O439" s="2" t="s">
        <v>142</v>
      </c>
      <c r="P439" s="2"/>
      <c r="Q439" s="2" t="s">
        <v>1354</v>
      </c>
      <c r="R439" s="2" t="s">
        <v>48</v>
      </c>
      <c r="S439" s="2"/>
      <c r="T439" s="2" t="s">
        <v>1349</v>
      </c>
      <c r="U439" s="2" t="s">
        <v>457</v>
      </c>
      <c r="V439" s="2" t="s">
        <v>308</v>
      </c>
    </row>
    <row r="440" spans="1:22" ht="90" x14ac:dyDescent="0.25">
      <c r="A440" s="6"/>
      <c r="B440" s="10"/>
      <c r="C440" s="2" t="s">
        <v>1318</v>
      </c>
      <c r="D440" s="2" t="s">
        <v>12</v>
      </c>
      <c r="E440" s="1" t="str">
        <f>HYPERLINK("http://www-wds.worldbank.org/external/default/main?menuPK=64187510&amp;pagePK=64193027&amp;piPK=64187937&amp;menuPK=64154159&amp;searchMenuPK=64258546&amp;theSitePK=523679&amp;entityID=000112742_20041221172722","Project lands resettlement (acquisition and compensation) framework ")</f>
        <v xml:space="preserve">Project lands resettlement (acquisition and compensation) framework </v>
      </c>
      <c r="F440" s="9">
        <v>37997</v>
      </c>
      <c r="G440" s="2" t="s">
        <v>1353</v>
      </c>
      <c r="H440" s="2" t="s">
        <v>10</v>
      </c>
      <c r="I440" s="2"/>
      <c r="J440" s="3"/>
      <c r="K440" s="2" t="s">
        <v>145</v>
      </c>
      <c r="L440" s="2" t="s">
        <v>1352</v>
      </c>
      <c r="M440" s="2" t="s">
        <v>29</v>
      </c>
      <c r="N440" s="2" t="s">
        <v>1351</v>
      </c>
      <c r="O440" s="2" t="s">
        <v>142</v>
      </c>
      <c r="P440" s="2"/>
      <c r="Q440" s="2" t="s">
        <v>1350</v>
      </c>
      <c r="R440" s="2" t="s">
        <v>48</v>
      </c>
      <c r="S440" s="2"/>
      <c r="T440" s="2" t="s">
        <v>1349</v>
      </c>
      <c r="U440" s="2" t="s">
        <v>457</v>
      </c>
      <c r="V440" s="2" t="s">
        <v>344</v>
      </c>
    </row>
    <row r="441" spans="1:22" ht="75" x14ac:dyDescent="0.25">
      <c r="A441" s="6"/>
      <c r="B441" s="10"/>
      <c r="C441" s="2" t="s">
        <v>1318</v>
      </c>
      <c r="D441" s="2" t="s">
        <v>12</v>
      </c>
      <c r="E441" s="1" t="str">
        <f>HYPERLINK("http://www-wds.worldbank.org/external/default/main?menuPK=64187510&amp;pagePK=64193027&amp;piPK=64187937&amp;menuPK=64154159&amp;searchMenuPK=64258546&amp;theSitePK=523679&amp;entityID=000009486_20040813140427","Laos - The southern provinces rural electrification II Phase 1 Project (SPRE2) : indigenous people report ")</f>
        <v xml:space="preserve">Laos - The southern provinces rural electrification II Phase 1 Project (SPRE2) : indigenous people report </v>
      </c>
      <c r="F441" s="3" t="s">
        <v>1348</v>
      </c>
      <c r="G441" s="2" t="s">
        <v>1347</v>
      </c>
      <c r="H441" s="2" t="s">
        <v>10</v>
      </c>
      <c r="I441" s="2"/>
      <c r="J441" s="3"/>
      <c r="K441" s="2" t="s">
        <v>100</v>
      </c>
      <c r="L441" s="2" t="s">
        <v>1346</v>
      </c>
      <c r="M441" s="2" t="s">
        <v>29</v>
      </c>
      <c r="N441" s="2" t="s">
        <v>1345</v>
      </c>
      <c r="O441" s="2" t="s">
        <v>1344</v>
      </c>
      <c r="P441" s="2"/>
      <c r="Q441" s="2" t="s">
        <v>1343</v>
      </c>
      <c r="R441" s="2" t="s">
        <v>25</v>
      </c>
      <c r="S441" s="2"/>
      <c r="T441" s="2" t="s">
        <v>1342</v>
      </c>
      <c r="U441" s="2" t="s">
        <v>73</v>
      </c>
      <c r="V441" s="2" t="s">
        <v>0</v>
      </c>
    </row>
    <row r="442" spans="1:22" ht="75" x14ac:dyDescent="0.25">
      <c r="A442" s="6"/>
      <c r="B442" s="10"/>
      <c r="C442" s="2" t="s">
        <v>1318</v>
      </c>
      <c r="D442" s="2" t="s">
        <v>12</v>
      </c>
      <c r="E442" s="1" t="str">
        <f>HYPERLINK("http://www-wds.worldbank.org/external/default/main?menuPK=64187510&amp;pagePK=64193027&amp;piPK=64187937&amp;menuPK=64154159&amp;searchMenuPK=64258546&amp;theSitePK=523679&amp;entityID=000012009_20040708155130","Lao - Road Maintenance Program (Phase Two) Project : indigenous peoples plan ")</f>
        <v xml:space="preserve">Lao - Road Maintenance Program (Phase Two) Project : indigenous peoples plan </v>
      </c>
      <c r="F442" s="9">
        <v>37992</v>
      </c>
      <c r="G442" s="2" t="s">
        <v>1341</v>
      </c>
      <c r="H442" s="2" t="s">
        <v>10</v>
      </c>
      <c r="I442" s="2" t="s">
        <v>31</v>
      </c>
      <c r="J442" s="3"/>
      <c r="K442" s="2" t="s">
        <v>43</v>
      </c>
      <c r="L442" s="2" t="s">
        <v>1340</v>
      </c>
      <c r="M442" s="2" t="s">
        <v>29</v>
      </c>
      <c r="N442" s="2" t="s">
        <v>1339</v>
      </c>
      <c r="O442" s="2" t="s">
        <v>567</v>
      </c>
      <c r="P442" s="2"/>
      <c r="Q442" s="2" t="s">
        <v>1338</v>
      </c>
      <c r="R442" s="2" t="s">
        <v>1017</v>
      </c>
      <c r="S442" s="2"/>
      <c r="T442" s="2" t="s">
        <v>1337</v>
      </c>
      <c r="U442" s="2" t="s">
        <v>36</v>
      </c>
      <c r="V442" s="2" t="s">
        <v>0</v>
      </c>
    </row>
    <row r="443" spans="1:22" ht="60" x14ac:dyDescent="0.25">
      <c r="A443" s="6"/>
      <c r="B443" s="10"/>
      <c r="C443" s="2" t="s">
        <v>1318</v>
      </c>
      <c r="D443" s="2" t="s">
        <v>12</v>
      </c>
      <c r="E443" s="1" t="str">
        <f>HYPERLINK("http://www-wds.worldbank.org/external/default/main?menuPK=64187510&amp;pagePK=64193027&amp;piPK=64187937&amp;menuPK=64154159&amp;searchMenuPK=64258546&amp;theSitePK=523679&amp;entityID=000094946_03070304043562","Laos - Second Education Development Project : indigenous peoples plan ")</f>
        <v xml:space="preserve">Laos - Second Education Development Project : indigenous peoples plan </v>
      </c>
      <c r="F443" s="3" t="s">
        <v>1336</v>
      </c>
      <c r="G443" s="2" t="s">
        <v>1335</v>
      </c>
      <c r="H443" s="2" t="s">
        <v>10</v>
      </c>
      <c r="I443" s="2" t="s">
        <v>31</v>
      </c>
      <c r="J443" s="3"/>
      <c r="K443" s="2" t="s">
        <v>21</v>
      </c>
      <c r="L443" s="2" t="s">
        <v>1334</v>
      </c>
      <c r="M443" s="2" t="s">
        <v>29</v>
      </c>
      <c r="N443" s="2" t="s">
        <v>1333</v>
      </c>
      <c r="O443" s="2" t="s">
        <v>27</v>
      </c>
      <c r="P443" s="2"/>
      <c r="Q443" s="2" t="s">
        <v>1332</v>
      </c>
      <c r="R443" s="2" t="s">
        <v>25</v>
      </c>
      <c r="S443" s="2"/>
      <c r="T443" s="2" t="s">
        <v>1331</v>
      </c>
      <c r="U443" s="2" t="s">
        <v>23</v>
      </c>
      <c r="V443" s="2">
        <v>1</v>
      </c>
    </row>
    <row r="444" spans="1:22" ht="120" x14ac:dyDescent="0.25">
      <c r="A444" s="6"/>
      <c r="B444" s="10"/>
      <c r="C444" s="2" t="s">
        <v>1318</v>
      </c>
      <c r="D444" s="2" t="s">
        <v>12</v>
      </c>
      <c r="E444" s="1" t="str">
        <f>HYPERLINK("http://www-wds.worldbank.org/external/default/main?menuPK=64187510&amp;pagePK=64193027&amp;piPK=64187937&amp;menuPK=64154159&amp;searchMenuPK=64258546&amp;theSitePK=523679&amp;entityID=000094946_03080704035552","Laos - Second Land Titling Project : indigenous peoples plan ")</f>
        <v xml:space="preserve">Laos - Second Land Titling Project : indigenous peoples plan </v>
      </c>
      <c r="F444" s="3" t="s">
        <v>1330</v>
      </c>
      <c r="G444" s="2" t="s">
        <v>1329</v>
      </c>
      <c r="H444" s="2" t="s">
        <v>10</v>
      </c>
      <c r="I444" s="2"/>
      <c r="J444" s="3"/>
      <c r="K444" s="2" t="s">
        <v>522</v>
      </c>
      <c r="L444" s="2" t="s">
        <v>1328</v>
      </c>
      <c r="M444" s="2" t="s">
        <v>29</v>
      </c>
      <c r="N444" s="2" t="s">
        <v>1327</v>
      </c>
      <c r="O444" s="2" t="s">
        <v>435</v>
      </c>
      <c r="P444" s="2"/>
      <c r="Q444" s="2" t="s">
        <v>1326</v>
      </c>
      <c r="R444" s="2" t="s">
        <v>21</v>
      </c>
      <c r="S444" s="2"/>
      <c r="T444" s="2" t="s">
        <v>1325</v>
      </c>
      <c r="U444" s="2" t="s">
        <v>1</v>
      </c>
      <c r="V444" s="2">
        <v>1</v>
      </c>
    </row>
    <row r="445" spans="1:22" ht="105" x14ac:dyDescent="0.25">
      <c r="A445" s="6"/>
      <c r="B445" s="10"/>
      <c r="C445" s="2" t="s">
        <v>1318</v>
      </c>
      <c r="D445" s="2" t="s">
        <v>12</v>
      </c>
      <c r="E445" s="1" t="str">
        <f>HYPERLINK("http://www-wds.worldbank.org/external/default/main?menuPK=64187510&amp;pagePK=64193027&amp;piPK=64187937&amp;menuPK=64154159&amp;searchMenuPK=64258546&amp;theSitePK=523679&amp;entityID=000094946_02050804102360","Laos - Poverty Reduction Fund Project : indigenous peoples plan ")</f>
        <v xml:space="preserve">Laos - Poverty Reduction Fund Project : indigenous peoples plan </v>
      </c>
      <c r="F445" s="3" t="s">
        <v>1324</v>
      </c>
      <c r="G445" s="2" t="s">
        <v>1323</v>
      </c>
      <c r="H445" s="2" t="s">
        <v>10</v>
      </c>
      <c r="I445" s="2" t="s">
        <v>31</v>
      </c>
      <c r="J445" s="3"/>
      <c r="K445" s="2" t="s">
        <v>463</v>
      </c>
      <c r="L445" s="2" t="s">
        <v>1322</v>
      </c>
      <c r="M445" s="2" t="s">
        <v>29</v>
      </c>
      <c r="N445" s="2" t="s">
        <v>1321</v>
      </c>
      <c r="O445" s="2" t="s">
        <v>1320</v>
      </c>
      <c r="P445" s="2"/>
      <c r="Q445" s="2" t="s">
        <v>1319</v>
      </c>
      <c r="R445" s="2" t="s">
        <v>1017</v>
      </c>
      <c r="S445" s="2"/>
      <c r="T445" s="2"/>
      <c r="U445" s="2" t="s">
        <v>23</v>
      </c>
      <c r="V445" s="2">
        <v>1</v>
      </c>
    </row>
    <row r="446" spans="1:22" ht="75" x14ac:dyDescent="0.25">
      <c r="A446" s="6"/>
      <c r="B446" s="10"/>
      <c r="C446" s="2" t="s">
        <v>1318</v>
      </c>
      <c r="D446" s="2" t="s">
        <v>12</v>
      </c>
      <c r="E446" s="1" t="str">
        <f>HYPERLINK("http://www-wds.worldbank.org/external/default/main?menuPK=64187510&amp;pagePK=64193027&amp;piPK=64187937&amp;menuPK=64154159&amp;searchMenuPK=64258546&amp;theSitePK=523679&amp;entityID=000094946_02121104124741","Laos - Sustainable Forestry for Rural Development Project : ethnic group development plan ")</f>
        <v xml:space="preserve">Laos - Sustainable Forestry for Rural Development Project : ethnic group development plan </v>
      </c>
      <c r="F446" s="9">
        <v>37257</v>
      </c>
      <c r="G446" s="2" t="s">
        <v>1317</v>
      </c>
      <c r="H446" s="2" t="s">
        <v>10</v>
      </c>
      <c r="I446" s="2" t="s">
        <v>1316</v>
      </c>
      <c r="J446" s="3"/>
      <c r="K446" s="2" t="s">
        <v>8</v>
      </c>
      <c r="L446" s="2" t="s">
        <v>1315</v>
      </c>
      <c r="M446" s="2" t="s">
        <v>29</v>
      </c>
      <c r="N446" s="2" t="s">
        <v>1314</v>
      </c>
      <c r="O446" s="2" t="s">
        <v>50</v>
      </c>
      <c r="P446" s="2"/>
      <c r="Q446" s="2" t="s">
        <v>1313</v>
      </c>
      <c r="R446" s="2" t="s">
        <v>25</v>
      </c>
      <c r="S446" s="2"/>
      <c r="T446" s="2" t="s">
        <v>1312</v>
      </c>
      <c r="U446" s="2" t="s">
        <v>1</v>
      </c>
      <c r="V446" s="2">
        <v>1</v>
      </c>
    </row>
    <row r="447" spans="1:22" ht="75" x14ac:dyDescent="0.25">
      <c r="A447" s="6"/>
      <c r="B447" s="10"/>
      <c r="C447" s="2" t="s">
        <v>1309</v>
      </c>
      <c r="D447" s="2" t="s">
        <v>1308</v>
      </c>
      <c r="E447" s="1" t="str">
        <f>HYPERLINK("http://www-wds.worldbank.org/external/default/main?menuPK=64187510&amp;pagePK=64193027&amp;piPK=64187937&amp;menuPK=64154159&amp;searchMenuPK=64258546&amp;theSitePK=523679&amp;entityID=000333037_20101011013542","Plan de developpement de la population autochtone Mikea ")</f>
        <v xml:space="preserve">Plan de developpement de la population autochtone Mikea </v>
      </c>
      <c r="F447" s="9">
        <v>40182</v>
      </c>
      <c r="G447" s="2" t="s">
        <v>1306</v>
      </c>
      <c r="H447" s="2" t="s">
        <v>10</v>
      </c>
      <c r="I447" s="2" t="s">
        <v>1305</v>
      </c>
      <c r="J447" s="3"/>
      <c r="K447" s="2" t="s">
        <v>406</v>
      </c>
      <c r="L447" s="2" t="s">
        <v>1304</v>
      </c>
      <c r="M447" s="2" t="s">
        <v>395</v>
      </c>
      <c r="N447" s="2" t="s">
        <v>1303</v>
      </c>
      <c r="O447" s="2" t="s">
        <v>1302</v>
      </c>
      <c r="P447" s="2"/>
      <c r="Q447" s="2" t="s">
        <v>1311</v>
      </c>
      <c r="R447" s="2" t="s">
        <v>1310</v>
      </c>
      <c r="S447" s="2"/>
      <c r="T447" s="2" t="s">
        <v>1301</v>
      </c>
      <c r="U447" s="2" t="s">
        <v>1087</v>
      </c>
      <c r="V447" s="2" t="s">
        <v>59</v>
      </c>
    </row>
    <row r="448" spans="1:22" ht="75" x14ac:dyDescent="0.25">
      <c r="A448" s="6"/>
      <c r="B448" s="10"/>
      <c r="C448" s="2" t="s">
        <v>1309</v>
      </c>
      <c r="D448" s="2" t="s">
        <v>1308</v>
      </c>
      <c r="E448" s="1" t="str">
        <f>HYPERLINK("http://www-wds.worldbank.org/external/default/main?menuPK=64187510&amp;pagePK=64193027&amp;piPK=64187937&amp;menuPK=64154159&amp;searchMenuPK=64258546&amp;theSitePK=523679&amp;entityID=000012009_20040315134438","Cadre strategique pour le developpement des populations autochtones Mikea ")</f>
        <v xml:space="preserve">Cadre strategique pour le developpement des populations autochtones Mikea </v>
      </c>
      <c r="F448" s="3" t="s">
        <v>1307</v>
      </c>
      <c r="G448" s="2" t="s">
        <v>1306</v>
      </c>
      <c r="H448" s="2" t="s">
        <v>10</v>
      </c>
      <c r="I448" s="2" t="s">
        <v>1305</v>
      </c>
      <c r="J448" s="3"/>
      <c r="K448" s="2" t="s">
        <v>406</v>
      </c>
      <c r="L448" s="2" t="s">
        <v>1304</v>
      </c>
      <c r="M448" s="2" t="s">
        <v>395</v>
      </c>
      <c r="N448" s="2" t="s">
        <v>1303</v>
      </c>
      <c r="O448" s="2" t="s">
        <v>1302</v>
      </c>
      <c r="P448" s="2"/>
      <c r="Q448" s="2"/>
      <c r="R448" s="2"/>
      <c r="S448" s="2"/>
      <c r="T448" s="2" t="s">
        <v>1301</v>
      </c>
      <c r="U448" s="2" t="s">
        <v>1087</v>
      </c>
      <c r="V448" s="2" t="s">
        <v>70</v>
      </c>
    </row>
    <row r="449" spans="1:22" ht="270" x14ac:dyDescent="0.25">
      <c r="A449" s="6"/>
      <c r="B449" s="10"/>
      <c r="C449" s="2" t="s">
        <v>1298</v>
      </c>
      <c r="D449" s="2" t="s">
        <v>12</v>
      </c>
      <c r="E449" s="1" t="str">
        <f>HYPERLINK("http://www-wds.worldbank.org/external/default/main?menuPK=64187510&amp;pagePK=64193027&amp;piPK=64187937&amp;menuPK=64154159&amp;searchMenuPK=64258546&amp;theSitePK=523679&amp;entityID=000333037_20100906022835","Indigenous peoples development framework for Cambodia ")</f>
        <v xml:space="preserve">Indigenous peoples development framework for Cambodia </v>
      </c>
      <c r="F449" s="9">
        <v>40276</v>
      </c>
      <c r="G449" s="2" t="s">
        <v>1297</v>
      </c>
      <c r="H449" s="2" t="s">
        <v>10</v>
      </c>
      <c r="I449" s="2"/>
      <c r="J449" s="3"/>
      <c r="K449" s="2" t="s">
        <v>145</v>
      </c>
      <c r="L449" s="2" t="s">
        <v>1296</v>
      </c>
      <c r="M449" s="2" t="s">
        <v>29</v>
      </c>
      <c r="N449" s="2" t="s">
        <v>1295</v>
      </c>
      <c r="O449" s="2" t="s">
        <v>142</v>
      </c>
      <c r="P449" s="2"/>
      <c r="Q449" s="2" t="s">
        <v>1300</v>
      </c>
      <c r="R449" s="2" t="s">
        <v>1299</v>
      </c>
      <c r="S449" s="2"/>
      <c r="T449" s="2" t="s">
        <v>1292</v>
      </c>
      <c r="U449" s="2" t="s">
        <v>1291</v>
      </c>
      <c r="V449" s="2" t="s">
        <v>70</v>
      </c>
    </row>
    <row r="450" spans="1:22" ht="270" x14ac:dyDescent="0.25">
      <c r="A450" s="6"/>
      <c r="B450" s="10"/>
      <c r="C450" s="2" t="s">
        <v>1298</v>
      </c>
      <c r="D450" s="2" t="s">
        <v>12</v>
      </c>
      <c r="E450" s="1" t="str">
        <f>HYPERLINK("http://www-wds.worldbank.org/external/default/main?menuPK=64187510&amp;pagePK=64193027&amp;piPK=64187937&amp;menuPK=64154159&amp;searchMenuPK=64258546&amp;theSitePK=523679&amp;entityID=000333037_20100906024351","Ethnic groups development framework for Lao PDR ")</f>
        <v xml:space="preserve">Ethnic groups development framework for Lao PDR </v>
      </c>
      <c r="F450" s="9">
        <v>40276</v>
      </c>
      <c r="G450" s="2" t="s">
        <v>1297</v>
      </c>
      <c r="H450" s="2" t="s">
        <v>10</v>
      </c>
      <c r="I450" s="2"/>
      <c r="J450" s="3"/>
      <c r="K450" s="2" t="s">
        <v>145</v>
      </c>
      <c r="L450" s="2" t="s">
        <v>1296</v>
      </c>
      <c r="M450" s="2" t="s">
        <v>29</v>
      </c>
      <c r="N450" s="2" t="s">
        <v>1295</v>
      </c>
      <c r="O450" s="2" t="s">
        <v>142</v>
      </c>
      <c r="P450" s="2"/>
      <c r="Q450" s="2" t="s">
        <v>1294</v>
      </c>
      <c r="R450" s="2" t="s">
        <v>1293</v>
      </c>
      <c r="S450" s="2"/>
      <c r="T450" s="2" t="s">
        <v>1292</v>
      </c>
      <c r="U450" s="2" t="s">
        <v>1291</v>
      </c>
      <c r="V450" s="2" t="s">
        <v>59</v>
      </c>
    </row>
    <row r="451" spans="1:22" ht="90" x14ac:dyDescent="0.25">
      <c r="A451" s="6"/>
      <c r="B451" s="10"/>
      <c r="C451" s="2" t="s">
        <v>1144</v>
      </c>
      <c r="D451" s="2" t="s">
        <v>398</v>
      </c>
      <c r="E451" s="1" t="str">
        <f>HYPERLINK("http://www-wds.worldbank.org/external/default/main?menuPK=64187510&amp;pagePK=64193027&amp;piPK=64187937&amp;menuPK=64154159&amp;searchMenuPK=64258546&amp;theSitePK=523679&amp;entityID=000020953_20100709114116","Proyecto de eficiencia energética evaluacion social e indigena ")</f>
        <v xml:space="preserve">Proyecto de eficiencia energética evaluacion social e indigena </v>
      </c>
      <c r="F451" s="9">
        <v>40366</v>
      </c>
      <c r="G451" s="2" t="s">
        <v>1286</v>
      </c>
      <c r="H451" s="2" t="s">
        <v>10</v>
      </c>
      <c r="I451" s="2"/>
      <c r="J451" s="3"/>
      <c r="K451" s="2" t="s">
        <v>80</v>
      </c>
      <c r="L451" s="2" t="s">
        <v>1285</v>
      </c>
      <c r="M451" s="2" t="s">
        <v>634</v>
      </c>
      <c r="N451" s="2" t="s">
        <v>1284</v>
      </c>
      <c r="O451" s="2" t="s">
        <v>393</v>
      </c>
      <c r="P451" s="2"/>
      <c r="Q451" s="2" t="s">
        <v>1290</v>
      </c>
      <c r="R451" s="2" t="s">
        <v>1289</v>
      </c>
      <c r="S451" s="2"/>
      <c r="T451" s="2"/>
      <c r="U451" s="2" t="s">
        <v>662</v>
      </c>
      <c r="V451" s="2" t="s">
        <v>290</v>
      </c>
    </row>
    <row r="452" spans="1:22" ht="45" x14ac:dyDescent="0.25">
      <c r="A452" s="6"/>
      <c r="B452" s="10"/>
      <c r="C452" s="2" t="s">
        <v>1144</v>
      </c>
      <c r="D452" s="2" t="s">
        <v>398</v>
      </c>
      <c r="E452" s="1" t="str">
        <f>HYPERLINK("http://www-wds.worldbank.org/external/default/main?menuPK=64187510&amp;pagePK=64193027&amp;piPK=64187937&amp;menuPK=64154159&amp;searchMenuPK=64258546&amp;theSitePK=523679&amp;entityID=000020953_20100709132615","Relación de localidades indígenas que conforman el Componente 1 ")</f>
        <v xml:space="preserve">Relación de localidades indígenas que conforman el Componente 1 </v>
      </c>
      <c r="F452" s="9">
        <v>40366</v>
      </c>
      <c r="G452" s="2" t="s">
        <v>1286</v>
      </c>
      <c r="H452" s="2" t="s">
        <v>10</v>
      </c>
      <c r="I452" s="2"/>
      <c r="J452" s="3"/>
      <c r="K452" s="2" t="s">
        <v>80</v>
      </c>
      <c r="L452" s="2" t="s">
        <v>1285</v>
      </c>
      <c r="M452" s="2" t="s">
        <v>634</v>
      </c>
      <c r="N452" s="2" t="s">
        <v>1284</v>
      </c>
      <c r="O452" s="2" t="s">
        <v>393</v>
      </c>
      <c r="P452" s="2"/>
      <c r="Q452" s="2"/>
      <c r="R452" s="2"/>
      <c r="S452" s="2"/>
      <c r="T452" s="2"/>
      <c r="U452" s="2" t="s">
        <v>662</v>
      </c>
      <c r="V452" s="2" t="s">
        <v>288</v>
      </c>
    </row>
    <row r="453" spans="1:22" ht="45" x14ac:dyDescent="0.25">
      <c r="A453" s="6"/>
      <c r="B453" s="10"/>
      <c r="C453" s="2" t="s">
        <v>1144</v>
      </c>
      <c r="D453" s="2" t="s">
        <v>398</v>
      </c>
      <c r="E453" s="1" t="str">
        <f>HYPERLINK("http://www-wds.worldbank.org/external/default/main?menuPK=64187510&amp;pagePK=64193027&amp;piPK=64187937&amp;menuPK=64154159&amp;searchMenuPK=64258546&amp;theSitePK=523679&amp;entityID=000020953_20100709134019","Anexo B Mapas ")</f>
        <v xml:space="preserve">Anexo B Mapas </v>
      </c>
      <c r="F453" s="9">
        <v>40366</v>
      </c>
      <c r="G453" s="2" t="s">
        <v>1286</v>
      </c>
      <c r="H453" s="2" t="s">
        <v>10</v>
      </c>
      <c r="I453" s="2"/>
      <c r="J453" s="3"/>
      <c r="K453" s="2" t="s">
        <v>80</v>
      </c>
      <c r="L453" s="2" t="s">
        <v>1285</v>
      </c>
      <c r="M453" s="2" t="s">
        <v>634</v>
      </c>
      <c r="N453" s="2" t="s">
        <v>1284</v>
      </c>
      <c r="O453" s="2" t="s">
        <v>393</v>
      </c>
      <c r="P453" s="2"/>
      <c r="Q453" s="2"/>
      <c r="R453" s="2"/>
      <c r="S453" s="2"/>
      <c r="T453" s="2"/>
      <c r="U453" s="2" t="s">
        <v>662</v>
      </c>
      <c r="V453" s="2" t="s">
        <v>285</v>
      </c>
    </row>
    <row r="454" spans="1:22" ht="45" x14ac:dyDescent="0.25">
      <c r="A454" s="6"/>
      <c r="B454" s="10"/>
      <c r="C454" s="2" t="s">
        <v>1144</v>
      </c>
      <c r="D454" s="2" t="s">
        <v>398</v>
      </c>
      <c r="E454" s="1" t="str">
        <f>HYPERLINK("http://www-wds.worldbank.org/external/default/main?menuPK=64187510&amp;pagePK=64193027&amp;piPK=64187937&amp;menuPK=64154159&amp;searchMenuPK=64258546&amp;theSitePK=523679&amp;entityID=000020953_20100709135137","Anexo C Cambia viejo nuevo ")</f>
        <v xml:space="preserve">Anexo C Cambia viejo nuevo </v>
      </c>
      <c r="F454" s="9">
        <v>40366</v>
      </c>
      <c r="G454" s="2" t="s">
        <v>1286</v>
      </c>
      <c r="H454" s="2" t="s">
        <v>10</v>
      </c>
      <c r="I454" s="2"/>
      <c r="J454" s="3"/>
      <c r="K454" s="2" t="s">
        <v>80</v>
      </c>
      <c r="L454" s="2" t="s">
        <v>1285</v>
      </c>
      <c r="M454" s="2" t="s">
        <v>634</v>
      </c>
      <c r="N454" s="2" t="s">
        <v>1284</v>
      </c>
      <c r="O454" s="2" t="s">
        <v>393</v>
      </c>
      <c r="P454" s="2"/>
      <c r="Q454" s="2"/>
      <c r="R454" s="2"/>
      <c r="S454" s="2"/>
      <c r="T454" s="2"/>
      <c r="U454" s="2" t="s">
        <v>662</v>
      </c>
      <c r="V454" s="2" t="s">
        <v>295</v>
      </c>
    </row>
    <row r="455" spans="1:22" ht="45" x14ac:dyDescent="0.25">
      <c r="A455" s="6"/>
      <c r="B455" s="10"/>
      <c r="C455" s="2" t="s">
        <v>1144</v>
      </c>
      <c r="D455" s="2" t="s">
        <v>398</v>
      </c>
      <c r="E455" s="1" t="str">
        <f>HYPERLINK("http://www-wds.worldbank.org/external/default/main?menuPK=64187510&amp;pagePK=64193027&amp;piPK=64187937&amp;menuPK=64154159&amp;searchMenuPK=64258546&amp;theSitePK=523679&amp;entityID=000020953_20100709150550","Anexo G Relatoria Consulta ")</f>
        <v xml:space="preserve">Anexo G Relatoria Consulta </v>
      </c>
      <c r="F455" s="3" t="s">
        <v>1288</v>
      </c>
      <c r="G455" s="2" t="s">
        <v>1286</v>
      </c>
      <c r="H455" s="2" t="s">
        <v>10</v>
      </c>
      <c r="I455" s="2"/>
      <c r="J455" s="3"/>
      <c r="K455" s="2" t="s">
        <v>80</v>
      </c>
      <c r="L455" s="2" t="s">
        <v>1285</v>
      </c>
      <c r="M455" s="2" t="s">
        <v>634</v>
      </c>
      <c r="N455" s="2" t="s">
        <v>1284</v>
      </c>
      <c r="O455" s="2" t="s">
        <v>393</v>
      </c>
      <c r="P455" s="2"/>
      <c r="Q455" s="2"/>
      <c r="R455" s="2"/>
      <c r="S455" s="2"/>
      <c r="T455" s="2"/>
      <c r="U455" s="2" t="s">
        <v>662</v>
      </c>
      <c r="V455" s="2" t="s">
        <v>384</v>
      </c>
    </row>
    <row r="456" spans="1:22" ht="45" x14ac:dyDescent="0.25">
      <c r="A456" s="6"/>
      <c r="B456" s="10"/>
      <c r="C456" s="2" t="s">
        <v>1144</v>
      </c>
      <c r="D456" s="2" t="s">
        <v>398</v>
      </c>
      <c r="E456" s="1" t="str">
        <f>HYPERLINK("http://www-wds.worldbank.org/external/default/main?menuPK=64187510&amp;pagePK=64193027&amp;piPK=64187937&amp;menuPK=64154159&amp;searchMenuPK=64258546&amp;theSitePK=523679&amp;entityID=000020953_20100709151544","Anexo H Lista Asistencia ")</f>
        <v xml:space="preserve">Anexo H Lista Asistencia </v>
      </c>
      <c r="F456" s="3" t="s">
        <v>1288</v>
      </c>
      <c r="G456" s="2" t="s">
        <v>1286</v>
      </c>
      <c r="H456" s="2" t="s">
        <v>10</v>
      </c>
      <c r="I456" s="2"/>
      <c r="J456" s="3"/>
      <c r="K456" s="2" t="s">
        <v>80</v>
      </c>
      <c r="L456" s="2" t="s">
        <v>1285</v>
      </c>
      <c r="M456" s="2" t="s">
        <v>634</v>
      </c>
      <c r="N456" s="2" t="s">
        <v>1284</v>
      </c>
      <c r="O456" s="2" t="s">
        <v>393</v>
      </c>
      <c r="P456" s="2"/>
      <c r="Q456" s="2"/>
      <c r="R456" s="2"/>
      <c r="S456" s="2"/>
      <c r="T456" s="2"/>
      <c r="U456" s="2" t="s">
        <v>662</v>
      </c>
      <c r="V456" s="2" t="s">
        <v>381</v>
      </c>
    </row>
    <row r="457" spans="1:22" ht="45" x14ac:dyDescent="0.25">
      <c r="A457" s="6"/>
      <c r="B457" s="10"/>
      <c r="C457" s="2" t="s">
        <v>1144</v>
      </c>
      <c r="D457" s="2" t="s">
        <v>398</v>
      </c>
      <c r="E457" s="1" t="str">
        <f>HYPERLINK("http://www-wds.worldbank.org/external/default/main?menuPK=64187510&amp;pagePK=64193027&amp;piPK=64187937&amp;menuPK=64154159&amp;searchMenuPK=64258546&amp;theSitePK=523679&amp;entityID=000020953_20100709141542","Anexo D eficiencia energetica ")</f>
        <v xml:space="preserve">Anexo D eficiencia energetica </v>
      </c>
      <c r="F457" s="9">
        <v>40181</v>
      </c>
      <c r="G457" s="2" t="s">
        <v>1286</v>
      </c>
      <c r="H457" s="2" t="s">
        <v>10</v>
      </c>
      <c r="I457" s="2"/>
      <c r="J457" s="3"/>
      <c r="K457" s="2" t="s">
        <v>80</v>
      </c>
      <c r="L457" s="2" t="s">
        <v>1285</v>
      </c>
      <c r="M457" s="2" t="s">
        <v>634</v>
      </c>
      <c r="N457" s="2" t="s">
        <v>1284</v>
      </c>
      <c r="O457" s="2" t="s">
        <v>393</v>
      </c>
      <c r="P457" s="2"/>
      <c r="Q457" s="2"/>
      <c r="R457" s="2"/>
      <c r="S457" s="2"/>
      <c r="T457" s="2"/>
      <c r="U457" s="2" t="s">
        <v>662</v>
      </c>
      <c r="V457" s="2" t="s">
        <v>293</v>
      </c>
    </row>
    <row r="458" spans="1:22" ht="45" x14ac:dyDescent="0.25">
      <c r="A458" s="6"/>
      <c r="B458" s="10"/>
      <c r="C458" s="2" t="s">
        <v>1144</v>
      </c>
      <c r="D458" s="2" t="s">
        <v>398</v>
      </c>
      <c r="E458" s="1" t="str">
        <f>HYPERLINK("http://www-wds.worldbank.org/external/default/main?menuPK=64187510&amp;pagePK=64193027&amp;piPK=64187937&amp;menuPK=64154159&amp;searchMenuPK=64258546&amp;theSitePK=523679&amp;entityID=000020953_20100709143316","Anexo E participacion de pueblos indigenas ")</f>
        <v xml:space="preserve">Anexo E participacion de pueblos indigenas </v>
      </c>
      <c r="F458" s="9">
        <v>40181</v>
      </c>
      <c r="G458" s="2" t="s">
        <v>1286</v>
      </c>
      <c r="H458" s="2" t="s">
        <v>10</v>
      </c>
      <c r="I458" s="2"/>
      <c r="J458" s="3"/>
      <c r="K458" s="2" t="s">
        <v>80</v>
      </c>
      <c r="L458" s="2" t="s">
        <v>1285</v>
      </c>
      <c r="M458" s="2" t="s">
        <v>634</v>
      </c>
      <c r="N458" s="2" t="s">
        <v>1284</v>
      </c>
      <c r="O458" s="2" t="s">
        <v>393</v>
      </c>
      <c r="P458" s="2"/>
      <c r="Q458" s="2"/>
      <c r="R458" s="2"/>
      <c r="S458" s="2"/>
      <c r="T458" s="2"/>
      <c r="U458" s="2" t="s">
        <v>662</v>
      </c>
      <c r="V458" s="2" t="s">
        <v>1287</v>
      </c>
    </row>
    <row r="459" spans="1:22" ht="45" x14ac:dyDescent="0.25">
      <c r="A459" s="6"/>
      <c r="B459" s="10"/>
      <c r="C459" s="2" t="s">
        <v>1144</v>
      </c>
      <c r="D459" s="2" t="s">
        <v>398</v>
      </c>
      <c r="E459" s="1" t="str">
        <f>HYPERLINK("http://www-wds.worldbank.org/external/default/main?menuPK=64187510&amp;pagePK=64193027&amp;piPK=64187937&amp;menuPK=64154159&amp;searchMenuPK=64258546&amp;theSitePK=523679&amp;entityID=000020953_20100709144803","Anexo F version estenografica ")</f>
        <v xml:space="preserve">Anexo F version estenografica </v>
      </c>
      <c r="F459" s="9">
        <v>40181</v>
      </c>
      <c r="G459" s="2" t="s">
        <v>1286</v>
      </c>
      <c r="H459" s="2" t="s">
        <v>10</v>
      </c>
      <c r="I459" s="2"/>
      <c r="J459" s="3"/>
      <c r="K459" s="2" t="s">
        <v>80</v>
      </c>
      <c r="L459" s="2" t="s">
        <v>1285</v>
      </c>
      <c r="M459" s="2" t="s">
        <v>634</v>
      </c>
      <c r="N459" s="2" t="s">
        <v>1284</v>
      </c>
      <c r="O459" s="2" t="s">
        <v>393</v>
      </c>
      <c r="P459" s="2"/>
      <c r="Q459" s="2"/>
      <c r="R459" s="2"/>
      <c r="S459" s="2"/>
      <c r="T459" s="2"/>
      <c r="U459" s="2" t="s">
        <v>662</v>
      </c>
      <c r="V459" s="2" t="s">
        <v>378</v>
      </c>
    </row>
    <row r="460" spans="1:22" ht="60" x14ac:dyDescent="0.25">
      <c r="A460" s="6"/>
      <c r="B460" s="10"/>
      <c r="C460" s="2" t="s">
        <v>1144</v>
      </c>
      <c r="D460" s="2" t="s">
        <v>398</v>
      </c>
      <c r="E460" s="1" t="str">
        <f>HYPERLINK("http://www-wds.worldbank.org/external/default/main?menuPK=64187510&amp;pagePK=64193027&amp;piPK=64187937&amp;menuPK=64154159&amp;searchMenuPK=64258546&amp;theSitePK=523679&amp;entityID=000020953_20100225153806","Plan de pueblos indigenas ")</f>
        <v xml:space="preserve">Plan de pueblos indigenas </v>
      </c>
      <c r="F460" s="9">
        <v>40180</v>
      </c>
      <c r="G460" s="2" t="s">
        <v>1283</v>
      </c>
      <c r="H460" s="2" t="s">
        <v>10</v>
      </c>
      <c r="I460" s="2"/>
      <c r="J460" s="3"/>
      <c r="K460" s="2" t="s">
        <v>109</v>
      </c>
      <c r="L460" s="2" t="s">
        <v>1282</v>
      </c>
      <c r="M460" s="2" t="s">
        <v>634</v>
      </c>
      <c r="N460" s="2" t="s">
        <v>1281</v>
      </c>
      <c r="O460" s="2" t="s">
        <v>489</v>
      </c>
      <c r="P460" s="2"/>
      <c r="Q460" s="2" t="s">
        <v>1280</v>
      </c>
      <c r="R460" s="2" t="s">
        <v>1279</v>
      </c>
      <c r="S460" s="2" t="s">
        <v>1278</v>
      </c>
      <c r="T460" s="2"/>
      <c r="U460" s="2" t="s">
        <v>684</v>
      </c>
      <c r="V460" s="2" t="s">
        <v>0</v>
      </c>
    </row>
    <row r="461" spans="1:22" ht="60" x14ac:dyDescent="0.25">
      <c r="A461" s="6"/>
      <c r="B461" s="10"/>
      <c r="C461" s="2" t="s">
        <v>1144</v>
      </c>
      <c r="D461" s="2" t="s">
        <v>398</v>
      </c>
      <c r="E461" s="1" t="str">
        <f>HYPERLINK("http://www-wds.worldbank.org/external/default/main?menuPK=64187510&amp;pagePK=64193027&amp;piPK=64187937&amp;menuPK=64154159&amp;searchMenuPK=64258546&amp;theSitePK=523679&amp;entityID=000020953_20100226150943","Plan indigena ")</f>
        <v xml:space="preserve">Plan indigena </v>
      </c>
      <c r="F461" s="3" t="s">
        <v>1277</v>
      </c>
      <c r="G461" s="2" t="s">
        <v>1276</v>
      </c>
      <c r="H461" s="2" t="s">
        <v>10</v>
      </c>
      <c r="I461" s="2"/>
      <c r="J461" s="3"/>
      <c r="K461" s="2" t="s">
        <v>21</v>
      </c>
      <c r="L461" s="2" t="s">
        <v>1275</v>
      </c>
      <c r="M461" s="2" t="s">
        <v>634</v>
      </c>
      <c r="N461" s="2" t="s">
        <v>1274</v>
      </c>
      <c r="O461" s="2" t="s">
        <v>1266</v>
      </c>
      <c r="P461" s="2"/>
      <c r="Q461" s="2" t="s">
        <v>1273</v>
      </c>
      <c r="R461" s="2" t="s">
        <v>1272</v>
      </c>
      <c r="S461" s="2" t="s">
        <v>1271</v>
      </c>
      <c r="T461" s="2"/>
      <c r="U461" s="2" t="s">
        <v>630</v>
      </c>
      <c r="V461" s="2" t="s">
        <v>0</v>
      </c>
    </row>
    <row r="462" spans="1:22" ht="75" x14ac:dyDescent="0.25">
      <c r="A462" s="6"/>
      <c r="B462" s="10"/>
      <c r="C462" s="2" t="s">
        <v>1144</v>
      </c>
      <c r="D462" s="2" t="s">
        <v>398</v>
      </c>
      <c r="E462" s="1" t="str">
        <f>HYPERLINK("http://www-wds.worldbank.org/external/default/main?menuPK=64187510&amp;pagePK=64193027&amp;piPK=64187937&amp;menuPK=64154159&amp;searchMenuPK=64258546&amp;theSitePK=523679&amp;entityID=000334955_20100129024313","Plan indigena enero ")</f>
        <v xml:space="preserve">Plan indigena enero </v>
      </c>
      <c r="F462" s="9">
        <v>40179</v>
      </c>
      <c r="G462" s="2" t="s">
        <v>1179</v>
      </c>
      <c r="H462" s="2" t="s">
        <v>10</v>
      </c>
      <c r="I462" s="2"/>
      <c r="J462" s="3"/>
      <c r="K462" s="2" t="s">
        <v>1165</v>
      </c>
      <c r="L462" s="2" t="s">
        <v>1178</v>
      </c>
      <c r="M462" s="2" t="s">
        <v>634</v>
      </c>
      <c r="N462" s="2" t="s">
        <v>1177</v>
      </c>
      <c r="O462" s="2" t="s">
        <v>1176</v>
      </c>
      <c r="P462" s="2"/>
      <c r="Q462" s="2" t="s">
        <v>1270</v>
      </c>
      <c r="R462" s="2" t="s">
        <v>1174</v>
      </c>
      <c r="S462" s="2"/>
      <c r="T462" s="2" t="s">
        <v>1173</v>
      </c>
      <c r="U462" s="2" t="s">
        <v>630</v>
      </c>
      <c r="V462" s="2" t="s">
        <v>59</v>
      </c>
    </row>
    <row r="463" spans="1:22" ht="60" x14ac:dyDescent="0.25">
      <c r="A463" s="6"/>
      <c r="B463" s="10"/>
      <c r="C463" s="2" t="s">
        <v>1144</v>
      </c>
      <c r="D463" s="2" t="s">
        <v>398</v>
      </c>
      <c r="E463" s="1" t="str">
        <f>HYPERLINK("http://www-wds.worldbank.org/external/default/main?menuPK=64187510&amp;pagePK=64193027&amp;piPK=64187937&amp;menuPK=64154159&amp;searchMenuPK=64258546&amp;theSitePK=523679&amp;entityID=000020953_20091229144206","Plan de pueblos indigenas ")</f>
        <v xml:space="preserve">Plan de pueblos indigenas </v>
      </c>
      <c r="F463" s="9">
        <v>39824</v>
      </c>
      <c r="G463" s="2" t="s">
        <v>1269</v>
      </c>
      <c r="H463" s="2" t="s">
        <v>10</v>
      </c>
      <c r="I463" s="2"/>
      <c r="J463" s="3"/>
      <c r="K463" s="2" t="s">
        <v>21</v>
      </c>
      <c r="L463" s="2" t="s">
        <v>1268</v>
      </c>
      <c r="M463" s="2" t="s">
        <v>634</v>
      </c>
      <c r="N463" s="2" t="s">
        <v>1267</v>
      </c>
      <c r="O463" s="2" t="s">
        <v>1266</v>
      </c>
      <c r="P463" s="2"/>
      <c r="Q463" s="2" t="s">
        <v>1265</v>
      </c>
      <c r="R463" s="2" t="s">
        <v>1264</v>
      </c>
      <c r="S463" s="2" t="s">
        <v>316</v>
      </c>
      <c r="T463" s="2"/>
      <c r="U463" s="2" t="s">
        <v>630</v>
      </c>
      <c r="V463" s="2" t="s">
        <v>0</v>
      </c>
    </row>
    <row r="464" spans="1:22" ht="60" x14ac:dyDescent="0.25">
      <c r="A464" s="6"/>
      <c r="B464" s="10"/>
      <c r="C464" s="2" t="s">
        <v>1144</v>
      </c>
      <c r="D464" s="2" t="s">
        <v>398</v>
      </c>
      <c r="E464" s="1" t="str">
        <f>HYPERLINK("http://www-wds.worldbank.org/external/default/main?menuPK=64187510&amp;pagePK=64193027&amp;piPK=64187937&amp;menuPK=64154159&amp;searchMenuPK=64258546&amp;theSitePK=523679&amp;entityID=000020953_20101029142608","Evaluación social y plan de acción para la definición del modelo alternativo de la operación y gestión del Programa Oportunidades para población indígena ")</f>
        <v xml:space="preserve">Evaluación social y plan de acción para la definición del modelo alternativo de la operación y gestión del Programa Oportunidades para población indígena </v>
      </c>
      <c r="F464" s="9">
        <v>39815</v>
      </c>
      <c r="G464" s="2" t="s">
        <v>1263</v>
      </c>
      <c r="H464" s="2" t="s">
        <v>10</v>
      </c>
      <c r="I464" s="2"/>
      <c r="J464" s="3">
        <v>7708</v>
      </c>
      <c r="K464" s="2" t="s">
        <v>109</v>
      </c>
      <c r="L464" s="2" t="s">
        <v>1262</v>
      </c>
      <c r="M464" s="2" t="s">
        <v>634</v>
      </c>
      <c r="N464" s="2" t="s">
        <v>1261</v>
      </c>
      <c r="O464" s="2" t="s">
        <v>460</v>
      </c>
      <c r="P464" s="2"/>
      <c r="Q464" s="2" t="s">
        <v>1260</v>
      </c>
      <c r="R464" s="2" t="s">
        <v>1259</v>
      </c>
      <c r="S464" s="2"/>
      <c r="T464" s="2" t="s">
        <v>1258</v>
      </c>
      <c r="U464" s="2" t="s">
        <v>742</v>
      </c>
      <c r="V464" s="2" t="s">
        <v>0</v>
      </c>
    </row>
    <row r="465" spans="1:22" ht="75" x14ac:dyDescent="0.25">
      <c r="A465" s="6"/>
      <c r="B465" s="10"/>
      <c r="C465" s="2" t="s">
        <v>1144</v>
      </c>
      <c r="D465" s="2" t="s">
        <v>398</v>
      </c>
      <c r="E465" s="1" t="str">
        <f>HYPERLINK("http://www-wds.worldbank.org/external/default/main?menuPK=64187510&amp;pagePK=64193027&amp;piPK=64187937&amp;menuPK=64154159&amp;searchMenuPK=64258546&amp;theSitePK=523679&amp;entityID=000020953_20081113155915","Proyecto de Desarrollo Rural Sustentable para el Fomento de las Fuentes Alternas de Energia en los Agronegocios que promuevan la Eficiencia Energetica en el sector agropecuario ")</f>
        <v xml:space="preserve">Proyecto de Desarrollo Rural Sustentable para el Fomento de las Fuentes Alternas de Energia en los Agronegocios que promuevan la Eficiencia Energetica en el sector agropecuario </v>
      </c>
      <c r="F465" s="9">
        <v>39579</v>
      </c>
      <c r="G465" s="2" t="s">
        <v>1257</v>
      </c>
      <c r="H465" s="2" t="s">
        <v>10</v>
      </c>
      <c r="I465" s="2" t="s">
        <v>1256</v>
      </c>
      <c r="J465" s="3"/>
      <c r="K465" s="2" t="s">
        <v>8</v>
      </c>
      <c r="L465" s="2" t="s">
        <v>1255</v>
      </c>
      <c r="M465" s="2" t="s">
        <v>634</v>
      </c>
      <c r="N465" s="2" t="s">
        <v>1254</v>
      </c>
      <c r="O465" s="2" t="s">
        <v>4</v>
      </c>
      <c r="P465" s="2"/>
      <c r="Q465" s="2" t="s">
        <v>1253</v>
      </c>
      <c r="R465" s="2" t="s">
        <v>1252</v>
      </c>
      <c r="S465" s="2" t="s">
        <v>1251</v>
      </c>
      <c r="T465" s="2"/>
      <c r="U465" s="2" t="s">
        <v>670</v>
      </c>
      <c r="V465" s="2" t="s">
        <v>0</v>
      </c>
    </row>
    <row r="466" spans="1:22" ht="105" x14ac:dyDescent="0.25">
      <c r="A466" s="6"/>
      <c r="B466" s="10"/>
      <c r="C466" s="2" t="s">
        <v>1144</v>
      </c>
      <c r="D466" s="2" t="s">
        <v>398</v>
      </c>
      <c r="E466" s="1" t="str">
        <f>HYPERLINK("http://www-wds.worldbank.org/external/default/main?menuPK=64187510&amp;pagePK=64193027&amp;piPK=64187937&amp;menuPK=64154159&amp;searchMenuPK=64258546&amp;theSitePK=523679&amp;entityID=000020953_20080828143825","Mexico - Proyecto de Desarrollo Rural Sustentable para el Fomento de las Fuentes Alternas de Energia en los Agronegocios que promuevan la Eficiencia Energetica en el sector agropecuario : estudio social ")</f>
        <v xml:space="preserve">Mexico - Proyecto de Desarrollo Rural Sustentable para el Fomento de las Fuentes Alternas de Energia en los Agronegocios que promuevan la Eficiencia Energetica en el sector agropecuario : estudio social </v>
      </c>
      <c r="F466" s="9">
        <v>39455</v>
      </c>
      <c r="G466" s="2" t="s">
        <v>1250</v>
      </c>
      <c r="H466" s="2" t="s">
        <v>10</v>
      </c>
      <c r="I466" s="2" t="s">
        <v>1249</v>
      </c>
      <c r="J466" s="3"/>
      <c r="K466" s="2" t="s">
        <v>8</v>
      </c>
      <c r="L466" s="2" t="s">
        <v>1248</v>
      </c>
      <c r="M466" s="2" t="s">
        <v>634</v>
      </c>
      <c r="N466" s="2" t="s">
        <v>1247</v>
      </c>
      <c r="O466" s="2" t="s">
        <v>4</v>
      </c>
      <c r="P466" s="2"/>
      <c r="Q466" s="2" t="s">
        <v>1246</v>
      </c>
      <c r="R466" s="2" t="s">
        <v>1245</v>
      </c>
      <c r="S466" s="2" t="s">
        <v>1244</v>
      </c>
      <c r="T466" s="2" t="s">
        <v>1243</v>
      </c>
      <c r="U466" s="2" t="s">
        <v>670</v>
      </c>
      <c r="V466" s="2" t="s">
        <v>0</v>
      </c>
    </row>
    <row r="467" spans="1:22" ht="105" x14ac:dyDescent="0.25">
      <c r="A467" s="6"/>
      <c r="B467" s="10"/>
      <c r="C467" s="2" t="s">
        <v>1144</v>
      </c>
      <c r="D467" s="2" t="s">
        <v>398</v>
      </c>
      <c r="E467" s="1" t="str">
        <f>HYPERLINK("http://www-wds.worldbank.org/external/default/main?menuPK=64187510&amp;pagePK=64193027&amp;piPK=64187937&amp;menuPK=64154159&amp;searchMenuPK=64258546&amp;theSitePK=523679&amp;entityID=000020953_20080731100549","Plan de desarrollo indigena y poblacion vulnerable de la reserva de la biosfera selva el Ocote ")</f>
        <v xml:space="preserve">Plan de desarrollo indigena y poblacion vulnerable de la reserva de la biosfera selva el Ocote </v>
      </c>
      <c r="F467" s="3" t="s">
        <v>1242</v>
      </c>
      <c r="G467" s="2" t="s">
        <v>1241</v>
      </c>
      <c r="H467" s="2" t="s">
        <v>10</v>
      </c>
      <c r="I467" s="2" t="s">
        <v>1144</v>
      </c>
      <c r="J467" s="3"/>
      <c r="K467" s="2" t="s">
        <v>805</v>
      </c>
      <c r="L467" s="2" t="s">
        <v>1240</v>
      </c>
      <c r="M467" s="2" t="s">
        <v>634</v>
      </c>
      <c r="N467" s="2" t="s">
        <v>1239</v>
      </c>
      <c r="O467" s="2" t="s">
        <v>1140</v>
      </c>
      <c r="P467" s="2"/>
      <c r="Q467" s="2" t="s">
        <v>1238</v>
      </c>
      <c r="R467" s="2" t="s">
        <v>1237</v>
      </c>
      <c r="S467" s="2" t="s">
        <v>1236</v>
      </c>
      <c r="T467" s="2" t="s">
        <v>1235</v>
      </c>
      <c r="U467" s="2" t="s">
        <v>639</v>
      </c>
      <c r="V467" s="2" t="s">
        <v>70</v>
      </c>
    </row>
    <row r="468" spans="1:22" ht="105" x14ac:dyDescent="0.25">
      <c r="A468" s="6"/>
      <c r="B468" s="10"/>
      <c r="C468" s="2" t="s">
        <v>1144</v>
      </c>
      <c r="D468" s="2" t="s">
        <v>398</v>
      </c>
      <c r="E468" s="1" t="str">
        <f>HYPERLINK("http://www-wds.worldbank.org/external/default/main?menuPK=64187510&amp;pagePK=64193027&amp;piPK=64187937&amp;menuPK=64154159&amp;searchMenuPK=64258546&amp;theSitePK=523679&amp;entityID=000020953_20080731101754","Plan de desarrollo indigena para la poblacion del ejido Villahermosa municipio de Villaflores, Microregion El Tablon, REBISE ")</f>
        <v xml:space="preserve">Plan de desarrollo indigena para la poblacion del ejido Villahermosa municipio de Villaflores, Microregion El Tablon, REBISE </v>
      </c>
      <c r="F468" s="3" t="s">
        <v>1242</v>
      </c>
      <c r="G468" s="2" t="s">
        <v>1241</v>
      </c>
      <c r="H468" s="2" t="s">
        <v>10</v>
      </c>
      <c r="I468" s="2" t="s">
        <v>1144</v>
      </c>
      <c r="J468" s="3"/>
      <c r="K468" s="2" t="s">
        <v>805</v>
      </c>
      <c r="L468" s="2" t="s">
        <v>1240</v>
      </c>
      <c r="M468" s="2" t="s">
        <v>634</v>
      </c>
      <c r="N468" s="2" t="s">
        <v>1239</v>
      </c>
      <c r="O468" s="2" t="s">
        <v>1140</v>
      </c>
      <c r="P468" s="2"/>
      <c r="Q468" s="2" t="s">
        <v>1238</v>
      </c>
      <c r="R468" s="2" t="s">
        <v>1237</v>
      </c>
      <c r="S468" s="2" t="s">
        <v>1236</v>
      </c>
      <c r="T468" s="2" t="s">
        <v>1235</v>
      </c>
      <c r="U468" s="2" t="s">
        <v>639</v>
      </c>
      <c r="V468" s="2" t="s">
        <v>59</v>
      </c>
    </row>
    <row r="469" spans="1:22" ht="75" x14ac:dyDescent="0.25">
      <c r="A469" s="6"/>
      <c r="B469" s="10"/>
      <c r="C469" s="2" t="s">
        <v>1144</v>
      </c>
      <c r="D469" s="2" t="s">
        <v>12</v>
      </c>
      <c r="E469" s="1" t="str">
        <f>HYPERLINK("http://www-wds.worldbank.org/external/default/main?menuPK=64187510&amp;pagePK=64193027&amp;piPK=64187937&amp;menuPK=64154159&amp;searchMenuPK=64258546&amp;theSitePK=523679&amp;entityID=000334955_20080612040411","Environmental and social management framework IT projects involving IT parks ")</f>
        <v xml:space="preserve">Environmental and social management framework IT projects involving IT parks </v>
      </c>
      <c r="F469" s="9">
        <v>39758</v>
      </c>
      <c r="G469" s="2" t="s">
        <v>1234</v>
      </c>
      <c r="H469" s="2" t="s">
        <v>10</v>
      </c>
      <c r="I469" s="2"/>
      <c r="J469" s="3"/>
      <c r="K469" s="2" t="s">
        <v>838</v>
      </c>
      <c r="L469" s="2" t="s">
        <v>1233</v>
      </c>
      <c r="M469" s="2" t="s">
        <v>634</v>
      </c>
      <c r="N469" s="2" t="s">
        <v>1232</v>
      </c>
      <c r="O469" s="2" t="s">
        <v>1231</v>
      </c>
      <c r="P469" s="2"/>
      <c r="Q469" s="2" t="s">
        <v>1230</v>
      </c>
      <c r="R469" s="2" t="s">
        <v>1229</v>
      </c>
      <c r="S469" s="2" t="s">
        <v>1228</v>
      </c>
      <c r="T469" s="2" t="s">
        <v>1227</v>
      </c>
      <c r="U469" s="2" t="s">
        <v>830</v>
      </c>
      <c r="V469" s="2" t="s">
        <v>0</v>
      </c>
    </row>
    <row r="470" spans="1:22" ht="75" x14ac:dyDescent="0.25">
      <c r="A470" s="6"/>
      <c r="B470" s="10"/>
      <c r="C470" s="2" t="s">
        <v>1144</v>
      </c>
      <c r="D470" s="2" t="s">
        <v>398</v>
      </c>
      <c r="E470" s="1" t="str">
        <f>HYPERLINK("http://www-wds.worldbank.org/external/default/main?menuPK=64187510&amp;pagePK=64193027&amp;piPK=64187937&amp;menuPK=64154159&amp;searchMenuPK=64258546&amp;theSitePK=523679&amp;entityID=000090341_20060815144046","Guias y especificaciones para el cumplimiento de politicas de salvaguarda social ")</f>
        <v xml:space="preserve">Guias y especificaciones para el cumplimiento de politicas de salvaguarda social </v>
      </c>
      <c r="F470" s="9">
        <v>39029</v>
      </c>
      <c r="G470" s="2" t="s">
        <v>1226</v>
      </c>
      <c r="H470" s="2" t="s">
        <v>10</v>
      </c>
      <c r="I470" s="2"/>
      <c r="J470" s="3"/>
      <c r="K470" s="2" t="s">
        <v>1225</v>
      </c>
      <c r="L470" s="2" t="s">
        <v>1224</v>
      </c>
      <c r="M470" s="2" t="s">
        <v>634</v>
      </c>
      <c r="N470" s="2" t="s">
        <v>1223</v>
      </c>
      <c r="O470" s="2" t="s">
        <v>1222</v>
      </c>
      <c r="P470" s="2"/>
      <c r="Q470" s="2" t="s">
        <v>1221</v>
      </c>
      <c r="R470" s="2"/>
      <c r="S470" s="2"/>
      <c r="T470" s="2" t="s">
        <v>1220</v>
      </c>
      <c r="U470" s="2" t="s">
        <v>662</v>
      </c>
      <c r="V470" s="2" t="s">
        <v>0</v>
      </c>
    </row>
    <row r="471" spans="1:22" ht="75" x14ac:dyDescent="0.25">
      <c r="A471" s="6"/>
      <c r="B471" s="10"/>
      <c r="C471" s="2" t="s">
        <v>1144</v>
      </c>
      <c r="D471" s="2" t="s">
        <v>398</v>
      </c>
      <c r="E471" s="1" t="str">
        <f>HYPERLINK("http://www-wds.worldbank.org/external/default/main?menuPK=64187510&amp;pagePK=64193027&amp;piPK=64187937&amp;menuPK=64154159&amp;searchMenuPK=64258546&amp;theSitePK=523679&amp;entityID=000090341_20060601111851","Mexico - Wind Umbrella (La Venta II) Carbon Finance Project : indigenous peoples plan ")</f>
        <v xml:space="preserve">Mexico - Wind Umbrella (La Venta II) Carbon Finance Project : indigenous peoples plan </v>
      </c>
      <c r="F471" s="3" t="s">
        <v>1219</v>
      </c>
      <c r="G471" s="2" t="s">
        <v>1218</v>
      </c>
      <c r="H471" s="2" t="s">
        <v>10</v>
      </c>
      <c r="I471" s="2"/>
      <c r="J471" s="3"/>
      <c r="K471" s="2" t="s">
        <v>80</v>
      </c>
      <c r="L471" s="2" t="s">
        <v>1217</v>
      </c>
      <c r="M471" s="2" t="s">
        <v>634</v>
      </c>
      <c r="N471" s="2" t="s">
        <v>1216</v>
      </c>
      <c r="O471" s="2" t="s">
        <v>278</v>
      </c>
      <c r="P471" s="2"/>
      <c r="Q471" s="2" t="s">
        <v>1215</v>
      </c>
      <c r="R471" s="2"/>
      <c r="S471" s="2"/>
      <c r="T471" s="2" t="s">
        <v>1214</v>
      </c>
      <c r="U471" s="2" t="s">
        <v>662</v>
      </c>
      <c r="V471" s="2" t="s">
        <v>0</v>
      </c>
    </row>
    <row r="472" spans="1:22" ht="75" x14ac:dyDescent="0.25">
      <c r="A472" s="6"/>
      <c r="B472" s="10"/>
      <c r="C472" s="2" t="s">
        <v>1144</v>
      </c>
      <c r="D472" s="2" t="s">
        <v>12</v>
      </c>
      <c r="E472" s="1" t="str">
        <f>HYPERLINK("http://www-wds.worldbank.org/external/default/main?menuPK=64187510&amp;pagePK=64193027&amp;piPK=64187937&amp;menuPK=64154159&amp;searchMenuPK=64258546&amp;theSitePK=523679&amp;entityID=000090341_20060227102640","Mexico - Indigenous Communities Development Project : indigenous peoples plan ")</f>
        <v xml:space="preserve">Mexico - Indigenous Communities Development Project : indigenous peoples plan </v>
      </c>
      <c r="F472" s="9">
        <v>38719</v>
      </c>
      <c r="G472" s="2" t="s">
        <v>1213</v>
      </c>
      <c r="H472" s="2" t="s">
        <v>10</v>
      </c>
      <c r="I472" s="2"/>
      <c r="J472" s="3"/>
      <c r="K472" s="2" t="s">
        <v>1212</v>
      </c>
      <c r="L472" s="2" t="s">
        <v>1211</v>
      </c>
      <c r="M472" s="2" t="s">
        <v>634</v>
      </c>
      <c r="N472" s="2" t="s">
        <v>1210</v>
      </c>
      <c r="O472" s="2" t="s">
        <v>1209</v>
      </c>
      <c r="P472" s="2"/>
      <c r="Q472" s="2" t="s">
        <v>1208</v>
      </c>
      <c r="R472" s="2"/>
      <c r="S472" s="2"/>
      <c r="T472" s="2" t="s">
        <v>1207</v>
      </c>
      <c r="U472" s="2" t="s">
        <v>798</v>
      </c>
      <c r="V472" s="2" t="s">
        <v>0</v>
      </c>
    </row>
    <row r="473" spans="1:22" ht="60" x14ac:dyDescent="0.25">
      <c r="A473" s="6"/>
      <c r="B473" s="10"/>
      <c r="C473" s="2" t="s">
        <v>1144</v>
      </c>
      <c r="D473" s="2" t="s">
        <v>398</v>
      </c>
      <c r="E473" s="1" t="str">
        <f>HYPERLINK("http://www-wds.worldbank.org/external/default/main?menuPK=64187510&amp;pagePK=64193027&amp;piPK=64187937&amp;menuPK=64154159&amp;searchMenuPK=64258546&amp;theSitePK=523679&amp;entityID=000012009_20051219135356","Mexico - Environmental Services for the Forest Project : indigenous peoples plan ")</f>
        <v xml:space="preserve">Mexico - Environmental Services for the Forest Project : indigenous peoples plan </v>
      </c>
      <c r="F473" s="9">
        <v>38364</v>
      </c>
      <c r="G473" s="2" t="s">
        <v>1206</v>
      </c>
      <c r="H473" s="2" t="s">
        <v>10</v>
      </c>
      <c r="I473" s="2" t="s">
        <v>1198</v>
      </c>
      <c r="J473" s="3"/>
      <c r="K473" s="2" t="s">
        <v>8</v>
      </c>
      <c r="L473" s="2" t="s">
        <v>1205</v>
      </c>
      <c r="M473" s="2" t="s">
        <v>634</v>
      </c>
      <c r="N473" s="2" t="s">
        <v>1204</v>
      </c>
      <c r="O473" s="2" t="s">
        <v>1203</v>
      </c>
      <c r="P473" s="2"/>
      <c r="Q473" s="2" t="s">
        <v>1202</v>
      </c>
      <c r="R473" s="2" t="s">
        <v>1201</v>
      </c>
      <c r="S473" s="2"/>
      <c r="T473" s="2" t="s">
        <v>1200</v>
      </c>
      <c r="U473" s="2" t="s">
        <v>639</v>
      </c>
      <c r="V473" s="2" t="s">
        <v>0</v>
      </c>
    </row>
    <row r="474" spans="1:22" ht="75" x14ac:dyDescent="0.25">
      <c r="A474" s="6"/>
      <c r="B474" s="10"/>
      <c r="C474" s="2" t="s">
        <v>1144</v>
      </c>
      <c r="D474" s="2" t="s">
        <v>398</v>
      </c>
      <c r="E474" s="1" t="str">
        <f>HYPERLINK("http://www-wds.worldbank.org/external/default/main?menuPK=64187510&amp;pagePK=64193027&amp;piPK=64187937&amp;menuPK=64154159&amp;searchMenuPK=64258546&amp;theSitePK=523679&amp;entityID=000012009_20051216133230","Mexico - Environmental Services of the Forest Project : indigenous peoples plan ")</f>
        <v xml:space="preserve">Mexico - Environmental Services of the Forest Project : indigenous peoples plan </v>
      </c>
      <c r="F474" s="9">
        <v>38364</v>
      </c>
      <c r="G474" s="2" t="s">
        <v>1199</v>
      </c>
      <c r="H474" s="2" t="s">
        <v>10</v>
      </c>
      <c r="I474" s="2" t="s">
        <v>1198</v>
      </c>
      <c r="J474" s="3"/>
      <c r="K474" s="2" t="s">
        <v>8</v>
      </c>
      <c r="L474" s="2" t="s">
        <v>1197</v>
      </c>
      <c r="M474" s="2" t="s">
        <v>634</v>
      </c>
      <c r="N474" s="2" t="s">
        <v>1196</v>
      </c>
      <c r="O474" s="2" t="s">
        <v>50</v>
      </c>
      <c r="P474" s="2"/>
      <c r="Q474" s="2" t="s">
        <v>1195</v>
      </c>
      <c r="R474" s="2" t="s">
        <v>1194</v>
      </c>
      <c r="S474" s="2"/>
      <c r="T474" s="2" t="s">
        <v>1193</v>
      </c>
      <c r="U474" s="2" t="s">
        <v>639</v>
      </c>
      <c r="V474" s="2" t="s">
        <v>0</v>
      </c>
    </row>
    <row r="475" spans="1:22" ht="60" x14ac:dyDescent="0.25">
      <c r="A475" s="6"/>
      <c r="B475" s="10"/>
      <c r="C475" s="2" t="s">
        <v>1144</v>
      </c>
      <c r="D475" s="2" t="s">
        <v>12</v>
      </c>
      <c r="E475" s="1" t="str">
        <f>HYPERLINK("http://www-wds.worldbank.org/external/default/main?menuPK=64187510&amp;pagePK=64193027&amp;piPK=64187937&amp;menuPK=64154159&amp;searchMenuPK=64258546&amp;theSitePK=523679&amp;entityID=000160016_20051018110252","Mexico - School-Based Management Program Project : indigenous peoples development plan ")</f>
        <v xml:space="preserve">Mexico - School-Based Management Program Project : indigenous peoples development plan </v>
      </c>
      <c r="F475" s="3" t="s">
        <v>1192</v>
      </c>
      <c r="G475" s="2" t="s">
        <v>1191</v>
      </c>
      <c r="H475" s="2" t="s">
        <v>10</v>
      </c>
      <c r="I475" s="2"/>
      <c r="J475" s="3"/>
      <c r="K475" s="2" t="s">
        <v>21</v>
      </c>
      <c r="L475" s="2" t="s">
        <v>1190</v>
      </c>
      <c r="M475" s="2" t="s">
        <v>634</v>
      </c>
      <c r="N475" s="2" t="s">
        <v>1189</v>
      </c>
      <c r="O475" s="2" t="s">
        <v>1188</v>
      </c>
      <c r="P475" s="2"/>
      <c r="Q475" s="2" t="s">
        <v>1187</v>
      </c>
      <c r="R475" s="2" t="s">
        <v>1186</v>
      </c>
      <c r="S475" s="2"/>
      <c r="T475" s="2" t="s">
        <v>1185</v>
      </c>
      <c r="U475" s="2" t="s">
        <v>630</v>
      </c>
      <c r="V475" s="2" t="s">
        <v>0</v>
      </c>
    </row>
    <row r="476" spans="1:22" ht="45" x14ac:dyDescent="0.25">
      <c r="A476" s="6"/>
      <c r="B476" s="10"/>
      <c r="C476" s="2" t="s">
        <v>1144</v>
      </c>
      <c r="D476" s="2" t="s">
        <v>398</v>
      </c>
      <c r="E476" s="1" t="str">
        <f>HYPERLINK("http://www-wds.worldbank.org/external/default/main?menuPK=64187510&amp;pagePK=64193027&amp;piPK=64187937&amp;menuPK=64154159&amp;searchMenuPK=64258546&amp;theSitePK=523679&amp;entityID=000012009_20050623143729","Mexico - Access to Land for Young Farmers Pilot Project : indigenous peoples plan ")</f>
        <v xml:space="preserve">Mexico - Access to Land for Young Farmers Pilot Project : indigenous peoples plan </v>
      </c>
      <c r="F476" s="3" t="s">
        <v>1184</v>
      </c>
      <c r="G476" s="2" t="s">
        <v>1183</v>
      </c>
      <c r="H476" s="2" t="s">
        <v>10</v>
      </c>
      <c r="I476" s="2" t="s">
        <v>31</v>
      </c>
      <c r="J476" s="3"/>
      <c r="K476" s="2" t="s">
        <v>8</v>
      </c>
      <c r="L476" s="2" t="s">
        <v>1182</v>
      </c>
      <c r="M476" s="2" t="s">
        <v>634</v>
      </c>
      <c r="N476" s="2" t="s">
        <v>1181</v>
      </c>
      <c r="O476" s="2" t="s">
        <v>4</v>
      </c>
      <c r="P476" s="2"/>
      <c r="Q476" s="2"/>
      <c r="R476" s="2"/>
      <c r="S476" s="2"/>
      <c r="T476" s="2" t="s">
        <v>1180</v>
      </c>
      <c r="U476" s="2" t="s">
        <v>670</v>
      </c>
      <c r="V476" s="2" t="s">
        <v>0</v>
      </c>
    </row>
    <row r="477" spans="1:22" ht="75" x14ac:dyDescent="0.25">
      <c r="A477" s="6"/>
      <c r="B477" s="10"/>
      <c r="C477" s="2" t="s">
        <v>1144</v>
      </c>
      <c r="D477" s="2" t="s">
        <v>12</v>
      </c>
      <c r="E477" s="1" t="str">
        <f>HYPERLINK("http://www-wds.worldbank.org/external/default/main?menuPK=64187510&amp;pagePK=64193027&amp;piPK=64187937&amp;menuPK=64154159&amp;searchMenuPK=64258546&amp;theSitePK=523679&amp;entityID=000011823_20050603105247","Mexico - Tertiary Education Student Assistance Project : social assessment and indigenous peoples development plan ")</f>
        <v xml:space="preserve">Mexico - Tertiary Education Student Assistance Project : social assessment and indigenous peoples development plan </v>
      </c>
      <c r="F477" s="9">
        <v>38357</v>
      </c>
      <c r="G477" s="2" t="s">
        <v>1179</v>
      </c>
      <c r="H477" s="2" t="s">
        <v>10</v>
      </c>
      <c r="I477" s="2"/>
      <c r="J477" s="3"/>
      <c r="K477" s="2" t="s">
        <v>1165</v>
      </c>
      <c r="L477" s="2" t="s">
        <v>1178</v>
      </c>
      <c r="M477" s="2" t="s">
        <v>634</v>
      </c>
      <c r="N477" s="2" t="s">
        <v>1177</v>
      </c>
      <c r="O477" s="2" t="s">
        <v>1176</v>
      </c>
      <c r="P477" s="2"/>
      <c r="Q477" s="2" t="s">
        <v>1175</v>
      </c>
      <c r="R477" s="2" t="s">
        <v>1174</v>
      </c>
      <c r="S477" s="2"/>
      <c r="T477" s="2" t="s">
        <v>1173</v>
      </c>
      <c r="U477" s="2" t="s">
        <v>630</v>
      </c>
      <c r="V477" s="2" t="s">
        <v>70</v>
      </c>
    </row>
    <row r="478" spans="1:22" ht="60" x14ac:dyDescent="0.25">
      <c r="A478" s="6"/>
      <c r="B478" s="10"/>
      <c r="C478" s="2" t="s">
        <v>1144</v>
      </c>
      <c r="D478" s="2" t="s">
        <v>398</v>
      </c>
      <c r="E478" s="1" t="str">
        <f>HYPERLINK("http://www-wds.worldbank.org/external/default/main?menuPK=64187510&amp;pagePK=64193027&amp;piPK=64187937&amp;menuPK=64154159&amp;searchMenuPK=64258546&amp;theSitePK=523679&amp;entityID=000012009_20041015133407","Mexico - Programa de Edcuacion para la Vida y el Trabajo : plan de desarrollo educativo para la poblacion indigena ")</f>
        <v xml:space="preserve">Mexico - Programa de Edcuacion para la Vida y el Trabajo : plan de desarrollo educativo para la poblacion indigena </v>
      </c>
      <c r="F478" s="9">
        <v>37995</v>
      </c>
      <c r="G478" s="2" t="s">
        <v>1172</v>
      </c>
      <c r="H478" s="2" t="s">
        <v>10</v>
      </c>
      <c r="I478" s="2" t="s">
        <v>31</v>
      </c>
      <c r="J478" s="3"/>
      <c r="K478" s="2" t="s">
        <v>21</v>
      </c>
      <c r="L478" s="2" t="s">
        <v>1171</v>
      </c>
      <c r="M478" s="2" t="s">
        <v>634</v>
      </c>
      <c r="N478" s="2" t="s">
        <v>1170</v>
      </c>
      <c r="O478" s="2" t="s">
        <v>1169</v>
      </c>
      <c r="P478" s="2"/>
      <c r="Q478" s="2"/>
      <c r="R478" s="2"/>
      <c r="S478" s="2"/>
      <c r="T478" s="2"/>
      <c r="U478" s="2" t="s">
        <v>630</v>
      </c>
      <c r="V478" s="2" t="s">
        <v>0</v>
      </c>
    </row>
    <row r="479" spans="1:22" ht="90" x14ac:dyDescent="0.25">
      <c r="A479" s="6"/>
      <c r="B479" s="10"/>
      <c r="C479" s="2" t="s">
        <v>1144</v>
      </c>
      <c r="D479" s="2" t="s">
        <v>12</v>
      </c>
      <c r="E479" s="1" t="str">
        <f>HYPERLINK("http://www-wds.worldbank.org/external/default/main?menuPK=64187510&amp;pagePK=64193027&amp;piPK=64187937&amp;menuPK=64154159&amp;searchMenuPK=64258546&amp;theSitePK=523679&amp;entityID=000012009_20040621140533","Environmental and social manual ")</f>
        <v xml:space="preserve">Environmental and social manual </v>
      </c>
      <c r="F479" s="9">
        <v>37992</v>
      </c>
      <c r="G479" s="2" t="s">
        <v>1156</v>
      </c>
      <c r="H479" s="2" t="s">
        <v>10</v>
      </c>
      <c r="I479" s="2"/>
      <c r="J479" s="3"/>
      <c r="K479" s="2" t="s">
        <v>1155</v>
      </c>
      <c r="L479" s="2" t="s">
        <v>1154</v>
      </c>
      <c r="M479" s="2" t="s">
        <v>634</v>
      </c>
      <c r="N479" s="2" t="s">
        <v>1153</v>
      </c>
      <c r="O479" s="2" t="s">
        <v>1152</v>
      </c>
      <c r="P479" s="2"/>
      <c r="Q479" s="2" t="s">
        <v>1168</v>
      </c>
      <c r="R479" s="2" t="s">
        <v>487</v>
      </c>
      <c r="S479" s="2"/>
      <c r="T479" s="2"/>
      <c r="U479" s="2" t="s">
        <v>706</v>
      </c>
      <c r="V479" s="2" t="s">
        <v>59</v>
      </c>
    </row>
    <row r="480" spans="1:22" ht="90" x14ac:dyDescent="0.25">
      <c r="A480" s="6"/>
      <c r="B480" s="10"/>
      <c r="C480" s="2" t="s">
        <v>1144</v>
      </c>
      <c r="D480" s="2" t="s">
        <v>12</v>
      </c>
      <c r="E480" s="1" t="str">
        <f>HYPERLINK("http://www-wds.worldbank.org/external/default/main?menuPK=64187510&amp;pagePK=64193027&amp;piPK=64187937&amp;menuPK=64154159&amp;searchMenuPK=64258546&amp;theSitePK=523679&amp;entityID=000090341_20040408143626","Mexico - Basic Education Development Program (Phase Three) Project : indigenous peoples plan ")</f>
        <v xml:space="preserve">Mexico - Basic Education Development Program (Phase Three) Project : indigenous peoples plan </v>
      </c>
      <c r="F480" s="3" t="s">
        <v>1167</v>
      </c>
      <c r="G480" s="2" t="s">
        <v>1166</v>
      </c>
      <c r="H480" s="2" t="s">
        <v>10</v>
      </c>
      <c r="I480" s="2"/>
      <c r="J480" s="3"/>
      <c r="K480" s="2" t="s">
        <v>1165</v>
      </c>
      <c r="L480" s="2" t="s">
        <v>1164</v>
      </c>
      <c r="M480" s="2" t="s">
        <v>634</v>
      </c>
      <c r="N480" s="2" t="s">
        <v>1163</v>
      </c>
      <c r="O480" s="2" t="s">
        <v>1162</v>
      </c>
      <c r="P480" s="2"/>
      <c r="Q480" s="2" t="s">
        <v>26</v>
      </c>
      <c r="R480" s="2" t="s">
        <v>25</v>
      </c>
      <c r="S480" s="2"/>
      <c r="T480" s="2"/>
      <c r="U480" s="2" t="s">
        <v>630</v>
      </c>
      <c r="V480" s="2" t="s">
        <v>0</v>
      </c>
    </row>
    <row r="481" spans="1:22" ht="120" x14ac:dyDescent="0.25">
      <c r="A481" s="6"/>
      <c r="B481" s="10"/>
      <c r="C481" s="2" t="s">
        <v>1144</v>
      </c>
      <c r="D481" s="2" t="s">
        <v>398</v>
      </c>
      <c r="E481" s="1" t="str">
        <f>HYPERLINK("http://www-wds.worldbank.org/external/default/main?menuPK=64187510&amp;pagePK=64193027&amp;piPK=64187937&amp;menuPK=64154159&amp;searchMenuPK=64258546&amp;theSitePK=523679&amp;entityID=000090341_20040506094548","Mexico - Second Community Forestry Project : indigenous peoples plan ")</f>
        <v xml:space="preserve">Mexico - Second Community Forestry Project : indigenous peoples plan </v>
      </c>
      <c r="F481" s="3" t="s">
        <v>1161</v>
      </c>
      <c r="G481" s="2" t="s">
        <v>1160</v>
      </c>
      <c r="H481" s="2" t="s">
        <v>10</v>
      </c>
      <c r="I481" s="2"/>
      <c r="J481" s="3">
        <v>7207</v>
      </c>
      <c r="K481" s="2" t="s">
        <v>8</v>
      </c>
      <c r="L481" s="2" t="s">
        <v>1159</v>
      </c>
      <c r="M481" s="2" t="s">
        <v>634</v>
      </c>
      <c r="N481" s="2" t="s">
        <v>1158</v>
      </c>
      <c r="O481" s="2" t="s">
        <v>50</v>
      </c>
      <c r="P481" s="2"/>
      <c r="Q481" s="2"/>
      <c r="R481" s="2"/>
      <c r="S481" s="2"/>
      <c r="T481" s="2" t="s">
        <v>1157</v>
      </c>
      <c r="U481" s="2" t="s">
        <v>639</v>
      </c>
      <c r="V481" s="2" t="s">
        <v>0</v>
      </c>
    </row>
    <row r="482" spans="1:22" ht="90" x14ac:dyDescent="0.25">
      <c r="A482" s="6"/>
      <c r="B482" s="10"/>
      <c r="C482" s="2" t="s">
        <v>1144</v>
      </c>
      <c r="D482" s="2" t="s">
        <v>12</v>
      </c>
      <c r="E482" s="1" t="str">
        <f>HYPERLINK("http://www-wds.worldbank.org/external/default/main?menuPK=64187510&amp;pagePK=64193027&amp;piPK=64187937&amp;menuPK=64154159&amp;searchMenuPK=64258546&amp;theSitePK=523679&amp;entityID=000090341_20040408133424","Indigenous peoples plan ")</f>
        <v xml:space="preserve">Indigenous peoples plan </v>
      </c>
      <c r="F482" s="3" t="s">
        <v>478</v>
      </c>
      <c r="G482" s="2" t="s">
        <v>1156</v>
      </c>
      <c r="H482" s="2" t="s">
        <v>10</v>
      </c>
      <c r="I482" s="2"/>
      <c r="J482" s="3"/>
      <c r="K482" s="2" t="s">
        <v>1155</v>
      </c>
      <c r="L482" s="2" t="s">
        <v>1154</v>
      </c>
      <c r="M482" s="2" t="s">
        <v>634</v>
      </c>
      <c r="N482" s="2" t="s">
        <v>1153</v>
      </c>
      <c r="O482" s="2" t="s">
        <v>1152</v>
      </c>
      <c r="P482" s="2"/>
      <c r="Q482" s="2" t="s">
        <v>1151</v>
      </c>
      <c r="R482" s="2" t="s">
        <v>21</v>
      </c>
      <c r="S482" s="2"/>
      <c r="T482" s="2"/>
      <c r="U482" s="2" t="s">
        <v>706</v>
      </c>
      <c r="V482" s="2" t="s">
        <v>70</v>
      </c>
    </row>
    <row r="483" spans="1:22" ht="90" x14ac:dyDescent="0.25">
      <c r="A483" s="6"/>
      <c r="B483" s="10"/>
      <c r="C483" s="2" t="s">
        <v>1144</v>
      </c>
      <c r="D483" s="2" t="s">
        <v>12</v>
      </c>
      <c r="E483" s="1" t="str">
        <f>HYPERLINK("http://www-wds.worldbank.org/external/default/main?menuPK=64187510&amp;pagePK=64193027&amp;piPK=64187937&amp;menuPK=64154159&amp;searchMenuPK=64258546&amp;theSitePK=523679&amp;entityID=000094946_02052904095878","Mexico - Municipal Development in Rural Areas Project : indigenous peoples plan ")</f>
        <v xml:space="preserve">Mexico - Municipal Development in Rural Areas Project : indigenous peoples plan </v>
      </c>
      <c r="F483" s="3" t="s">
        <v>637</v>
      </c>
      <c r="G483" s="2" t="s">
        <v>1150</v>
      </c>
      <c r="H483" s="2" t="s">
        <v>10</v>
      </c>
      <c r="I483" s="2" t="s">
        <v>31</v>
      </c>
      <c r="J483" s="3">
        <v>7133</v>
      </c>
      <c r="K483" s="2" t="s">
        <v>522</v>
      </c>
      <c r="L483" s="2" t="s">
        <v>1149</v>
      </c>
      <c r="M483" s="2" t="s">
        <v>634</v>
      </c>
      <c r="N483" s="2" t="s">
        <v>1148</v>
      </c>
      <c r="O483" s="2" t="s">
        <v>1147</v>
      </c>
      <c r="P483" s="2"/>
      <c r="Q483" s="2" t="s">
        <v>1146</v>
      </c>
      <c r="R483" s="2" t="s">
        <v>61</v>
      </c>
      <c r="S483" s="2"/>
      <c r="T483" s="2" t="s">
        <v>1145</v>
      </c>
      <c r="U483" s="2" t="s">
        <v>670</v>
      </c>
      <c r="V483" s="2">
        <v>1</v>
      </c>
    </row>
    <row r="484" spans="1:22" ht="105" x14ac:dyDescent="0.25">
      <c r="A484" s="6"/>
      <c r="B484" s="10"/>
      <c r="C484" s="2" t="s">
        <v>1144</v>
      </c>
      <c r="D484" s="2" t="s">
        <v>398</v>
      </c>
      <c r="E484" s="1" t="str">
        <f>HYPERLINK("http://www-wds.worldbank.org/external/default/main?menuPK=64187510&amp;pagePK=64193027&amp;piPK=64187937&amp;menuPK=64154159&amp;searchMenuPK=64258546&amp;theSitePK=523679&amp;entityID=000094946_02050404112042","Mexico - Consolidation of the Protected Areas System Project (GEF) : indigenous peoples development plan ")</f>
        <v xml:space="preserve">Mexico - Consolidation of the Protected Areas System Project (GEF) : indigenous peoples development plan </v>
      </c>
      <c r="F484" s="9">
        <v>37237</v>
      </c>
      <c r="G484" s="2" t="s">
        <v>1143</v>
      </c>
      <c r="H484" s="2" t="s">
        <v>10</v>
      </c>
      <c r="I484" s="2"/>
      <c r="J484" s="3"/>
      <c r="K484" s="2" t="s">
        <v>522</v>
      </c>
      <c r="L484" s="2" t="s">
        <v>1142</v>
      </c>
      <c r="M484" s="2" t="s">
        <v>634</v>
      </c>
      <c r="N484" s="2" t="s">
        <v>1141</v>
      </c>
      <c r="O484" s="2" t="s">
        <v>1140</v>
      </c>
      <c r="P484" s="2"/>
      <c r="Q484" s="2"/>
      <c r="R484" s="2"/>
      <c r="S484" s="2"/>
      <c r="T484" s="2" t="s">
        <v>1139</v>
      </c>
      <c r="U484" s="2" t="s">
        <v>639</v>
      </c>
      <c r="V484" s="2">
        <v>1</v>
      </c>
    </row>
    <row r="485" spans="1:22" ht="105" x14ac:dyDescent="0.25">
      <c r="A485" s="12" t="s">
        <v>552</v>
      </c>
      <c r="B485" s="10" t="s">
        <v>1138</v>
      </c>
      <c r="C485" s="2" t="s">
        <v>1105</v>
      </c>
      <c r="D485" s="14" t="s">
        <v>12</v>
      </c>
      <c r="E485" s="1" t="str">
        <f>HYPERLINK("http://www-wds.worldbank.org/external/default/main?menuPK=64187510&amp;pagePK=64193027&amp;piPK=64187937&amp;menuPK=64154159&amp;searchMenuPK=64258546&amp;theSitePK=523679&amp;entityID=000334955_20090313034311","Mongolia - Additional Financing for the Index-Based Livestock Insurance Project : indigenous peoples plan ")</f>
        <v xml:space="preserve">Mongolia - Additional Financing for the Index-Based Livestock Insurance Project : indigenous peoples plan </v>
      </c>
      <c r="F485" s="9">
        <v>40119</v>
      </c>
      <c r="G485" s="2" t="s">
        <v>1137</v>
      </c>
      <c r="H485" s="2" t="s">
        <v>10</v>
      </c>
      <c r="I485" s="2"/>
      <c r="J485" s="3"/>
      <c r="K485" s="2" t="s">
        <v>1136</v>
      </c>
      <c r="L485" s="2" t="s">
        <v>1135</v>
      </c>
      <c r="M485" s="2" t="s">
        <v>29</v>
      </c>
      <c r="N485" s="2" t="s">
        <v>1134</v>
      </c>
      <c r="O485" s="2" t="s">
        <v>1133</v>
      </c>
      <c r="P485" s="2"/>
      <c r="Q485" s="2" t="s">
        <v>1132</v>
      </c>
      <c r="R485" s="2" t="s">
        <v>1131</v>
      </c>
      <c r="S485" s="2" t="s">
        <v>1130</v>
      </c>
      <c r="T485" s="2" t="s">
        <v>1129</v>
      </c>
      <c r="U485" s="2" t="s">
        <v>1128</v>
      </c>
      <c r="V485" s="2" t="s">
        <v>0</v>
      </c>
    </row>
    <row r="486" spans="1:22" ht="105" x14ac:dyDescent="0.25">
      <c r="A486" s="12" t="s">
        <v>552</v>
      </c>
      <c r="B486" s="10" t="s">
        <v>1127</v>
      </c>
      <c r="C486" s="2" t="s">
        <v>1105</v>
      </c>
      <c r="D486" s="14" t="s">
        <v>12</v>
      </c>
      <c r="E486" s="1" t="str">
        <f>HYPERLINK("http://www-wds.worldbank.org/external/default/main?menuPK=64187510&amp;pagePK=64193027&amp;piPK=64187937&amp;menuPK=64154159&amp;searchMenuPK=64258546&amp;theSitePK=523679&amp;entityID=000334955_20080424070317","Draft ethnic minority development plan ")</f>
        <v xml:space="preserve">Draft ethnic minority development plan </v>
      </c>
      <c r="F486" s="3" t="s">
        <v>1126</v>
      </c>
      <c r="G486" s="2" t="s">
        <v>1125</v>
      </c>
      <c r="H486" s="2" t="s">
        <v>10</v>
      </c>
      <c r="I486" s="2"/>
      <c r="J486" s="3"/>
      <c r="K486" s="2" t="s">
        <v>1124</v>
      </c>
      <c r="L486" s="2" t="s">
        <v>1123</v>
      </c>
      <c r="M486" s="2" t="s">
        <v>29</v>
      </c>
      <c r="N486" s="2" t="s">
        <v>1122</v>
      </c>
      <c r="O486" s="2" t="s">
        <v>1121</v>
      </c>
      <c r="P486" s="2"/>
      <c r="Q486" s="2" t="s">
        <v>1120</v>
      </c>
      <c r="R486" s="2" t="s">
        <v>1119</v>
      </c>
      <c r="S486" s="2" t="s">
        <v>1118</v>
      </c>
      <c r="T486" s="2"/>
      <c r="U486" s="2" t="s">
        <v>1117</v>
      </c>
      <c r="V486" s="2" t="s">
        <v>0</v>
      </c>
    </row>
    <row r="487" spans="1:22" ht="105" x14ac:dyDescent="0.25">
      <c r="A487" s="12" t="s">
        <v>552</v>
      </c>
      <c r="B487" s="10" t="s">
        <v>1116</v>
      </c>
      <c r="C487" s="2" t="s">
        <v>1105</v>
      </c>
      <c r="D487" s="14" t="s">
        <v>12</v>
      </c>
      <c r="E487" s="1" t="str">
        <f>HYPERLINK("http://www-wds.worldbank.org/external/default/main?menuPK=64187510&amp;pagePK=64193027&amp;piPK=64187937&amp;menuPK=64154159&amp;searchMenuPK=64258546&amp;theSitePK=523679&amp;entityID=000090341_20070313161559","Mongolia - Sustainable Livelihoods (Phase II) Project : indigenous peoples plan ")</f>
        <v xml:space="preserve">Mongolia - Sustainable Livelihoods (Phase II) Project : indigenous peoples plan </v>
      </c>
      <c r="F487" s="3" t="s">
        <v>1115</v>
      </c>
      <c r="G487" s="2" t="s">
        <v>1114</v>
      </c>
      <c r="H487" s="2" t="s">
        <v>10</v>
      </c>
      <c r="I487" s="2"/>
      <c r="J487" s="3"/>
      <c r="K487" s="2" t="s">
        <v>1113</v>
      </c>
      <c r="L487" s="2" t="s">
        <v>1112</v>
      </c>
      <c r="M487" s="2" t="s">
        <v>29</v>
      </c>
      <c r="N487" s="2" t="s">
        <v>1111</v>
      </c>
      <c r="O487" s="2" t="s">
        <v>1110</v>
      </c>
      <c r="P487" s="2"/>
      <c r="Q487" s="2"/>
      <c r="R487" s="2"/>
      <c r="S487" s="2"/>
      <c r="T487" s="2" t="s">
        <v>1109</v>
      </c>
      <c r="U487" s="2" t="s">
        <v>1</v>
      </c>
      <c r="V487" s="2" t="s">
        <v>0</v>
      </c>
    </row>
    <row r="488" spans="1:22" ht="75" x14ac:dyDescent="0.25">
      <c r="A488" s="12" t="s">
        <v>552</v>
      </c>
      <c r="B488" s="10" t="s">
        <v>1108</v>
      </c>
      <c r="C488" s="2" t="s">
        <v>1105</v>
      </c>
      <c r="D488" s="14" t="s">
        <v>12</v>
      </c>
      <c r="E488" s="1" t="str">
        <f>HYPERLINK("http://www-wds.worldbank.org/external/default/main?menuPK=64187510&amp;pagePK=64193027&amp;piPK=64187937&amp;menuPK=64154159&amp;searchMenuPK=64258546&amp;theSitePK=523679&amp;entityID=000094946_02050404111838","Ethnic minority participation framework ")</f>
        <v xml:space="preserve">Ethnic minority participation framework </v>
      </c>
      <c r="F488" s="9">
        <v>37292</v>
      </c>
      <c r="G488" s="2" t="s">
        <v>1103</v>
      </c>
      <c r="H488" s="2" t="s">
        <v>10</v>
      </c>
      <c r="I488" s="2" t="s">
        <v>1102</v>
      </c>
      <c r="J488" s="3"/>
      <c r="K488" s="2" t="s">
        <v>8</v>
      </c>
      <c r="L488" s="2" t="s">
        <v>1101</v>
      </c>
      <c r="M488" s="2" t="s">
        <v>29</v>
      </c>
      <c r="N488" s="2" t="s">
        <v>1100</v>
      </c>
      <c r="O488" s="2" t="s">
        <v>1099</v>
      </c>
      <c r="P488" s="2"/>
      <c r="Q488" s="2" t="s">
        <v>1107</v>
      </c>
      <c r="R488" s="2" t="s">
        <v>1106</v>
      </c>
      <c r="S488" s="2"/>
      <c r="T488" s="2" t="s">
        <v>1096</v>
      </c>
      <c r="U488" s="2" t="s">
        <v>1</v>
      </c>
      <c r="V488" s="2" t="s">
        <v>70</v>
      </c>
    </row>
    <row r="489" spans="1:22" ht="75" x14ac:dyDescent="0.25">
      <c r="A489" s="6"/>
      <c r="B489" s="10"/>
      <c r="C489" s="2" t="s">
        <v>1105</v>
      </c>
      <c r="D489" s="2" t="s">
        <v>12</v>
      </c>
      <c r="E489" s="1" t="str">
        <f>HYPERLINK("http://www-wds.worldbank.org/external/default/main?menuPK=64187510&amp;pagePK=64193027&amp;piPK=64187937&amp;menuPK=64154159&amp;searchMenuPK=64258546&amp;theSitePK=523679&amp;entityID=000094946_02050404111839","Resettlement policy framework and ethnic minorities development strategy ")</f>
        <v xml:space="preserve">Resettlement policy framework and ethnic minorities development strategy </v>
      </c>
      <c r="F489" s="3" t="s">
        <v>1104</v>
      </c>
      <c r="G489" s="2" t="s">
        <v>1103</v>
      </c>
      <c r="H489" s="2" t="s">
        <v>10</v>
      </c>
      <c r="I489" s="2" t="s">
        <v>1102</v>
      </c>
      <c r="J489" s="3"/>
      <c r="K489" s="2" t="s">
        <v>8</v>
      </c>
      <c r="L489" s="2" t="s">
        <v>1101</v>
      </c>
      <c r="M489" s="2" t="s">
        <v>29</v>
      </c>
      <c r="N489" s="2" t="s">
        <v>1100</v>
      </c>
      <c r="O489" s="2" t="s">
        <v>1099</v>
      </c>
      <c r="P489" s="2"/>
      <c r="Q489" s="2" t="s">
        <v>1098</v>
      </c>
      <c r="R489" s="2" t="s">
        <v>1097</v>
      </c>
      <c r="S489" s="2"/>
      <c r="T489" s="2" t="s">
        <v>1096</v>
      </c>
      <c r="U489" s="2" t="s">
        <v>1</v>
      </c>
      <c r="V489" s="2" t="s">
        <v>59</v>
      </c>
    </row>
    <row r="490" spans="1:22" ht="135" x14ac:dyDescent="0.25">
      <c r="A490" s="6"/>
      <c r="B490" s="10"/>
      <c r="C490" s="2" t="s">
        <v>1095</v>
      </c>
      <c r="D490" s="2" t="s">
        <v>12</v>
      </c>
      <c r="E490" s="1" t="str">
        <f>HYPERLINK("http://www-wds.worldbank.org/external/default/main?menuPK=64187510&amp;pagePK=64193027&amp;piPK=64187937&amp;menuPK=64154159&amp;searchMenuPK=64258546&amp;theSitePK=523679&amp;entityID=000090341_20040211112633","Namibia - Integrated Community-Based Ecosystem Management (ICEMA) Project : indigenous peoples plan ")</f>
        <v xml:space="preserve">Namibia - Integrated Community-Based Ecosystem Management (ICEMA) Project : indigenous peoples plan </v>
      </c>
      <c r="F490" s="3" t="s">
        <v>1094</v>
      </c>
      <c r="G490" s="2" t="s">
        <v>1093</v>
      </c>
      <c r="H490" s="2" t="s">
        <v>10</v>
      </c>
      <c r="I490" s="2"/>
      <c r="J490" s="3"/>
      <c r="K490" s="2" t="s">
        <v>8</v>
      </c>
      <c r="L490" s="2" t="s">
        <v>1092</v>
      </c>
      <c r="M490" s="2" t="s">
        <v>395</v>
      </c>
      <c r="N490" s="2" t="s">
        <v>1091</v>
      </c>
      <c r="O490" s="2" t="s">
        <v>4</v>
      </c>
      <c r="P490" s="2"/>
      <c r="Q490" s="2" t="s">
        <v>1090</v>
      </c>
      <c r="R490" s="2" t="s">
        <v>1089</v>
      </c>
      <c r="S490" s="2"/>
      <c r="T490" s="2" t="s">
        <v>1088</v>
      </c>
      <c r="U490" s="2" t="s">
        <v>1087</v>
      </c>
      <c r="V490" s="2" t="s">
        <v>0</v>
      </c>
    </row>
    <row r="491" spans="1:22" ht="90" x14ac:dyDescent="0.25">
      <c r="A491" s="12" t="s">
        <v>552</v>
      </c>
      <c r="B491" s="10" t="s">
        <v>1086</v>
      </c>
      <c r="C491" s="2" t="s">
        <v>1010</v>
      </c>
      <c r="D491" s="14" t="s">
        <v>12</v>
      </c>
      <c r="E491" s="1" t="str">
        <f>HYPERLINK("http://www-wds.worldbank.org/external/default/main?menuPK=64187510&amp;pagePK=64193027&amp;piPK=64187937&amp;menuPK=64154159&amp;searchMenuPK=64258546&amp;theSitePK=523679&amp;entityID=000356161_20110221030847","Nepal - Kabeli Corridor 132 kV Transmission Line Project : social management and entitlement framework ")</f>
        <v xml:space="preserve">Nepal - Kabeli Corridor 132 kV Transmission Line Project : social management and entitlement framework </v>
      </c>
      <c r="F491" s="9">
        <v>40544</v>
      </c>
      <c r="G491" s="2" t="s">
        <v>1085</v>
      </c>
      <c r="H491" s="2" t="s">
        <v>10</v>
      </c>
      <c r="I491" s="2"/>
      <c r="J491" s="3"/>
      <c r="K491" s="2" t="s">
        <v>80</v>
      </c>
      <c r="L491" s="2" t="s">
        <v>1084</v>
      </c>
      <c r="M491" s="2" t="s">
        <v>415</v>
      </c>
      <c r="N491" s="2" t="s">
        <v>1083</v>
      </c>
      <c r="O491" s="2" t="s">
        <v>444</v>
      </c>
      <c r="P491" s="2"/>
      <c r="Q491" s="2" t="s">
        <v>1082</v>
      </c>
      <c r="R491" s="2" t="s">
        <v>1081</v>
      </c>
      <c r="S491" s="2"/>
      <c r="T491" s="2"/>
      <c r="U491" s="2" t="s">
        <v>441</v>
      </c>
      <c r="V491" s="2" t="s">
        <v>0</v>
      </c>
    </row>
    <row r="492" spans="1:22" ht="75" x14ac:dyDescent="0.25">
      <c r="A492" s="12" t="s">
        <v>552</v>
      </c>
      <c r="B492" s="10" t="s">
        <v>1080</v>
      </c>
      <c r="C492" s="2" t="s">
        <v>1010</v>
      </c>
      <c r="D492" s="14" t="s">
        <v>12</v>
      </c>
      <c r="E492" s="1" t="str">
        <f>HYPERLINK("http://www-wds.worldbank.org/external/default/main?menuPK=64187510&amp;pagePK=64193027&amp;piPK=64187937&amp;menuPK=64154159&amp;searchMenuPK=64258546&amp;theSitePK=523679&amp;entityID=000334955_20101101040327","Socio-economic baseline study ")</f>
        <v xml:space="preserve">Socio-economic baseline study </v>
      </c>
      <c r="F492" s="9">
        <v>40187</v>
      </c>
      <c r="G492" s="2" t="s">
        <v>1026</v>
      </c>
      <c r="H492" s="2" t="s">
        <v>10</v>
      </c>
      <c r="I492" s="2"/>
      <c r="J492" s="3"/>
      <c r="K492" s="2" t="s">
        <v>164</v>
      </c>
      <c r="L492" s="2" t="s">
        <v>1025</v>
      </c>
      <c r="M492" s="2" t="s">
        <v>415</v>
      </c>
      <c r="N492" s="2" t="s">
        <v>1024</v>
      </c>
      <c r="O492" s="2" t="s">
        <v>161</v>
      </c>
      <c r="P492" s="2"/>
      <c r="Q492" s="2" t="s">
        <v>1079</v>
      </c>
      <c r="R492" s="2" t="s">
        <v>1078</v>
      </c>
      <c r="S492" s="2"/>
      <c r="T492" s="2"/>
      <c r="U492" s="2" t="s">
        <v>420</v>
      </c>
      <c r="V492" s="2" t="s">
        <v>93</v>
      </c>
    </row>
    <row r="493" spans="1:22" ht="60" x14ac:dyDescent="0.25">
      <c r="A493" s="12" t="s">
        <v>552</v>
      </c>
      <c r="B493" s="10" t="s">
        <v>1077</v>
      </c>
      <c r="C493" s="2" t="s">
        <v>1010</v>
      </c>
      <c r="D493" s="14" t="s">
        <v>12</v>
      </c>
      <c r="E493" s="1" t="str">
        <f>HYPERLINK("http://www-wds.worldbank.org/external/default/main?menuPK=64187510&amp;pagePK=64193027&amp;piPK=64187937&amp;menuPK=64154159&amp;searchMenuPK=64258546&amp;theSitePK=523679&amp;entityID=000334955_20100219015834","Nepal - Second Health and HIV/AIDS Project : indigenous people's development framework ")</f>
        <v xml:space="preserve">Nepal - Second Health and HIV/AIDS Project : indigenous people's development framework </v>
      </c>
      <c r="F493" s="9">
        <v>39825</v>
      </c>
      <c r="G493" s="2" t="s">
        <v>1076</v>
      </c>
      <c r="H493" s="2" t="s">
        <v>10</v>
      </c>
      <c r="I493" s="2"/>
      <c r="J493" s="3"/>
      <c r="K493" s="2" t="s">
        <v>109</v>
      </c>
      <c r="L493" s="2" t="s">
        <v>1075</v>
      </c>
      <c r="M493" s="2" t="s">
        <v>415</v>
      </c>
      <c r="N493" s="2" t="s">
        <v>1074</v>
      </c>
      <c r="O493" s="2" t="s">
        <v>489</v>
      </c>
      <c r="P493" s="2"/>
      <c r="Q493" s="2" t="s">
        <v>1073</v>
      </c>
      <c r="R493" s="2" t="s">
        <v>352</v>
      </c>
      <c r="S493" s="2" t="s">
        <v>1072</v>
      </c>
      <c r="T493" s="2"/>
      <c r="U493" s="2" t="s">
        <v>1071</v>
      </c>
      <c r="V493" s="2" t="s">
        <v>0</v>
      </c>
    </row>
    <row r="494" spans="1:22" ht="75" x14ac:dyDescent="0.25">
      <c r="A494" s="12" t="s">
        <v>552</v>
      </c>
      <c r="B494" s="10" t="s">
        <v>1070</v>
      </c>
      <c r="C494" s="2" t="s">
        <v>1010</v>
      </c>
      <c r="D494" s="14" t="s">
        <v>12</v>
      </c>
      <c r="E494" s="1" t="str">
        <f>HYPERLINK("http://www-wds.worldbank.org/external/default/main?menuPK=64187510&amp;pagePK=64193027&amp;piPK=64187937&amp;menuPK=64154159&amp;searchMenuPK=64258546&amp;theSitePK=523679&amp;entityID=000334955_20091015021023","Environmental and social management framework ")</f>
        <v xml:space="preserve">Environmental and social management framework </v>
      </c>
      <c r="F494" s="9">
        <v>39822</v>
      </c>
      <c r="G494" s="2" t="s">
        <v>1069</v>
      </c>
      <c r="H494" s="2" t="s">
        <v>10</v>
      </c>
      <c r="I494" s="2"/>
      <c r="J494" s="3"/>
      <c r="K494" s="2" t="s">
        <v>164</v>
      </c>
      <c r="L494" s="2" t="s">
        <v>1068</v>
      </c>
      <c r="M494" s="2" t="s">
        <v>415</v>
      </c>
      <c r="N494" s="2" t="s">
        <v>1067</v>
      </c>
      <c r="O494" s="2" t="s">
        <v>161</v>
      </c>
      <c r="P494" s="2"/>
      <c r="Q494" s="2" t="s">
        <v>1066</v>
      </c>
      <c r="R494" s="2" t="s">
        <v>1065</v>
      </c>
      <c r="S494" s="2" t="s">
        <v>1064</v>
      </c>
      <c r="T494" s="2"/>
      <c r="U494" s="2" t="s">
        <v>420</v>
      </c>
      <c r="V494" s="2" t="s">
        <v>0</v>
      </c>
    </row>
    <row r="495" spans="1:22" ht="90" x14ac:dyDescent="0.25">
      <c r="A495" s="12" t="s">
        <v>552</v>
      </c>
      <c r="B495" s="10" t="s">
        <v>1063</v>
      </c>
      <c r="C495" s="2" t="s">
        <v>1010</v>
      </c>
      <c r="D495" s="14" t="s">
        <v>12</v>
      </c>
      <c r="E495" s="1" t="str">
        <f>HYPERLINK("http://www-wds.worldbank.org/external/default/main?menuPK=64187510&amp;pagePK=64193027&amp;piPK=64187937&amp;menuPK=64154159&amp;searchMenuPK=64258546&amp;theSitePK=523679&amp;entityID=000333037_20090506012956","Nepal - Agricultural Commercialization and Trade Project : framework for indigenous people development plan ")</f>
        <v xml:space="preserve">Nepal - Agricultural Commercialization and Trade Project : framework for indigenous people development plan </v>
      </c>
      <c r="F495" s="3" t="s">
        <v>1062</v>
      </c>
      <c r="G495" s="2" t="s">
        <v>1061</v>
      </c>
      <c r="H495" s="2" t="s">
        <v>10</v>
      </c>
      <c r="I495" s="2"/>
      <c r="J495" s="3"/>
      <c r="K495" s="2" t="s">
        <v>8</v>
      </c>
      <c r="L495" s="2" t="s">
        <v>1060</v>
      </c>
      <c r="M495" s="2" t="s">
        <v>415</v>
      </c>
      <c r="N495" s="2" t="s">
        <v>1059</v>
      </c>
      <c r="O495" s="2" t="s">
        <v>1058</v>
      </c>
      <c r="P495" s="2"/>
      <c r="Q495" s="2" t="s">
        <v>1057</v>
      </c>
      <c r="R495" s="2" t="s">
        <v>1056</v>
      </c>
      <c r="S495" s="2" t="s">
        <v>1055</v>
      </c>
      <c r="T495" s="2" t="s">
        <v>1054</v>
      </c>
      <c r="U495" s="2" t="s">
        <v>1038</v>
      </c>
      <c r="V495" s="2" t="s">
        <v>0</v>
      </c>
    </row>
    <row r="496" spans="1:22" ht="90" x14ac:dyDescent="0.25">
      <c r="A496" s="6"/>
      <c r="B496" s="10"/>
      <c r="C496" s="2" t="s">
        <v>1010</v>
      </c>
      <c r="D496" s="2" t="s">
        <v>12</v>
      </c>
      <c r="E496" s="1" t="str">
        <f>HYPERLINK("http://www-wds.worldbank.org/external/default/main?menuPK=64187510&amp;pagePK=64193027&amp;piPK=64187937&amp;menuPK=64154159&amp;searchMenuPK=64258546&amp;theSitePK=523679&amp;entityID=000020953_20071001104026","Nepal - Irrigation and Water Resources Management Project : indigenous peoples plan ")</f>
        <v xml:space="preserve">Nepal - Irrigation and Water Resources Management Project : indigenous peoples plan </v>
      </c>
      <c r="F496" s="3" t="s">
        <v>1053</v>
      </c>
      <c r="G496" s="2" t="s">
        <v>1052</v>
      </c>
      <c r="H496" s="2" t="s">
        <v>10</v>
      </c>
      <c r="I496" s="2"/>
      <c r="J496" s="3"/>
      <c r="K496" s="2" t="s">
        <v>1051</v>
      </c>
      <c r="L496" s="2" t="s">
        <v>1050</v>
      </c>
      <c r="M496" s="2" t="s">
        <v>415</v>
      </c>
      <c r="N496" s="2" t="s">
        <v>1049</v>
      </c>
      <c r="O496" s="2" t="s">
        <v>1048</v>
      </c>
      <c r="P496" s="2"/>
      <c r="Q496" s="2" t="s">
        <v>1047</v>
      </c>
      <c r="R496" s="2" t="s">
        <v>615</v>
      </c>
      <c r="S496" s="2"/>
      <c r="T496" s="2"/>
      <c r="U496" s="2" t="s">
        <v>1038</v>
      </c>
      <c r="V496" s="2" t="s">
        <v>0</v>
      </c>
    </row>
    <row r="497" spans="1:22" ht="90" x14ac:dyDescent="0.25">
      <c r="A497" s="6"/>
      <c r="B497" s="10"/>
      <c r="C497" s="2" t="s">
        <v>1010</v>
      </c>
      <c r="D497" s="2" t="s">
        <v>12</v>
      </c>
      <c r="E497" s="1" t="str">
        <f>HYPERLINK("http://www-wds.worldbank.org/external/default/main?menuPK=64187510&amp;pagePK=64193027&amp;piPK=64187937&amp;menuPK=64154159&amp;searchMenuPK=64258546&amp;theSitePK=523679&amp;entityID=000011823_20071004170600","Nepal - Second Poverty Alleviation Fund Project : indigenous peoples instrument ")</f>
        <v xml:space="preserve">Nepal - Second Poverty Alleviation Fund Project : indigenous peoples instrument </v>
      </c>
      <c r="F497" s="3" t="s">
        <v>1046</v>
      </c>
      <c r="G497" s="2" t="s">
        <v>1045</v>
      </c>
      <c r="H497" s="2" t="s">
        <v>10</v>
      </c>
      <c r="I497" s="2" t="s">
        <v>1044</v>
      </c>
      <c r="J497" s="3"/>
      <c r="K497" s="2" t="s">
        <v>1043</v>
      </c>
      <c r="L497" s="2" t="s">
        <v>1042</v>
      </c>
      <c r="M497" s="2" t="s">
        <v>415</v>
      </c>
      <c r="N497" s="2" t="s">
        <v>1041</v>
      </c>
      <c r="O497" s="2" t="s">
        <v>1040</v>
      </c>
      <c r="P497" s="2"/>
      <c r="Q497" s="2" t="s">
        <v>1039</v>
      </c>
      <c r="R497" s="2" t="s">
        <v>792</v>
      </c>
      <c r="S497" s="2"/>
      <c r="T497" s="2"/>
      <c r="U497" s="2" t="s">
        <v>1038</v>
      </c>
      <c r="V497" s="2" t="s">
        <v>0</v>
      </c>
    </row>
    <row r="498" spans="1:22" ht="75" x14ac:dyDescent="0.25">
      <c r="A498" s="6"/>
      <c r="B498" s="10"/>
      <c r="C498" s="2" t="s">
        <v>1010</v>
      </c>
      <c r="D498" s="2" t="s">
        <v>12</v>
      </c>
      <c r="E498" s="1" t="str">
        <f>HYPERLINK("http://www-wds.worldbank.org/external/default/main?menuPK=64187510&amp;pagePK=64193027&amp;piPK=64187937&amp;menuPK=64154159&amp;searchMenuPK=64258546&amp;theSitePK=523679&amp;entityID=000020439_20070926094043","Resettlement policy framework ")</f>
        <v xml:space="preserve">Resettlement policy framework </v>
      </c>
      <c r="F498" s="9">
        <v>39086</v>
      </c>
      <c r="G498" s="2" t="s">
        <v>1034</v>
      </c>
      <c r="H498" s="2" t="s">
        <v>10</v>
      </c>
      <c r="I498" s="2"/>
      <c r="J498" s="3"/>
      <c r="K498" s="2" t="s">
        <v>164</v>
      </c>
      <c r="L498" s="2" t="s">
        <v>1033</v>
      </c>
      <c r="M498" s="2" t="s">
        <v>415</v>
      </c>
      <c r="N498" s="2" t="s">
        <v>1032</v>
      </c>
      <c r="O498" s="2" t="s">
        <v>161</v>
      </c>
      <c r="P498" s="2"/>
      <c r="Q498" s="2" t="s">
        <v>1037</v>
      </c>
      <c r="R498" s="2" t="s">
        <v>1036</v>
      </c>
      <c r="S498" s="2"/>
      <c r="T498" s="2"/>
      <c r="U498" s="2" t="s">
        <v>420</v>
      </c>
      <c r="V498" s="2" t="s">
        <v>70</v>
      </c>
    </row>
    <row r="499" spans="1:22" ht="75" x14ac:dyDescent="0.25">
      <c r="A499" s="12" t="s">
        <v>552</v>
      </c>
      <c r="B499" s="10" t="s">
        <v>1035</v>
      </c>
      <c r="C499" s="2" t="s">
        <v>1010</v>
      </c>
      <c r="D499" s="14" t="s">
        <v>12</v>
      </c>
      <c r="E499" s="1" t="str">
        <f>HYPERLINK("http://www-wds.worldbank.org/external/default/main?menuPK=64187510&amp;pagePK=64193027&amp;piPK=64187937&amp;menuPK=64154159&amp;searchMenuPK=64258546&amp;theSitePK=523679&amp;entityID=000020439_20070926094501","Vulnurable community development framework ")</f>
        <v xml:space="preserve">Vulnurable community development framework </v>
      </c>
      <c r="F499" s="9">
        <v>39086</v>
      </c>
      <c r="G499" s="2" t="s">
        <v>1034</v>
      </c>
      <c r="H499" s="2" t="s">
        <v>10</v>
      </c>
      <c r="I499" s="2"/>
      <c r="J499" s="3"/>
      <c r="K499" s="2" t="s">
        <v>164</v>
      </c>
      <c r="L499" s="2" t="s">
        <v>1033</v>
      </c>
      <c r="M499" s="2" t="s">
        <v>415</v>
      </c>
      <c r="N499" s="2" t="s">
        <v>1032</v>
      </c>
      <c r="O499" s="2" t="s">
        <v>161</v>
      </c>
      <c r="P499" s="2"/>
      <c r="Q499" s="2" t="s">
        <v>1031</v>
      </c>
      <c r="R499" s="2" t="s">
        <v>1030</v>
      </c>
      <c r="S499" s="2"/>
      <c r="T499" s="2"/>
      <c r="U499" s="2" t="s">
        <v>420</v>
      </c>
      <c r="V499" s="2" t="s">
        <v>0</v>
      </c>
    </row>
    <row r="500" spans="1:22" ht="60" x14ac:dyDescent="0.25">
      <c r="A500" s="6"/>
      <c r="B500" s="10"/>
      <c r="C500" s="2" t="s">
        <v>1010</v>
      </c>
      <c r="D500" s="2" t="s">
        <v>12</v>
      </c>
      <c r="E500" s="1" t="str">
        <f>HYPERLINK("http://www-wds.worldbank.org/external/default/main?menuPK=64187510&amp;pagePK=64193027&amp;piPK=64187937&amp;menuPK=64154159&amp;searchMenuPK=64258546&amp;theSitePK=523679&amp;entityID=000334955_20101025030940","Resettlement policy framework : chapter seven ")</f>
        <v xml:space="preserve">Resettlement policy framework : chapter seven </v>
      </c>
      <c r="F500" s="9">
        <v>39086</v>
      </c>
      <c r="G500" s="2" t="s">
        <v>1026</v>
      </c>
      <c r="H500" s="2" t="s">
        <v>10</v>
      </c>
      <c r="I500" s="2"/>
      <c r="J500" s="3"/>
      <c r="K500" s="2" t="s">
        <v>164</v>
      </c>
      <c r="L500" s="2" t="s">
        <v>1025</v>
      </c>
      <c r="M500" s="2" t="s">
        <v>415</v>
      </c>
      <c r="N500" s="2" t="s">
        <v>1024</v>
      </c>
      <c r="O500" s="2" t="s">
        <v>161</v>
      </c>
      <c r="P500" s="2"/>
      <c r="Q500" s="2" t="s">
        <v>1029</v>
      </c>
      <c r="R500" s="2" t="s">
        <v>1028</v>
      </c>
      <c r="S500" s="2"/>
      <c r="T500" s="2"/>
      <c r="U500" s="2" t="s">
        <v>420</v>
      </c>
      <c r="V500" s="2" t="s">
        <v>35</v>
      </c>
    </row>
    <row r="501" spans="1:22" ht="60" x14ac:dyDescent="0.25">
      <c r="A501" s="12" t="s">
        <v>552</v>
      </c>
      <c r="B501" s="10" t="s">
        <v>1027</v>
      </c>
      <c r="C501" s="2" t="s">
        <v>1010</v>
      </c>
      <c r="D501" s="14" t="s">
        <v>12</v>
      </c>
      <c r="E501" s="1" t="str">
        <f>HYPERLINK("http://www-wds.worldbank.org/external/default/main?menuPK=64187510&amp;pagePK=64193027&amp;piPK=64187937&amp;menuPK=64154159&amp;searchMenuPK=64258546&amp;theSitePK=523679&amp;entityID=000334955_20101025031236","Vulnerable community development framework : chapter eight ")</f>
        <v xml:space="preserve">Vulnerable community development framework : chapter eight </v>
      </c>
      <c r="F501" s="9">
        <v>39086</v>
      </c>
      <c r="G501" s="2" t="s">
        <v>1026</v>
      </c>
      <c r="H501" s="2" t="s">
        <v>10</v>
      </c>
      <c r="I501" s="2"/>
      <c r="J501" s="3"/>
      <c r="K501" s="2" t="s">
        <v>164</v>
      </c>
      <c r="L501" s="2" t="s">
        <v>1025</v>
      </c>
      <c r="M501" s="2" t="s">
        <v>415</v>
      </c>
      <c r="N501" s="2" t="s">
        <v>1024</v>
      </c>
      <c r="O501" s="2" t="s">
        <v>161</v>
      </c>
      <c r="P501" s="2"/>
      <c r="Q501" s="2" t="s">
        <v>1023</v>
      </c>
      <c r="R501" s="2" t="s">
        <v>1022</v>
      </c>
      <c r="S501" s="2"/>
      <c r="T501" s="2"/>
      <c r="U501" s="2" t="s">
        <v>420</v>
      </c>
      <c r="V501" s="2" t="s">
        <v>55</v>
      </c>
    </row>
    <row r="502" spans="1:22" ht="60" x14ac:dyDescent="0.25">
      <c r="A502" s="6"/>
      <c r="B502" s="10"/>
      <c r="C502" s="2" t="s">
        <v>1010</v>
      </c>
      <c r="D502" s="2" t="s">
        <v>12</v>
      </c>
      <c r="E502" s="1" t="str">
        <f>HYPERLINK("http://www-wds.worldbank.org/external/default/main?menuPK=64187510&amp;pagePK=64193027&amp;piPK=64187937&amp;menuPK=64154159&amp;searchMenuPK=64258546&amp;theSitePK=523679&amp;entityID=000012009_20050315134241","Nepal - Rural Access Improvement Project : indigenous peoples plan ")</f>
        <v xml:space="preserve">Nepal - Rural Access Improvement Project : indigenous peoples plan </v>
      </c>
      <c r="F502" s="9">
        <v>37998</v>
      </c>
      <c r="G502" s="2" t="s">
        <v>1021</v>
      </c>
      <c r="H502" s="2" t="s">
        <v>10</v>
      </c>
      <c r="I502" s="2" t="s">
        <v>31</v>
      </c>
      <c r="J502" s="3"/>
      <c r="K502" s="2" t="s">
        <v>164</v>
      </c>
      <c r="L502" s="2" t="s">
        <v>1020</v>
      </c>
      <c r="M502" s="2" t="s">
        <v>415</v>
      </c>
      <c r="N502" s="2" t="s">
        <v>1019</v>
      </c>
      <c r="O502" s="2" t="s">
        <v>161</v>
      </c>
      <c r="P502" s="2"/>
      <c r="Q502" s="2" t="s">
        <v>1018</v>
      </c>
      <c r="R502" s="2" t="s">
        <v>1017</v>
      </c>
      <c r="S502" s="2"/>
      <c r="T502" s="2"/>
      <c r="U502" s="2" t="s">
        <v>441</v>
      </c>
      <c r="V502" s="2" t="s">
        <v>0</v>
      </c>
    </row>
    <row r="503" spans="1:22" ht="120" x14ac:dyDescent="0.25">
      <c r="A503" s="6"/>
      <c r="B503" s="10"/>
      <c r="C503" s="2" t="s">
        <v>1010</v>
      </c>
      <c r="D503" s="2" t="s">
        <v>12</v>
      </c>
      <c r="E503" s="1" t="str">
        <f>HYPERLINK("http://www-wds.worldbank.org/external/default/main?menuPK=64187510&amp;pagePK=64193027&amp;piPK=64187937&amp;menuPK=64154159&amp;searchMenuPK=64258546&amp;theSitePK=523679&amp;entityID=000090341_20050325101211","Nepal - Education for All Project : indigenous peoples plan ")</f>
        <v xml:space="preserve">Nepal - Education for All Project : indigenous peoples plan </v>
      </c>
      <c r="F503" s="9">
        <v>37988</v>
      </c>
      <c r="G503" s="2" t="s">
        <v>1016</v>
      </c>
      <c r="H503" s="2" t="s">
        <v>10</v>
      </c>
      <c r="I503" s="2"/>
      <c r="J503" s="3"/>
      <c r="K503" s="2" t="s">
        <v>1015</v>
      </c>
      <c r="L503" s="2" t="s">
        <v>1014</v>
      </c>
      <c r="M503" s="2" t="s">
        <v>415</v>
      </c>
      <c r="N503" s="2" t="s">
        <v>1013</v>
      </c>
      <c r="O503" s="2" t="s">
        <v>1012</v>
      </c>
      <c r="P503" s="2"/>
      <c r="Q503" s="2" t="s">
        <v>26</v>
      </c>
      <c r="R503" s="2" t="s">
        <v>25</v>
      </c>
      <c r="S503" s="2"/>
      <c r="T503" s="2"/>
      <c r="U503" s="2" t="s">
        <v>1011</v>
      </c>
      <c r="V503" s="2" t="s">
        <v>0</v>
      </c>
    </row>
    <row r="504" spans="1:22" ht="135" x14ac:dyDescent="0.25">
      <c r="A504" s="6"/>
      <c r="B504" s="10"/>
      <c r="C504" s="2" t="s">
        <v>1010</v>
      </c>
      <c r="D504" s="2" t="s">
        <v>12</v>
      </c>
      <c r="E504" s="1" t="str">
        <f>HYPERLINK("http://www-wds.worldbank.org/external/default/main?menuPK=64187510&amp;pagePK=64193027&amp;piPK=64187937&amp;menuPK=64154159&amp;searchMenuPK=64258546&amp;theSitePK=523679&amp;entityID=000160016_20031118183611","Nepal - Second Rural Water Supply and Sanitation Project : indigenous peoples development plan ")</f>
        <v xml:space="preserve">Nepal - Second Rural Water Supply and Sanitation Project : indigenous peoples development plan </v>
      </c>
      <c r="F504" s="9">
        <v>37602</v>
      </c>
      <c r="G504" s="2" t="s">
        <v>1009</v>
      </c>
      <c r="H504" s="2" t="s">
        <v>10</v>
      </c>
      <c r="I504" s="2" t="s">
        <v>1008</v>
      </c>
      <c r="J504" s="3"/>
      <c r="K504" s="2" t="s">
        <v>145</v>
      </c>
      <c r="L504" s="2" t="s">
        <v>1007</v>
      </c>
      <c r="M504" s="2" t="s">
        <v>415</v>
      </c>
      <c r="N504" s="2" t="s">
        <v>1006</v>
      </c>
      <c r="O504" s="2" t="s">
        <v>886</v>
      </c>
      <c r="P504" s="2"/>
      <c r="Q504" s="2" t="s">
        <v>1005</v>
      </c>
      <c r="R504" s="2" t="s">
        <v>48</v>
      </c>
      <c r="S504" s="2"/>
      <c r="T504" s="2"/>
      <c r="U504" s="2" t="s">
        <v>441</v>
      </c>
      <c r="V504" s="2" t="s">
        <v>0</v>
      </c>
    </row>
    <row r="505" spans="1:22" ht="120" x14ac:dyDescent="0.25">
      <c r="A505" s="6"/>
      <c r="B505" s="10"/>
      <c r="C505" s="2" t="s">
        <v>923</v>
      </c>
      <c r="D505" s="2" t="s">
        <v>398</v>
      </c>
      <c r="E505" s="1" t="str">
        <f>HYPERLINK("http://www-wds.worldbank.org/external/default/main?menuPK=64187510&amp;pagePK=64193027&amp;piPK=64187937&amp;menuPK=64154159&amp;searchMenuPK=64258546&amp;theSitePK=523679&amp;entityID=000020953_20110302142151","Informe de analisis social ")</f>
        <v xml:space="preserve">Informe de analisis social </v>
      </c>
      <c r="F505" s="9">
        <v>40848</v>
      </c>
      <c r="G505" s="2" t="s">
        <v>1004</v>
      </c>
      <c r="H505" s="2" t="s">
        <v>10</v>
      </c>
      <c r="I505" s="2"/>
      <c r="J505" s="3"/>
      <c r="K505" s="2" t="s">
        <v>1003</v>
      </c>
      <c r="L505" s="2" t="s">
        <v>1002</v>
      </c>
      <c r="M505" s="2" t="s">
        <v>634</v>
      </c>
      <c r="N505" s="2" t="s">
        <v>1001</v>
      </c>
      <c r="O505" s="2" t="s">
        <v>1000</v>
      </c>
      <c r="P505" s="2"/>
      <c r="Q505" s="2" t="s">
        <v>999</v>
      </c>
      <c r="R505" s="2" t="s">
        <v>998</v>
      </c>
      <c r="S505" s="2"/>
      <c r="T505" s="2" t="s">
        <v>997</v>
      </c>
      <c r="U505" s="2" t="s">
        <v>670</v>
      </c>
      <c r="V505" s="2" t="s">
        <v>70</v>
      </c>
    </row>
    <row r="506" spans="1:22" ht="120" x14ac:dyDescent="0.25">
      <c r="A506" s="6"/>
      <c r="B506" s="10"/>
      <c r="C506" s="2" t="s">
        <v>923</v>
      </c>
      <c r="D506" s="2" t="s">
        <v>398</v>
      </c>
      <c r="E506" s="1" t="str">
        <f>HYPERLINK("http://www-wds.worldbank.org/external/default/main?menuPK=64187510&amp;pagePK=64193027&amp;piPK=64187937&amp;menuPK=64154159&amp;searchMenuPK=64258546&amp;theSitePK=523679&amp;entityID=000020953_20110302142717","Anexos ")</f>
        <v xml:space="preserve">Anexos </v>
      </c>
      <c r="F506" s="9">
        <v>40848</v>
      </c>
      <c r="G506" s="2" t="s">
        <v>1004</v>
      </c>
      <c r="H506" s="2" t="s">
        <v>10</v>
      </c>
      <c r="I506" s="2"/>
      <c r="J506" s="3"/>
      <c r="K506" s="2" t="s">
        <v>1003</v>
      </c>
      <c r="L506" s="2" t="s">
        <v>1002</v>
      </c>
      <c r="M506" s="2" t="s">
        <v>634</v>
      </c>
      <c r="N506" s="2" t="s">
        <v>1001</v>
      </c>
      <c r="O506" s="2" t="s">
        <v>1000</v>
      </c>
      <c r="P506" s="2"/>
      <c r="Q506" s="2" t="s">
        <v>999</v>
      </c>
      <c r="R506" s="2" t="s">
        <v>998</v>
      </c>
      <c r="S506" s="2"/>
      <c r="T506" s="2" t="s">
        <v>997</v>
      </c>
      <c r="U506" s="2" t="s">
        <v>670</v>
      </c>
      <c r="V506" s="2" t="s">
        <v>59</v>
      </c>
    </row>
    <row r="507" spans="1:22" ht="60" x14ac:dyDescent="0.25">
      <c r="A507" s="6"/>
      <c r="B507" s="10"/>
      <c r="C507" s="2" t="s">
        <v>923</v>
      </c>
      <c r="D507" s="2" t="s">
        <v>398</v>
      </c>
      <c r="E507" s="1" t="str">
        <f>HYPERLINK("http://www-wds.worldbank.org/external/default/main?menuPK=64187510&amp;pagePK=64193027&amp;piPK=64187937&amp;menuPK=64154159&amp;searchMenuPK=64258546&amp;theSitePK=523679&amp;entityID=000020953_20101215133410","Nicaragua - Social Protection Project : indigenous peoples plan ")</f>
        <v xml:space="preserve">Nicaragua - Social Protection Project : indigenous peoples plan </v>
      </c>
      <c r="F507" s="3" t="s">
        <v>996</v>
      </c>
      <c r="G507" s="2" t="s">
        <v>995</v>
      </c>
      <c r="H507" s="2" t="s">
        <v>10</v>
      </c>
      <c r="I507" s="2"/>
      <c r="J507" s="3"/>
      <c r="K507" s="2" t="s">
        <v>109</v>
      </c>
      <c r="L507" s="2" t="s">
        <v>994</v>
      </c>
      <c r="M507" s="2" t="s">
        <v>634</v>
      </c>
      <c r="N507" s="2" t="s">
        <v>993</v>
      </c>
      <c r="O507" s="2" t="s">
        <v>460</v>
      </c>
      <c r="P507" s="2"/>
      <c r="Q507" s="2" t="s">
        <v>992</v>
      </c>
      <c r="R507" s="2" t="s">
        <v>991</v>
      </c>
      <c r="S507" s="2"/>
      <c r="T507" s="2"/>
      <c r="U507" s="2" t="s">
        <v>742</v>
      </c>
      <c r="V507" s="2" t="s">
        <v>0</v>
      </c>
    </row>
    <row r="508" spans="1:22" ht="60" x14ac:dyDescent="0.25">
      <c r="A508" s="6"/>
      <c r="B508" s="10"/>
      <c r="C508" s="2" t="s">
        <v>923</v>
      </c>
      <c r="D508" s="2" t="s">
        <v>398</v>
      </c>
      <c r="E508" s="1" t="str">
        <f>HYPERLINK("http://www-wds.worldbank.org/external/default/main?menuPK=64187510&amp;pagePK=64193027&amp;piPK=64187937&amp;menuPK=64154159&amp;searchMenuPK=64258546&amp;theSitePK=523679&amp;entityID=000020953_20100730144850","Marco planificación para pueblos indígenas y comunidades étnicas ")</f>
        <v xml:space="preserve">Marco planificación para pueblos indígenas y comunidades étnicas </v>
      </c>
      <c r="F508" s="3" t="s">
        <v>990</v>
      </c>
      <c r="G508" s="2" t="s">
        <v>989</v>
      </c>
      <c r="H508" s="2" t="s">
        <v>10</v>
      </c>
      <c r="I508" s="2"/>
      <c r="J508" s="3"/>
      <c r="K508" s="2" t="s">
        <v>109</v>
      </c>
      <c r="L508" s="2" t="s">
        <v>988</v>
      </c>
      <c r="M508" s="2" t="s">
        <v>634</v>
      </c>
      <c r="N508" s="2" t="s">
        <v>987</v>
      </c>
      <c r="O508" s="2" t="s">
        <v>106</v>
      </c>
      <c r="P508" s="2"/>
      <c r="Q508" s="2" t="s">
        <v>986</v>
      </c>
      <c r="R508" s="2" t="s">
        <v>352</v>
      </c>
      <c r="S508" s="2"/>
      <c r="T508" s="2"/>
      <c r="U508" s="2" t="s">
        <v>684</v>
      </c>
      <c r="V508" s="2" t="s">
        <v>0</v>
      </c>
    </row>
    <row r="509" spans="1:22" ht="120" x14ac:dyDescent="0.25">
      <c r="A509" s="6"/>
      <c r="B509" s="10"/>
      <c r="C509" s="2" t="s">
        <v>923</v>
      </c>
      <c r="D509" s="2" t="s">
        <v>398</v>
      </c>
      <c r="E509" s="1" t="str">
        <f>HYPERLINK("http://www-wds.worldbank.org/external/default/main?menuPK=64187510&amp;pagePK=64193027&amp;piPK=64187937&amp;menuPK=64154159&amp;searchMenuPK=64258546&amp;theSitePK=523679&amp;entityID=000020953_20091209145149","Plan de participacion de las comunidades indigenas del norte y centro pacifico de Nicaragua, en el marco del financiamiento adicional del PRODEP ")</f>
        <v xml:space="preserve">Plan de participacion de las comunidades indigenas del norte y centro pacifico de Nicaragua, en el marco del financiamiento adicional del PRODEP </v>
      </c>
      <c r="F509" s="3" t="s">
        <v>985</v>
      </c>
      <c r="G509" s="2" t="s">
        <v>984</v>
      </c>
      <c r="H509" s="2" t="s">
        <v>10</v>
      </c>
      <c r="I509" s="2"/>
      <c r="J509" s="3"/>
      <c r="K509" s="2" t="s">
        <v>805</v>
      </c>
      <c r="L509" s="2" t="s">
        <v>983</v>
      </c>
      <c r="M509" s="2" t="s">
        <v>634</v>
      </c>
      <c r="N509" s="2" t="s">
        <v>982</v>
      </c>
      <c r="O509" s="2" t="s">
        <v>981</v>
      </c>
      <c r="P509" s="2"/>
      <c r="Q509" s="2" t="s">
        <v>980</v>
      </c>
      <c r="R509" s="2" t="s">
        <v>979</v>
      </c>
      <c r="S509" s="2" t="s">
        <v>978</v>
      </c>
      <c r="T509" s="2" t="s">
        <v>977</v>
      </c>
      <c r="U509" s="2" t="s">
        <v>670</v>
      </c>
      <c r="V509" s="2" t="s">
        <v>0</v>
      </c>
    </row>
    <row r="510" spans="1:22" ht="75" x14ac:dyDescent="0.25">
      <c r="A510" s="6"/>
      <c r="B510" s="10"/>
      <c r="C510" s="2" t="s">
        <v>923</v>
      </c>
      <c r="D510" s="2" t="s">
        <v>398</v>
      </c>
      <c r="E510" s="1" t="str">
        <f>HYPERLINK("http://www-wds.worldbank.org/external/default/main?menuPK=64187510&amp;pagePK=64193027&amp;piPK=64187937&amp;menuPK=64154159&amp;searchMenuPK=64258546&amp;theSitePK=523679&amp;entityID=000020953_20091118134721","Evaluacion social de territorios ")</f>
        <v xml:space="preserve">Evaluacion social de territorios </v>
      </c>
      <c r="F510" s="9">
        <v>39819</v>
      </c>
      <c r="G510" s="2" t="s">
        <v>976</v>
      </c>
      <c r="H510" s="2" t="s">
        <v>10</v>
      </c>
      <c r="I510" s="2"/>
      <c r="J510" s="3"/>
      <c r="K510" s="2" t="s">
        <v>8</v>
      </c>
      <c r="L510" s="2" t="s">
        <v>975</v>
      </c>
      <c r="M510" s="2" t="s">
        <v>634</v>
      </c>
      <c r="N510" s="2" t="s">
        <v>974</v>
      </c>
      <c r="O510" s="2" t="s">
        <v>973</v>
      </c>
      <c r="P510" s="2"/>
      <c r="Q510" s="2" t="s">
        <v>972</v>
      </c>
      <c r="R510" s="2" t="s">
        <v>971</v>
      </c>
      <c r="S510" s="2" t="s">
        <v>970</v>
      </c>
      <c r="T510" s="2"/>
      <c r="U510" s="2" t="s">
        <v>670</v>
      </c>
      <c r="V510" s="2" t="s">
        <v>323</v>
      </c>
    </row>
    <row r="511" spans="1:22" ht="75" x14ac:dyDescent="0.25">
      <c r="A511" s="6"/>
      <c r="B511" s="10"/>
      <c r="C511" s="2" t="s">
        <v>923</v>
      </c>
      <c r="D511" s="2" t="s">
        <v>398</v>
      </c>
      <c r="E511" s="1" t="str">
        <f>HYPERLINK("http://www-wds.worldbank.org/external/default/main?menuPK=64187510&amp;pagePK=64193027&amp;piPK=64187937&amp;menuPK=64154159&amp;searchMenuPK=64258546&amp;theSitePK=523679&amp;entityID=000020953_20091118111202","Plan para pueblos indigenas ")</f>
        <v xml:space="preserve">Plan para pueblos indigenas </v>
      </c>
      <c r="F511" s="9">
        <v>39818</v>
      </c>
      <c r="G511" s="2" t="s">
        <v>976</v>
      </c>
      <c r="H511" s="2" t="s">
        <v>10</v>
      </c>
      <c r="I511" s="2"/>
      <c r="J511" s="3"/>
      <c r="K511" s="2" t="s">
        <v>8</v>
      </c>
      <c r="L511" s="2" t="s">
        <v>975</v>
      </c>
      <c r="M511" s="2" t="s">
        <v>634</v>
      </c>
      <c r="N511" s="2" t="s">
        <v>974</v>
      </c>
      <c r="O511" s="2" t="s">
        <v>973</v>
      </c>
      <c r="P511" s="2"/>
      <c r="Q511" s="2" t="s">
        <v>972</v>
      </c>
      <c r="R511" s="2" t="s">
        <v>971</v>
      </c>
      <c r="S511" s="2" t="s">
        <v>970</v>
      </c>
      <c r="T511" s="2"/>
      <c r="U511" s="2" t="s">
        <v>670</v>
      </c>
      <c r="V511" s="2" t="s">
        <v>148</v>
      </c>
    </row>
    <row r="512" spans="1:22" ht="75" x14ac:dyDescent="0.25">
      <c r="A512" s="6"/>
      <c r="B512" s="10"/>
      <c r="C512" s="2" t="s">
        <v>923</v>
      </c>
      <c r="D512" s="2" t="s">
        <v>398</v>
      </c>
      <c r="E512" s="1" t="str">
        <f>HYPERLINK("http://www-wds.worldbank.org/external/default/main?menuPK=64187510&amp;pagePK=64193027&amp;piPK=64187937&amp;menuPK=64154159&amp;searchMenuPK=64258546&amp;theSitePK=523679&amp;entityID=000020953_20091118112002","Resumen ejecutivo ")</f>
        <v xml:space="preserve">Resumen ejecutivo </v>
      </c>
      <c r="F512" s="9">
        <v>39818</v>
      </c>
      <c r="G512" s="2" t="s">
        <v>976</v>
      </c>
      <c r="H512" s="2" t="s">
        <v>10</v>
      </c>
      <c r="I512" s="2"/>
      <c r="J512" s="3"/>
      <c r="K512" s="2" t="s">
        <v>8</v>
      </c>
      <c r="L512" s="2" t="s">
        <v>975</v>
      </c>
      <c r="M512" s="2" t="s">
        <v>634</v>
      </c>
      <c r="N512" s="2" t="s">
        <v>974</v>
      </c>
      <c r="O512" s="2" t="s">
        <v>973</v>
      </c>
      <c r="P512" s="2"/>
      <c r="Q512" s="2" t="s">
        <v>972</v>
      </c>
      <c r="R512" s="2" t="s">
        <v>971</v>
      </c>
      <c r="S512" s="2" t="s">
        <v>970</v>
      </c>
      <c r="T512" s="2"/>
      <c r="U512" s="2" t="s">
        <v>670</v>
      </c>
      <c r="V512" s="2" t="s">
        <v>185</v>
      </c>
    </row>
    <row r="513" spans="1:22" ht="75" x14ac:dyDescent="0.25">
      <c r="A513" s="6"/>
      <c r="B513" s="10"/>
      <c r="C513" s="2" t="s">
        <v>923</v>
      </c>
      <c r="D513" s="2" t="s">
        <v>398</v>
      </c>
      <c r="E513" s="1" t="str">
        <f>HYPERLINK("http://www-wds.worldbank.org/external/default/main?menuPK=64187510&amp;pagePK=64193027&amp;piPK=64187937&amp;menuPK=64154159&amp;searchMenuPK=64258546&amp;theSitePK=523679&amp;entityID=000020953_20091118112618","Lecciones aprendidas del PTA II en el tema indigena ")</f>
        <v xml:space="preserve">Lecciones aprendidas del PTA II en el tema indigena </v>
      </c>
      <c r="F513" s="9">
        <v>39818</v>
      </c>
      <c r="G513" s="2" t="s">
        <v>976</v>
      </c>
      <c r="H513" s="2" t="s">
        <v>10</v>
      </c>
      <c r="I513" s="2"/>
      <c r="J513" s="3"/>
      <c r="K513" s="2" t="s">
        <v>8</v>
      </c>
      <c r="L513" s="2" t="s">
        <v>975</v>
      </c>
      <c r="M513" s="2" t="s">
        <v>634</v>
      </c>
      <c r="N513" s="2" t="s">
        <v>974</v>
      </c>
      <c r="O513" s="2" t="s">
        <v>973</v>
      </c>
      <c r="P513" s="2"/>
      <c r="Q513" s="2" t="s">
        <v>972</v>
      </c>
      <c r="R513" s="2" t="s">
        <v>971</v>
      </c>
      <c r="S513" s="2" t="s">
        <v>970</v>
      </c>
      <c r="T513" s="2"/>
      <c r="U513" s="2" t="s">
        <v>670</v>
      </c>
      <c r="V513" s="2" t="s">
        <v>225</v>
      </c>
    </row>
    <row r="514" spans="1:22" ht="75" x14ac:dyDescent="0.25">
      <c r="A514" s="6"/>
      <c r="B514" s="10"/>
      <c r="C514" s="2" t="s">
        <v>923</v>
      </c>
      <c r="D514" s="2" t="s">
        <v>398</v>
      </c>
      <c r="E514" s="1" t="str">
        <f>HYPERLINK("http://www-wds.worldbank.org/external/default/main?menuPK=64187510&amp;pagePK=64193027&amp;piPK=64187937&amp;menuPK=64154159&amp;searchMenuPK=64258546&amp;theSitePK=523679&amp;entityID=000020953_20091118131705","Evaluacion social de territorios indigenas ")</f>
        <v xml:space="preserve">Evaluacion social de territorios indigenas </v>
      </c>
      <c r="F514" s="9">
        <v>39818</v>
      </c>
      <c r="G514" s="2" t="s">
        <v>976</v>
      </c>
      <c r="H514" s="2" t="s">
        <v>10</v>
      </c>
      <c r="I514" s="2"/>
      <c r="J514" s="3"/>
      <c r="K514" s="2" t="s">
        <v>8</v>
      </c>
      <c r="L514" s="2" t="s">
        <v>975</v>
      </c>
      <c r="M514" s="2" t="s">
        <v>634</v>
      </c>
      <c r="N514" s="2" t="s">
        <v>974</v>
      </c>
      <c r="O514" s="2" t="s">
        <v>973</v>
      </c>
      <c r="P514" s="2"/>
      <c r="Q514" s="2" t="s">
        <v>972</v>
      </c>
      <c r="R514" s="2" t="s">
        <v>971</v>
      </c>
      <c r="S514" s="2" t="s">
        <v>970</v>
      </c>
      <c r="T514" s="2"/>
      <c r="U514" s="2" t="s">
        <v>670</v>
      </c>
      <c r="V514" s="2" t="s">
        <v>328</v>
      </c>
    </row>
    <row r="515" spans="1:22" ht="75" x14ac:dyDescent="0.25">
      <c r="A515" s="6"/>
      <c r="B515" s="10"/>
      <c r="C515" s="2" t="s">
        <v>923</v>
      </c>
      <c r="D515" s="2" t="s">
        <v>398</v>
      </c>
      <c r="E515" s="1" t="str">
        <f>HYPERLINK("http://www-wds.worldbank.org/external/default/main?menuPK=64187510&amp;pagePK=64193027&amp;piPK=64187937&amp;menuPK=64154159&amp;searchMenuPK=64258546&amp;theSitePK=523679&amp;entityID=000020953_20091118133742","Anexo tecnico para salvaguardias sociales ")</f>
        <v xml:space="preserve">Anexo tecnico para salvaguardias sociales </v>
      </c>
      <c r="F515" s="9">
        <v>39818</v>
      </c>
      <c r="G515" s="2" t="s">
        <v>976</v>
      </c>
      <c r="H515" s="2" t="s">
        <v>10</v>
      </c>
      <c r="I515" s="2"/>
      <c r="J515" s="3"/>
      <c r="K515" s="2" t="s">
        <v>8</v>
      </c>
      <c r="L515" s="2" t="s">
        <v>975</v>
      </c>
      <c r="M515" s="2" t="s">
        <v>634</v>
      </c>
      <c r="N515" s="2" t="s">
        <v>974</v>
      </c>
      <c r="O515" s="2" t="s">
        <v>973</v>
      </c>
      <c r="P515" s="2"/>
      <c r="Q515" s="2" t="s">
        <v>972</v>
      </c>
      <c r="R515" s="2" t="s">
        <v>971</v>
      </c>
      <c r="S515" s="2" t="s">
        <v>970</v>
      </c>
      <c r="T515" s="2"/>
      <c r="U515" s="2" t="s">
        <v>670</v>
      </c>
      <c r="V515" s="2" t="s">
        <v>325</v>
      </c>
    </row>
    <row r="516" spans="1:22" ht="60" x14ac:dyDescent="0.25">
      <c r="A516" s="6"/>
      <c r="B516" s="10"/>
      <c r="C516" s="2" t="s">
        <v>923</v>
      </c>
      <c r="D516" s="2" t="s">
        <v>12</v>
      </c>
      <c r="E516" s="1" t="str">
        <f>HYPERLINK("http://www-wds.worldbank.org/external/default/main?menuPK=64187510&amp;pagePK=64193027&amp;piPK=64187937&amp;menuPK=64154159&amp;searchMenuPK=64258546&amp;theSitePK=523679&amp;entityID=000334955_20080430024944","Indigenous peoples plan ")</f>
        <v xml:space="preserve">Indigenous peoples plan </v>
      </c>
      <c r="F516" s="9">
        <v>39725</v>
      </c>
      <c r="G516" s="2" t="s">
        <v>969</v>
      </c>
      <c r="H516" s="2" t="s">
        <v>10</v>
      </c>
      <c r="I516" s="2"/>
      <c r="J516" s="3"/>
      <c r="K516" s="2" t="s">
        <v>145</v>
      </c>
      <c r="L516" s="2" t="s">
        <v>968</v>
      </c>
      <c r="M516" s="2" t="s">
        <v>634</v>
      </c>
      <c r="N516" s="2" t="s">
        <v>967</v>
      </c>
      <c r="O516" s="2" t="s">
        <v>966</v>
      </c>
      <c r="P516" s="2"/>
      <c r="Q516" s="2" t="s">
        <v>965</v>
      </c>
      <c r="R516" s="2" t="s">
        <v>964</v>
      </c>
      <c r="S516" s="2" t="s">
        <v>963</v>
      </c>
      <c r="T516" s="2" t="s">
        <v>962</v>
      </c>
      <c r="U516" s="2" t="s">
        <v>706</v>
      </c>
      <c r="V516" s="2" t="s">
        <v>0</v>
      </c>
    </row>
    <row r="517" spans="1:22" ht="60" x14ac:dyDescent="0.25">
      <c r="A517" s="6"/>
      <c r="B517" s="10"/>
      <c r="C517" s="2" t="s">
        <v>923</v>
      </c>
      <c r="D517" s="2" t="s">
        <v>398</v>
      </c>
      <c r="E517" s="1" t="str">
        <f>HYPERLINK("http://www-wds.worldbank.org/external/default/main?menuPK=64187510&amp;pagePK=64193027&amp;piPK=64187937&amp;menuPK=64154159&amp;searchMenuPK=64258546&amp;theSitePK=523679&amp;entityID=000020953_20080428102605","Marco de Planificacion para la Participacion de Pueblos Indigenas ")</f>
        <v xml:space="preserve">Marco de Planificacion para la Participacion de Pueblos Indigenas </v>
      </c>
      <c r="F517" s="9">
        <v>39448</v>
      </c>
      <c r="G517" s="2" t="s">
        <v>961</v>
      </c>
      <c r="H517" s="2" t="s">
        <v>10</v>
      </c>
      <c r="I517" s="2" t="s">
        <v>960</v>
      </c>
      <c r="J517" s="3"/>
      <c r="K517" s="2" t="s">
        <v>959</v>
      </c>
      <c r="L517" s="2" t="s">
        <v>958</v>
      </c>
      <c r="M517" s="2" t="s">
        <v>634</v>
      </c>
      <c r="N517" s="2" t="s">
        <v>957</v>
      </c>
      <c r="O517" s="2" t="s">
        <v>956</v>
      </c>
      <c r="P517" s="2"/>
      <c r="Q517" s="2" t="s">
        <v>955</v>
      </c>
      <c r="R517" s="2" t="s">
        <v>954</v>
      </c>
      <c r="S517" s="2" t="s">
        <v>953</v>
      </c>
      <c r="T517" s="2" t="s">
        <v>952</v>
      </c>
      <c r="U517" s="2" t="s">
        <v>951</v>
      </c>
      <c r="V517" s="2" t="s">
        <v>0</v>
      </c>
    </row>
    <row r="518" spans="1:22" ht="195" x14ac:dyDescent="0.25">
      <c r="A518" s="6"/>
      <c r="B518" s="10"/>
      <c r="C518" s="2" t="s">
        <v>923</v>
      </c>
      <c r="D518" s="2" t="s">
        <v>398</v>
      </c>
      <c r="E518" s="1" t="str">
        <f>HYPERLINK("http://www-wds.worldbank.org/external/default/main?menuPK=64187510&amp;pagePK=64193027&amp;piPK=64187937&amp;menuPK=64154159&amp;searchMenuPK=64258546&amp;theSitePK=523679&amp;entityID=000012009_20051007152105","Nicaragua - Segundo Proyecto de Tecnologia Agropecuaria : plan institucional de proteccion a las poblaciones indigenas y evaluacion social ")</f>
        <v xml:space="preserve">Nicaragua - Segundo Proyecto de Tecnologia Agropecuaria : plan institucional de proteccion a las poblaciones indigenas y evaluacion social </v>
      </c>
      <c r="F518" s="9">
        <v>38361</v>
      </c>
      <c r="G518" s="2" t="s">
        <v>950</v>
      </c>
      <c r="H518" s="2" t="s">
        <v>10</v>
      </c>
      <c r="I518" s="2" t="s">
        <v>949</v>
      </c>
      <c r="J518" s="3"/>
      <c r="K518" s="2" t="s">
        <v>8</v>
      </c>
      <c r="L518" s="2" t="s">
        <v>948</v>
      </c>
      <c r="M518" s="2" t="s">
        <v>634</v>
      </c>
      <c r="N518" s="2" t="s">
        <v>947</v>
      </c>
      <c r="O518" s="2" t="s">
        <v>946</v>
      </c>
      <c r="P518" s="2"/>
      <c r="Q518" s="2" t="s">
        <v>945</v>
      </c>
      <c r="R518" s="2" t="s">
        <v>944</v>
      </c>
      <c r="S518" s="2"/>
      <c r="T518" s="2" t="s">
        <v>943</v>
      </c>
      <c r="U518" s="2" t="s">
        <v>670</v>
      </c>
      <c r="V518" s="2" t="s">
        <v>0</v>
      </c>
    </row>
    <row r="519" spans="1:22" ht="75" x14ac:dyDescent="0.25">
      <c r="A519" s="6"/>
      <c r="B519" s="10"/>
      <c r="C519" s="2" t="s">
        <v>923</v>
      </c>
      <c r="D519" s="2" t="s">
        <v>12</v>
      </c>
      <c r="E519" s="1" t="str">
        <f>HYPERLINK("http://www-wds.worldbank.org/external/default/main?menuPK=64187510&amp;pagePK=64193027&amp;piPK=64187937&amp;menuPK=64154159&amp;searchMenuPK=64258546&amp;theSitePK=523679&amp;entityID=000090341_20050303100829","Nicaragua - Health Services Extension and Modernization project : indigenous peoples plan ")</f>
        <v xml:space="preserve">Nicaragua - Health Services Extension and Modernization project : indigenous peoples plan </v>
      </c>
      <c r="F519" s="9">
        <v>38566</v>
      </c>
      <c r="G519" s="2" t="s">
        <v>942</v>
      </c>
      <c r="H519" s="2" t="s">
        <v>10</v>
      </c>
      <c r="I519" s="2"/>
      <c r="J519" s="3"/>
      <c r="K519" s="2" t="s">
        <v>109</v>
      </c>
      <c r="L519" s="2" t="s">
        <v>941</v>
      </c>
      <c r="M519" s="2" t="s">
        <v>634</v>
      </c>
      <c r="N519" s="2" t="s">
        <v>940</v>
      </c>
      <c r="O519" s="2" t="s">
        <v>489</v>
      </c>
      <c r="P519" s="2"/>
      <c r="Q519" s="2" t="s">
        <v>939</v>
      </c>
      <c r="R519" s="2" t="s">
        <v>487</v>
      </c>
      <c r="S519" s="2"/>
      <c r="T519" s="2" t="s">
        <v>938</v>
      </c>
      <c r="U519" s="2" t="s">
        <v>684</v>
      </c>
      <c r="V519" s="2" t="s">
        <v>0</v>
      </c>
    </row>
    <row r="520" spans="1:22" ht="60" x14ac:dyDescent="0.25">
      <c r="A520" s="6"/>
      <c r="B520" s="10"/>
      <c r="C520" s="2" t="s">
        <v>923</v>
      </c>
      <c r="D520" s="2" t="s">
        <v>12</v>
      </c>
      <c r="E520" s="1" t="str">
        <f>HYPERLINK("http://www-wds.worldbank.org/external/default/main?menuPK=64187510&amp;pagePK=64193027&amp;piPK=64187937&amp;menuPK=64154159&amp;searchMenuPK=64258546&amp;theSitePK=523679&amp;entityID=000012009_20031105150158","Nicaragua - Broad Based Access to Financial Services Technical Assistance Project : indigenous peoples plan ")</f>
        <v xml:space="preserve">Nicaragua - Broad Based Access to Financial Services Technical Assistance Project : indigenous peoples plan </v>
      </c>
      <c r="F520" s="3" t="s">
        <v>937</v>
      </c>
      <c r="G520" s="2" t="s">
        <v>936</v>
      </c>
      <c r="H520" s="2" t="s">
        <v>10</v>
      </c>
      <c r="I520" s="2" t="s">
        <v>31</v>
      </c>
      <c r="J520" s="3"/>
      <c r="K520" s="2" t="s">
        <v>204</v>
      </c>
      <c r="L520" s="2" t="s">
        <v>935</v>
      </c>
      <c r="M520" s="2" t="s">
        <v>634</v>
      </c>
      <c r="N520" s="2" t="s">
        <v>934</v>
      </c>
      <c r="O520" s="2" t="s">
        <v>933</v>
      </c>
      <c r="P520" s="2"/>
      <c r="Q520" s="2" t="s">
        <v>932</v>
      </c>
      <c r="R520" s="2" t="s">
        <v>487</v>
      </c>
      <c r="S520" s="2"/>
      <c r="T520" s="2" t="s">
        <v>931</v>
      </c>
      <c r="U520" s="2" t="s">
        <v>648</v>
      </c>
      <c r="V520" s="2" t="s">
        <v>0</v>
      </c>
    </row>
    <row r="521" spans="1:22" ht="105" x14ac:dyDescent="0.25">
      <c r="A521" s="6"/>
      <c r="B521" s="10"/>
      <c r="C521" s="2" t="s">
        <v>923</v>
      </c>
      <c r="D521" s="2" t="s">
        <v>398</v>
      </c>
      <c r="E521" s="1" t="str">
        <f>HYPERLINK("http://www-wds.worldbank.org/external/default/main?menuPK=64187510&amp;pagePK=64193027&amp;piPK=64187937&amp;menuPK=64154159&amp;searchMenuPK=64258546&amp;theSitePK=523679&amp;entityID=000094946_03070104022941","Nicaragua - Offgrid Rural Electrification Project : Indigenous Peoples Plan ")</f>
        <v xml:space="preserve">Nicaragua - Offgrid Rural Electrification Project : Indigenous Peoples Plan </v>
      </c>
      <c r="F521" s="3" t="s">
        <v>930</v>
      </c>
      <c r="G521" s="2" t="s">
        <v>929</v>
      </c>
      <c r="H521" s="2" t="s">
        <v>10</v>
      </c>
      <c r="I521" s="2" t="s">
        <v>928</v>
      </c>
      <c r="J521" s="3"/>
      <c r="K521" s="2" t="s">
        <v>476</v>
      </c>
      <c r="L521" s="2" t="s">
        <v>927</v>
      </c>
      <c r="M521" s="2" t="s">
        <v>634</v>
      </c>
      <c r="N521" s="2" t="s">
        <v>926</v>
      </c>
      <c r="O521" s="2" t="s">
        <v>925</v>
      </c>
      <c r="P521" s="2"/>
      <c r="Q521" s="2"/>
      <c r="R521" s="2"/>
      <c r="S521" s="2"/>
      <c r="T521" s="2" t="s">
        <v>924</v>
      </c>
      <c r="U521" s="2" t="s">
        <v>662</v>
      </c>
      <c r="V521" s="2">
        <v>1</v>
      </c>
    </row>
    <row r="522" spans="1:22" ht="120" x14ac:dyDescent="0.25">
      <c r="A522" s="6"/>
      <c r="B522" s="10"/>
      <c r="C522" s="2" t="s">
        <v>923</v>
      </c>
      <c r="D522" s="2" t="s">
        <v>12</v>
      </c>
      <c r="E522" s="1" t="str">
        <f>HYPERLINK("http://www-wds.worldbank.org/external/default/main?menuPK=64187510&amp;pagePK=64193027&amp;piPK=64187937&amp;menuPK=64154159&amp;searchMenuPK=64258546&amp;theSitePK=523679&amp;entityID=000094946_02050404111940","Nicaragua - Land Administration Project (PRODEP) : indigenous peoples development plan ")</f>
        <v xml:space="preserve">Nicaragua - Land Administration Project (PRODEP) : indigenous peoples development plan </v>
      </c>
      <c r="F522" s="3" t="s">
        <v>922</v>
      </c>
      <c r="G522" s="2" t="s">
        <v>921</v>
      </c>
      <c r="H522" s="2" t="s">
        <v>10</v>
      </c>
      <c r="I522" s="2"/>
      <c r="J522" s="3"/>
      <c r="K522" s="2" t="s">
        <v>522</v>
      </c>
      <c r="L522" s="2" t="s">
        <v>920</v>
      </c>
      <c r="M522" s="2" t="s">
        <v>634</v>
      </c>
      <c r="N522" s="2" t="s">
        <v>919</v>
      </c>
      <c r="O522" s="2" t="s">
        <v>918</v>
      </c>
      <c r="P522" s="2"/>
      <c r="Q522" s="2" t="s">
        <v>917</v>
      </c>
      <c r="R522" s="2" t="s">
        <v>21</v>
      </c>
      <c r="S522" s="2"/>
      <c r="T522" s="2" t="s">
        <v>916</v>
      </c>
      <c r="U522" s="2" t="s">
        <v>670</v>
      </c>
      <c r="V522" s="2">
        <v>1</v>
      </c>
    </row>
    <row r="523" spans="1:22" ht="75" x14ac:dyDescent="0.25">
      <c r="A523" s="6"/>
      <c r="B523" s="10"/>
      <c r="C523" s="2" t="s">
        <v>865</v>
      </c>
      <c r="D523" s="2" t="s">
        <v>398</v>
      </c>
      <c r="E523" s="1" t="str">
        <f>HYPERLINK("http://www-wds.worldbank.org/external/default/main?menuPK=64187510&amp;pagePK=64193027&amp;piPK=64187937&amp;menuPK=64154159&amp;searchMenuPK=64258546&amp;theSitePK=523679&amp;entityID=000020953_20100305111323","Marco de politica para los pueblos indigenas ")</f>
        <v xml:space="preserve">Marco de politica para los pueblos indigenas </v>
      </c>
      <c r="F523" s="3" t="s">
        <v>915</v>
      </c>
      <c r="G523" s="2" t="s">
        <v>914</v>
      </c>
      <c r="H523" s="2" t="s">
        <v>10</v>
      </c>
      <c r="I523" s="2"/>
      <c r="J523" s="3"/>
      <c r="K523" s="2" t="s">
        <v>145</v>
      </c>
      <c r="L523" s="2" t="s">
        <v>913</v>
      </c>
      <c r="M523" s="2" t="s">
        <v>634</v>
      </c>
      <c r="N523" s="2" t="s">
        <v>912</v>
      </c>
      <c r="O523" s="2" t="s">
        <v>142</v>
      </c>
      <c r="P523" s="2"/>
      <c r="Q523" s="2" t="s">
        <v>911</v>
      </c>
      <c r="R523" s="2" t="s">
        <v>910</v>
      </c>
      <c r="S523" s="2" t="s">
        <v>390</v>
      </c>
      <c r="T523" s="2"/>
      <c r="U523" s="2" t="s">
        <v>706</v>
      </c>
      <c r="V523" s="2" t="s">
        <v>0</v>
      </c>
    </row>
    <row r="524" spans="1:22" ht="90" x14ac:dyDescent="0.25">
      <c r="A524" s="6"/>
      <c r="B524" s="10"/>
      <c r="C524" s="2" t="s">
        <v>865</v>
      </c>
      <c r="D524" s="2" t="s">
        <v>398</v>
      </c>
      <c r="E524" s="1" t="str">
        <f>HYPERLINK("http://www-wds.worldbank.org/external/default/main?menuPK=64187510&amp;pagePK=64193027&amp;piPK=64187937&amp;menuPK=64154159&amp;searchMenuPK=64258546&amp;theSitePK=523679&amp;entityID=000020953_20100121152947","Plan de participacion indigena del PRONAT ")</f>
        <v xml:space="preserve">Plan de participacion indigena del PRONAT </v>
      </c>
      <c r="F524" s="9">
        <v>39824</v>
      </c>
      <c r="G524" s="2" t="s">
        <v>909</v>
      </c>
      <c r="H524" s="2" t="s">
        <v>10</v>
      </c>
      <c r="I524" s="2" t="s">
        <v>908</v>
      </c>
      <c r="J524" s="3">
        <v>7045</v>
      </c>
      <c r="K524" s="2" t="s">
        <v>805</v>
      </c>
      <c r="L524" s="2" t="s">
        <v>907</v>
      </c>
      <c r="M524" s="2" t="s">
        <v>634</v>
      </c>
      <c r="N524" s="2" t="s">
        <v>906</v>
      </c>
      <c r="O524" s="2" t="s">
        <v>642</v>
      </c>
      <c r="P524" s="2"/>
      <c r="Q524" s="2" t="s">
        <v>905</v>
      </c>
      <c r="R524" s="2" t="s">
        <v>904</v>
      </c>
      <c r="S524" s="2" t="s">
        <v>903</v>
      </c>
      <c r="T524" s="2" t="s">
        <v>902</v>
      </c>
      <c r="U524" s="2" t="s">
        <v>670</v>
      </c>
      <c r="V524" s="2" t="s">
        <v>0</v>
      </c>
    </row>
    <row r="525" spans="1:22" ht="60" x14ac:dyDescent="0.25">
      <c r="A525" s="6"/>
      <c r="B525" s="10"/>
      <c r="C525" s="2" t="s">
        <v>865</v>
      </c>
      <c r="D525" s="2" t="s">
        <v>12</v>
      </c>
      <c r="E525" s="1" t="str">
        <f>HYPERLINK("http://www-wds.worldbank.org/external/default/main?menuPK=64187510&amp;pagePK=64193027&amp;piPK=64187937&amp;menuPK=64154159&amp;searchMenuPK=64258546&amp;theSitePK=523679&amp;entityID=000334955_20080602073126","Panama - Basic Education Quality Improvement Project : indigenous peoples plan ")</f>
        <v xml:space="preserve">Panama - Basic Education Quality Improvement Project : indigenous peoples plan </v>
      </c>
      <c r="F525" s="9">
        <v>39726</v>
      </c>
      <c r="G525" s="2" t="s">
        <v>901</v>
      </c>
      <c r="H525" s="2" t="s">
        <v>10</v>
      </c>
      <c r="I525" s="2"/>
      <c r="J525" s="3"/>
      <c r="K525" s="2" t="s">
        <v>21</v>
      </c>
      <c r="L525" s="2" t="s">
        <v>900</v>
      </c>
      <c r="M525" s="2" t="s">
        <v>634</v>
      </c>
      <c r="N525" s="2" t="s">
        <v>899</v>
      </c>
      <c r="O525" s="2" t="s">
        <v>898</v>
      </c>
      <c r="P525" s="2"/>
      <c r="Q525" s="2" t="s">
        <v>897</v>
      </c>
      <c r="R525" s="2" t="s">
        <v>21</v>
      </c>
      <c r="S525" s="2" t="s">
        <v>896</v>
      </c>
      <c r="T525" s="2"/>
      <c r="U525" s="2" t="s">
        <v>630</v>
      </c>
      <c r="V525" s="2" t="s">
        <v>0</v>
      </c>
    </row>
    <row r="526" spans="1:22" ht="75" x14ac:dyDescent="0.25">
      <c r="A526" s="6"/>
      <c r="B526" s="10"/>
      <c r="C526" s="2" t="s">
        <v>865</v>
      </c>
      <c r="D526" s="2" t="s">
        <v>398</v>
      </c>
      <c r="E526" s="1" t="str">
        <f>HYPERLINK("http://www-wds.worldbank.org/external/default/main?menuPK=64187510&amp;pagePK=64193027&amp;piPK=64187937&amp;menuPK=64154159&amp;searchMenuPK=64258546&amp;theSitePK=523679&amp;entityID=000333038_20080526022420","Panama - Proyecto de Mejoramiento de la Equidad y Desempeno de los Servicios de Salud : plan para los pueblos indigenas ")</f>
        <v xml:space="preserve">Panama - Proyecto de Mejoramiento de la Equidad y Desempeno de los Servicios de Salud : plan para los pueblos indigenas </v>
      </c>
      <c r="F526" s="9">
        <v>39451</v>
      </c>
      <c r="G526" s="2" t="s">
        <v>895</v>
      </c>
      <c r="H526" s="2" t="s">
        <v>10</v>
      </c>
      <c r="I526" s="2"/>
      <c r="J526" s="3"/>
      <c r="K526" s="2" t="s">
        <v>109</v>
      </c>
      <c r="L526" s="2" t="s">
        <v>894</v>
      </c>
      <c r="M526" s="2" t="s">
        <v>634</v>
      </c>
      <c r="N526" s="2" t="s">
        <v>893</v>
      </c>
      <c r="O526" s="2" t="s">
        <v>489</v>
      </c>
      <c r="P526" s="2"/>
      <c r="Q526" s="2" t="s">
        <v>892</v>
      </c>
      <c r="R526" s="2" t="s">
        <v>352</v>
      </c>
      <c r="S526" s="2" t="s">
        <v>891</v>
      </c>
      <c r="T526" s="2" t="s">
        <v>890</v>
      </c>
      <c r="U526" s="2" t="s">
        <v>684</v>
      </c>
      <c r="V526" s="2" t="s">
        <v>0</v>
      </c>
    </row>
    <row r="527" spans="1:22" ht="90" x14ac:dyDescent="0.25">
      <c r="A527" s="6"/>
      <c r="B527" s="10"/>
      <c r="C527" s="2" t="s">
        <v>865</v>
      </c>
      <c r="D527" s="2" t="s">
        <v>398</v>
      </c>
      <c r="E527" s="1" t="str">
        <f>HYPERLINK("http://www-wds.worldbank.org/external/default/main?menuPK=64187510&amp;pagePK=64193027&amp;piPK=64187937&amp;menuPK=64154159&amp;searchMenuPK=64258546&amp;theSitePK=523679&amp;entityID=000011823_20070525134027","Marco de desarrollo de pueblos indigenas ")</f>
        <v xml:space="preserve">Marco de desarrollo de pueblos indigenas </v>
      </c>
      <c r="F527" s="9">
        <v>39086</v>
      </c>
      <c r="G527" s="2" t="s">
        <v>889</v>
      </c>
      <c r="H527" s="2" t="s">
        <v>10</v>
      </c>
      <c r="I527" s="2"/>
      <c r="J527" s="3"/>
      <c r="K527" s="2" t="s">
        <v>145</v>
      </c>
      <c r="L527" s="2" t="s">
        <v>888</v>
      </c>
      <c r="M527" s="2" t="s">
        <v>634</v>
      </c>
      <c r="N527" s="2" t="s">
        <v>887</v>
      </c>
      <c r="O527" s="2" t="s">
        <v>886</v>
      </c>
      <c r="P527" s="2"/>
      <c r="Q527" s="2" t="s">
        <v>885</v>
      </c>
      <c r="R527" s="2" t="s">
        <v>884</v>
      </c>
      <c r="S527" s="2"/>
      <c r="T527" s="2" t="s">
        <v>883</v>
      </c>
      <c r="U527" s="2" t="s">
        <v>706</v>
      </c>
      <c r="V527" s="2" t="s">
        <v>0</v>
      </c>
    </row>
    <row r="528" spans="1:22" ht="75" x14ac:dyDescent="0.25">
      <c r="A528" s="6"/>
      <c r="B528" s="10"/>
      <c r="C528" s="2" t="s">
        <v>865</v>
      </c>
      <c r="D528" s="2" t="s">
        <v>12</v>
      </c>
      <c r="E528" s="1" t="str">
        <f>HYPERLINK("http://www-wds.worldbank.org/external/default/main?menuPK=64187510&amp;pagePK=64193027&amp;piPK=64187937&amp;menuPK=64154159&amp;searchMenuPK=64258546&amp;theSitePK=523679&amp;entityID=000090341_20070330103638","Panama - Social Protection Project : indigenous peoples ")</f>
        <v xml:space="preserve">Panama - Social Protection Project : indigenous peoples </v>
      </c>
      <c r="F528" s="3" t="s">
        <v>882</v>
      </c>
      <c r="G528" s="2" t="s">
        <v>881</v>
      </c>
      <c r="H528" s="2" t="s">
        <v>10</v>
      </c>
      <c r="I528" s="2"/>
      <c r="J528" s="3"/>
      <c r="K528" s="2" t="s">
        <v>109</v>
      </c>
      <c r="L528" s="2" t="s">
        <v>880</v>
      </c>
      <c r="M528" s="2" t="s">
        <v>634</v>
      </c>
      <c r="N528" s="2" t="s">
        <v>879</v>
      </c>
      <c r="O528" s="2" t="s">
        <v>460</v>
      </c>
      <c r="P528" s="2"/>
      <c r="Q528" s="2" t="s">
        <v>878</v>
      </c>
      <c r="R528" s="2" t="s">
        <v>877</v>
      </c>
      <c r="S528" s="2"/>
      <c r="T528" s="2" t="s">
        <v>876</v>
      </c>
      <c r="U528" s="2" t="s">
        <v>742</v>
      </c>
      <c r="V528" s="2" t="s">
        <v>0</v>
      </c>
    </row>
    <row r="529" spans="1:22" ht="105" x14ac:dyDescent="0.25">
      <c r="A529" s="6"/>
      <c r="B529" s="10"/>
      <c r="C529" s="2" t="s">
        <v>865</v>
      </c>
      <c r="D529" s="2" t="s">
        <v>398</v>
      </c>
      <c r="E529" s="1" t="str">
        <f>HYPERLINK("http://www-wds.worldbank.org/external/default/main?menuPK=64187510&amp;pagePK=64193027&amp;piPK=64187937&amp;menuPK=64154159&amp;searchMenuPK=64258546&amp;theSitePK=523679&amp;entityID=000020953_20070131160415","Panama - Plan de Desarrollo de los Pueblos Indigenas - Proyecto Productividad Rural/ Consolidacion del Corredor Biologico Mesoamericano del Atlantico Panameno (PPR-CBMAP II) ")</f>
        <v xml:space="preserve">Panama - Plan de Desarrollo de los Pueblos Indigenas - Proyecto Productividad Rural/ Consolidacion del Corredor Biologico Mesoamericano del Atlantico Panameno (PPR-CBMAP II) </v>
      </c>
      <c r="F529" s="9">
        <v>39083</v>
      </c>
      <c r="G529" s="2" t="s">
        <v>874</v>
      </c>
      <c r="H529" s="2" t="s">
        <v>10</v>
      </c>
      <c r="I529" s="2" t="s">
        <v>863</v>
      </c>
      <c r="J529" s="3" t="s">
        <v>873</v>
      </c>
      <c r="K529" s="2" t="s">
        <v>872</v>
      </c>
      <c r="L529" s="2" t="s">
        <v>871</v>
      </c>
      <c r="M529" s="2" t="s">
        <v>634</v>
      </c>
      <c r="N529" s="2" t="s">
        <v>870</v>
      </c>
      <c r="O529" s="2" t="s">
        <v>869</v>
      </c>
      <c r="P529" s="2"/>
      <c r="Q529" s="2" t="s">
        <v>875</v>
      </c>
      <c r="R529" s="2"/>
      <c r="S529" s="2"/>
      <c r="T529" s="2" t="s">
        <v>866</v>
      </c>
      <c r="U529" s="2" t="s">
        <v>670</v>
      </c>
      <c r="V529" s="2" t="s">
        <v>70</v>
      </c>
    </row>
    <row r="530" spans="1:22" ht="105" x14ac:dyDescent="0.25">
      <c r="A530" s="6"/>
      <c r="B530" s="10"/>
      <c r="C530" s="2" t="s">
        <v>865</v>
      </c>
      <c r="D530" s="2" t="s">
        <v>398</v>
      </c>
      <c r="E530" s="1" t="str">
        <f>HYPERLINK("http://www-wds.worldbank.org/external/default/main?menuPK=64187510&amp;pagePK=64193027&amp;piPK=64187937&amp;menuPK=64154159&amp;searchMenuPK=64258546&amp;theSitePK=523679&amp;entityID=000160016_20080415165938","Panama - Plan de Desarrollo de los Pueblos Indigenas - Proyecto Productividad Rural/ Consolidacion del Corredor Biologico Mesoamericano del Atlantico Panameno (PPR-CBMAP II)/analisis social y plan de participacion ")</f>
        <v xml:space="preserve">Panama - Plan de Desarrollo de los Pueblos Indigenas - Proyecto Productividad Rural/ Consolidacion del Corredor Biologico Mesoamericano del Atlantico Panameno (PPR-CBMAP II)/analisis social y plan de participacion </v>
      </c>
      <c r="F530" s="9">
        <v>39083</v>
      </c>
      <c r="G530" s="2" t="s">
        <v>874</v>
      </c>
      <c r="H530" s="2" t="s">
        <v>10</v>
      </c>
      <c r="I530" s="2" t="s">
        <v>863</v>
      </c>
      <c r="J530" s="3" t="s">
        <v>873</v>
      </c>
      <c r="K530" s="2" t="s">
        <v>872</v>
      </c>
      <c r="L530" s="2" t="s">
        <v>871</v>
      </c>
      <c r="M530" s="2" t="s">
        <v>634</v>
      </c>
      <c r="N530" s="2" t="s">
        <v>870</v>
      </c>
      <c r="O530" s="2" t="s">
        <v>869</v>
      </c>
      <c r="P530" s="2"/>
      <c r="Q530" s="2" t="s">
        <v>868</v>
      </c>
      <c r="R530" s="2" t="s">
        <v>867</v>
      </c>
      <c r="S530" s="2"/>
      <c r="T530" s="2" t="s">
        <v>866</v>
      </c>
      <c r="U530" s="2" t="s">
        <v>670</v>
      </c>
      <c r="V530" s="2" t="s">
        <v>59</v>
      </c>
    </row>
    <row r="531" spans="1:22" ht="75" x14ac:dyDescent="0.25">
      <c r="A531" s="6"/>
      <c r="B531" s="10"/>
      <c r="C531" s="2" t="s">
        <v>865</v>
      </c>
      <c r="D531" s="2" t="s">
        <v>398</v>
      </c>
      <c r="E531" s="1" t="str">
        <f>HYPERLINK("http://www-wds.worldbank.org/external/default/main?menuPK=64187510&amp;pagePK=64193027&amp;piPK=64187937&amp;menuPK=64154159&amp;searchMenuPK=64258546&amp;theSitePK=523679&amp;entityID=000012009_20060414143410","Panama - Rural Productivity and Consolidation of the Mesoamerican Biological Corridor Project : indigenous peoples plan ")</f>
        <v xml:space="preserve">Panama - Rural Productivity and Consolidation of the Mesoamerican Biological Corridor Project : indigenous peoples plan </v>
      </c>
      <c r="F531" s="9">
        <v>38356</v>
      </c>
      <c r="G531" s="2" t="s">
        <v>864</v>
      </c>
      <c r="H531" s="2" t="s">
        <v>10</v>
      </c>
      <c r="I531" s="2" t="s">
        <v>863</v>
      </c>
      <c r="J531" s="3"/>
      <c r="K531" s="2" t="s">
        <v>593</v>
      </c>
      <c r="L531" s="2" t="s">
        <v>862</v>
      </c>
      <c r="M531" s="2" t="s">
        <v>634</v>
      </c>
      <c r="N531" s="2" t="s">
        <v>861</v>
      </c>
      <c r="O531" s="2" t="s">
        <v>860</v>
      </c>
      <c r="P531" s="2"/>
      <c r="Q531" s="2" t="s">
        <v>859</v>
      </c>
      <c r="R531" s="2" t="s">
        <v>858</v>
      </c>
      <c r="S531" s="2"/>
      <c r="T531" s="2" t="s">
        <v>857</v>
      </c>
      <c r="U531" s="2" t="s">
        <v>670</v>
      </c>
      <c r="V531" s="2" t="s">
        <v>0</v>
      </c>
    </row>
    <row r="532" spans="1:22" ht="75" x14ac:dyDescent="0.25">
      <c r="A532" s="6"/>
      <c r="B532" s="10"/>
      <c r="C532" s="2" t="s">
        <v>829</v>
      </c>
      <c r="D532" s="2" t="s">
        <v>12</v>
      </c>
      <c r="E532" s="1" t="str">
        <f>HYPERLINK("http://www-wds.worldbank.org/external/default/main?menuPK=64187510&amp;pagePK=64193027&amp;piPK=64187937&amp;menuPK=64154159&amp;searchMenuPK=64258546&amp;theSitePK=523679&amp;entityID=000333037_20110307025947","Papua New Guinea - Second Road Maintenance and Rehabilitation Project : indigenous peoples plan ")</f>
        <v xml:space="preserve">Papua New Guinea - Second Road Maintenance and Rehabilitation Project : indigenous peoples plan </v>
      </c>
      <c r="F532" s="9">
        <v>40577</v>
      </c>
      <c r="G532" s="2" t="s">
        <v>856</v>
      </c>
      <c r="H532" s="2" t="s">
        <v>10</v>
      </c>
      <c r="I532" s="2"/>
      <c r="J532" s="3"/>
      <c r="K532" s="2" t="s">
        <v>164</v>
      </c>
      <c r="L532" s="2" t="s">
        <v>855</v>
      </c>
      <c r="M532" s="2" t="s">
        <v>29</v>
      </c>
      <c r="N532" s="2" t="s">
        <v>854</v>
      </c>
      <c r="O532" s="2" t="s">
        <v>161</v>
      </c>
      <c r="P532" s="2"/>
      <c r="Q532" s="2" t="s">
        <v>853</v>
      </c>
      <c r="R532" s="2" t="s">
        <v>852</v>
      </c>
      <c r="S532" s="2"/>
      <c r="T532" s="2" t="s">
        <v>851</v>
      </c>
      <c r="U532" s="2" t="s">
        <v>840</v>
      </c>
      <c r="V532" s="2" t="s">
        <v>0</v>
      </c>
    </row>
    <row r="533" spans="1:22" ht="120" x14ac:dyDescent="0.25">
      <c r="A533" s="6"/>
      <c r="B533" s="10"/>
      <c r="C533" s="2" t="s">
        <v>829</v>
      </c>
      <c r="D533" s="2" t="s">
        <v>12</v>
      </c>
      <c r="E533" s="1" t="str">
        <f>HYPERLINK("http://www-wds.worldbank.org/external/default/main?menuPK=64187510&amp;pagePK=64193027&amp;piPK=64187937&amp;menuPK=64154159&amp;searchMenuPK=64258546&amp;theSitePK=523679&amp;entityID=000334955_20100517070120","Summary note on compliance with the indigenous peoples policy ")</f>
        <v xml:space="preserve">Summary note on compliance with the indigenous peoples policy </v>
      </c>
      <c r="F533" s="9">
        <v>40303</v>
      </c>
      <c r="G533" s="2" t="s">
        <v>847</v>
      </c>
      <c r="H533" s="2" t="s">
        <v>10</v>
      </c>
      <c r="I533" s="2"/>
      <c r="J533" s="3"/>
      <c r="K533" s="2" t="s">
        <v>846</v>
      </c>
      <c r="L533" s="2" t="s">
        <v>845</v>
      </c>
      <c r="M533" s="2" t="s">
        <v>29</v>
      </c>
      <c r="N533" s="2" t="s">
        <v>844</v>
      </c>
      <c r="O533" s="2" t="s">
        <v>843</v>
      </c>
      <c r="P533" s="2"/>
      <c r="Q533" s="2" t="s">
        <v>850</v>
      </c>
      <c r="R533" s="2" t="s">
        <v>849</v>
      </c>
      <c r="S533" s="2"/>
      <c r="T533" s="2"/>
      <c r="U533" s="2" t="s">
        <v>840</v>
      </c>
      <c r="V533" s="2" t="s">
        <v>70</v>
      </c>
    </row>
    <row r="534" spans="1:22" ht="120" x14ac:dyDescent="0.25">
      <c r="A534" s="6"/>
      <c r="B534" s="10"/>
      <c r="C534" s="2" t="s">
        <v>829</v>
      </c>
      <c r="D534" s="2" t="s">
        <v>12</v>
      </c>
      <c r="E534" s="1" t="str">
        <f>HYPERLINK("http://www-wds.worldbank.org/external/default/main?menuPK=64187510&amp;pagePK=64193027&amp;piPK=64187937&amp;menuPK=64154159&amp;searchMenuPK=64258546&amp;theSitePK=523679&amp;entityID=000334955_20100517070659","Draft social assessment for the national capital district commission ")</f>
        <v xml:space="preserve">Draft social assessment for the national capital district commission </v>
      </c>
      <c r="F534" s="3" t="s">
        <v>848</v>
      </c>
      <c r="G534" s="2" t="s">
        <v>847</v>
      </c>
      <c r="H534" s="2" t="s">
        <v>10</v>
      </c>
      <c r="I534" s="2"/>
      <c r="J534" s="3"/>
      <c r="K534" s="2" t="s">
        <v>846</v>
      </c>
      <c r="L534" s="2" t="s">
        <v>845</v>
      </c>
      <c r="M534" s="2" t="s">
        <v>29</v>
      </c>
      <c r="N534" s="2" t="s">
        <v>844</v>
      </c>
      <c r="O534" s="2" t="s">
        <v>843</v>
      </c>
      <c r="P534" s="2"/>
      <c r="Q534" s="2" t="s">
        <v>842</v>
      </c>
      <c r="R534" s="2" t="s">
        <v>841</v>
      </c>
      <c r="S534" s="2"/>
      <c r="T534" s="2"/>
      <c r="U534" s="2" t="s">
        <v>840</v>
      </c>
      <c r="V534" s="2" t="s">
        <v>59</v>
      </c>
    </row>
    <row r="535" spans="1:22" ht="75" x14ac:dyDescent="0.25">
      <c r="A535" s="6"/>
      <c r="B535" s="10"/>
      <c r="C535" s="2" t="s">
        <v>829</v>
      </c>
      <c r="D535" s="2" t="s">
        <v>12</v>
      </c>
      <c r="E535" s="1" t="str">
        <f>HYPERLINK("http://www-wds.worldbank.org/external/default/main?menuPK=64187510&amp;pagePK=64193027&amp;piPK=64187937&amp;menuPK=64154159&amp;searchMenuPK=64258546&amp;theSitePK=523679&amp;entityID=000334955_20100412045019","Papua New Guinea - Rural Telecommunications Project : indigenous peoples plan ")</f>
        <v xml:space="preserve">Papua New Guinea - Rural Telecommunications Project : indigenous peoples plan </v>
      </c>
      <c r="F535" s="9">
        <v>40333</v>
      </c>
      <c r="G535" s="2" t="s">
        <v>839</v>
      </c>
      <c r="H535" s="2" t="s">
        <v>10</v>
      </c>
      <c r="I535" s="2"/>
      <c r="J535" s="3"/>
      <c r="K535" s="2" t="s">
        <v>838</v>
      </c>
      <c r="L535" s="2" t="s">
        <v>837</v>
      </c>
      <c r="M535" s="2" t="s">
        <v>29</v>
      </c>
      <c r="N535" s="2" t="s">
        <v>836</v>
      </c>
      <c r="O535" s="2" t="s">
        <v>835</v>
      </c>
      <c r="P535" s="2"/>
      <c r="Q535" s="2" t="s">
        <v>834</v>
      </c>
      <c r="R535" s="2" t="s">
        <v>833</v>
      </c>
      <c r="S535" s="2" t="s">
        <v>832</v>
      </c>
      <c r="T535" s="2" t="s">
        <v>831</v>
      </c>
      <c r="U535" s="2" t="s">
        <v>830</v>
      </c>
      <c r="V535" s="2" t="s">
        <v>0</v>
      </c>
    </row>
    <row r="536" spans="1:22" ht="150" x14ac:dyDescent="0.25">
      <c r="A536" s="6"/>
      <c r="B536" s="10"/>
      <c r="C536" s="2" t="s">
        <v>829</v>
      </c>
      <c r="D536" s="2" t="s">
        <v>12</v>
      </c>
      <c r="E536" s="1" t="str">
        <f>HYPERLINK("http://www-wds.worldbank.org/external/default/main?menuPK=64187510&amp;pagePK=64193027&amp;piPK=64187937&amp;menuPK=64154159&amp;searchMenuPK=64258546&amp;theSitePK=523679&amp;entityID=000011823_20070601124711","Papua New Guinea - Smallholder Agriculture Development Project : social assessment ")</f>
        <v xml:space="preserve">Papua New Guinea - Smallholder Agriculture Development Project : social assessment </v>
      </c>
      <c r="F536" s="9">
        <v>39083</v>
      </c>
      <c r="G536" s="2" t="s">
        <v>828</v>
      </c>
      <c r="H536" s="2" t="s">
        <v>10</v>
      </c>
      <c r="I536" s="2" t="s">
        <v>827</v>
      </c>
      <c r="J536" s="3"/>
      <c r="K536" s="2" t="s">
        <v>8</v>
      </c>
      <c r="L536" s="2" t="s">
        <v>826</v>
      </c>
      <c r="M536" s="2" t="s">
        <v>29</v>
      </c>
      <c r="N536" s="2" t="s">
        <v>825</v>
      </c>
      <c r="O536" s="2" t="s">
        <v>824</v>
      </c>
      <c r="P536" s="2"/>
      <c r="Q536" s="2" t="s">
        <v>823</v>
      </c>
      <c r="R536" s="2" t="s">
        <v>822</v>
      </c>
      <c r="S536" s="2"/>
      <c r="T536" s="2" t="s">
        <v>821</v>
      </c>
      <c r="U536" s="2" t="s">
        <v>1</v>
      </c>
      <c r="V536" s="2" t="s">
        <v>0</v>
      </c>
    </row>
    <row r="537" spans="1:22" ht="60" x14ac:dyDescent="0.25">
      <c r="A537" s="6"/>
      <c r="B537" s="10"/>
      <c r="C537" s="2" t="s">
        <v>767</v>
      </c>
      <c r="D537" s="2" t="s">
        <v>398</v>
      </c>
      <c r="E537" s="1" t="str">
        <f>HYPERLINK("http://www-wds.worldbank.org/external/default/main?menuPK=64187510&amp;pagePK=64193027&amp;piPK=64187937&amp;menuPK=64154159&amp;searchMenuPK=64258546&amp;theSitePK=523679&amp;entityID=000020953_20100811153547","Anexo 1 ")</f>
        <v xml:space="preserve">Anexo 1 </v>
      </c>
      <c r="F537" s="9">
        <v>40186</v>
      </c>
      <c r="G537" s="2" t="s">
        <v>820</v>
      </c>
      <c r="H537" s="2" t="s">
        <v>10</v>
      </c>
      <c r="I537" s="2"/>
      <c r="J537" s="3"/>
      <c r="K537" s="2" t="s">
        <v>80</v>
      </c>
      <c r="L537" s="2" t="s">
        <v>819</v>
      </c>
      <c r="M537" s="2" t="s">
        <v>634</v>
      </c>
      <c r="N537" s="2" t="s">
        <v>818</v>
      </c>
      <c r="O537" s="2" t="s">
        <v>817</v>
      </c>
      <c r="P537" s="2"/>
      <c r="Q537" s="2" t="s">
        <v>816</v>
      </c>
      <c r="R537" s="2" t="s">
        <v>815</v>
      </c>
      <c r="S537" s="2"/>
      <c r="T537" s="2"/>
      <c r="U537" s="2" t="s">
        <v>662</v>
      </c>
      <c r="V537" s="2" t="s">
        <v>70</v>
      </c>
    </row>
    <row r="538" spans="1:22" ht="60" x14ac:dyDescent="0.25">
      <c r="A538" s="6"/>
      <c r="B538" s="10"/>
      <c r="C538" s="2" t="s">
        <v>767</v>
      </c>
      <c r="D538" s="2" t="s">
        <v>398</v>
      </c>
      <c r="E538" s="1" t="str">
        <f>HYPERLINK("http://www-wds.worldbank.org/external/default/main?menuPK=64187510&amp;pagePK=64193027&amp;piPK=64187937&amp;menuPK=64154159&amp;searchMenuPK=64258546&amp;theSitePK=523679&amp;entityID=000020953_20100811154554","Anexo 2 ")</f>
        <v xml:space="preserve">Anexo 2 </v>
      </c>
      <c r="F538" s="9">
        <v>40186</v>
      </c>
      <c r="G538" s="2" t="s">
        <v>820</v>
      </c>
      <c r="H538" s="2" t="s">
        <v>10</v>
      </c>
      <c r="I538" s="2"/>
      <c r="J538" s="3"/>
      <c r="K538" s="2" t="s">
        <v>80</v>
      </c>
      <c r="L538" s="2" t="s">
        <v>819</v>
      </c>
      <c r="M538" s="2" t="s">
        <v>634</v>
      </c>
      <c r="N538" s="2" t="s">
        <v>818</v>
      </c>
      <c r="O538" s="2" t="s">
        <v>817</v>
      </c>
      <c r="P538" s="2"/>
      <c r="Q538" s="2" t="s">
        <v>816</v>
      </c>
      <c r="R538" s="2" t="s">
        <v>815</v>
      </c>
      <c r="S538" s="2"/>
      <c r="T538" s="2"/>
      <c r="U538" s="2" t="s">
        <v>662</v>
      </c>
      <c r="V538" s="2" t="s">
        <v>59</v>
      </c>
    </row>
    <row r="539" spans="1:22" ht="60" x14ac:dyDescent="0.25">
      <c r="A539" s="6"/>
      <c r="B539" s="10"/>
      <c r="C539" s="2" t="s">
        <v>767</v>
      </c>
      <c r="D539" s="2" t="s">
        <v>12</v>
      </c>
      <c r="E539" s="1" t="str">
        <f>HYPERLINK("http://www-wds.worldbank.org/external/default/main?menuPK=64187510&amp;pagePK=64193027&amp;piPK=64187937&amp;menuPK=64154159&amp;searchMenuPK=64258546&amp;theSitePK=523679&amp;entityID=000333038_20090203224754","Paraguay - Water and Sanitation Sector Modernization Program Project : indigenous peoples management framework ")</f>
        <v xml:space="preserve">Paraguay - Water and Sanitation Sector Modernization Program Project : indigenous peoples management framework </v>
      </c>
      <c r="F539" s="9">
        <v>39934</v>
      </c>
      <c r="G539" s="2" t="s">
        <v>814</v>
      </c>
      <c r="H539" s="2" t="s">
        <v>10</v>
      </c>
      <c r="I539" s="2"/>
      <c r="J539" s="3"/>
      <c r="K539" s="2" t="s">
        <v>145</v>
      </c>
      <c r="L539" s="2" t="s">
        <v>813</v>
      </c>
      <c r="M539" s="2" t="s">
        <v>634</v>
      </c>
      <c r="N539" s="2" t="s">
        <v>812</v>
      </c>
      <c r="O539" s="2" t="s">
        <v>142</v>
      </c>
      <c r="P539" s="2"/>
      <c r="Q539" s="2" t="s">
        <v>811</v>
      </c>
      <c r="R539" s="2" t="s">
        <v>810</v>
      </c>
      <c r="S539" s="2" t="s">
        <v>809</v>
      </c>
      <c r="T539" s="2" t="s">
        <v>808</v>
      </c>
      <c r="U539" s="2" t="s">
        <v>706</v>
      </c>
      <c r="V539" s="2" t="s">
        <v>0</v>
      </c>
    </row>
    <row r="540" spans="1:22" ht="60" x14ac:dyDescent="0.25">
      <c r="A540" s="6"/>
      <c r="B540" s="10"/>
      <c r="C540" s="2" t="s">
        <v>767</v>
      </c>
      <c r="D540" s="2" t="s">
        <v>12</v>
      </c>
      <c r="E540" s="1" t="str">
        <f>HYPERLINK("http://www-wds.worldbank.org/external/default/main?menuPK=64187510&amp;pagePK=64193027&amp;piPK=64187937&amp;menuPK=64154159&amp;searchMenuPK=64258546&amp;theSitePK=523679&amp;entityID=000333038_20080423032952","Indigenous peoples framework ")</f>
        <v xml:space="preserve">Indigenous peoples framework </v>
      </c>
      <c r="F540" s="3" t="s">
        <v>807</v>
      </c>
      <c r="G540" s="2" t="s">
        <v>790</v>
      </c>
      <c r="H540" s="2" t="s">
        <v>10</v>
      </c>
      <c r="I540" s="2"/>
      <c r="J540" s="3"/>
      <c r="K540" s="2" t="s">
        <v>8</v>
      </c>
      <c r="L540" s="2" t="s">
        <v>789</v>
      </c>
      <c r="M540" s="2" t="s">
        <v>634</v>
      </c>
      <c r="N540" s="2" t="s">
        <v>788</v>
      </c>
      <c r="O540" s="2" t="s">
        <v>4</v>
      </c>
      <c r="P540" s="2"/>
      <c r="Q540" s="2" t="s">
        <v>787</v>
      </c>
      <c r="R540" s="2" t="s">
        <v>786</v>
      </c>
      <c r="S540" s="2" t="s">
        <v>785</v>
      </c>
      <c r="T540" s="2" t="s">
        <v>784</v>
      </c>
      <c r="U540" s="2" t="s">
        <v>639</v>
      </c>
      <c r="V540" s="2" t="s">
        <v>35</v>
      </c>
    </row>
    <row r="541" spans="1:22" ht="90" x14ac:dyDescent="0.25">
      <c r="A541" s="6"/>
      <c r="B541" s="10"/>
      <c r="C541" s="2" t="s">
        <v>767</v>
      </c>
      <c r="D541" s="2" t="s">
        <v>12</v>
      </c>
      <c r="E541" s="1" t="str">
        <f>HYPERLINK("http://www-wds.worldbank.org/external/default/main?menuPK=64187510&amp;pagePK=64193027&amp;piPK=64187937&amp;menuPK=64154159&amp;searchMenuPK=64258546&amp;theSitePK=523679&amp;entityID=000020953_20080213144450","Indigenous Peoples Development Framework ")</f>
        <v xml:space="preserve">Indigenous Peoples Development Framework </v>
      </c>
      <c r="F541" s="9">
        <v>39754</v>
      </c>
      <c r="G541" s="2" t="s">
        <v>806</v>
      </c>
      <c r="H541" s="2" t="s">
        <v>10</v>
      </c>
      <c r="I541" s="2"/>
      <c r="J541" s="3"/>
      <c r="K541" s="2" t="s">
        <v>805</v>
      </c>
      <c r="L541" s="2" t="s">
        <v>804</v>
      </c>
      <c r="M541" s="2" t="s">
        <v>634</v>
      </c>
      <c r="N541" s="2" t="s">
        <v>803</v>
      </c>
      <c r="O541" s="2" t="s">
        <v>802</v>
      </c>
      <c r="P541" s="2"/>
      <c r="Q541" s="2" t="s">
        <v>801</v>
      </c>
      <c r="R541" s="2" t="s">
        <v>800</v>
      </c>
      <c r="S541" s="2" t="s">
        <v>799</v>
      </c>
      <c r="T541" s="2"/>
      <c r="U541" s="2" t="s">
        <v>798</v>
      </c>
      <c r="V541" s="2" t="s">
        <v>0</v>
      </c>
    </row>
    <row r="542" spans="1:22" ht="105" x14ac:dyDescent="0.25">
      <c r="A542" s="6"/>
      <c r="B542" s="10"/>
      <c r="C542" s="2" t="s">
        <v>767</v>
      </c>
      <c r="D542" s="2" t="s">
        <v>398</v>
      </c>
      <c r="E542" s="1" t="str">
        <f>HYPERLINK("http://www-wds.worldbank.org/external/default/main?menuPK=64187510&amp;pagePK=64193027&amp;piPK=64187937&amp;menuPK=64154159&amp;searchMenuPK=64258546&amp;theSitePK=523679&amp;entityID=000020439_20071214161415","Estrategia para los pueblos indigenas ajustado ")</f>
        <v xml:space="preserve">Estrategia para los pueblos indigenas ajustado </v>
      </c>
      <c r="F542" s="9">
        <v>39367</v>
      </c>
      <c r="G542" s="2" t="s">
        <v>797</v>
      </c>
      <c r="H542" s="2" t="s">
        <v>10</v>
      </c>
      <c r="I542" s="2" t="s">
        <v>796</v>
      </c>
      <c r="J542" s="3"/>
      <c r="K542" s="2" t="s">
        <v>8</v>
      </c>
      <c r="L542" s="2" t="s">
        <v>795</v>
      </c>
      <c r="M542" s="2" t="s">
        <v>634</v>
      </c>
      <c r="N542" s="2" t="s">
        <v>794</v>
      </c>
      <c r="O542" s="2" t="s">
        <v>4</v>
      </c>
      <c r="P542" s="2"/>
      <c r="Q542" s="2" t="s">
        <v>793</v>
      </c>
      <c r="R542" s="2" t="s">
        <v>792</v>
      </c>
      <c r="S542" s="2"/>
      <c r="T542" s="2" t="s">
        <v>791</v>
      </c>
      <c r="U542" s="2" t="s">
        <v>670</v>
      </c>
      <c r="V542" s="2" t="s">
        <v>70</v>
      </c>
    </row>
    <row r="543" spans="1:22" ht="105" x14ac:dyDescent="0.25">
      <c r="A543" s="6"/>
      <c r="B543" s="10"/>
      <c r="C543" s="2" t="s">
        <v>767</v>
      </c>
      <c r="D543" s="2" t="s">
        <v>398</v>
      </c>
      <c r="E543" s="1" t="str">
        <f>HYPERLINK("http://www-wds.worldbank.org/external/default/main?menuPK=64187510&amp;pagePK=64193027&amp;piPK=64187937&amp;menuPK=64154159&amp;searchMenuPK=64258546&amp;theSitePK=523679&amp;entityID=000020439_20071214162417","Informe sobre la Consulta a los Pueblos Indigenas de los Departamentos de Caaguazu y San Pedro sobre modificaciones a la Estrategia Indigena del PRODERS ")</f>
        <v xml:space="preserve">Informe sobre la Consulta a los Pueblos Indigenas de los Departamentos de Caaguazu y San Pedro sobre modificaciones a la Estrategia Indigena del PRODERS </v>
      </c>
      <c r="F543" s="9">
        <v>39214</v>
      </c>
      <c r="G543" s="2" t="s">
        <v>797</v>
      </c>
      <c r="H543" s="2" t="s">
        <v>10</v>
      </c>
      <c r="I543" s="2" t="s">
        <v>796</v>
      </c>
      <c r="J543" s="3"/>
      <c r="K543" s="2" t="s">
        <v>8</v>
      </c>
      <c r="L543" s="2" t="s">
        <v>795</v>
      </c>
      <c r="M543" s="2" t="s">
        <v>634</v>
      </c>
      <c r="N543" s="2" t="s">
        <v>794</v>
      </c>
      <c r="O543" s="2" t="s">
        <v>4</v>
      </c>
      <c r="P543" s="2"/>
      <c r="Q543" s="2" t="s">
        <v>793</v>
      </c>
      <c r="R543" s="2" t="s">
        <v>792</v>
      </c>
      <c r="S543" s="2"/>
      <c r="T543" s="2" t="s">
        <v>791</v>
      </c>
      <c r="U543" s="2" t="s">
        <v>670</v>
      </c>
      <c r="V543" s="2" t="s">
        <v>59</v>
      </c>
    </row>
    <row r="544" spans="1:22" ht="60" x14ac:dyDescent="0.25">
      <c r="A544" s="6"/>
      <c r="B544" s="10"/>
      <c r="C544" s="2" t="s">
        <v>767</v>
      </c>
      <c r="D544" s="2" t="s">
        <v>398</v>
      </c>
      <c r="E544" s="1" t="str">
        <f>HYPERLINK("http://www-wds.worldbank.org/external/default/main?menuPK=64187510&amp;pagePK=64193027&amp;piPK=64187937&amp;menuPK=64154159&amp;searchMenuPK=64258546&amp;theSitePK=523679&amp;entityID=000333038_20080423035107","Evaluacion social ")</f>
        <v xml:space="preserve">Evaluacion social </v>
      </c>
      <c r="F544" s="9">
        <v>39091</v>
      </c>
      <c r="G544" s="2" t="s">
        <v>790</v>
      </c>
      <c r="H544" s="2" t="s">
        <v>10</v>
      </c>
      <c r="I544" s="2"/>
      <c r="J544" s="3"/>
      <c r="K544" s="2" t="s">
        <v>8</v>
      </c>
      <c r="L544" s="2" t="s">
        <v>789</v>
      </c>
      <c r="M544" s="2" t="s">
        <v>634</v>
      </c>
      <c r="N544" s="2" t="s">
        <v>788</v>
      </c>
      <c r="O544" s="2" t="s">
        <v>4</v>
      </c>
      <c r="P544" s="2"/>
      <c r="Q544" s="2" t="s">
        <v>787</v>
      </c>
      <c r="R544" s="2" t="s">
        <v>786</v>
      </c>
      <c r="S544" s="2" t="s">
        <v>785</v>
      </c>
      <c r="T544" s="2" t="s">
        <v>784</v>
      </c>
      <c r="U544" s="2" t="s">
        <v>639</v>
      </c>
      <c r="V544" s="2" t="s">
        <v>55</v>
      </c>
    </row>
    <row r="545" spans="1:22" ht="60" x14ac:dyDescent="0.25">
      <c r="A545" s="6"/>
      <c r="B545" s="10"/>
      <c r="C545" s="2" t="s">
        <v>767</v>
      </c>
      <c r="D545" s="2" t="s">
        <v>398</v>
      </c>
      <c r="E545" s="1" t="str">
        <f>HYPERLINK("http://www-wds.worldbank.org/external/default/main?menuPK=64187510&amp;pagePK=64193027&amp;piPK=64187937&amp;menuPK=64154159&amp;searchMenuPK=64258546&amp;theSitePK=523679&amp;entityID=000333038_20100518232811","Estrategia de accion para comunidades indigenas ")</f>
        <v xml:space="preserve">Estrategia de accion para comunidades indigenas </v>
      </c>
      <c r="F545" s="9">
        <v>39091</v>
      </c>
      <c r="G545" s="2" t="s">
        <v>790</v>
      </c>
      <c r="H545" s="2" t="s">
        <v>10</v>
      </c>
      <c r="I545" s="2"/>
      <c r="J545" s="3"/>
      <c r="K545" s="2" t="s">
        <v>8</v>
      </c>
      <c r="L545" s="2" t="s">
        <v>789</v>
      </c>
      <c r="M545" s="2" t="s">
        <v>634</v>
      </c>
      <c r="N545" s="2" t="s">
        <v>788</v>
      </c>
      <c r="O545" s="2" t="s">
        <v>4</v>
      </c>
      <c r="P545" s="2"/>
      <c r="Q545" s="2" t="s">
        <v>787</v>
      </c>
      <c r="R545" s="2" t="s">
        <v>786</v>
      </c>
      <c r="S545" s="2" t="s">
        <v>785</v>
      </c>
      <c r="T545" s="2" t="s">
        <v>784</v>
      </c>
      <c r="U545" s="2" t="s">
        <v>639</v>
      </c>
      <c r="V545" s="2" t="s">
        <v>93</v>
      </c>
    </row>
    <row r="546" spans="1:22" ht="135" x14ac:dyDescent="0.25">
      <c r="A546" s="6"/>
      <c r="B546" s="10"/>
      <c r="C546" s="2" t="s">
        <v>767</v>
      </c>
      <c r="D546" s="2" t="s">
        <v>398</v>
      </c>
      <c r="E546" s="1" t="str">
        <f>HYPERLINK("http://www-wds.worldbank.org/external/default/main?menuPK=64187510&amp;pagePK=64193027&amp;piPK=64187937&amp;menuPK=64154159&amp;searchMenuPK=64258546&amp;theSitePK=523679&amp;entityID=000011823_20060822120446","Plan para los pueblos indígenas ")</f>
        <v xml:space="preserve">Plan para los pueblos indígenas </v>
      </c>
      <c r="F546" s="9">
        <v>38720</v>
      </c>
      <c r="G546" s="2" t="s">
        <v>781</v>
      </c>
      <c r="H546" s="2" t="s">
        <v>10</v>
      </c>
      <c r="I546" s="2" t="s">
        <v>780</v>
      </c>
      <c r="J546" s="3"/>
      <c r="K546" s="2" t="s">
        <v>164</v>
      </c>
      <c r="L546" s="2" t="s">
        <v>779</v>
      </c>
      <c r="M546" s="2" t="s">
        <v>634</v>
      </c>
      <c r="N546" s="2" t="s">
        <v>778</v>
      </c>
      <c r="O546" s="2" t="s">
        <v>735</v>
      </c>
      <c r="P546" s="2"/>
      <c r="Q546" s="2" t="s">
        <v>783</v>
      </c>
      <c r="R546" s="2" t="s">
        <v>782</v>
      </c>
      <c r="S546" s="2"/>
      <c r="T546" s="2" t="s">
        <v>775</v>
      </c>
      <c r="U546" s="2" t="s">
        <v>655</v>
      </c>
      <c r="V546" s="2" t="s">
        <v>70</v>
      </c>
    </row>
    <row r="547" spans="1:22" ht="135" x14ac:dyDescent="0.25">
      <c r="A547" s="6"/>
      <c r="B547" s="10"/>
      <c r="C547" s="2" t="s">
        <v>767</v>
      </c>
      <c r="D547" s="2" t="s">
        <v>398</v>
      </c>
      <c r="E547" s="1" t="str">
        <f>HYPERLINK("http://www-wds.worldbank.org/external/default/main?menuPK=64187510&amp;pagePK=64193027&amp;piPK=64187937&amp;menuPK=64154159&amp;searchMenuPK=64258546&amp;theSitePK=523679&amp;entityID=000160016_20080409154941","Paraguay - Road Maintenance Project : indigenous peoples plan/Programa de mejoramiento, gestion y mantenimiento de la Red Vial : evaluacion social del componente de mejoramiento y mantenimiento de la pavimentada ")</f>
        <v xml:space="preserve">Paraguay - Road Maintenance Project : indigenous peoples plan/Programa de mejoramiento, gestion y mantenimiento de la Red Vial : evaluacion social del componente de mejoramiento y mantenimiento de la pavimentada </v>
      </c>
      <c r="F547" s="9">
        <v>38720</v>
      </c>
      <c r="G547" s="2" t="s">
        <v>781</v>
      </c>
      <c r="H547" s="2" t="s">
        <v>10</v>
      </c>
      <c r="I547" s="2" t="s">
        <v>780</v>
      </c>
      <c r="J547" s="3"/>
      <c r="K547" s="2" t="s">
        <v>164</v>
      </c>
      <c r="L547" s="2" t="s">
        <v>779</v>
      </c>
      <c r="M547" s="2" t="s">
        <v>634</v>
      </c>
      <c r="N547" s="2" t="s">
        <v>778</v>
      </c>
      <c r="O547" s="2" t="s">
        <v>735</v>
      </c>
      <c r="P547" s="2"/>
      <c r="Q547" s="2" t="s">
        <v>777</v>
      </c>
      <c r="R547" s="2" t="s">
        <v>776</v>
      </c>
      <c r="S547" s="2"/>
      <c r="T547" s="2" t="s">
        <v>775</v>
      </c>
      <c r="U547" s="2" t="s">
        <v>655</v>
      </c>
      <c r="V547" s="2" t="s">
        <v>59</v>
      </c>
    </row>
    <row r="548" spans="1:22" ht="90" x14ac:dyDescent="0.25">
      <c r="A548" s="6"/>
      <c r="B548" s="10"/>
      <c r="C548" s="2" t="s">
        <v>767</v>
      </c>
      <c r="D548" s="2" t="s">
        <v>12</v>
      </c>
      <c r="E548" s="1" t="str">
        <f>HYPERLINK("http://www-wds.worldbank.org/external/default/main?menuPK=64187510&amp;pagePK=64193027&amp;piPK=64187937&amp;menuPK=64154159&amp;searchMenuPK=64258546&amp;theSitePK=523679&amp;entityID=000310607_20070125144646","Argentina and Paraguay - Fifth SEGBA Power Distribution and Reform Project for the Water and Telecommunications Sectors : Inspection Panel Review of management progress report ")</f>
        <v xml:space="preserve">Argentina and Paraguay - Fifth SEGBA Power Distribution and Reform Project for the Water and Telecommunications Sectors : Inspection Panel Review of management progress report </v>
      </c>
      <c r="F548" s="9">
        <v>38535</v>
      </c>
      <c r="G548" s="2">
        <v>31521</v>
      </c>
      <c r="H548" s="2" t="s">
        <v>10</v>
      </c>
      <c r="I548" s="2"/>
      <c r="J548" s="3" t="s">
        <v>774</v>
      </c>
      <c r="K548" s="2" t="s">
        <v>145</v>
      </c>
      <c r="L548" s="2" t="s">
        <v>773</v>
      </c>
      <c r="M548" s="2" t="s">
        <v>634</v>
      </c>
      <c r="N548" s="2" t="s">
        <v>772</v>
      </c>
      <c r="O548" s="2" t="s">
        <v>771</v>
      </c>
      <c r="P548" s="2"/>
      <c r="Q548" s="2" t="s">
        <v>770</v>
      </c>
      <c r="R548" s="2" t="s">
        <v>769</v>
      </c>
      <c r="S548" s="2"/>
      <c r="T548" s="2"/>
      <c r="U548" s="2" t="s">
        <v>768</v>
      </c>
      <c r="V548" s="2" t="s">
        <v>0</v>
      </c>
    </row>
    <row r="549" spans="1:22" ht="90" x14ac:dyDescent="0.25">
      <c r="A549" s="6"/>
      <c r="B549" s="10"/>
      <c r="C549" s="2" t="s">
        <v>767</v>
      </c>
      <c r="D549" s="2" t="s">
        <v>12</v>
      </c>
      <c r="E549" s="1" t="str">
        <f>HYPERLINK("http://www-wds.worldbank.org/external/default/main?menuPK=64187510&amp;pagePK=64193027&amp;piPK=64187937&amp;menuPK=64154159&amp;searchMenuPK=64258546&amp;theSitePK=523679&amp;entityID=000012009_20050225112157","Paraguay - Second Health Project : indigenous peoples plan ")</f>
        <v xml:space="preserve">Paraguay - Second Health Project : indigenous peoples plan </v>
      </c>
      <c r="F549" s="9">
        <v>38626</v>
      </c>
      <c r="G549" s="2" t="s">
        <v>766</v>
      </c>
      <c r="H549" s="2" t="s">
        <v>10</v>
      </c>
      <c r="I549" s="2" t="s">
        <v>31</v>
      </c>
      <c r="J549" s="3"/>
      <c r="K549" s="2" t="s">
        <v>109</v>
      </c>
      <c r="L549" s="2" t="s">
        <v>765</v>
      </c>
      <c r="M549" s="2" t="s">
        <v>634</v>
      </c>
      <c r="N549" s="2" t="s">
        <v>764</v>
      </c>
      <c r="O549" s="2" t="s">
        <v>489</v>
      </c>
      <c r="P549" s="2"/>
      <c r="Q549" s="2" t="s">
        <v>763</v>
      </c>
      <c r="R549" s="2" t="s">
        <v>487</v>
      </c>
      <c r="S549" s="2"/>
      <c r="T549" s="2" t="s">
        <v>762</v>
      </c>
      <c r="U549" s="2" t="s">
        <v>684</v>
      </c>
      <c r="V549" s="2" t="s">
        <v>0</v>
      </c>
    </row>
    <row r="550" spans="1:22" ht="75" x14ac:dyDescent="0.25">
      <c r="A550" s="6"/>
      <c r="B550" s="10"/>
      <c r="C550" s="2" t="s">
        <v>638</v>
      </c>
      <c r="D550" s="2" t="s">
        <v>398</v>
      </c>
      <c r="E550" s="1" t="str">
        <f>HYPERLINK("http://www-wds.worldbank.org/external/default/main?menuPK=64187510&amp;pagePK=64193027&amp;piPK=64187937&amp;menuPK=64154159&amp;searchMenuPK=64258546&amp;theSitePK=523679&amp;entityID=000020953_20110128151542","Peru - Second Rural Electrification Project : indigenous peoples plan ")</f>
        <v xml:space="preserve">Peru - Second Rural Electrification Project : indigenous peoples plan </v>
      </c>
      <c r="F550" s="9">
        <v>40190</v>
      </c>
      <c r="G550" s="2" t="s">
        <v>761</v>
      </c>
      <c r="H550" s="2" t="s">
        <v>10</v>
      </c>
      <c r="I550" s="2"/>
      <c r="J550" s="3"/>
      <c r="K550" s="2" t="s">
        <v>80</v>
      </c>
      <c r="L550" s="2" t="s">
        <v>760</v>
      </c>
      <c r="M550" s="2" t="s">
        <v>634</v>
      </c>
      <c r="N550" s="2" t="s">
        <v>759</v>
      </c>
      <c r="O550" s="2" t="s">
        <v>444</v>
      </c>
      <c r="P550" s="2"/>
      <c r="Q550" s="2" t="s">
        <v>758</v>
      </c>
      <c r="R550" s="2" t="s">
        <v>757</v>
      </c>
      <c r="S550" s="2"/>
      <c r="T550" s="2"/>
      <c r="U550" s="2" t="s">
        <v>662</v>
      </c>
      <c r="V550" s="2" t="s">
        <v>0</v>
      </c>
    </row>
    <row r="551" spans="1:22" ht="75" x14ac:dyDescent="0.25">
      <c r="A551" s="6"/>
      <c r="B551" s="10"/>
      <c r="C551" s="2" t="s">
        <v>638</v>
      </c>
      <c r="D551" s="2" t="s">
        <v>12</v>
      </c>
      <c r="E551" s="1" t="str">
        <f>HYPERLINK("http://www-wds.worldbank.org/external/default/main?menuPK=64187510&amp;pagePK=64193027&amp;piPK=64187937&amp;menuPK=64154159&amp;searchMenuPK=64258546&amp;theSitePK=523679&amp;entityID=000334955_20101119020542","Peru - Additional Financing for the National Rural Water Supply and Sanitation Project : indigenous peoples plan ")</f>
        <v xml:space="preserve">Peru - Additional Financing for the National Rural Water Supply and Sanitation Project : indigenous peoples plan </v>
      </c>
      <c r="F551" s="9">
        <v>40189</v>
      </c>
      <c r="G551" s="2" t="s">
        <v>756</v>
      </c>
      <c r="H551" s="2" t="s">
        <v>10</v>
      </c>
      <c r="I551" s="2"/>
      <c r="J551" s="3"/>
      <c r="K551" s="2" t="s">
        <v>128</v>
      </c>
      <c r="L551" s="2" t="s">
        <v>755</v>
      </c>
      <c r="M551" s="2" t="s">
        <v>634</v>
      </c>
      <c r="N551" s="2" t="s">
        <v>754</v>
      </c>
      <c r="O551" s="2" t="s">
        <v>753</v>
      </c>
      <c r="P551" s="2"/>
      <c r="Q551" s="2" t="s">
        <v>752</v>
      </c>
      <c r="R551" s="2" t="s">
        <v>751</v>
      </c>
      <c r="S551" s="2"/>
      <c r="T551" s="2"/>
      <c r="U551" s="2" t="s">
        <v>706</v>
      </c>
      <c r="V551" s="2" t="s">
        <v>0</v>
      </c>
    </row>
    <row r="552" spans="1:22" ht="90" x14ac:dyDescent="0.25">
      <c r="A552" s="6"/>
      <c r="B552" s="10"/>
      <c r="C552" s="2" t="s">
        <v>638</v>
      </c>
      <c r="D552" s="2" t="s">
        <v>398</v>
      </c>
      <c r="E552" s="1" t="str">
        <f>HYPERLINK("http://www-wds.worldbank.org/external/default/main?menuPK=64187510&amp;pagePK=64193027&amp;piPK=64187937&amp;menuPK=64154159&amp;searchMenuPK=64258546&amp;theSitePK=523679&amp;entityID=000020953_20100115101958","Diagnostico social sobre la inclusion de hogares indigenas en el programa juntos y los servicios nutricionales y de salud preventiva asociados ")</f>
        <v xml:space="preserve">Diagnostico social sobre la inclusion de hogares indigenas en el programa juntos y los servicios nutricionales y de salud preventiva asociados </v>
      </c>
      <c r="F552" s="9">
        <v>39825</v>
      </c>
      <c r="G552" s="2" t="s">
        <v>748</v>
      </c>
      <c r="H552" s="2" t="s">
        <v>10</v>
      </c>
      <c r="I552" s="2"/>
      <c r="J552" s="3"/>
      <c r="K552" s="2" t="s">
        <v>109</v>
      </c>
      <c r="L552" s="2" t="s">
        <v>747</v>
      </c>
      <c r="M552" s="2" t="s">
        <v>634</v>
      </c>
      <c r="N552" s="2" t="s">
        <v>746</v>
      </c>
      <c r="O552" s="2" t="s">
        <v>460</v>
      </c>
      <c r="P552" s="2"/>
      <c r="Q552" s="2" t="s">
        <v>750</v>
      </c>
      <c r="R552" s="2" t="s">
        <v>749</v>
      </c>
      <c r="S552" s="2" t="s">
        <v>743</v>
      </c>
      <c r="T552" s="2"/>
      <c r="U552" s="2" t="s">
        <v>742</v>
      </c>
      <c r="V552" s="2" t="s">
        <v>70</v>
      </c>
    </row>
    <row r="553" spans="1:22" ht="75" x14ac:dyDescent="0.25">
      <c r="A553" s="6"/>
      <c r="B553" s="10"/>
      <c r="C553" s="2" t="s">
        <v>638</v>
      </c>
      <c r="D553" s="2" t="s">
        <v>398</v>
      </c>
      <c r="E553" s="1" t="str">
        <f>HYPERLINK("http://www-wds.worldbank.org/external/default/main?menuPK=64187510&amp;pagePK=64193027&amp;piPK=64187937&amp;menuPK=64154159&amp;searchMenuPK=64258546&amp;theSitePK=523679&amp;entityID=000020953_20100115102851","Recomendaciones para la superacion de las barreras que limitan el acceso de la poblacion indigena al programa juntos ")</f>
        <v xml:space="preserve">Recomendaciones para la superacion de las barreras que limitan el acceso de la poblacion indigena al programa juntos </v>
      </c>
      <c r="F553" s="9">
        <v>39825</v>
      </c>
      <c r="G553" s="2" t="s">
        <v>748</v>
      </c>
      <c r="H553" s="2" t="s">
        <v>10</v>
      </c>
      <c r="I553" s="2"/>
      <c r="J553" s="3"/>
      <c r="K553" s="2" t="s">
        <v>109</v>
      </c>
      <c r="L553" s="2" t="s">
        <v>747</v>
      </c>
      <c r="M553" s="2" t="s">
        <v>634</v>
      </c>
      <c r="N553" s="2" t="s">
        <v>746</v>
      </c>
      <c r="O553" s="2" t="s">
        <v>460</v>
      </c>
      <c r="P553" s="2"/>
      <c r="Q553" s="2" t="s">
        <v>745</v>
      </c>
      <c r="R553" s="2" t="s">
        <v>744</v>
      </c>
      <c r="S553" s="2" t="s">
        <v>743</v>
      </c>
      <c r="T553" s="2"/>
      <c r="U553" s="2" t="s">
        <v>742</v>
      </c>
      <c r="V553" s="2" t="s">
        <v>59</v>
      </c>
    </row>
    <row r="554" spans="1:22" ht="60" x14ac:dyDescent="0.25">
      <c r="A554" s="6"/>
      <c r="B554" s="10"/>
      <c r="C554" s="2" t="s">
        <v>638</v>
      </c>
      <c r="D554" s="2" t="s">
        <v>398</v>
      </c>
      <c r="E554" s="1" t="str">
        <f>HYPERLINK("http://www-wds.worldbank.org/external/default/main?menuPK=64187510&amp;pagePK=64193027&amp;piPK=64187937&amp;menuPK=64154159&amp;searchMenuPK=64258546&amp;theSitePK=523679&amp;entityID=000333038_20091203230418","Plan de la comunidad campesina San Juan de Ocros ")</f>
        <v xml:space="preserve">Plan de la comunidad campesina San Juan de Ocros </v>
      </c>
      <c r="F554" s="3" t="s">
        <v>741</v>
      </c>
      <c r="G554" s="2" t="s">
        <v>739</v>
      </c>
      <c r="H554" s="2" t="s">
        <v>10</v>
      </c>
      <c r="I554" s="2" t="s">
        <v>738</v>
      </c>
      <c r="J554" s="3"/>
      <c r="K554" s="2" t="s">
        <v>164</v>
      </c>
      <c r="L554" s="2" t="s">
        <v>737</v>
      </c>
      <c r="M554" s="2" t="s">
        <v>634</v>
      </c>
      <c r="N554" s="2" t="s">
        <v>736</v>
      </c>
      <c r="O554" s="2" t="s">
        <v>735</v>
      </c>
      <c r="P554" s="2"/>
      <c r="Q554" s="2" t="s">
        <v>734</v>
      </c>
      <c r="R554" s="2" t="s">
        <v>733</v>
      </c>
      <c r="S554" s="2" t="s">
        <v>732</v>
      </c>
      <c r="T554" s="2"/>
      <c r="U554" s="2" t="s">
        <v>655</v>
      </c>
      <c r="V554" s="2" t="s">
        <v>93</v>
      </c>
    </row>
    <row r="555" spans="1:22" ht="60" x14ac:dyDescent="0.25">
      <c r="A555" s="6"/>
      <c r="B555" s="10"/>
      <c r="C555" s="2" t="s">
        <v>638</v>
      </c>
      <c r="D555" s="2" t="s">
        <v>398</v>
      </c>
      <c r="E555" s="1" t="str">
        <f>HYPERLINK("http://www-wds.worldbank.org/external/default/main?menuPK=64187510&amp;pagePK=64193027&amp;piPK=64187937&amp;menuPK=64154159&amp;searchMenuPK=64258546&amp;theSitePK=523679&amp;entityID=000333038_20091202221813","Plan de la comunidad campesina Nagazu ")</f>
        <v xml:space="preserve">Plan de la comunidad campesina Nagazu </v>
      </c>
      <c r="F555" s="3" t="s">
        <v>740</v>
      </c>
      <c r="G555" s="2" t="s">
        <v>739</v>
      </c>
      <c r="H555" s="2" t="s">
        <v>10</v>
      </c>
      <c r="I555" s="2" t="s">
        <v>738</v>
      </c>
      <c r="J555" s="3"/>
      <c r="K555" s="2" t="s">
        <v>164</v>
      </c>
      <c r="L555" s="2" t="s">
        <v>737</v>
      </c>
      <c r="M555" s="2" t="s">
        <v>634</v>
      </c>
      <c r="N555" s="2" t="s">
        <v>736</v>
      </c>
      <c r="O555" s="2" t="s">
        <v>735</v>
      </c>
      <c r="P555" s="2"/>
      <c r="Q555" s="2" t="s">
        <v>734</v>
      </c>
      <c r="R555" s="2" t="s">
        <v>733</v>
      </c>
      <c r="S555" s="2" t="s">
        <v>732</v>
      </c>
      <c r="T555" s="2"/>
      <c r="U555" s="2" t="s">
        <v>655</v>
      </c>
      <c r="V555" s="2" t="s">
        <v>35</v>
      </c>
    </row>
    <row r="556" spans="1:22" ht="60" x14ac:dyDescent="0.25">
      <c r="A556" s="6"/>
      <c r="B556" s="10"/>
      <c r="C556" s="2" t="s">
        <v>638</v>
      </c>
      <c r="D556" s="2" t="s">
        <v>398</v>
      </c>
      <c r="E556" s="1" t="str">
        <f>HYPERLINK("http://www-wds.worldbank.org/external/default/main?menuPK=64187510&amp;pagePK=64193027&amp;piPK=64187937&amp;menuPK=64154159&amp;searchMenuPK=64258546&amp;theSitePK=523679&amp;entityID=000333037_20091110000521","Plan de compensacion y reasentamiento involuntario - PACRI ")</f>
        <v xml:space="preserve">Plan de compensacion y reasentamiento involuntario - PACRI </v>
      </c>
      <c r="F556" s="9">
        <v>39975</v>
      </c>
      <c r="G556" s="2" t="s">
        <v>739</v>
      </c>
      <c r="H556" s="2" t="s">
        <v>10</v>
      </c>
      <c r="I556" s="2" t="s">
        <v>738</v>
      </c>
      <c r="J556" s="3"/>
      <c r="K556" s="2" t="s">
        <v>164</v>
      </c>
      <c r="L556" s="2" t="s">
        <v>737</v>
      </c>
      <c r="M556" s="2" t="s">
        <v>634</v>
      </c>
      <c r="N556" s="2" t="s">
        <v>736</v>
      </c>
      <c r="O556" s="2" t="s">
        <v>735</v>
      </c>
      <c r="P556" s="2"/>
      <c r="Q556" s="2" t="s">
        <v>734</v>
      </c>
      <c r="R556" s="2" t="s">
        <v>733</v>
      </c>
      <c r="S556" s="2" t="s">
        <v>732</v>
      </c>
      <c r="T556" s="2"/>
      <c r="U556" s="2" t="s">
        <v>655</v>
      </c>
      <c r="V556" s="2" t="s">
        <v>55</v>
      </c>
    </row>
    <row r="557" spans="1:22" ht="105" x14ac:dyDescent="0.25">
      <c r="A557" s="6"/>
      <c r="B557" s="10"/>
      <c r="C557" s="2" t="s">
        <v>638</v>
      </c>
      <c r="D557" s="2" t="s">
        <v>398</v>
      </c>
      <c r="E557" s="1" t="str">
        <f>HYPERLINK("http://www-wds.worldbank.org/external/default/main?menuPK=64187510&amp;pagePK=64193027&amp;piPK=64187937&amp;menuPK=64154159&amp;searchMenuPK=64258546&amp;theSitePK=523679&amp;entityID=000020953_20090430111244","Elaboracion de un Marco de Planification de Pueblos Indigenas ")</f>
        <v xml:space="preserve">Elaboracion de un Marco de Planification de Pueblos Indigenas </v>
      </c>
      <c r="F557" s="9">
        <v>39814</v>
      </c>
      <c r="G557" s="2" t="s">
        <v>731</v>
      </c>
      <c r="H557" s="2" t="s">
        <v>10</v>
      </c>
      <c r="I557" s="2" t="s">
        <v>730</v>
      </c>
      <c r="J557" s="3"/>
      <c r="K557" s="2" t="s">
        <v>438</v>
      </c>
      <c r="L557" s="2" t="s">
        <v>729</v>
      </c>
      <c r="M557" s="2" t="s">
        <v>634</v>
      </c>
      <c r="N557" s="2" t="s">
        <v>728</v>
      </c>
      <c r="O557" s="2" t="s">
        <v>727</v>
      </c>
      <c r="P557" s="2"/>
      <c r="Q557" s="2" t="s">
        <v>726</v>
      </c>
      <c r="R557" s="2" t="s">
        <v>725</v>
      </c>
      <c r="S557" s="2" t="s">
        <v>724</v>
      </c>
      <c r="T557" s="2" t="s">
        <v>723</v>
      </c>
      <c r="U557" s="2" t="s">
        <v>639</v>
      </c>
      <c r="V557" s="2" t="s">
        <v>0</v>
      </c>
    </row>
    <row r="558" spans="1:22" ht="75" x14ac:dyDescent="0.25">
      <c r="A558" s="6"/>
      <c r="B558" s="10"/>
      <c r="C558" s="2" t="s">
        <v>638</v>
      </c>
      <c r="D558" s="2" t="s">
        <v>398</v>
      </c>
      <c r="E558" s="1" t="str">
        <f>HYPERLINK("http://www-wds.worldbank.org/external/default/main?menuPK=64187510&amp;pagePK=64193027&amp;piPK=64187937&amp;menuPK=64154159&amp;searchMenuPK=64258546&amp;theSitePK=523679&amp;entityID=000020953_20090212144617","Indigenous peoples planning framework ")</f>
        <v xml:space="preserve">Indigenous peoples planning framework </v>
      </c>
      <c r="F558" s="9">
        <v>39814</v>
      </c>
      <c r="G558" s="2" t="s">
        <v>722</v>
      </c>
      <c r="H558" s="2" t="s">
        <v>10</v>
      </c>
      <c r="I558" s="2"/>
      <c r="J558" s="3"/>
      <c r="K558" s="2" t="s">
        <v>509</v>
      </c>
      <c r="L558" s="2" t="s">
        <v>721</v>
      </c>
      <c r="M558" s="2" t="s">
        <v>634</v>
      </c>
      <c r="N558" s="2" t="s">
        <v>720</v>
      </c>
      <c r="O558" s="2" t="s">
        <v>719</v>
      </c>
      <c r="P558" s="2"/>
      <c r="Q558" s="2" t="s">
        <v>718</v>
      </c>
      <c r="R558" s="2" t="s">
        <v>717</v>
      </c>
      <c r="S558" s="2" t="s">
        <v>716</v>
      </c>
      <c r="T558" s="2"/>
      <c r="U558" s="2" t="s">
        <v>639</v>
      </c>
      <c r="V558" s="2" t="s">
        <v>59</v>
      </c>
    </row>
    <row r="559" spans="1:22" ht="75" x14ac:dyDescent="0.25">
      <c r="A559" s="6"/>
      <c r="B559" s="10"/>
      <c r="C559" s="2" t="s">
        <v>638</v>
      </c>
      <c r="D559" s="2" t="s">
        <v>398</v>
      </c>
      <c r="E559" s="1" t="str">
        <f>HYPERLINK("http://www-wds.worldbank.org/external/default/main?menuPK=64187510&amp;pagePK=64193027&amp;piPK=64187937&amp;menuPK=64154159&amp;searchMenuPK=64258546&amp;theSitePK=523679&amp;entityID=000020953_20090212143123","Full document ")</f>
        <v xml:space="preserve">Full document </v>
      </c>
      <c r="F559" s="9">
        <v>39459</v>
      </c>
      <c r="G559" s="2" t="s">
        <v>722</v>
      </c>
      <c r="H559" s="2" t="s">
        <v>10</v>
      </c>
      <c r="I559" s="2"/>
      <c r="J559" s="3"/>
      <c r="K559" s="2" t="s">
        <v>509</v>
      </c>
      <c r="L559" s="2" t="s">
        <v>721</v>
      </c>
      <c r="M559" s="2" t="s">
        <v>634</v>
      </c>
      <c r="N559" s="2" t="s">
        <v>720</v>
      </c>
      <c r="O559" s="2" t="s">
        <v>719</v>
      </c>
      <c r="P559" s="2"/>
      <c r="Q559" s="2" t="s">
        <v>718</v>
      </c>
      <c r="R559" s="2" t="s">
        <v>717</v>
      </c>
      <c r="S559" s="2" t="s">
        <v>716</v>
      </c>
      <c r="T559" s="2"/>
      <c r="U559" s="2" t="s">
        <v>639</v>
      </c>
      <c r="V559" s="2" t="s">
        <v>70</v>
      </c>
    </row>
    <row r="560" spans="1:22" ht="105" x14ac:dyDescent="0.25">
      <c r="A560" s="6"/>
      <c r="B560" s="10"/>
      <c r="C560" s="2" t="s">
        <v>638</v>
      </c>
      <c r="D560" s="2" t="s">
        <v>398</v>
      </c>
      <c r="E560" s="1" t="str">
        <f>HYPERLINK("http://www-wds.worldbank.org/external/default/main?menuPK=64187510&amp;pagePK=64193027&amp;piPK=64187937&amp;menuPK=64154159&amp;searchMenuPK=64258546&amp;theSitePK=523679&amp;entityID=000333038_20081114010950","Peru - Proyecto de Rehabilitacion y Reordenamiento del Valle del Vilcanota : instrumento de pueblos indigenas ")</f>
        <v xml:space="preserve">Peru - Proyecto de Rehabilitacion y Reordenamiento del Valle del Vilcanota : instrumento de pueblos indigenas </v>
      </c>
      <c r="F560" s="9">
        <v>39610</v>
      </c>
      <c r="G560" s="2" t="s">
        <v>715</v>
      </c>
      <c r="H560" s="2" t="s">
        <v>10</v>
      </c>
      <c r="I560" s="2"/>
      <c r="J560" s="3">
        <v>7257</v>
      </c>
      <c r="K560" s="2" t="s">
        <v>714</v>
      </c>
      <c r="L560" s="2" t="s">
        <v>713</v>
      </c>
      <c r="M560" s="2" t="s">
        <v>634</v>
      </c>
      <c r="N560" s="2" t="s">
        <v>712</v>
      </c>
      <c r="O560" s="2" t="s">
        <v>711</v>
      </c>
      <c r="P560" s="2"/>
      <c r="Q560" s="2" t="s">
        <v>710</v>
      </c>
      <c r="R560" s="2" t="s">
        <v>709</v>
      </c>
      <c r="S560" s="2" t="s">
        <v>708</v>
      </c>
      <c r="T560" s="2" t="s">
        <v>707</v>
      </c>
      <c r="U560" s="2" t="s">
        <v>706</v>
      </c>
      <c r="V560" s="2" t="s">
        <v>0</v>
      </c>
    </row>
    <row r="561" spans="1:22" ht="90" x14ac:dyDescent="0.25">
      <c r="A561" s="6"/>
      <c r="B561" s="10"/>
      <c r="C561" s="2" t="s">
        <v>638</v>
      </c>
      <c r="D561" s="2" t="s">
        <v>398</v>
      </c>
      <c r="E561" s="1" t="str">
        <f>HYPERLINK("http://www-wds.worldbank.org/external/default/main?menuPK=64187510&amp;pagePK=64193027&amp;piPK=64187937&amp;menuPK=64154159&amp;searchMenuPK=64258546&amp;theSitePK=523679&amp;entityID=000020953_20080604150956","Peru - Sierra Irrigation Modernization Project : indigenous peoples plan ")</f>
        <v xml:space="preserve">Peru - Sierra Irrigation Modernization Project : indigenous peoples plan </v>
      </c>
      <c r="F561" s="9">
        <v>39452</v>
      </c>
      <c r="G561" s="2" t="s">
        <v>705</v>
      </c>
      <c r="H561" s="2" t="s">
        <v>10</v>
      </c>
      <c r="I561" s="2" t="s">
        <v>704</v>
      </c>
      <c r="J561" s="3"/>
      <c r="K561" s="2" t="s">
        <v>509</v>
      </c>
      <c r="L561" s="2" t="s">
        <v>703</v>
      </c>
      <c r="M561" s="2" t="s">
        <v>634</v>
      </c>
      <c r="N561" s="2" t="s">
        <v>702</v>
      </c>
      <c r="O561" s="2" t="s">
        <v>701</v>
      </c>
      <c r="P561" s="2"/>
      <c r="Q561" s="2" t="s">
        <v>700</v>
      </c>
      <c r="R561" s="2" t="s">
        <v>433</v>
      </c>
      <c r="S561" s="2" t="s">
        <v>699</v>
      </c>
      <c r="T561" s="2" t="s">
        <v>698</v>
      </c>
      <c r="U561" s="2" t="s">
        <v>639</v>
      </c>
      <c r="V561" s="2" t="s">
        <v>0</v>
      </c>
    </row>
    <row r="562" spans="1:22" ht="75" x14ac:dyDescent="0.25">
      <c r="A562" s="6"/>
      <c r="B562" s="10"/>
      <c r="C562" s="2" t="s">
        <v>638</v>
      </c>
      <c r="D562" s="2" t="s">
        <v>398</v>
      </c>
      <c r="E562" s="1" t="str">
        <f>HYPERLINK("http://www-wds.worldbank.org/external/default/main?menuPK=64187510&amp;pagePK=64193027&amp;piPK=64187937&amp;menuPK=64154159&amp;searchMenuPK=64258546&amp;theSitePK=523679&amp;entityID=000090341_20070611085547","Peru - Irrigation Subsector Supplemental Project : indigenous peoples plan ")</f>
        <v xml:space="preserve">Peru - Irrigation Subsector Supplemental Project : indigenous peoples plan </v>
      </c>
      <c r="F562" s="3" t="s">
        <v>697</v>
      </c>
      <c r="G562" s="2" t="s">
        <v>696</v>
      </c>
      <c r="H562" s="2" t="s">
        <v>10</v>
      </c>
      <c r="I562" s="2"/>
      <c r="J562" s="3"/>
      <c r="K562" s="2" t="s">
        <v>438</v>
      </c>
      <c r="L562" s="2" t="s">
        <v>695</v>
      </c>
      <c r="M562" s="2" t="s">
        <v>634</v>
      </c>
      <c r="N562" s="2" t="s">
        <v>694</v>
      </c>
      <c r="O562" s="2" t="s">
        <v>693</v>
      </c>
      <c r="P562" s="2"/>
      <c r="Q562" s="2"/>
      <c r="R562" s="2"/>
      <c r="S562" s="2"/>
      <c r="T562" s="2" t="s">
        <v>692</v>
      </c>
      <c r="U562" s="2" t="s">
        <v>639</v>
      </c>
      <c r="V562" s="2" t="s">
        <v>0</v>
      </c>
    </row>
    <row r="563" spans="1:22" ht="90" x14ac:dyDescent="0.25">
      <c r="A563" s="6"/>
      <c r="B563" s="10"/>
      <c r="C563" s="2" t="s">
        <v>638</v>
      </c>
      <c r="D563" s="2" t="s">
        <v>398</v>
      </c>
      <c r="E563" s="1" t="str">
        <f>HYPERLINK("http://www-wds.worldbank.org/external/default/main?menuPK=64187510&amp;pagePK=64193027&amp;piPK=64187937&amp;menuPK=64154159&amp;searchMenuPK=64258546&amp;theSitePK=523679&amp;entityID=000020953_20081218150959","Peru - Parasalud Segunda Fase : plan para los pueblos indigenas ")</f>
        <v xml:space="preserve">Peru - Parasalud Segunda Fase : plan para los pueblos indigenas </v>
      </c>
      <c r="F563" s="3" t="s">
        <v>691</v>
      </c>
      <c r="G563" s="2" t="s">
        <v>690</v>
      </c>
      <c r="H563" s="2" t="s">
        <v>10</v>
      </c>
      <c r="I563" s="2" t="s">
        <v>689</v>
      </c>
      <c r="J563" s="3"/>
      <c r="K563" s="2" t="s">
        <v>183</v>
      </c>
      <c r="L563" s="2" t="s">
        <v>688</v>
      </c>
      <c r="M563" s="2" t="s">
        <v>634</v>
      </c>
      <c r="N563" s="2" t="s">
        <v>687</v>
      </c>
      <c r="O563" s="2" t="s">
        <v>180</v>
      </c>
      <c r="P563" s="2"/>
      <c r="Q563" s="2" t="s">
        <v>686</v>
      </c>
      <c r="R563" s="2" t="s">
        <v>352</v>
      </c>
      <c r="S563" s="2" t="s">
        <v>685</v>
      </c>
      <c r="T563" s="2"/>
      <c r="U563" s="2" t="s">
        <v>684</v>
      </c>
      <c r="V563" s="2" t="s">
        <v>0</v>
      </c>
    </row>
    <row r="564" spans="1:22" ht="120" x14ac:dyDescent="0.25">
      <c r="A564" s="6"/>
      <c r="B564" s="10"/>
      <c r="C564" s="2" t="s">
        <v>638</v>
      </c>
      <c r="D564" s="2" t="s">
        <v>398</v>
      </c>
      <c r="E564" s="1" t="str">
        <f>HYPERLINK("http://www-wds.worldbank.org/external/default/main?menuPK=64187510&amp;pagePK=64193027&amp;piPK=64187937&amp;menuPK=64154159&amp;searchMenuPK=64258546&amp;theSitePK=523679&amp;entityID=000011823_20060823112351","Marco de planificacion para los pueblos indigenas ")</f>
        <v xml:space="preserve">Marco de planificacion para los pueblos indigenas </v>
      </c>
      <c r="F564" s="9">
        <v>38720</v>
      </c>
      <c r="G564" s="2" t="s">
        <v>683</v>
      </c>
      <c r="H564" s="2" t="s">
        <v>10</v>
      </c>
      <c r="I564" s="2" t="s">
        <v>682</v>
      </c>
      <c r="J564" s="3"/>
      <c r="K564" s="2" t="s">
        <v>43</v>
      </c>
      <c r="L564" s="2" t="s">
        <v>681</v>
      </c>
      <c r="M564" s="2" t="s">
        <v>634</v>
      </c>
      <c r="N564" s="2" t="s">
        <v>680</v>
      </c>
      <c r="O564" s="2" t="s">
        <v>657</v>
      </c>
      <c r="P564" s="2"/>
      <c r="Q564" s="2" t="s">
        <v>679</v>
      </c>
      <c r="R564" s="2" t="s">
        <v>678</v>
      </c>
      <c r="S564" s="2"/>
      <c r="T564" s="2" t="s">
        <v>677</v>
      </c>
      <c r="U564" s="2" t="s">
        <v>655</v>
      </c>
      <c r="V564" s="2" t="s">
        <v>0</v>
      </c>
    </row>
    <row r="565" spans="1:22" ht="75" x14ac:dyDescent="0.25">
      <c r="A565" s="6"/>
      <c r="B565" s="10"/>
      <c r="C565" s="2" t="s">
        <v>638</v>
      </c>
      <c r="D565" s="2" t="s">
        <v>398</v>
      </c>
      <c r="E565" s="1" t="str">
        <f>HYPERLINK("http://www-wds.worldbank.org/external/default/main?menuPK=64187510&amp;pagePK=64193027&amp;piPK=64187937&amp;menuPK=64154159&amp;searchMenuPK=64258546&amp;theSitePK=523679&amp;entityID=000090341_20061208104231","Peru - Sierra Rural Development Project : indigenous peoples plan ")</f>
        <v xml:space="preserve">Peru - Sierra Rural Development Project : indigenous peoples plan </v>
      </c>
      <c r="F565" s="9">
        <v>38720</v>
      </c>
      <c r="G565" s="2" t="s">
        <v>676</v>
      </c>
      <c r="H565" s="2" t="s">
        <v>10</v>
      </c>
      <c r="I565" s="2"/>
      <c r="J565" s="3"/>
      <c r="K565" s="2" t="s">
        <v>438</v>
      </c>
      <c r="L565" s="2" t="s">
        <v>675</v>
      </c>
      <c r="M565" s="2" t="s">
        <v>634</v>
      </c>
      <c r="N565" s="2" t="s">
        <v>674</v>
      </c>
      <c r="O565" s="2" t="s">
        <v>673</v>
      </c>
      <c r="P565" s="2"/>
      <c r="Q565" s="2" t="s">
        <v>672</v>
      </c>
      <c r="R565" s="2"/>
      <c r="S565" s="2"/>
      <c r="T565" s="2" t="s">
        <v>671</v>
      </c>
      <c r="U565" s="2" t="s">
        <v>670</v>
      </c>
      <c r="V565" s="2" t="s">
        <v>0</v>
      </c>
    </row>
    <row r="566" spans="1:22" ht="75" x14ac:dyDescent="0.25">
      <c r="A566" s="6"/>
      <c r="B566" s="10"/>
      <c r="C566" s="2" t="s">
        <v>638</v>
      </c>
      <c r="D566" s="2" t="s">
        <v>398</v>
      </c>
      <c r="E566" s="1" t="str">
        <f>HYPERLINK("http://www-wds.worldbank.org/external/default/main?menuPK=64187510&amp;pagePK=64193027&amp;piPK=64187937&amp;menuPK=64154159&amp;searchMenuPK=64258546&amp;theSitePK=523679&amp;entityID=000011823_20060810163521","Marco de desarrollo de pueblos indigenas ")</f>
        <v xml:space="preserve">Marco de desarrollo de pueblos indigenas </v>
      </c>
      <c r="F566" s="9">
        <v>38360</v>
      </c>
      <c r="G566" s="2" t="s">
        <v>669</v>
      </c>
      <c r="H566" s="2" t="s">
        <v>10</v>
      </c>
      <c r="I566" s="2"/>
      <c r="J566" s="3">
        <v>7366</v>
      </c>
      <c r="K566" s="2" t="s">
        <v>100</v>
      </c>
      <c r="L566" s="2" t="s">
        <v>668</v>
      </c>
      <c r="M566" s="2" t="s">
        <v>634</v>
      </c>
      <c r="N566" s="2" t="s">
        <v>667</v>
      </c>
      <c r="O566" s="2" t="s">
        <v>666</v>
      </c>
      <c r="P566" s="2"/>
      <c r="Q566" s="2" t="s">
        <v>665</v>
      </c>
      <c r="R566" s="2" t="s">
        <v>664</v>
      </c>
      <c r="S566" s="2"/>
      <c r="T566" s="2" t="s">
        <v>663</v>
      </c>
      <c r="U566" s="2" t="s">
        <v>662</v>
      </c>
      <c r="V566" s="2" t="s">
        <v>0</v>
      </c>
    </row>
    <row r="567" spans="1:22" ht="90" x14ac:dyDescent="0.25">
      <c r="A567" s="6"/>
      <c r="B567" s="10"/>
      <c r="C567" s="2" t="s">
        <v>638</v>
      </c>
      <c r="D567" s="2" t="s">
        <v>398</v>
      </c>
      <c r="E567" s="1" t="str">
        <f>HYPERLINK("http://www-wds.worldbank.org/external/default/main?menuPK=64187510&amp;pagePK=64193027&amp;piPK=64187937&amp;menuPK=64154159&amp;searchMenuPK=64258546&amp;theSitePK=523679&amp;entityID=000012009_20050422140349","Peru - Regional Transport Infrastructure Decentralization Project : indigenous peoples plan ")</f>
        <v xml:space="preserve">Peru - Regional Transport Infrastructure Decentralization Project : indigenous peoples plan </v>
      </c>
      <c r="F567" s="9">
        <v>38356</v>
      </c>
      <c r="G567" s="2" t="s">
        <v>661</v>
      </c>
      <c r="H567" s="2" t="s">
        <v>10</v>
      </c>
      <c r="I567" s="2" t="s">
        <v>660</v>
      </c>
      <c r="J567" s="3"/>
      <c r="K567" s="2" t="s">
        <v>43</v>
      </c>
      <c r="L567" s="2" t="s">
        <v>659</v>
      </c>
      <c r="M567" s="2" t="s">
        <v>634</v>
      </c>
      <c r="N567" s="2" t="s">
        <v>658</v>
      </c>
      <c r="O567" s="2" t="s">
        <v>657</v>
      </c>
      <c r="P567" s="2"/>
      <c r="Q567" s="2"/>
      <c r="R567" s="2"/>
      <c r="S567" s="2"/>
      <c r="T567" s="2" t="s">
        <v>656</v>
      </c>
      <c r="U567" s="2" t="s">
        <v>655</v>
      </c>
      <c r="V567" s="2" t="s">
        <v>0</v>
      </c>
    </row>
    <row r="568" spans="1:22" ht="75" x14ac:dyDescent="0.25">
      <c r="A568" s="6"/>
      <c r="B568" s="10"/>
      <c r="C568" s="2" t="s">
        <v>638</v>
      </c>
      <c r="D568" s="2" t="s">
        <v>12</v>
      </c>
      <c r="E568" s="1" t="str">
        <f>HYPERLINK("http://www-wds.worldbank.org/external/default/main?menuPK=64187510&amp;pagePK=64193027&amp;piPK=64187937&amp;menuPK=64154159&amp;searchMenuPK=64258546&amp;theSitePK=523679&amp;entityID=000012009_20050408130211","Peru - Guarantee Facility Project : indigenous peoples plan ")</f>
        <v xml:space="preserve">Peru - Guarantee Facility Project : indigenous peoples plan </v>
      </c>
      <c r="F568" s="9">
        <v>38354</v>
      </c>
      <c r="G568" s="2" t="s">
        <v>654</v>
      </c>
      <c r="H568" s="2" t="s">
        <v>10</v>
      </c>
      <c r="I568" s="2" t="s">
        <v>31</v>
      </c>
      <c r="J568" s="3"/>
      <c r="K568" s="2" t="s">
        <v>653</v>
      </c>
      <c r="L568" s="2" t="s">
        <v>652</v>
      </c>
      <c r="M568" s="2" t="s">
        <v>634</v>
      </c>
      <c r="N568" s="2" t="s">
        <v>651</v>
      </c>
      <c r="O568" s="2" t="s">
        <v>650</v>
      </c>
      <c r="P568" s="2"/>
      <c r="Q568" s="2" t="s">
        <v>649</v>
      </c>
      <c r="R568" s="2" t="s">
        <v>21</v>
      </c>
      <c r="S568" s="2"/>
      <c r="T568" s="2"/>
      <c r="U568" s="2" t="s">
        <v>648</v>
      </c>
      <c r="V568" s="2" t="s">
        <v>0</v>
      </c>
    </row>
    <row r="569" spans="1:22" ht="90" x14ac:dyDescent="0.25">
      <c r="A569" s="6"/>
      <c r="B569" s="10"/>
      <c r="C569" s="2" t="s">
        <v>638</v>
      </c>
      <c r="D569" s="2" t="s">
        <v>12</v>
      </c>
      <c r="E569" s="1" t="str">
        <f>HYPERLINK("http://www-wds.worldbank.org/external/default/main?menuPK=64187510&amp;pagePK=64193027&amp;piPK=64187937&amp;menuPK=64154159&amp;searchMenuPK=64258546&amp;theSitePK=523679&amp;entityID=000094946_02110704155577","Peru - Participatory Management of Protected Areas Project : social assessment and strategy ")</f>
        <v xml:space="preserve">Peru - Participatory Management of Protected Areas Project : social assessment and strategy </v>
      </c>
      <c r="F569" s="3" t="s">
        <v>647</v>
      </c>
      <c r="G569" s="2" t="s">
        <v>646</v>
      </c>
      <c r="H569" s="2" t="s">
        <v>10</v>
      </c>
      <c r="I569" s="2" t="s">
        <v>645</v>
      </c>
      <c r="J569" s="3"/>
      <c r="K569" s="2" t="s">
        <v>522</v>
      </c>
      <c r="L569" s="2" t="s">
        <v>644</v>
      </c>
      <c r="M569" s="2" t="s">
        <v>634</v>
      </c>
      <c r="N569" s="2" t="s">
        <v>643</v>
      </c>
      <c r="O569" s="2" t="s">
        <v>642</v>
      </c>
      <c r="P569" s="2"/>
      <c r="Q569" s="2" t="s">
        <v>641</v>
      </c>
      <c r="R569" s="2" t="s">
        <v>487</v>
      </c>
      <c r="S569" s="2"/>
      <c r="T569" s="2" t="s">
        <v>640</v>
      </c>
      <c r="U569" s="2" t="s">
        <v>639</v>
      </c>
      <c r="V569" s="2">
        <v>1</v>
      </c>
    </row>
    <row r="570" spans="1:22" ht="105" x14ac:dyDescent="0.25">
      <c r="A570" s="6"/>
      <c r="B570" s="10"/>
      <c r="C570" s="2" t="s">
        <v>638</v>
      </c>
      <c r="D570" s="2" t="s">
        <v>12</v>
      </c>
      <c r="E570" s="1" t="str">
        <f>HYPERLINK("http://www-wds.worldbank.org/external/default/main?menuPK=64187510&amp;pagePK=64193027&amp;piPK=64187937&amp;menuPK=64154159&amp;searchMenuPK=64258546&amp;theSitePK=523679&amp;entityID=000094946_02061304435133","Peru - Rural Education and Teacher Development Project : indigenous peoples plan ")</f>
        <v xml:space="preserve">Peru - Rural Education and Teacher Development Project : indigenous peoples plan </v>
      </c>
      <c r="F570" s="3" t="s">
        <v>637</v>
      </c>
      <c r="G570" s="2" t="s">
        <v>636</v>
      </c>
      <c r="H570" s="2" t="s">
        <v>10</v>
      </c>
      <c r="I570" s="2" t="s">
        <v>31</v>
      </c>
      <c r="J570" s="3">
        <v>7176</v>
      </c>
      <c r="K570" s="2" t="s">
        <v>21</v>
      </c>
      <c r="L570" s="2" t="s">
        <v>635</v>
      </c>
      <c r="M570" s="2" t="s">
        <v>634</v>
      </c>
      <c r="N570" s="2" t="s">
        <v>633</v>
      </c>
      <c r="O570" s="2" t="s">
        <v>632</v>
      </c>
      <c r="P570" s="2"/>
      <c r="Q570" s="2" t="s">
        <v>26</v>
      </c>
      <c r="R570" s="2" t="s">
        <v>25</v>
      </c>
      <c r="S570" s="2"/>
      <c r="T570" s="2" t="s">
        <v>631</v>
      </c>
      <c r="U570" s="2" t="s">
        <v>630</v>
      </c>
      <c r="V570" s="2">
        <v>1</v>
      </c>
    </row>
    <row r="571" spans="1:22" ht="105" x14ac:dyDescent="0.25">
      <c r="A571" s="12" t="s">
        <v>552</v>
      </c>
      <c r="B571" s="10" t="s">
        <v>629</v>
      </c>
      <c r="C571" s="2" t="s">
        <v>456</v>
      </c>
      <c r="D571" s="14" t="s">
        <v>12</v>
      </c>
      <c r="E571" s="1" t="str">
        <f>HYPERLINK("http://www-wds.worldbank.org/external/default/main?menuPK=64187510&amp;pagePK=64193027&amp;piPK=64187937&amp;menuPK=64154159&amp;searchMenuPK=64258546&amp;theSitePK=523679&amp;entityID=000334955_20100420040819","Philippines - Additional Financing for the Kapitbisig Laban sa Kahirapan-Comprehensive and Integrated Delivery of Social Services (KALAHI-CIDSS) Project : indigenous peoples planning framework ")</f>
        <v xml:space="preserve">Philippines - Additional Financing for the Kapitbisig Laban sa Kahirapan-Comprehensive and Integrated Delivery of Social Services (KALAHI-CIDSS) Project : indigenous peoples planning framework </v>
      </c>
      <c r="F571" s="3" t="s">
        <v>628</v>
      </c>
      <c r="G571" s="2" t="s">
        <v>627</v>
      </c>
      <c r="H571" s="2" t="s">
        <v>10</v>
      </c>
      <c r="I571" s="2"/>
      <c r="J571" s="3"/>
      <c r="K571" s="2" t="s">
        <v>626</v>
      </c>
      <c r="L571" s="2" t="s">
        <v>625</v>
      </c>
      <c r="M571" s="2" t="s">
        <v>29</v>
      </c>
      <c r="N571" s="2" t="s">
        <v>624</v>
      </c>
      <c r="O571" s="2" t="s">
        <v>623</v>
      </c>
      <c r="P571" s="2"/>
      <c r="Q571" s="2" t="s">
        <v>622</v>
      </c>
      <c r="R571" s="2" t="s">
        <v>615</v>
      </c>
      <c r="S571" s="2" t="s">
        <v>621</v>
      </c>
      <c r="T571" s="2"/>
      <c r="U571" s="2" t="s">
        <v>597</v>
      </c>
      <c r="V571" s="2" t="s">
        <v>0</v>
      </c>
    </row>
    <row r="572" spans="1:22" ht="75" x14ac:dyDescent="0.25">
      <c r="A572" s="12" t="s">
        <v>552</v>
      </c>
      <c r="B572" s="10" t="s">
        <v>620</v>
      </c>
      <c r="C572" s="2" t="s">
        <v>456</v>
      </c>
      <c r="D572" s="14" t="s">
        <v>12</v>
      </c>
      <c r="E572" s="1" t="str">
        <f>HYPERLINK("http://www-wds.worldbank.org/external/default/main?menuPK=64187510&amp;pagePK=64193027&amp;piPK=64187937&amp;menuPK=64154159&amp;searchMenuPK=64258546&amp;theSitePK=523679&amp;entityID=000334955_20100308013828","Indigenous peoples planning framework ")</f>
        <v xml:space="preserve">Indigenous peoples planning framework </v>
      </c>
      <c r="F572" s="9">
        <v>40212</v>
      </c>
      <c r="G572" s="2" t="s">
        <v>619</v>
      </c>
      <c r="H572" s="2" t="s">
        <v>10</v>
      </c>
      <c r="I572" s="2"/>
      <c r="J572" s="3"/>
      <c r="K572" s="2" t="s">
        <v>109</v>
      </c>
      <c r="L572" s="2" t="s">
        <v>618</v>
      </c>
      <c r="M572" s="2" t="s">
        <v>29</v>
      </c>
      <c r="N572" s="2" t="s">
        <v>617</v>
      </c>
      <c r="O572" s="2" t="s">
        <v>460</v>
      </c>
      <c r="P572" s="2"/>
      <c r="Q572" s="2" t="s">
        <v>616</v>
      </c>
      <c r="R572" s="2" t="s">
        <v>615</v>
      </c>
      <c r="S572" s="2" t="s">
        <v>614</v>
      </c>
      <c r="T572" s="2"/>
      <c r="U572" s="2" t="s">
        <v>597</v>
      </c>
      <c r="V572" s="2" t="s">
        <v>0</v>
      </c>
    </row>
    <row r="573" spans="1:22" ht="105" x14ac:dyDescent="0.25">
      <c r="A573" s="12" t="s">
        <v>552</v>
      </c>
      <c r="B573" s="10" t="s">
        <v>613</v>
      </c>
      <c r="C573" s="2" t="s">
        <v>456</v>
      </c>
      <c r="D573" s="14" t="s">
        <v>12</v>
      </c>
      <c r="E573" s="1" t="str">
        <f>HYPERLINK("http://www-wds.worldbank.org/external/default/main?menuPK=64187510&amp;pagePK=64193027&amp;piPK=64187937&amp;menuPK=64154159&amp;searchMenuPK=64258546&amp;theSitePK=523679&amp;entityID=000334955_20100218022257","Philippines - Climate Change Adaptation Project : indigenous peoples policy framework ")</f>
        <v xml:space="preserve">Philippines - Climate Change Adaptation Project : indigenous peoples policy framework </v>
      </c>
      <c r="F573" s="9">
        <v>40211</v>
      </c>
      <c r="G573" s="2" t="s">
        <v>612</v>
      </c>
      <c r="H573" s="2" t="s">
        <v>10</v>
      </c>
      <c r="I573" s="2"/>
      <c r="J573" s="3"/>
      <c r="K573" s="2" t="s">
        <v>66</v>
      </c>
      <c r="L573" s="2" t="s">
        <v>611</v>
      </c>
      <c r="M573" s="2" t="s">
        <v>29</v>
      </c>
      <c r="N573" s="2" t="s">
        <v>610</v>
      </c>
      <c r="O573" s="2" t="s">
        <v>609</v>
      </c>
      <c r="P573" s="2"/>
      <c r="Q573" s="2" t="s">
        <v>608</v>
      </c>
      <c r="R573" s="2" t="s">
        <v>186</v>
      </c>
      <c r="S573" s="2" t="s">
        <v>607</v>
      </c>
      <c r="T573" s="2" t="s">
        <v>606</v>
      </c>
      <c r="U573" s="2" t="s">
        <v>597</v>
      </c>
      <c r="V573" s="2" t="s">
        <v>0</v>
      </c>
    </row>
    <row r="574" spans="1:22" ht="75" x14ac:dyDescent="0.25">
      <c r="A574" s="12" t="s">
        <v>552</v>
      </c>
      <c r="B574" s="10" t="s">
        <v>605</v>
      </c>
      <c r="C574" s="2" t="s">
        <v>456</v>
      </c>
      <c r="D574" s="14" t="s">
        <v>12</v>
      </c>
      <c r="E574" s="1" t="str">
        <f>HYPERLINK("http://www-wds.worldbank.org/external/default/main?menuPK=64187510&amp;pagePK=64193027&amp;piPK=64187937&amp;menuPK=64154159&amp;searchMenuPK=64258546&amp;theSitePK=523679&amp;entityID=000334955_20091112010821","Philippines - Methane Recovery from Waste Management Project : indigenous peoples plan ")</f>
        <v xml:space="preserve">Philippines - Methane Recovery from Waste Management Project : indigenous peoples plan </v>
      </c>
      <c r="F574" s="9">
        <v>39883</v>
      </c>
      <c r="G574" s="2" t="s">
        <v>604</v>
      </c>
      <c r="H574" s="2" t="s">
        <v>10</v>
      </c>
      <c r="I574" s="2"/>
      <c r="J574" s="3"/>
      <c r="K574" s="2" t="s">
        <v>145</v>
      </c>
      <c r="L574" s="2" t="s">
        <v>603</v>
      </c>
      <c r="M574" s="2" t="s">
        <v>29</v>
      </c>
      <c r="N574" s="2" t="s">
        <v>602</v>
      </c>
      <c r="O574" s="2" t="s">
        <v>601</v>
      </c>
      <c r="P574" s="2"/>
      <c r="Q574" s="2" t="s">
        <v>600</v>
      </c>
      <c r="R574" s="2" t="s">
        <v>599</v>
      </c>
      <c r="S574" s="2" t="s">
        <v>598</v>
      </c>
      <c r="T574" s="2"/>
      <c r="U574" s="2" t="s">
        <v>597</v>
      </c>
      <c r="V574" s="2" t="s">
        <v>0</v>
      </c>
    </row>
    <row r="575" spans="1:22" ht="75" x14ac:dyDescent="0.25">
      <c r="A575" s="12" t="s">
        <v>552</v>
      </c>
      <c r="B575" s="10" t="s">
        <v>596</v>
      </c>
      <c r="C575" s="2" t="s">
        <v>456</v>
      </c>
      <c r="D575" s="14" t="s">
        <v>12</v>
      </c>
      <c r="E575" s="1" t="str">
        <f>HYPERLINK("http://www-wds.worldbank.org/external/default/main?menuPK=64187510&amp;pagePK=64193027&amp;piPK=64187937&amp;menuPK=64154159&amp;searchMenuPK=64258546&amp;theSitePK=523679&amp;entityID=000333037_20090925002614","Philippines - Multi-Donor Trust Fund for Health Sector Reform Project : indigenous peoples policy framework ")</f>
        <v xml:space="preserve">Philippines - Multi-Donor Trust Fund for Health Sector Reform Project : indigenous peoples policy framework </v>
      </c>
      <c r="F575" s="3" t="s">
        <v>595</v>
      </c>
      <c r="G575" s="2" t="s">
        <v>594</v>
      </c>
      <c r="H575" s="2" t="s">
        <v>10</v>
      </c>
      <c r="I575" s="2"/>
      <c r="J575" s="3"/>
      <c r="K575" s="2" t="s">
        <v>593</v>
      </c>
      <c r="L575" s="2" t="s">
        <v>592</v>
      </c>
      <c r="M575" s="2" t="s">
        <v>29</v>
      </c>
      <c r="N575" s="2" t="s">
        <v>591</v>
      </c>
      <c r="O575" s="2" t="s">
        <v>590</v>
      </c>
      <c r="P575" s="2"/>
      <c r="Q575" s="2"/>
      <c r="R575" s="2"/>
      <c r="S575" s="2" t="s">
        <v>589</v>
      </c>
      <c r="T575" s="2" t="s">
        <v>588</v>
      </c>
      <c r="U575" s="2" t="s">
        <v>349</v>
      </c>
      <c r="V575" s="2" t="s">
        <v>0</v>
      </c>
    </row>
    <row r="576" spans="1:22" ht="90" x14ac:dyDescent="0.25">
      <c r="A576" s="12" t="s">
        <v>552</v>
      </c>
      <c r="B576" s="10" t="s">
        <v>587</v>
      </c>
      <c r="C576" s="2" t="s">
        <v>456</v>
      </c>
      <c r="D576" s="14" t="s">
        <v>12</v>
      </c>
      <c r="E576" s="1" t="str">
        <f>HYPERLINK("http://www-wds.worldbank.org/external/default/main?menuPK=64187510&amp;pagePK=64193027&amp;piPK=64187937&amp;menuPK=64154159&amp;searchMenuPK=64258546&amp;theSitePK=523679&amp;entityID=000333038_20090324015115","Philippines - Participatory Irrigation Development Project (PIDP) : indigenous peoples planning framework ")</f>
        <v xml:space="preserve">Philippines - Participatory Irrigation Development Project (PIDP) : indigenous peoples planning framework </v>
      </c>
      <c r="F576" s="3" t="s">
        <v>586</v>
      </c>
      <c r="G576" s="2" t="s">
        <v>585</v>
      </c>
      <c r="H576" s="2" t="s">
        <v>10</v>
      </c>
      <c r="I576" s="2"/>
      <c r="J576" s="3"/>
      <c r="K576" s="2" t="s">
        <v>8</v>
      </c>
      <c r="L576" s="2" t="s">
        <v>559</v>
      </c>
      <c r="M576" s="2" t="s">
        <v>29</v>
      </c>
      <c r="N576" s="2" t="s">
        <v>584</v>
      </c>
      <c r="O576" s="2" t="s">
        <v>557</v>
      </c>
      <c r="P576" s="2"/>
      <c r="Q576" s="2" t="s">
        <v>583</v>
      </c>
      <c r="R576" s="2" t="s">
        <v>582</v>
      </c>
      <c r="S576" s="2" t="s">
        <v>554</v>
      </c>
      <c r="T576" s="2" t="s">
        <v>553</v>
      </c>
      <c r="U576" s="2" t="s">
        <v>1</v>
      </c>
      <c r="V576" s="2" t="s">
        <v>0</v>
      </c>
    </row>
    <row r="577" spans="1:22" ht="60" x14ac:dyDescent="0.25">
      <c r="A577" s="6"/>
      <c r="B577" s="10" t="s">
        <v>581</v>
      </c>
      <c r="C577" s="2" t="s">
        <v>456</v>
      </c>
      <c r="D577" s="14" t="s">
        <v>12</v>
      </c>
      <c r="E577" s="1" t="str">
        <f>HYPERLINK("http://www-wds.worldbank.org/external/default/main?menuPK=64187510&amp;pagePK=64193027&amp;piPK=64187937&amp;menuPK=64154159&amp;searchMenuPK=64258546&amp;theSitePK=523679&amp;entityID=000334955_20090210040015","Philippines - Social Welfare and Development Reform Project : indigenous peoples plan ")</f>
        <v xml:space="preserve">Philippines - Social Welfare and Development Reform Project : indigenous peoples plan </v>
      </c>
      <c r="F577" s="9">
        <v>40057</v>
      </c>
      <c r="G577" s="2" t="s">
        <v>580</v>
      </c>
      <c r="H577" s="2" t="s">
        <v>10</v>
      </c>
      <c r="I577" s="2"/>
      <c r="J577" s="3"/>
      <c r="K577" s="2" t="s">
        <v>109</v>
      </c>
      <c r="L577" s="2" t="s">
        <v>579</v>
      </c>
      <c r="M577" s="2" t="s">
        <v>29</v>
      </c>
      <c r="N577" s="2" t="s">
        <v>578</v>
      </c>
      <c r="O577" s="2" t="s">
        <v>460</v>
      </c>
      <c r="P577" s="2"/>
      <c r="Q577" s="2" t="s">
        <v>577</v>
      </c>
      <c r="R577" s="2" t="s">
        <v>576</v>
      </c>
      <c r="S577" s="2" t="s">
        <v>575</v>
      </c>
      <c r="T577" s="2" t="s">
        <v>574</v>
      </c>
      <c r="U577" s="2" t="s">
        <v>23</v>
      </c>
      <c r="V577" s="2" t="s">
        <v>0</v>
      </c>
    </row>
    <row r="578" spans="1:22" ht="90" x14ac:dyDescent="0.25">
      <c r="A578" s="6"/>
      <c r="B578" s="10"/>
      <c r="C578" s="2" t="s">
        <v>456</v>
      </c>
      <c r="D578" s="2" t="s">
        <v>12</v>
      </c>
      <c r="E578" s="1" t="str">
        <f>HYPERLINK("http://www-wds.worldbank.org/external/default/main?menuPK=64187510&amp;pagePK=64193027&amp;piPK=64187937&amp;menuPK=64154159&amp;searchMenuPK=64258546&amp;theSitePK=523679&amp;entityID=000333038_20090325010913","Updates on the social assessment report ")</f>
        <v xml:space="preserve">Updates on the social assessment report </v>
      </c>
      <c r="F578" s="9">
        <v>39453</v>
      </c>
      <c r="G578" s="2" t="s">
        <v>560</v>
      </c>
      <c r="H578" s="2" t="s">
        <v>10</v>
      </c>
      <c r="I578" s="2"/>
      <c r="J578" s="3"/>
      <c r="K578" s="2" t="s">
        <v>8</v>
      </c>
      <c r="L578" s="2" t="s">
        <v>559</v>
      </c>
      <c r="M578" s="2" t="s">
        <v>29</v>
      </c>
      <c r="N578" s="2" t="s">
        <v>558</v>
      </c>
      <c r="O578" s="2" t="s">
        <v>557</v>
      </c>
      <c r="P578" s="2"/>
      <c r="Q578" s="2" t="s">
        <v>573</v>
      </c>
      <c r="R578" s="2" t="s">
        <v>572</v>
      </c>
      <c r="S578" s="2" t="s">
        <v>554</v>
      </c>
      <c r="T578" s="2" t="s">
        <v>553</v>
      </c>
      <c r="U578" s="2" t="s">
        <v>1</v>
      </c>
      <c r="V578" s="2" t="s">
        <v>59</v>
      </c>
    </row>
    <row r="579" spans="1:22" ht="75" x14ac:dyDescent="0.25">
      <c r="A579" s="6"/>
      <c r="B579" s="10"/>
      <c r="C579" s="2" t="s">
        <v>456</v>
      </c>
      <c r="D579" s="2" t="s">
        <v>12</v>
      </c>
      <c r="E579" s="1" t="str">
        <f>HYPERLINK("http://www-wds.worldbank.org/external/default/main?menuPK=64187510&amp;pagePK=64193027&amp;piPK=64187937&amp;menuPK=64154159&amp;searchMenuPK=64258546&amp;theSitePK=523679&amp;entityID=000020953_20070524154340","Philippines - Second National Roads Improvement Project : indigenous peoples plan ")</f>
        <v xml:space="preserve">Philippines - Second National Roads Improvement Project : indigenous peoples plan </v>
      </c>
      <c r="F579" s="3" t="s">
        <v>571</v>
      </c>
      <c r="G579" s="2" t="s">
        <v>570</v>
      </c>
      <c r="H579" s="2" t="s">
        <v>10</v>
      </c>
      <c r="I579" s="2"/>
      <c r="J579" s="3"/>
      <c r="K579" s="2" t="s">
        <v>43</v>
      </c>
      <c r="L579" s="2" t="s">
        <v>569</v>
      </c>
      <c r="M579" s="2" t="s">
        <v>29</v>
      </c>
      <c r="N579" s="2" t="s">
        <v>568</v>
      </c>
      <c r="O579" s="2" t="s">
        <v>567</v>
      </c>
      <c r="P579" s="2"/>
      <c r="Q579" s="2" t="s">
        <v>566</v>
      </c>
      <c r="R579" s="2" t="s">
        <v>565</v>
      </c>
      <c r="S579" s="2"/>
      <c r="T579" s="2" t="s">
        <v>564</v>
      </c>
      <c r="U579" s="2" t="s">
        <v>36</v>
      </c>
      <c r="V579" s="2" t="s">
        <v>0</v>
      </c>
    </row>
    <row r="580" spans="1:22" ht="90" x14ac:dyDescent="0.25">
      <c r="A580" s="6"/>
      <c r="B580" s="10"/>
      <c r="C580" s="2" t="s">
        <v>456</v>
      </c>
      <c r="D580" s="2" t="s">
        <v>12</v>
      </c>
      <c r="E580" s="1" t="str">
        <f>HYPERLINK("http://www-wds.worldbank.org/external/default/main?menuPK=64187510&amp;pagePK=64193027&amp;piPK=64187937&amp;menuPK=64154159&amp;searchMenuPK=64258546&amp;theSitePK=523679&amp;entityID=000090341_20070125151017","Philippines - National Program for Environment and Natural Resources Project : indigenous peoples plan ")</f>
        <v xml:space="preserve">Philippines - National Program for Environment and Natural Resources Project : indigenous peoples plan </v>
      </c>
      <c r="F580" s="3" t="s">
        <v>563</v>
      </c>
      <c r="G580" s="2" t="s">
        <v>531</v>
      </c>
      <c r="H580" s="2" t="s">
        <v>10</v>
      </c>
      <c r="I580" s="2"/>
      <c r="J580" s="3"/>
      <c r="K580" s="2" t="s">
        <v>530</v>
      </c>
      <c r="L580" s="2" t="s">
        <v>529</v>
      </c>
      <c r="M580" s="2" t="s">
        <v>29</v>
      </c>
      <c r="N580" s="2" t="s">
        <v>528</v>
      </c>
      <c r="O580" s="2" t="s">
        <v>527</v>
      </c>
      <c r="P580" s="2"/>
      <c r="Q580" s="2" t="s">
        <v>562</v>
      </c>
      <c r="R580" s="2" t="s">
        <v>561</v>
      </c>
      <c r="S580" s="2"/>
      <c r="T580" s="2" t="s">
        <v>524</v>
      </c>
      <c r="U580" s="2" t="s">
        <v>1</v>
      </c>
      <c r="V580" s="2" t="s">
        <v>70</v>
      </c>
    </row>
    <row r="581" spans="1:22" ht="90" x14ac:dyDescent="0.25">
      <c r="A581" s="6"/>
      <c r="B581" s="10"/>
      <c r="C581" s="2" t="s">
        <v>456</v>
      </c>
      <c r="D581" s="2" t="s">
        <v>12</v>
      </c>
      <c r="E581" s="1" t="str">
        <f>HYPERLINK("http://www-wds.worldbank.org/external/default/main?menuPK=64187510&amp;pagePK=64193027&amp;piPK=64187937&amp;menuPK=64154159&amp;searchMenuPK=64258546&amp;theSitePK=523679&amp;entityID=000334955_20080919075328","Social assessment ")</f>
        <v xml:space="preserve">Social assessment </v>
      </c>
      <c r="F581" s="9">
        <v>38728</v>
      </c>
      <c r="G581" s="2" t="s">
        <v>560</v>
      </c>
      <c r="H581" s="2" t="s">
        <v>10</v>
      </c>
      <c r="I581" s="2"/>
      <c r="J581" s="3"/>
      <c r="K581" s="2" t="s">
        <v>8</v>
      </c>
      <c r="L581" s="2" t="s">
        <v>559</v>
      </c>
      <c r="M581" s="2" t="s">
        <v>29</v>
      </c>
      <c r="N581" s="2" t="s">
        <v>558</v>
      </c>
      <c r="O581" s="2" t="s">
        <v>557</v>
      </c>
      <c r="P581" s="2"/>
      <c r="Q581" s="2" t="s">
        <v>556</v>
      </c>
      <c r="R581" s="2" t="s">
        <v>555</v>
      </c>
      <c r="S581" s="2" t="s">
        <v>554</v>
      </c>
      <c r="T581" s="2" t="s">
        <v>553</v>
      </c>
      <c r="U581" s="2" t="s">
        <v>1</v>
      </c>
      <c r="V581" s="2" t="s">
        <v>70</v>
      </c>
    </row>
    <row r="582" spans="1:22" ht="225" x14ac:dyDescent="0.25">
      <c r="A582" s="16" t="s">
        <v>552</v>
      </c>
      <c r="B582" s="15" t="s">
        <v>551</v>
      </c>
      <c r="C582" s="2" t="s">
        <v>456</v>
      </c>
      <c r="D582" s="14" t="s">
        <v>12</v>
      </c>
      <c r="E582" s="1" t="str">
        <f>HYPERLINK("http://www-wds.worldbank.org/external/default/main?menuPK=64187510&amp;pagePK=64193027&amp;piPK=64187937&amp;menuPK=64154159&amp;searchMenuPK=64258546&amp;theSitePK=523679&amp;entityID=000020953_20061215155417","Philippines - Social assessment : indigenous peoples/indigenous cultural communities ")</f>
        <v xml:space="preserve">Philippines - Social assessment : indigenous peoples/indigenous cultural communities </v>
      </c>
      <c r="F582" s="9">
        <v>38727</v>
      </c>
      <c r="G582" s="2" t="s">
        <v>547</v>
      </c>
      <c r="H582" s="2" t="s">
        <v>10</v>
      </c>
      <c r="I582" s="2"/>
      <c r="J582" s="3"/>
      <c r="K582" s="2" t="s">
        <v>546</v>
      </c>
      <c r="L582" s="2" t="s">
        <v>545</v>
      </c>
      <c r="M582" s="2" t="s">
        <v>29</v>
      </c>
      <c r="N582" s="2" t="s">
        <v>544</v>
      </c>
      <c r="O582" s="2" t="s">
        <v>543</v>
      </c>
      <c r="P582" s="2"/>
      <c r="Q582" s="2" t="s">
        <v>550</v>
      </c>
      <c r="R582" s="2" t="s">
        <v>549</v>
      </c>
      <c r="S582" s="2"/>
      <c r="T582" s="2" t="s">
        <v>541</v>
      </c>
      <c r="U582" s="2" t="s">
        <v>1</v>
      </c>
      <c r="V582" s="2" t="s">
        <v>59</v>
      </c>
    </row>
    <row r="583" spans="1:22" ht="105" x14ac:dyDescent="0.25">
      <c r="A583" s="6"/>
      <c r="B583" s="10"/>
      <c r="C583" s="2" t="s">
        <v>456</v>
      </c>
      <c r="D583" s="14" t="s">
        <v>12</v>
      </c>
      <c r="E583" s="1" t="str">
        <f>HYPERLINK("http://www-wds.worldbank.org/external/default/main?menuPK=64187510&amp;pagePK=64193027&amp;piPK=64187937&amp;menuPK=64154159&amp;searchMenuPK=64258546&amp;theSitePK=523679&amp;entityID=000090341_20060831113954","Philippines - Indigenous peoples development framework ")</f>
        <v xml:space="preserve">Philippines - Indigenous peoples development framework </v>
      </c>
      <c r="F583" s="3" t="s">
        <v>548</v>
      </c>
      <c r="G583" s="2" t="s">
        <v>547</v>
      </c>
      <c r="H583" s="2" t="s">
        <v>10</v>
      </c>
      <c r="I583" s="2"/>
      <c r="J583" s="3"/>
      <c r="K583" s="2" t="s">
        <v>546</v>
      </c>
      <c r="L583" s="2" t="s">
        <v>545</v>
      </c>
      <c r="M583" s="2" t="s">
        <v>29</v>
      </c>
      <c r="N583" s="2" t="s">
        <v>544</v>
      </c>
      <c r="O583" s="2" t="s">
        <v>543</v>
      </c>
      <c r="P583" s="2"/>
      <c r="Q583" s="2" t="s">
        <v>542</v>
      </c>
      <c r="R583" s="2" t="s">
        <v>2</v>
      </c>
      <c r="S583" s="2"/>
      <c r="T583" s="2" t="s">
        <v>541</v>
      </c>
      <c r="U583" s="2" t="s">
        <v>1</v>
      </c>
      <c r="V583" s="2" t="s">
        <v>70</v>
      </c>
    </row>
    <row r="584" spans="1:22" ht="75" x14ac:dyDescent="0.25">
      <c r="A584" s="6"/>
      <c r="B584" s="10"/>
      <c r="C584" s="2" t="s">
        <v>456</v>
      </c>
      <c r="D584" s="2" t="s">
        <v>12</v>
      </c>
      <c r="E584" s="1" t="str">
        <f>HYPERLINK("http://www-wds.worldbank.org/external/default/main?menuPK=64187510&amp;pagePK=64193027&amp;piPK=64187937&amp;menuPK=64154159&amp;searchMenuPK=64258546&amp;theSitePK=523679&amp;entityID=000160016_20060329175456","Philippines - National Program Support for Health Sector Reform Project : indigenous peoples planning framework ")</f>
        <v xml:space="preserve">Philippines - National Program Support for Health Sector Reform Project : indigenous peoples planning framework </v>
      </c>
      <c r="F584" s="3" t="s">
        <v>540</v>
      </c>
      <c r="G584" s="2" t="s">
        <v>539</v>
      </c>
      <c r="H584" s="2" t="s">
        <v>10</v>
      </c>
      <c r="I584" s="2"/>
      <c r="J584" s="3"/>
      <c r="K584" s="2" t="s">
        <v>538</v>
      </c>
      <c r="L584" s="2" t="s">
        <v>537</v>
      </c>
      <c r="M584" s="2" t="s">
        <v>29</v>
      </c>
      <c r="N584" s="2" t="s">
        <v>536</v>
      </c>
      <c r="O584" s="2" t="s">
        <v>535</v>
      </c>
      <c r="P584" s="2"/>
      <c r="Q584" s="2" t="s">
        <v>534</v>
      </c>
      <c r="R584" s="2" t="s">
        <v>533</v>
      </c>
      <c r="S584" s="2"/>
      <c r="T584" s="2" t="s">
        <v>532</v>
      </c>
      <c r="U584" s="2" t="s">
        <v>23</v>
      </c>
      <c r="V584" s="2" t="s">
        <v>0</v>
      </c>
    </row>
    <row r="585" spans="1:22" ht="90" x14ac:dyDescent="0.25">
      <c r="A585" s="6"/>
      <c r="B585" s="10"/>
      <c r="C585" s="2" t="s">
        <v>456</v>
      </c>
      <c r="D585" s="2" t="s">
        <v>12</v>
      </c>
      <c r="E585" s="1" t="str">
        <f>HYPERLINK("http://www-wds.worldbank.org/external/default/main?menuPK=64187510&amp;pagePK=64193027&amp;piPK=64187937&amp;menuPK=64154159&amp;searchMenuPK=64258546&amp;theSitePK=523679&amp;entityID=000160016_20080416114052","Social assessment ")</f>
        <v xml:space="preserve">Social assessment </v>
      </c>
      <c r="F585" s="9">
        <v>38718</v>
      </c>
      <c r="G585" s="2" t="s">
        <v>531</v>
      </c>
      <c r="H585" s="2" t="s">
        <v>10</v>
      </c>
      <c r="I585" s="2"/>
      <c r="J585" s="3"/>
      <c r="K585" s="2" t="s">
        <v>530</v>
      </c>
      <c r="L585" s="2" t="s">
        <v>529</v>
      </c>
      <c r="M585" s="2" t="s">
        <v>29</v>
      </c>
      <c r="N585" s="2" t="s">
        <v>528</v>
      </c>
      <c r="O585" s="2" t="s">
        <v>527</v>
      </c>
      <c r="P585" s="2"/>
      <c r="Q585" s="2" t="s">
        <v>526</v>
      </c>
      <c r="R585" s="2" t="s">
        <v>525</v>
      </c>
      <c r="S585" s="2"/>
      <c r="T585" s="2" t="s">
        <v>524</v>
      </c>
      <c r="U585" s="2" t="s">
        <v>1</v>
      </c>
      <c r="V585" s="2" t="s">
        <v>59</v>
      </c>
    </row>
    <row r="586" spans="1:22" ht="60" x14ac:dyDescent="0.25">
      <c r="A586" s="6"/>
      <c r="B586" s="10"/>
      <c r="C586" s="2" t="s">
        <v>456</v>
      </c>
      <c r="D586" s="2" t="s">
        <v>12</v>
      </c>
      <c r="E586" s="1" t="str">
        <f>HYPERLINK("http://www-wds.worldbank.org/external/default/main?menuPK=64187510&amp;pagePK=64193027&amp;piPK=64187937&amp;menuPK=64154159&amp;searchMenuPK=64258546&amp;theSitePK=523679&amp;entityID=000012009_20051209135800","Philippines - Laguna de Bay Institutional Strengthening and Community Participation Project : Indigenous peoples plan ")</f>
        <v xml:space="preserve">Philippines - Laguna de Bay Institutional Strengthening and Community Participation Project : Indigenous peoples plan </v>
      </c>
      <c r="F586" s="9">
        <v>38364</v>
      </c>
      <c r="G586" s="2" t="s">
        <v>523</v>
      </c>
      <c r="H586" s="2" t="s">
        <v>10</v>
      </c>
      <c r="I586" s="2" t="s">
        <v>31</v>
      </c>
      <c r="J586" s="3"/>
      <c r="K586" s="2" t="s">
        <v>522</v>
      </c>
      <c r="L586" s="2" t="s">
        <v>521</v>
      </c>
      <c r="M586" s="2" t="s">
        <v>29</v>
      </c>
      <c r="N586" s="2" t="s">
        <v>520</v>
      </c>
      <c r="O586" s="2" t="s">
        <v>519</v>
      </c>
      <c r="P586" s="2"/>
      <c r="Q586" s="2" t="s">
        <v>513</v>
      </c>
      <c r="R586" s="2" t="s">
        <v>512</v>
      </c>
      <c r="S586" s="2"/>
      <c r="T586" s="2" t="s">
        <v>518</v>
      </c>
      <c r="U586" s="2" t="s">
        <v>503</v>
      </c>
      <c r="V586" s="2" t="s">
        <v>0</v>
      </c>
    </row>
    <row r="587" spans="1:22" ht="60" x14ac:dyDescent="0.25">
      <c r="A587" s="6"/>
      <c r="B587" s="10"/>
      <c r="C587" s="2" t="s">
        <v>456</v>
      </c>
      <c r="D587" s="2" t="s">
        <v>12</v>
      </c>
      <c r="E587" s="1" t="str">
        <f>HYPERLINK("http://www-wds.worldbank.org/external/default/main?menuPK=64187510&amp;pagePK=64193027&amp;piPK=64187937&amp;menuPK=64154159&amp;searchMenuPK=64258546&amp;theSitePK=523679&amp;entityID=000090341_20051209092911","Philippines - Laguna de Bay Community Carbon Project : Indigenous Peoples Plan ")</f>
        <v xml:space="preserve">Philippines - Laguna de Bay Community Carbon Project : Indigenous Peoples Plan </v>
      </c>
      <c r="F587" s="3" t="s">
        <v>511</v>
      </c>
      <c r="G587" s="2" t="s">
        <v>517</v>
      </c>
      <c r="H587" s="2" t="s">
        <v>10</v>
      </c>
      <c r="I587" s="2"/>
      <c r="J587" s="3"/>
      <c r="K587" s="2" t="s">
        <v>145</v>
      </c>
      <c r="L587" s="2" t="s">
        <v>516</v>
      </c>
      <c r="M587" s="2" t="s">
        <v>29</v>
      </c>
      <c r="N587" s="2" t="s">
        <v>515</v>
      </c>
      <c r="O587" s="2" t="s">
        <v>514</v>
      </c>
      <c r="P587" s="2"/>
      <c r="Q587" s="2" t="s">
        <v>513</v>
      </c>
      <c r="R587" s="2" t="s">
        <v>512</v>
      </c>
      <c r="S587" s="2"/>
      <c r="T587" s="2"/>
      <c r="U587" s="2" t="s">
        <v>503</v>
      </c>
      <c r="V587" s="2" t="s">
        <v>0</v>
      </c>
    </row>
    <row r="588" spans="1:22" ht="60" x14ac:dyDescent="0.25">
      <c r="A588" s="6"/>
      <c r="B588" s="10"/>
      <c r="C588" s="2" t="s">
        <v>456</v>
      </c>
      <c r="D588" s="2" t="s">
        <v>12</v>
      </c>
      <c r="E588" s="1" t="str">
        <f>HYPERLINK("http://www-wds.worldbank.org/external/default/main?menuPK=64187510&amp;pagePK=64193027&amp;piPK=64187937&amp;menuPK=64154159&amp;searchMenuPK=64258546&amp;theSitePK=523679&amp;entityID=000090341_20051208140716","Philippines - Laguna de Bay Community Watershed Rehabilitation Project : Indigenous Peoples Plan ")</f>
        <v xml:space="preserve">Philippines - Laguna de Bay Community Watershed Rehabilitation Project : Indigenous Peoples Plan </v>
      </c>
      <c r="F588" s="3" t="s">
        <v>511</v>
      </c>
      <c r="G588" s="2" t="s">
        <v>510</v>
      </c>
      <c r="H588" s="2" t="s">
        <v>10</v>
      </c>
      <c r="I588" s="2"/>
      <c r="J588" s="3"/>
      <c r="K588" s="2" t="s">
        <v>509</v>
      </c>
      <c r="L588" s="2" t="s">
        <v>508</v>
      </c>
      <c r="M588" s="2" t="s">
        <v>29</v>
      </c>
      <c r="N588" s="2" t="s">
        <v>507</v>
      </c>
      <c r="O588" s="2" t="s">
        <v>506</v>
      </c>
      <c r="P588" s="2"/>
      <c r="Q588" s="2" t="s">
        <v>505</v>
      </c>
      <c r="R588" s="2" t="s">
        <v>504</v>
      </c>
      <c r="S588" s="2"/>
      <c r="T588" s="2"/>
      <c r="U588" s="2" t="s">
        <v>503</v>
      </c>
      <c r="V588" s="2" t="s">
        <v>0</v>
      </c>
    </row>
    <row r="589" spans="1:22" ht="60" x14ac:dyDescent="0.25">
      <c r="A589" s="6"/>
      <c r="B589" s="10"/>
      <c r="C589" s="2" t="s">
        <v>456</v>
      </c>
      <c r="D589" s="2" t="s">
        <v>12</v>
      </c>
      <c r="E589" s="1" t="str">
        <f>HYPERLINK("http://www-wds.worldbank.org/external/default/main?menuPK=64187510&amp;pagePK=64193027&amp;piPK=64187937&amp;menuPK=64154159&amp;searchMenuPK=64258546&amp;theSitePK=523679&amp;entityID=000011823_20071025112809","Philippines - Nasulo Geothermal Power Project : indigenous peoples plan ")</f>
        <v xml:space="preserve">Philippines - Nasulo Geothermal Power Project : indigenous peoples plan </v>
      </c>
      <c r="F589" s="3" t="s">
        <v>502</v>
      </c>
      <c r="G589" s="2" t="s">
        <v>501</v>
      </c>
      <c r="H589" s="2" t="s">
        <v>10</v>
      </c>
      <c r="I589" s="2"/>
      <c r="J589" s="3"/>
      <c r="K589" s="2" t="s">
        <v>80</v>
      </c>
      <c r="L589" s="2" t="s">
        <v>500</v>
      </c>
      <c r="M589" s="2" t="s">
        <v>29</v>
      </c>
      <c r="N589" s="2" t="s">
        <v>499</v>
      </c>
      <c r="O589" s="2" t="s">
        <v>278</v>
      </c>
      <c r="P589" s="2"/>
      <c r="Q589" s="2" t="s">
        <v>498</v>
      </c>
      <c r="R589" s="2" t="s">
        <v>497</v>
      </c>
      <c r="S589" s="2"/>
      <c r="T589" s="2" t="s">
        <v>496</v>
      </c>
      <c r="U589" s="2" t="s">
        <v>36</v>
      </c>
      <c r="V589" s="2" t="s">
        <v>0</v>
      </c>
    </row>
    <row r="590" spans="1:22" ht="75" x14ac:dyDescent="0.25">
      <c r="A590" s="6"/>
      <c r="B590" s="10"/>
      <c r="C590" s="2" t="s">
        <v>456</v>
      </c>
      <c r="D590" s="2" t="s">
        <v>12</v>
      </c>
      <c r="E590" s="1" t="str">
        <f>HYPERLINK("http://www-wds.worldbank.org/external/default/main?menuPK=64187510&amp;pagePK=64193027&amp;piPK=64187937&amp;menuPK=64154159&amp;searchMenuPK=64258546&amp;theSitePK=523679&amp;entityID=000160016_20050106121336","IPDP for Sorsogon ")</f>
        <v xml:space="preserve">IPDP for Sorsogon </v>
      </c>
      <c r="F590" s="9">
        <v>37996</v>
      </c>
      <c r="G590" s="2" t="s">
        <v>493</v>
      </c>
      <c r="H590" s="2" t="s">
        <v>10</v>
      </c>
      <c r="I590" s="2" t="s">
        <v>492</v>
      </c>
      <c r="J590" s="3"/>
      <c r="K590" s="2" t="s">
        <v>109</v>
      </c>
      <c r="L590" s="2" t="s">
        <v>491</v>
      </c>
      <c r="M590" s="2" t="s">
        <v>29</v>
      </c>
      <c r="N590" s="2" t="s">
        <v>490</v>
      </c>
      <c r="O590" s="2" t="s">
        <v>489</v>
      </c>
      <c r="P590" s="2"/>
      <c r="Q590" s="2" t="s">
        <v>495</v>
      </c>
      <c r="R590" s="2" t="s">
        <v>487</v>
      </c>
      <c r="S590" s="2"/>
      <c r="T590" s="2" t="s">
        <v>486</v>
      </c>
      <c r="U590" s="2" t="s">
        <v>23</v>
      </c>
      <c r="V590" s="2" t="s">
        <v>35</v>
      </c>
    </row>
    <row r="591" spans="1:22" ht="75" x14ac:dyDescent="0.25">
      <c r="A591" s="6"/>
      <c r="B591" s="10"/>
      <c r="C591" s="2" t="s">
        <v>456</v>
      </c>
      <c r="D591" s="2" t="s">
        <v>12</v>
      </c>
      <c r="E591" s="1" t="str">
        <f>HYPERLINK("http://www-wds.worldbank.org/external/default/main?menuPK=64187510&amp;pagePK=64193027&amp;piPK=64187937&amp;menuPK=64154159&amp;searchMenuPK=64258546&amp;theSitePK=523679&amp;entityID=000160016_20050106121645","IPDP for Surigao del Sur ")</f>
        <v xml:space="preserve">IPDP for Surigao del Sur </v>
      </c>
      <c r="F591" s="9">
        <v>37996</v>
      </c>
      <c r="G591" s="2" t="s">
        <v>493</v>
      </c>
      <c r="H591" s="2" t="s">
        <v>10</v>
      </c>
      <c r="I591" s="2" t="s">
        <v>492</v>
      </c>
      <c r="J591" s="3"/>
      <c r="K591" s="2" t="s">
        <v>109</v>
      </c>
      <c r="L591" s="2" t="s">
        <v>491</v>
      </c>
      <c r="M591" s="2" t="s">
        <v>29</v>
      </c>
      <c r="N591" s="2" t="s">
        <v>490</v>
      </c>
      <c r="O591" s="2" t="s">
        <v>489</v>
      </c>
      <c r="P591" s="2"/>
      <c r="Q591" s="2" t="s">
        <v>495</v>
      </c>
      <c r="R591" s="2" t="s">
        <v>487</v>
      </c>
      <c r="S591" s="2"/>
      <c r="T591" s="2" t="s">
        <v>486</v>
      </c>
      <c r="U591" s="2" t="s">
        <v>23</v>
      </c>
      <c r="V591" s="2" t="s">
        <v>55</v>
      </c>
    </row>
    <row r="592" spans="1:22" ht="60" x14ac:dyDescent="0.25">
      <c r="A592" s="6"/>
      <c r="B592" s="10"/>
      <c r="C592" s="2" t="s">
        <v>456</v>
      </c>
      <c r="D592" s="14" t="s">
        <v>12</v>
      </c>
      <c r="E592" s="1" t="str">
        <f>HYPERLINK("http://www-wds.worldbank.org/external/default/main?menuPK=64187510&amp;pagePK=64193027&amp;piPK=64187937&amp;menuPK=64154159&amp;searchMenuPK=64258546&amp;theSitePK=523679&amp;entityID=000090341_20050210140819","Indigenous People's Strategy ")</f>
        <v xml:space="preserve">Indigenous People's Strategy </v>
      </c>
      <c r="F592" s="3" t="s">
        <v>494</v>
      </c>
      <c r="G592" s="2" t="s">
        <v>493</v>
      </c>
      <c r="H592" s="2" t="s">
        <v>10</v>
      </c>
      <c r="I592" s="2" t="s">
        <v>492</v>
      </c>
      <c r="J592" s="3"/>
      <c r="K592" s="2" t="s">
        <v>109</v>
      </c>
      <c r="L592" s="2" t="s">
        <v>491</v>
      </c>
      <c r="M592" s="2" t="s">
        <v>29</v>
      </c>
      <c r="N592" s="2" t="s">
        <v>490</v>
      </c>
      <c r="O592" s="2" t="s">
        <v>489</v>
      </c>
      <c r="P592" s="2"/>
      <c r="Q592" s="2" t="s">
        <v>488</v>
      </c>
      <c r="R592" s="2" t="s">
        <v>487</v>
      </c>
      <c r="S592" s="2"/>
      <c r="T592" s="2" t="s">
        <v>486</v>
      </c>
      <c r="U592" s="2" t="s">
        <v>23</v>
      </c>
      <c r="V592" s="2" t="s">
        <v>93</v>
      </c>
    </row>
    <row r="593" spans="1:22" ht="75" x14ac:dyDescent="0.25">
      <c r="A593" s="6"/>
      <c r="B593" s="10"/>
      <c r="C593" s="2" t="s">
        <v>456</v>
      </c>
      <c r="D593" s="2" t="s">
        <v>12</v>
      </c>
      <c r="E593" s="1" t="str">
        <f>HYPERLINK("http://www-wds.worldbank.org/external/default/main?menuPK=64187510&amp;pagePK=64193027&amp;piPK=64187937&amp;menuPK=64154159&amp;searchMenuPK=64258546&amp;theSitePK=523679&amp;entityID=000090341_20040315141123","Philippines - Diversified Farm Income and Market Development Project : indigenous peoples plan ")</f>
        <v xml:space="preserve">Philippines - Diversified Farm Income and Market Development Project : indigenous peoples plan </v>
      </c>
      <c r="F593" s="9">
        <v>38080</v>
      </c>
      <c r="G593" s="2" t="s">
        <v>485</v>
      </c>
      <c r="H593" s="2" t="s">
        <v>10</v>
      </c>
      <c r="I593" s="2"/>
      <c r="J593" s="3"/>
      <c r="K593" s="2" t="s">
        <v>484</v>
      </c>
      <c r="L593" s="2" t="s">
        <v>483</v>
      </c>
      <c r="M593" s="2" t="s">
        <v>29</v>
      </c>
      <c r="N593" s="2" t="s">
        <v>482</v>
      </c>
      <c r="O593" s="2" t="s">
        <v>481</v>
      </c>
      <c r="P593" s="2"/>
      <c r="Q593" s="2" t="s">
        <v>480</v>
      </c>
      <c r="R593" s="2" t="s">
        <v>61</v>
      </c>
      <c r="S593" s="2"/>
      <c r="T593" s="2" t="s">
        <v>479</v>
      </c>
      <c r="U593" s="2" t="s">
        <v>1</v>
      </c>
      <c r="V593" s="2" t="s">
        <v>0</v>
      </c>
    </row>
    <row r="594" spans="1:22" ht="90" x14ac:dyDescent="0.25">
      <c r="A594" s="6"/>
      <c r="B594" s="10"/>
      <c r="C594" s="2" t="s">
        <v>456</v>
      </c>
      <c r="D594" s="2" t="s">
        <v>12</v>
      </c>
      <c r="E594" s="1" t="str">
        <f>HYPERLINK("http://www-wds.worldbank.org/external/default/main?menuPK=64187510&amp;pagePK=64193027&amp;piPK=64187937&amp;menuPK=64154159&amp;searchMenuPK=64258546&amp;theSitePK=523679&amp;entityID=000094946_03080704035551","Philippines - Rural Power Project : indigenous peoples plan - project policy framework ")</f>
        <v xml:space="preserve">Philippines - Rural Power Project : indigenous peoples plan - project policy framework </v>
      </c>
      <c r="F594" s="3" t="s">
        <v>478</v>
      </c>
      <c r="G594" s="2" t="s">
        <v>477</v>
      </c>
      <c r="H594" s="2" t="s">
        <v>10</v>
      </c>
      <c r="I594" s="2"/>
      <c r="J594" s="3"/>
      <c r="K594" s="2" t="s">
        <v>476</v>
      </c>
      <c r="L594" s="2" t="s">
        <v>475</v>
      </c>
      <c r="M594" s="2" t="s">
        <v>29</v>
      </c>
      <c r="N594" s="2" t="s">
        <v>474</v>
      </c>
      <c r="O594" s="2" t="s">
        <v>444</v>
      </c>
      <c r="P594" s="2"/>
      <c r="Q594" s="2" t="s">
        <v>473</v>
      </c>
      <c r="R594" s="2" t="s">
        <v>61</v>
      </c>
      <c r="S594" s="2"/>
      <c r="T594" s="2" t="s">
        <v>472</v>
      </c>
      <c r="U594" s="2" t="s">
        <v>73</v>
      </c>
      <c r="V594" s="2">
        <v>1</v>
      </c>
    </row>
    <row r="595" spans="1:22" ht="75" x14ac:dyDescent="0.25">
      <c r="A595" s="6"/>
      <c r="B595" s="10"/>
      <c r="C595" s="2" t="s">
        <v>456</v>
      </c>
      <c r="D595" s="2" t="s">
        <v>12</v>
      </c>
      <c r="E595" s="1" t="str">
        <f>HYPERLINK("http://www-wds.worldbank.org/external/default/main?menuPK=64187510&amp;pagePK=64193027&amp;piPK=64187937&amp;menuPK=64154159&amp;searchMenuPK=64258546&amp;theSitePK=523679&amp;entityID=000094946_02082304130138","Philippines - ARMM Social Fund for Peace and Development Project : indigenous peoples plan ")</f>
        <v xml:space="preserve">Philippines - ARMM Social Fund for Peace and Development Project : indigenous peoples plan </v>
      </c>
      <c r="F595" s="3" t="s">
        <v>471</v>
      </c>
      <c r="G595" s="2" t="s">
        <v>470</v>
      </c>
      <c r="H595" s="2" t="s">
        <v>10</v>
      </c>
      <c r="I595" s="2" t="s">
        <v>31</v>
      </c>
      <c r="J595" s="3">
        <v>7153</v>
      </c>
      <c r="K595" s="2" t="s">
        <v>463</v>
      </c>
      <c r="L595" s="2" t="s">
        <v>469</v>
      </c>
      <c r="M595" s="2" t="s">
        <v>29</v>
      </c>
      <c r="N595" s="2" t="s">
        <v>468</v>
      </c>
      <c r="O595" s="2" t="s">
        <v>460</v>
      </c>
      <c r="P595" s="2"/>
      <c r="Q595" s="2" t="s">
        <v>467</v>
      </c>
      <c r="R595" s="2" t="s">
        <v>21</v>
      </c>
      <c r="S595" s="2"/>
      <c r="T595" s="2" t="s">
        <v>466</v>
      </c>
      <c r="U595" s="2" t="s">
        <v>1</v>
      </c>
      <c r="V595" s="2">
        <v>1</v>
      </c>
    </row>
    <row r="596" spans="1:22" ht="60" x14ac:dyDescent="0.25">
      <c r="A596" s="6"/>
      <c r="B596" s="10"/>
      <c r="C596" s="2" t="s">
        <v>456</v>
      </c>
      <c r="D596" s="2" t="s">
        <v>12</v>
      </c>
      <c r="E596" s="1" t="str">
        <f>HYPERLINK("http://www-wds.worldbank.org/external/default/main?menuPK=64187510&amp;pagePK=64193027&amp;piPK=64187937&amp;menuPK=64154159&amp;searchMenuPK=64258546&amp;theSitePK=523679&amp;entityID=000094946_02080904120472","Philippines - KALAHI-CIDSS Project : indigenous peoples plan ")</f>
        <v xml:space="preserve">Philippines - KALAHI-CIDSS Project : indigenous peoples plan </v>
      </c>
      <c r="F596" s="3" t="s">
        <v>465</v>
      </c>
      <c r="G596" s="2" t="s">
        <v>464</v>
      </c>
      <c r="H596" s="2" t="s">
        <v>10</v>
      </c>
      <c r="I596" s="2"/>
      <c r="J596" s="3">
        <v>7147</v>
      </c>
      <c r="K596" s="2" t="s">
        <v>463</v>
      </c>
      <c r="L596" s="2" t="s">
        <v>462</v>
      </c>
      <c r="M596" s="2" t="s">
        <v>29</v>
      </c>
      <c r="N596" s="2" t="s">
        <v>461</v>
      </c>
      <c r="O596" s="2" t="s">
        <v>460</v>
      </c>
      <c r="P596" s="2"/>
      <c r="Q596" s="2" t="s">
        <v>459</v>
      </c>
      <c r="R596" s="2" t="s">
        <v>25</v>
      </c>
      <c r="S596" s="2"/>
      <c r="T596" s="2" t="s">
        <v>458</v>
      </c>
      <c r="U596" s="2" t="s">
        <v>457</v>
      </c>
      <c r="V596" s="2">
        <v>1</v>
      </c>
    </row>
    <row r="597" spans="1:22" ht="105" x14ac:dyDescent="0.25">
      <c r="A597" s="6"/>
      <c r="B597" s="10"/>
      <c r="C597" s="2" t="s">
        <v>456</v>
      </c>
      <c r="D597" s="2" t="s">
        <v>12</v>
      </c>
      <c r="E597" s="1" t="str">
        <f>HYPERLINK("http://www-wds.worldbank.org/external/default/main?menuPK=64187510&amp;pagePK=64193027&amp;piPK=64187937&amp;menuPK=64154159&amp;searchMenuPK=64258546&amp;theSitePK=523679&amp;entityID=000094946_0205090408375","Philippines - Second Agrarian Reform Communities Project : indigenous peoples plan ")</f>
        <v xml:space="preserve">Philippines - Second Agrarian Reform Communities Project : indigenous peoples plan </v>
      </c>
      <c r="F597" s="3" t="s">
        <v>455</v>
      </c>
      <c r="G597" s="2" t="s">
        <v>454</v>
      </c>
      <c r="H597" s="2" t="s">
        <v>10</v>
      </c>
      <c r="I597" s="2" t="s">
        <v>453</v>
      </c>
      <c r="J597" s="3">
        <v>7152</v>
      </c>
      <c r="K597" s="2" t="s">
        <v>8</v>
      </c>
      <c r="L597" s="2" t="s">
        <v>452</v>
      </c>
      <c r="M597" s="2" t="s">
        <v>29</v>
      </c>
      <c r="N597" s="2" t="s">
        <v>451</v>
      </c>
      <c r="O597" s="2" t="s">
        <v>450</v>
      </c>
      <c r="P597" s="2"/>
      <c r="Q597" s="2" t="s">
        <v>449</v>
      </c>
      <c r="R597" s="2" t="s">
        <v>21</v>
      </c>
      <c r="S597" s="2"/>
      <c r="T597" s="2" t="s">
        <v>448</v>
      </c>
      <c r="U597" s="2" t="s">
        <v>1</v>
      </c>
      <c r="V597" s="2">
        <v>1</v>
      </c>
    </row>
    <row r="598" spans="1:22" ht="75" x14ac:dyDescent="0.25">
      <c r="A598" s="6"/>
      <c r="B598" s="10"/>
      <c r="C598" s="2" t="s">
        <v>415</v>
      </c>
      <c r="D598" s="2" t="s">
        <v>12</v>
      </c>
      <c r="E598" s="1" t="str">
        <f>HYPERLINK("http://www-wds.worldbank.org/external/default/main?menuPK=64187510&amp;pagePK=64193027&amp;piPK=64187937&amp;menuPK=64154159&amp;searchMenuPK=64258546&amp;theSitePK=523679&amp;entityID=000333038_20110223013703","Social impact management framework (SIMF) of Hetauda-Dhalkebar-Duhabi 400 kV and Dhalkebar-Bhittamod 400 kV transmission line ")</f>
        <v xml:space="preserve">Social impact management framework (SIMF) of Hetauda-Dhalkebar-Duhabi 400 kV and Dhalkebar-Bhittamod 400 kV transmission line </v>
      </c>
      <c r="F598" s="9">
        <v>40545</v>
      </c>
      <c r="G598" s="2" t="s">
        <v>447</v>
      </c>
      <c r="H598" s="2" t="s">
        <v>10</v>
      </c>
      <c r="I598" s="2"/>
      <c r="J598" s="3"/>
      <c r="K598" s="2" t="s">
        <v>80</v>
      </c>
      <c r="L598" s="2" t="s">
        <v>446</v>
      </c>
      <c r="M598" s="2" t="s">
        <v>415</v>
      </c>
      <c r="N598" s="2" t="s">
        <v>445</v>
      </c>
      <c r="O598" s="2" t="s">
        <v>444</v>
      </c>
      <c r="P598" s="2"/>
      <c r="Q598" s="2" t="s">
        <v>443</v>
      </c>
      <c r="R598" s="2" t="s">
        <v>442</v>
      </c>
      <c r="S598" s="2"/>
      <c r="T598" s="2"/>
      <c r="U598" s="2" t="s">
        <v>441</v>
      </c>
      <c r="V598" s="2" t="s">
        <v>0</v>
      </c>
    </row>
    <row r="599" spans="1:22" ht="75" x14ac:dyDescent="0.25">
      <c r="A599" s="6"/>
      <c r="B599" s="10"/>
      <c r="C599" s="2" t="s">
        <v>415</v>
      </c>
      <c r="D599" s="2" t="s">
        <v>12</v>
      </c>
      <c r="E599" s="1" t="str">
        <f>HYPERLINK("http://www-wds.worldbank.org/external/default/main?menuPK=64187510&amp;pagePK=64193027&amp;piPK=64187937&amp;menuPK=64154159&amp;searchMenuPK=64258546&amp;theSitePK=523679&amp;entityID=000334955_20110208023011","Bangladesh, Nepal - Strengthening Regional Enforcement for Wildlife Protection Project : indigenous peoples planning framework ")</f>
        <v xml:space="preserve">Bangladesh, Nepal - Strengthening Regional Enforcement for Wildlife Protection Project : indigenous peoples planning framework </v>
      </c>
      <c r="F599" s="3" t="s">
        <v>440</v>
      </c>
      <c r="G599" s="2" t="s">
        <v>439</v>
      </c>
      <c r="H599" s="2" t="s">
        <v>10</v>
      </c>
      <c r="I599" s="2"/>
      <c r="J599" s="3"/>
      <c r="K599" s="2" t="s">
        <v>438</v>
      </c>
      <c r="L599" s="2" t="s">
        <v>437</v>
      </c>
      <c r="M599" s="2" t="s">
        <v>415</v>
      </c>
      <c r="N599" s="2" t="s">
        <v>436</v>
      </c>
      <c r="O599" s="2" t="s">
        <v>435</v>
      </c>
      <c r="P599" s="2"/>
      <c r="Q599" s="2" t="s">
        <v>434</v>
      </c>
      <c r="R599" s="2" t="s">
        <v>433</v>
      </c>
      <c r="S599" s="2"/>
      <c r="T599" s="2"/>
      <c r="U599" s="2" t="s">
        <v>427</v>
      </c>
      <c r="V599" s="2" t="s">
        <v>0</v>
      </c>
    </row>
    <row r="600" spans="1:22" ht="60" x14ac:dyDescent="0.25">
      <c r="A600" s="6"/>
      <c r="B600" s="10"/>
      <c r="C600" s="2" t="s">
        <v>419</v>
      </c>
      <c r="D600" s="2" t="s">
        <v>12</v>
      </c>
      <c r="E600" s="1" t="str">
        <f>HYPERLINK("http://www-wds.worldbank.org/external/default/main?menuPK=64187510&amp;pagePK=64193027&amp;piPK=64187937&amp;menuPK=64154159&amp;searchMenuPK=64258546&amp;theSitePK=523679&amp;entityID=000334955_20110207020842","Sri Lanka - Eco-Systems Conservation and Management Project : indigenous peoples framework ")</f>
        <v xml:space="preserve">Sri Lanka - Eco-Systems Conservation and Management Project : indigenous peoples framework </v>
      </c>
      <c r="F600" s="9">
        <v>40544</v>
      </c>
      <c r="G600" s="2" t="s">
        <v>432</v>
      </c>
      <c r="H600" s="2" t="s">
        <v>10</v>
      </c>
      <c r="I600" s="2"/>
      <c r="J600" s="3"/>
      <c r="K600" s="2" t="s">
        <v>8</v>
      </c>
      <c r="L600" s="2" t="s">
        <v>431</v>
      </c>
      <c r="M600" s="2" t="s">
        <v>415</v>
      </c>
      <c r="N600" s="2" t="s">
        <v>430</v>
      </c>
      <c r="O600" s="2" t="s">
        <v>50</v>
      </c>
      <c r="P600" s="2"/>
      <c r="Q600" s="2" t="s">
        <v>429</v>
      </c>
      <c r="R600" s="2" t="s">
        <v>428</v>
      </c>
      <c r="S600" s="2"/>
      <c r="T600" s="2"/>
      <c r="U600" s="2" t="s">
        <v>427</v>
      </c>
      <c r="V600" s="2" t="s">
        <v>0</v>
      </c>
    </row>
    <row r="601" spans="1:22" ht="75" x14ac:dyDescent="0.25">
      <c r="A601" s="6"/>
      <c r="B601" s="10"/>
      <c r="C601" s="2" t="s">
        <v>419</v>
      </c>
      <c r="D601" s="2" t="s">
        <v>12</v>
      </c>
      <c r="E601" s="1" t="str">
        <f>HYPERLINK("http://www-wds.worldbank.org/external/default/main?menuPK=64187510&amp;pagePK=64193027&amp;piPK=64187937&amp;menuPK=64154159&amp;searchMenuPK=64258546&amp;theSitePK=523679&amp;entityID=000334955_20091109025742","Addendum to the social impact management framework for improvement of provincial roads ")</f>
        <v xml:space="preserve">Addendum to the social impact management framework for improvement of provincial roads </v>
      </c>
      <c r="F601" s="9">
        <v>39823</v>
      </c>
      <c r="G601" s="2" t="s">
        <v>426</v>
      </c>
      <c r="H601" s="2" t="s">
        <v>10</v>
      </c>
      <c r="I601" s="2"/>
      <c r="J601" s="3"/>
      <c r="K601" s="2" t="s">
        <v>164</v>
      </c>
      <c r="L601" s="2" t="s">
        <v>425</v>
      </c>
      <c r="M601" s="2" t="s">
        <v>415</v>
      </c>
      <c r="N601" s="2" t="s">
        <v>424</v>
      </c>
      <c r="O601" s="2" t="s">
        <v>161</v>
      </c>
      <c r="P601" s="2"/>
      <c r="Q601" s="2" t="s">
        <v>423</v>
      </c>
      <c r="R601" s="2" t="s">
        <v>422</v>
      </c>
      <c r="S601" s="2" t="s">
        <v>421</v>
      </c>
      <c r="T601" s="2"/>
      <c r="U601" s="2" t="s">
        <v>420</v>
      </c>
      <c r="V601" s="2" t="s">
        <v>0</v>
      </c>
    </row>
    <row r="602" spans="1:22" ht="60" x14ac:dyDescent="0.25">
      <c r="A602" s="6"/>
      <c r="B602" s="10"/>
      <c r="C602" s="2" t="s">
        <v>419</v>
      </c>
      <c r="D602" s="2" t="s">
        <v>12</v>
      </c>
      <c r="E602" s="1" t="str">
        <f>HYPERLINK("http://www-wds.worldbank.org/external/default/main?menuPK=64187510&amp;pagePK=64193027&amp;piPK=64187937&amp;menuPK=64154159&amp;searchMenuPK=64258546&amp;theSitePK=523679&amp;entityID=000334955_20080522051715","Sri Lanka - North East Housing Reconstruction Program : social safeguard framework ")</f>
        <v xml:space="preserve">Sri Lanka - North East Housing Reconstruction Program : social safeguard framework </v>
      </c>
      <c r="F602" s="9">
        <v>37995</v>
      </c>
      <c r="G602" s="2" t="s">
        <v>418</v>
      </c>
      <c r="H602" s="2" t="s">
        <v>10</v>
      </c>
      <c r="I602" s="2"/>
      <c r="J602" s="3"/>
      <c r="K602" s="2" t="s">
        <v>417</v>
      </c>
      <c r="L602" s="2" t="s">
        <v>416</v>
      </c>
      <c r="M602" s="2" t="s">
        <v>415</v>
      </c>
      <c r="N602" s="2" t="s">
        <v>414</v>
      </c>
      <c r="O602" s="2" t="s">
        <v>413</v>
      </c>
      <c r="P602" s="2"/>
      <c r="Q602" s="2" t="s">
        <v>412</v>
      </c>
      <c r="R602" s="2" t="s">
        <v>411</v>
      </c>
      <c r="S602" s="2" t="s">
        <v>410</v>
      </c>
      <c r="T602" s="2"/>
      <c r="U602" s="2" t="s">
        <v>409</v>
      </c>
      <c r="V602" s="2" t="s">
        <v>0</v>
      </c>
    </row>
    <row r="603" spans="1:22" ht="75" x14ac:dyDescent="0.25">
      <c r="A603" s="6"/>
      <c r="B603" s="10"/>
      <c r="C603" s="2" t="s">
        <v>408</v>
      </c>
      <c r="D603" s="14" t="s">
        <v>12</v>
      </c>
      <c r="E603" s="1" t="str">
        <f>HYPERLINK("http://www-wds.worldbank.org/external/default/main?menuPK=64187510&amp;pagePK=64193027&amp;piPK=64187937&amp;menuPK=64154159&amp;searchMenuPK=64258546&amp;theSitePK=523679&amp;entityID=000334955_20090624035209","Thailand - Small Scale Livestock Waste Management Program Project : indigenous peoples plan ")</f>
        <v xml:space="preserve">Thailand - Small Scale Livestock Waste Management Program Project : indigenous peoples plan </v>
      </c>
      <c r="F603" s="9">
        <v>39999</v>
      </c>
      <c r="G603" s="2" t="s">
        <v>407</v>
      </c>
      <c r="H603" s="2" t="s">
        <v>10</v>
      </c>
      <c r="I603" s="2"/>
      <c r="J603" s="3"/>
      <c r="K603" s="2" t="s">
        <v>406</v>
      </c>
      <c r="L603" s="2" t="s">
        <v>405</v>
      </c>
      <c r="M603" s="2" t="s">
        <v>29</v>
      </c>
      <c r="N603" s="2" t="s">
        <v>404</v>
      </c>
      <c r="O603" s="2" t="s">
        <v>403</v>
      </c>
      <c r="P603" s="2"/>
      <c r="Q603" s="2" t="s">
        <v>402</v>
      </c>
      <c r="R603" s="2" t="s">
        <v>401</v>
      </c>
      <c r="S603" s="2" t="s">
        <v>400</v>
      </c>
      <c r="T603" s="2"/>
      <c r="U603" s="2" t="s">
        <v>1</v>
      </c>
      <c r="V603" s="2" t="s">
        <v>0</v>
      </c>
    </row>
    <row r="604" spans="1:22" ht="60" x14ac:dyDescent="0.25">
      <c r="A604" s="6"/>
      <c r="B604" s="10"/>
      <c r="C604" s="2" t="s">
        <v>399</v>
      </c>
      <c r="D604" s="2" t="s">
        <v>398</v>
      </c>
      <c r="E604" s="1" t="str">
        <f>HYPERLINK("http://www-wds.worldbank.org/external/default/main?menuPK=64187510&amp;pagePK=64193027&amp;piPK=64187937&amp;menuPK=64154159&amp;searchMenuPK=64258546&amp;theSitePK=523679&amp;entityID=000020953_20090227115111","Mexico - Support to Oportunidades Project : indigenous peoples instrument ")</f>
        <v xml:space="preserve">Mexico - Support to Oportunidades Project : indigenous peoples instrument </v>
      </c>
      <c r="F604" s="9">
        <v>39815</v>
      </c>
      <c r="G604" s="2" t="s">
        <v>397</v>
      </c>
      <c r="H604" s="2" t="s">
        <v>10</v>
      </c>
      <c r="I604" s="2"/>
      <c r="J604" s="3"/>
      <c r="K604" s="2" t="s">
        <v>80</v>
      </c>
      <c r="L604" s="2" t="s">
        <v>396</v>
      </c>
      <c r="M604" s="2" t="s">
        <v>395</v>
      </c>
      <c r="N604" s="2" t="s">
        <v>394</v>
      </c>
      <c r="O604" s="2" t="s">
        <v>393</v>
      </c>
      <c r="P604" s="2"/>
      <c r="Q604" s="2" t="s">
        <v>392</v>
      </c>
      <c r="R604" s="2" t="s">
        <v>391</v>
      </c>
      <c r="S604" s="2" t="s">
        <v>390</v>
      </c>
      <c r="T604" s="2"/>
      <c r="U604" s="2" t="s">
        <v>389</v>
      </c>
      <c r="V604" s="2" t="s">
        <v>0</v>
      </c>
    </row>
    <row r="605" spans="1:22" ht="75" x14ac:dyDescent="0.25">
      <c r="A605" s="6"/>
      <c r="B605" s="10"/>
      <c r="C605" s="2" t="s">
        <v>34</v>
      </c>
      <c r="D605" s="2" t="s">
        <v>12</v>
      </c>
      <c r="E605" s="1" t="str">
        <f>HYPERLINK("http://www-wds.worldbank.org/external/default/main?menuPK=64187510&amp;pagePK=64193027&amp;piPK=64187937&amp;menuPK=64154159&amp;searchMenuPK=64258546&amp;theSitePK=523679&amp;entityID=000356161_20110117051612","Ethnic minority development plan for 220kv Thap Cham substation and connecting branches ")</f>
        <v xml:space="preserve">Ethnic minority development plan for 220kv Thap Cham substation and connecting branches </v>
      </c>
      <c r="F605" s="9">
        <v>40220</v>
      </c>
      <c r="G605" s="2" t="s">
        <v>373</v>
      </c>
      <c r="H605" s="2" t="s">
        <v>10</v>
      </c>
      <c r="I605" s="2"/>
      <c r="J605" s="3"/>
      <c r="K605" s="2" t="s">
        <v>80</v>
      </c>
      <c r="L605" s="2" t="s">
        <v>372</v>
      </c>
      <c r="M605" s="2" t="s">
        <v>29</v>
      </c>
      <c r="N605" s="2" t="s">
        <v>371</v>
      </c>
      <c r="O605" s="2" t="s">
        <v>77</v>
      </c>
      <c r="P605" s="2"/>
      <c r="Q605" s="2" t="s">
        <v>388</v>
      </c>
      <c r="R605" s="2" t="s">
        <v>387</v>
      </c>
      <c r="S605" s="2" t="s">
        <v>368</v>
      </c>
      <c r="T605" s="2"/>
      <c r="U605" s="2" t="s">
        <v>120</v>
      </c>
      <c r="V605" s="2" t="s">
        <v>59</v>
      </c>
    </row>
    <row r="606" spans="1:22" ht="60" x14ac:dyDescent="0.25">
      <c r="A606" s="6"/>
      <c r="B606" s="10"/>
      <c r="C606" s="2" t="s">
        <v>34</v>
      </c>
      <c r="D606" s="2" t="s">
        <v>12</v>
      </c>
      <c r="E606" s="1" t="str">
        <f>HYPERLINK("http://www-wds.worldbank.org/external/default/main?menuPK=64187510&amp;pagePK=64193027&amp;piPK=64187937&amp;menuPK=64154159&amp;searchMenuPK=64258546&amp;theSitePK=523679&amp;entityID=000333038_20100921022356","Ethnic minority development plan for Hoa Binh province : MV section ")</f>
        <v xml:space="preserve">Ethnic minority development plan for Hoa Binh province : MV section </v>
      </c>
      <c r="F606" s="9">
        <v>40399</v>
      </c>
      <c r="G606" s="2" t="s">
        <v>303</v>
      </c>
      <c r="H606" s="2" t="s">
        <v>10</v>
      </c>
      <c r="I606" s="2"/>
      <c r="J606" s="3"/>
      <c r="K606" s="2" t="s">
        <v>80</v>
      </c>
      <c r="L606" s="2" t="s">
        <v>302</v>
      </c>
      <c r="M606" s="2" t="s">
        <v>29</v>
      </c>
      <c r="N606" s="2" t="s">
        <v>301</v>
      </c>
      <c r="O606" s="2" t="s">
        <v>77</v>
      </c>
      <c r="P606" s="2"/>
      <c r="Q606" s="2" t="s">
        <v>386</v>
      </c>
      <c r="R606" s="2" t="s">
        <v>385</v>
      </c>
      <c r="S606" s="2" t="s">
        <v>298</v>
      </c>
      <c r="T606" s="2"/>
      <c r="U606" s="2" t="s">
        <v>120</v>
      </c>
      <c r="V606" s="2" t="s">
        <v>323</v>
      </c>
    </row>
    <row r="607" spans="1:22" ht="409.5" x14ac:dyDescent="0.25">
      <c r="A607" s="6"/>
      <c r="B607" s="10"/>
      <c r="C607" s="2" t="s">
        <v>34</v>
      </c>
      <c r="D607" s="2" t="s">
        <v>12</v>
      </c>
      <c r="E607" s="1" t="str">
        <f>HYPERLINK("http://www-wds.worldbank.org/external/default/main?menuPK=64187510&amp;pagePK=64193027&amp;piPK=64187937&amp;menuPK=64154159&amp;searchMenuPK=64258546&amp;theSitePK=523679&amp;entityID=000333038_20110302004413","Ethnic minority plan report for Nam Tha Five Hydropower Project ")</f>
        <v xml:space="preserve">Ethnic minority plan report for Nam Tha Five Hydropower Project </v>
      </c>
      <c r="F607" s="9">
        <v>40186</v>
      </c>
      <c r="G607" s="2" t="s">
        <v>282</v>
      </c>
      <c r="H607" s="2" t="s">
        <v>10</v>
      </c>
      <c r="I607" s="2" t="s">
        <v>281</v>
      </c>
      <c r="J607" s="3"/>
      <c r="K607" s="2" t="s">
        <v>80</v>
      </c>
      <c r="L607" s="2" t="s">
        <v>280</v>
      </c>
      <c r="M607" s="2" t="s">
        <v>29</v>
      </c>
      <c r="N607" s="2" t="s">
        <v>279</v>
      </c>
      <c r="O607" s="2" t="s">
        <v>278</v>
      </c>
      <c r="P607" s="2"/>
      <c r="Q607" s="2" t="s">
        <v>383</v>
      </c>
      <c r="R607" s="2" t="s">
        <v>382</v>
      </c>
      <c r="S607" s="2" t="s">
        <v>275</v>
      </c>
      <c r="T607" s="2" t="s">
        <v>274</v>
      </c>
      <c r="U607" s="2" t="s">
        <v>120</v>
      </c>
      <c r="V607" s="2" t="s">
        <v>384</v>
      </c>
    </row>
    <row r="608" spans="1:22" ht="409.5" x14ac:dyDescent="0.25">
      <c r="A608" s="6"/>
      <c r="B608" s="10"/>
      <c r="C608" s="2" t="s">
        <v>34</v>
      </c>
      <c r="D608" s="2" t="s">
        <v>12</v>
      </c>
      <c r="E608" s="1" t="str">
        <f>HYPERLINK("http://www-wds.worldbank.org/external/default/main?menuPK=64187510&amp;pagePK=64193027&amp;piPK=64187937&amp;menuPK=64154159&amp;searchMenuPK=64258546&amp;theSitePK=523679&amp;entityID=000333038_20110302004806","Ethnic minority plan report for Nam Tha Four Hydropower Project ")</f>
        <v xml:space="preserve">Ethnic minority plan report for Nam Tha Four Hydropower Project </v>
      </c>
      <c r="F608" s="9">
        <v>40186</v>
      </c>
      <c r="G608" s="2" t="s">
        <v>282</v>
      </c>
      <c r="H608" s="2" t="s">
        <v>10</v>
      </c>
      <c r="I608" s="2" t="s">
        <v>281</v>
      </c>
      <c r="J608" s="3"/>
      <c r="K608" s="2" t="s">
        <v>80</v>
      </c>
      <c r="L608" s="2" t="s">
        <v>280</v>
      </c>
      <c r="M608" s="2" t="s">
        <v>29</v>
      </c>
      <c r="N608" s="2" t="s">
        <v>279</v>
      </c>
      <c r="O608" s="2" t="s">
        <v>278</v>
      </c>
      <c r="P608" s="2"/>
      <c r="Q608" s="2" t="s">
        <v>383</v>
      </c>
      <c r="R608" s="2" t="s">
        <v>382</v>
      </c>
      <c r="S608" s="2" t="s">
        <v>275</v>
      </c>
      <c r="T608" s="2" t="s">
        <v>274</v>
      </c>
      <c r="U608" s="2" t="s">
        <v>120</v>
      </c>
      <c r="V608" s="2" t="s">
        <v>381</v>
      </c>
    </row>
    <row r="609" spans="1:22" ht="409.5" x14ac:dyDescent="0.25">
      <c r="A609" s="6"/>
      <c r="B609" s="10"/>
      <c r="C609" s="2" t="s">
        <v>34</v>
      </c>
      <c r="D609" s="2" t="s">
        <v>12</v>
      </c>
      <c r="E609" s="1" t="str">
        <f>HYPERLINK("http://www-wds.worldbank.org/external/default/main?menuPK=64187510&amp;pagePK=64193027&amp;piPK=64187937&amp;menuPK=64154159&amp;searchMenuPK=64258546&amp;theSitePK=523679&amp;entityID=000333038_20110302003712","Ethnic minority plan of Dong Chum two hydropower subproject ")</f>
        <v xml:space="preserve">Ethnic minority plan of Dong Chum two hydropower subproject </v>
      </c>
      <c r="F609" s="9">
        <v>40184</v>
      </c>
      <c r="G609" s="2" t="s">
        <v>282</v>
      </c>
      <c r="H609" s="2" t="s">
        <v>10</v>
      </c>
      <c r="I609" s="2" t="s">
        <v>281</v>
      </c>
      <c r="J609" s="3"/>
      <c r="K609" s="2" t="s">
        <v>80</v>
      </c>
      <c r="L609" s="2" t="s">
        <v>280</v>
      </c>
      <c r="M609" s="2" t="s">
        <v>29</v>
      </c>
      <c r="N609" s="2" t="s">
        <v>279</v>
      </c>
      <c r="O609" s="2" t="s">
        <v>278</v>
      </c>
      <c r="P609" s="2"/>
      <c r="Q609" s="2" t="s">
        <v>380</v>
      </c>
      <c r="R609" s="2" t="s">
        <v>379</v>
      </c>
      <c r="S609" s="2" t="s">
        <v>275</v>
      </c>
      <c r="T609" s="2" t="s">
        <v>274</v>
      </c>
      <c r="U609" s="2" t="s">
        <v>120</v>
      </c>
      <c r="V609" s="2" t="s">
        <v>378</v>
      </c>
    </row>
    <row r="610" spans="1:22" ht="60" x14ac:dyDescent="0.25">
      <c r="A610" s="6"/>
      <c r="B610" s="10"/>
      <c r="C610" s="2" t="s">
        <v>34</v>
      </c>
      <c r="D610" s="2" t="s">
        <v>12</v>
      </c>
      <c r="E610" s="1" t="str">
        <f>HYPERLINK("http://www-wds.worldbank.org/external/default/main?menuPK=64187510&amp;pagePK=64193027&amp;piPK=64187937&amp;menuPK=64154159&amp;searchMenuPK=64258546&amp;theSitePK=523679&amp;entityID=000334955_20100519044634","Ethnic minority plan ")</f>
        <v xml:space="preserve">Ethnic minority plan </v>
      </c>
      <c r="F610" s="9">
        <v>40183</v>
      </c>
      <c r="G610" s="2" t="s">
        <v>111</v>
      </c>
      <c r="H610" s="2" t="s">
        <v>10</v>
      </c>
      <c r="I610" s="2" t="s">
        <v>110</v>
      </c>
      <c r="J610" s="3"/>
      <c r="K610" s="2" t="s">
        <v>109</v>
      </c>
      <c r="L610" s="2" t="s">
        <v>108</v>
      </c>
      <c r="M610" s="2" t="s">
        <v>29</v>
      </c>
      <c r="N610" s="2" t="s">
        <v>107</v>
      </c>
      <c r="O610" s="2" t="s">
        <v>106</v>
      </c>
      <c r="P610" s="2"/>
      <c r="Q610" s="2" t="s">
        <v>377</v>
      </c>
      <c r="R610" s="2" t="s">
        <v>376</v>
      </c>
      <c r="S610" s="2"/>
      <c r="T610" s="2" t="s">
        <v>103</v>
      </c>
      <c r="U610" s="2" t="s">
        <v>23</v>
      </c>
      <c r="V610" s="2" t="s">
        <v>59</v>
      </c>
    </row>
    <row r="611" spans="1:22" ht="60" x14ac:dyDescent="0.25">
      <c r="A611" s="6"/>
      <c r="B611" s="10"/>
      <c r="C611" s="2" t="s">
        <v>34</v>
      </c>
      <c r="D611" s="2" t="s">
        <v>12</v>
      </c>
      <c r="E611" s="1" t="str">
        <f>HYPERLINK("http://www-wds.worldbank.org/external/default/main?menuPK=64187510&amp;pagePK=64193027&amp;piPK=64187937&amp;menuPK=64154159&amp;searchMenuPK=64258546&amp;theSitePK=523679&amp;entityID=000334955_20100521051936","Planning framework for ethnic minorities ")</f>
        <v xml:space="preserve">Planning framework for ethnic minorities </v>
      </c>
      <c r="F611" s="9">
        <v>40183</v>
      </c>
      <c r="G611" s="2" t="s">
        <v>367</v>
      </c>
      <c r="H611" s="2" t="s">
        <v>10</v>
      </c>
      <c r="I611" s="2"/>
      <c r="J611" s="3"/>
      <c r="K611" s="2" t="s">
        <v>80</v>
      </c>
      <c r="L611" s="2" t="s">
        <v>366</v>
      </c>
      <c r="M611" s="2" t="s">
        <v>29</v>
      </c>
      <c r="N611" s="2" t="s">
        <v>365</v>
      </c>
      <c r="O611" s="2" t="s">
        <v>77</v>
      </c>
      <c r="P611" s="2"/>
      <c r="Q611" s="2" t="s">
        <v>375</v>
      </c>
      <c r="R611" s="2" t="s">
        <v>374</v>
      </c>
      <c r="S611" s="2" t="s">
        <v>362</v>
      </c>
      <c r="T611" s="2" t="s">
        <v>361</v>
      </c>
      <c r="U611" s="2" t="s">
        <v>120</v>
      </c>
      <c r="V611" s="2" t="s">
        <v>59</v>
      </c>
    </row>
    <row r="612" spans="1:22" ht="75" x14ac:dyDescent="0.25">
      <c r="A612" s="6"/>
      <c r="B612" s="10"/>
      <c r="C612" s="2" t="s">
        <v>34</v>
      </c>
      <c r="D612" s="2" t="s">
        <v>12</v>
      </c>
      <c r="E612" s="1" t="str">
        <f>HYPERLINK("http://www-wds.worldbank.org/external/default/main?menuPK=64187510&amp;pagePK=64193027&amp;piPK=64187937&amp;menuPK=64154159&amp;searchMenuPK=64258546&amp;theSitePK=523679&amp;entityID=000334955_20100503033831","Policy framework guidelines for ethnic minority development plan (EMDP) ")</f>
        <v xml:space="preserve">Policy framework guidelines for ethnic minority development plan (EMDP) </v>
      </c>
      <c r="F612" s="9">
        <v>40182</v>
      </c>
      <c r="G612" s="2" t="s">
        <v>373</v>
      </c>
      <c r="H612" s="2" t="s">
        <v>10</v>
      </c>
      <c r="I612" s="2"/>
      <c r="J612" s="3"/>
      <c r="K612" s="2" t="s">
        <v>80</v>
      </c>
      <c r="L612" s="2" t="s">
        <v>372</v>
      </c>
      <c r="M612" s="2" t="s">
        <v>29</v>
      </c>
      <c r="N612" s="2" t="s">
        <v>371</v>
      </c>
      <c r="O612" s="2" t="s">
        <v>77</v>
      </c>
      <c r="P612" s="2"/>
      <c r="Q612" s="2" t="s">
        <v>370</v>
      </c>
      <c r="R612" s="2" t="s">
        <v>369</v>
      </c>
      <c r="S612" s="2" t="s">
        <v>368</v>
      </c>
      <c r="T612" s="2"/>
      <c r="U612" s="2" t="s">
        <v>120</v>
      </c>
      <c r="V612" s="2" t="s">
        <v>70</v>
      </c>
    </row>
    <row r="613" spans="1:22" ht="60" x14ac:dyDescent="0.25">
      <c r="A613" s="6"/>
      <c r="B613" s="10"/>
      <c r="C613" s="2" t="s">
        <v>34</v>
      </c>
      <c r="D613" s="2" t="s">
        <v>12</v>
      </c>
      <c r="E613" s="1" t="str">
        <f>HYPERLINK("http://www-wds.worldbank.org/external/default/main?menuPK=64187510&amp;pagePK=64193027&amp;piPK=64187937&amp;menuPK=64154159&amp;searchMenuPK=64258546&amp;theSitePK=523679&amp;entityID=000334955_20100118025738","Resettlement livelihood and ethnic minority development program (RLDP) ")</f>
        <v xml:space="preserve">Resettlement livelihood and ethnic minority development program (RLDP) </v>
      </c>
      <c r="F613" s="9">
        <v>39825</v>
      </c>
      <c r="G613" s="2" t="s">
        <v>367</v>
      </c>
      <c r="H613" s="2" t="s">
        <v>10</v>
      </c>
      <c r="I613" s="2"/>
      <c r="J613" s="3"/>
      <c r="K613" s="2" t="s">
        <v>80</v>
      </c>
      <c r="L613" s="2" t="s">
        <v>366</v>
      </c>
      <c r="M613" s="2" t="s">
        <v>29</v>
      </c>
      <c r="N613" s="2" t="s">
        <v>365</v>
      </c>
      <c r="O613" s="2" t="s">
        <v>77</v>
      </c>
      <c r="P613" s="2"/>
      <c r="Q613" s="2" t="s">
        <v>364</v>
      </c>
      <c r="R613" s="2" t="s">
        <v>363</v>
      </c>
      <c r="S613" s="2" t="s">
        <v>362</v>
      </c>
      <c r="T613" s="2" t="s">
        <v>361</v>
      </c>
      <c r="U613" s="2" t="s">
        <v>120</v>
      </c>
      <c r="V613" s="2" t="s">
        <v>70</v>
      </c>
    </row>
    <row r="614" spans="1:22" ht="60" x14ac:dyDescent="0.25">
      <c r="A614" s="6"/>
      <c r="B614" s="10"/>
      <c r="C614" s="2" t="s">
        <v>34</v>
      </c>
      <c r="D614" s="2" t="s">
        <v>12</v>
      </c>
      <c r="E614" s="1" t="str">
        <f>HYPERLINK("http://www-wds.worldbank.org/external/default/main?menuPK=64187510&amp;pagePK=64193027&amp;piPK=64187937&amp;menuPK=64154159&amp;searchMenuPK=64258546&amp;theSitePK=523679&amp;entityID=000333038_20091211003915","Ethnic minority planning framework ")</f>
        <v xml:space="preserve">Ethnic minority planning framework </v>
      </c>
      <c r="F614" s="9">
        <v>39823</v>
      </c>
      <c r="G614" s="2" t="s">
        <v>356</v>
      </c>
      <c r="H614" s="2" t="s">
        <v>10</v>
      </c>
      <c r="I614" s="2"/>
      <c r="J614" s="3"/>
      <c r="K614" s="2" t="s">
        <v>183</v>
      </c>
      <c r="L614" s="2" t="s">
        <v>355</v>
      </c>
      <c r="M614" s="2" t="s">
        <v>29</v>
      </c>
      <c r="N614" s="2" t="s">
        <v>354</v>
      </c>
      <c r="O614" s="2" t="s">
        <v>180</v>
      </c>
      <c r="P614" s="2"/>
      <c r="Q614" s="2" t="s">
        <v>360</v>
      </c>
      <c r="R614" s="2" t="s">
        <v>359</v>
      </c>
      <c r="S614" s="2" t="s">
        <v>351</v>
      </c>
      <c r="T614" s="2" t="s">
        <v>350</v>
      </c>
      <c r="U614" s="2" t="s">
        <v>349</v>
      </c>
      <c r="V614" s="2" t="s">
        <v>35</v>
      </c>
    </row>
    <row r="615" spans="1:22" ht="60" x14ac:dyDescent="0.25">
      <c r="A615" s="6"/>
      <c r="B615" s="10"/>
      <c r="C615" s="2" t="s">
        <v>34</v>
      </c>
      <c r="D615" s="2" t="s">
        <v>12</v>
      </c>
      <c r="E615" s="1" t="str">
        <f>HYPERLINK("http://www-wds.worldbank.org/external/default/main?menuPK=64187510&amp;pagePK=64193027&amp;piPK=64187937&amp;menuPK=64154159&amp;searchMenuPK=64258546&amp;theSitePK=523679&amp;entityID=000333038_20091211005625","Ethnic minority plan ")</f>
        <v xml:space="preserve">Ethnic minority plan </v>
      </c>
      <c r="F615" s="9">
        <v>39823</v>
      </c>
      <c r="G615" s="2" t="s">
        <v>356</v>
      </c>
      <c r="H615" s="2" t="s">
        <v>10</v>
      </c>
      <c r="I615" s="2"/>
      <c r="J615" s="3"/>
      <c r="K615" s="2" t="s">
        <v>183</v>
      </c>
      <c r="L615" s="2" t="s">
        <v>355</v>
      </c>
      <c r="M615" s="2" t="s">
        <v>29</v>
      </c>
      <c r="N615" s="2" t="s">
        <v>354</v>
      </c>
      <c r="O615" s="2" t="s">
        <v>180</v>
      </c>
      <c r="P615" s="2"/>
      <c r="Q615" s="2" t="s">
        <v>358</v>
      </c>
      <c r="R615" s="2" t="s">
        <v>357</v>
      </c>
      <c r="S615" s="2" t="s">
        <v>351</v>
      </c>
      <c r="T615" s="2" t="s">
        <v>350</v>
      </c>
      <c r="U615" s="2" t="s">
        <v>349</v>
      </c>
      <c r="V615" s="2" t="s">
        <v>55</v>
      </c>
    </row>
    <row r="616" spans="1:22" ht="60" x14ac:dyDescent="0.25">
      <c r="A616" s="6"/>
      <c r="B616" s="10"/>
      <c r="C616" s="2" t="s">
        <v>34</v>
      </c>
      <c r="D616" s="2" t="s">
        <v>12</v>
      </c>
      <c r="E616" s="1" t="str">
        <f>HYPERLINK("http://www-wds.worldbank.org/external/default/main?menuPK=64187510&amp;pagePK=64193027&amp;piPK=64187937&amp;menuPK=64154159&amp;searchMenuPK=64258546&amp;theSitePK=523679&amp;entityID=000333038_20091211011004","The social impact assessment report ")</f>
        <v xml:space="preserve">The social impact assessment report </v>
      </c>
      <c r="F616" s="9">
        <v>39823</v>
      </c>
      <c r="G616" s="2" t="s">
        <v>356</v>
      </c>
      <c r="H616" s="2" t="s">
        <v>10</v>
      </c>
      <c r="I616" s="2"/>
      <c r="J616" s="3"/>
      <c r="K616" s="2" t="s">
        <v>183</v>
      </c>
      <c r="L616" s="2" t="s">
        <v>355</v>
      </c>
      <c r="M616" s="2" t="s">
        <v>29</v>
      </c>
      <c r="N616" s="2" t="s">
        <v>354</v>
      </c>
      <c r="O616" s="2" t="s">
        <v>180</v>
      </c>
      <c r="P616" s="2"/>
      <c r="Q616" s="2" t="s">
        <v>353</v>
      </c>
      <c r="R616" s="2" t="s">
        <v>352</v>
      </c>
      <c r="S616" s="2" t="s">
        <v>351</v>
      </c>
      <c r="T616" s="2" t="s">
        <v>350</v>
      </c>
      <c r="U616" s="2" t="s">
        <v>349</v>
      </c>
      <c r="V616" s="2" t="s">
        <v>93</v>
      </c>
    </row>
    <row r="617" spans="1:22" ht="75" x14ac:dyDescent="0.25">
      <c r="A617" s="6"/>
      <c r="B617" s="10"/>
      <c r="C617" s="2" t="s">
        <v>34</v>
      </c>
      <c r="D617" s="2" t="s">
        <v>12</v>
      </c>
      <c r="E617" s="1" t="str">
        <f>HYPERLINK("http://www-wds.worldbank.org/external/default/main?menuPK=64187510&amp;pagePK=64193027&amp;piPK=64187937&amp;menuPK=64154159&amp;searchMenuPK=64258546&amp;theSitePK=523679&amp;entityID=000334955_20091120060951","Ethnic minority plan for Kien Giang province ")</f>
        <v xml:space="preserve">Ethnic minority plan for Kien Giang province </v>
      </c>
      <c r="F617" s="9">
        <v>39820</v>
      </c>
      <c r="G617" s="2" t="s">
        <v>311</v>
      </c>
      <c r="H617" s="2" t="s">
        <v>10</v>
      </c>
      <c r="I617" s="2"/>
      <c r="J617" s="3"/>
      <c r="K617" s="2" t="s">
        <v>80</v>
      </c>
      <c r="L617" s="2" t="s">
        <v>222</v>
      </c>
      <c r="M617" s="2" t="s">
        <v>29</v>
      </c>
      <c r="N617" s="2" t="s">
        <v>221</v>
      </c>
      <c r="O617" s="2" t="s">
        <v>77</v>
      </c>
      <c r="P617" s="2"/>
      <c r="Q617" s="2" t="s">
        <v>348</v>
      </c>
      <c r="R617" s="2" t="s">
        <v>313</v>
      </c>
      <c r="S617" s="2" t="s">
        <v>298</v>
      </c>
      <c r="T617" s="2"/>
      <c r="U617" s="2" t="s">
        <v>120</v>
      </c>
      <c r="V617" s="2" t="s">
        <v>347</v>
      </c>
    </row>
    <row r="618" spans="1:22" ht="90" x14ac:dyDescent="0.25">
      <c r="A618" s="6"/>
      <c r="B618" s="10"/>
      <c r="C618" s="2" t="s">
        <v>34</v>
      </c>
      <c r="D618" s="2" t="s">
        <v>12</v>
      </c>
      <c r="E618" s="1" t="str">
        <f>HYPERLINK("http://www-wds.worldbank.org/external/default/main?menuPK=64187510&amp;pagePK=64193027&amp;piPK=64187937&amp;menuPK=64154159&amp;searchMenuPK=64258546&amp;theSitePK=523679&amp;entityID=000333038_20091214230643","Ethnic minority development plan for Quang Ngai province ")</f>
        <v xml:space="preserve">Ethnic minority development plan for Quang Ngai province </v>
      </c>
      <c r="F618" s="9">
        <v>39820</v>
      </c>
      <c r="G618" s="2" t="s">
        <v>311</v>
      </c>
      <c r="H618" s="2" t="s">
        <v>10</v>
      </c>
      <c r="I618" s="2"/>
      <c r="J618" s="3"/>
      <c r="K618" s="2" t="s">
        <v>80</v>
      </c>
      <c r="L618" s="2" t="s">
        <v>222</v>
      </c>
      <c r="M618" s="2" t="s">
        <v>29</v>
      </c>
      <c r="N618" s="2" t="s">
        <v>221</v>
      </c>
      <c r="O618" s="2" t="s">
        <v>77</v>
      </c>
      <c r="P618" s="2"/>
      <c r="Q618" s="2" t="s">
        <v>346</v>
      </c>
      <c r="R618" s="2" t="s">
        <v>345</v>
      </c>
      <c r="S618" s="2" t="s">
        <v>298</v>
      </c>
      <c r="T618" s="2"/>
      <c r="U618" s="2" t="s">
        <v>120</v>
      </c>
      <c r="V618" s="2" t="s">
        <v>344</v>
      </c>
    </row>
    <row r="619" spans="1:22" ht="75" x14ac:dyDescent="0.25">
      <c r="A619" s="6"/>
      <c r="B619" s="10"/>
      <c r="C619" s="2" t="s">
        <v>34</v>
      </c>
      <c r="D619" s="2" t="s">
        <v>12</v>
      </c>
      <c r="E619" s="1" t="str">
        <f>HYPERLINK("http://www-wds.worldbank.org/external/default/main?menuPK=64187510&amp;pagePK=64193027&amp;piPK=64187937&amp;menuPK=64154159&amp;searchMenuPK=64258546&amp;theSitePK=523679&amp;entityID=000333038_20090331054737","Ethnic minority development plan for Binh Dinh province ")</f>
        <v xml:space="preserve">Ethnic minority development plan for Binh Dinh province </v>
      </c>
      <c r="F619" s="3" t="s">
        <v>343</v>
      </c>
      <c r="G619" s="2" t="s">
        <v>303</v>
      </c>
      <c r="H619" s="2" t="s">
        <v>10</v>
      </c>
      <c r="I619" s="2"/>
      <c r="J619" s="3"/>
      <c r="K619" s="2" t="s">
        <v>80</v>
      </c>
      <c r="L619" s="2" t="s">
        <v>302</v>
      </c>
      <c r="M619" s="2" t="s">
        <v>29</v>
      </c>
      <c r="N619" s="2" t="s">
        <v>301</v>
      </c>
      <c r="O619" s="2" t="s">
        <v>77</v>
      </c>
      <c r="P619" s="2"/>
      <c r="Q619" s="2" t="s">
        <v>342</v>
      </c>
      <c r="R619" s="2" t="s">
        <v>341</v>
      </c>
      <c r="S619" s="2" t="s">
        <v>298</v>
      </c>
      <c r="T619" s="2"/>
      <c r="U619" s="2" t="s">
        <v>120</v>
      </c>
      <c r="V619" s="2" t="s">
        <v>328</v>
      </c>
    </row>
    <row r="620" spans="1:22" ht="90" x14ac:dyDescent="0.25">
      <c r="A620" s="6"/>
      <c r="B620" s="10"/>
      <c r="C620" s="2" t="s">
        <v>34</v>
      </c>
      <c r="D620" s="2" t="s">
        <v>12</v>
      </c>
      <c r="E620" s="1" t="str">
        <f>HYPERLINK("http://www-wds.worldbank.org/external/default/main?menuPK=64187510&amp;pagePK=64193027&amp;piPK=64187937&amp;menuPK=64154159&amp;searchMenuPK=64258546&amp;theSitePK=523679&amp;entityID=000333038_20090402000849","Ethnic minority planning framework for developing Ethnic Minority Development Plans (EMDP) ")</f>
        <v xml:space="preserve">Ethnic minority planning framework for developing Ethnic Minority Development Plans (EMDP) </v>
      </c>
      <c r="F620" s="9">
        <v>39816</v>
      </c>
      <c r="G620" s="2" t="s">
        <v>303</v>
      </c>
      <c r="H620" s="2" t="s">
        <v>10</v>
      </c>
      <c r="I620" s="2"/>
      <c r="J620" s="3"/>
      <c r="K620" s="2" t="s">
        <v>80</v>
      </c>
      <c r="L620" s="2" t="s">
        <v>302</v>
      </c>
      <c r="M620" s="2" t="s">
        <v>29</v>
      </c>
      <c r="N620" s="2" t="s">
        <v>301</v>
      </c>
      <c r="O620" s="2" t="s">
        <v>77</v>
      </c>
      <c r="P620" s="2"/>
      <c r="Q620" s="2" t="s">
        <v>85</v>
      </c>
      <c r="R620" s="2" t="s">
        <v>340</v>
      </c>
      <c r="S620" s="2" t="s">
        <v>298</v>
      </c>
      <c r="T620" s="2"/>
      <c r="U620" s="2" t="s">
        <v>120</v>
      </c>
      <c r="V620" s="2" t="s">
        <v>325</v>
      </c>
    </row>
    <row r="621" spans="1:22" ht="75" x14ac:dyDescent="0.25">
      <c r="A621" s="6"/>
      <c r="B621" s="10"/>
      <c r="C621" s="2" t="s">
        <v>34</v>
      </c>
      <c r="D621" s="2" t="s">
        <v>12</v>
      </c>
      <c r="E621" s="1" t="str">
        <f>HYPERLINK("http://www-wds.worldbank.org/external/default/main?menuPK=64187510&amp;pagePK=64193027&amp;piPK=64187937&amp;menuPK=64154159&amp;searchMenuPK=64258546&amp;theSitePK=523679&amp;entityID=000333038_20090504021654","Policy framework for ethnic minority development ")</f>
        <v xml:space="preserve">Policy framework for ethnic minority development </v>
      </c>
      <c r="F621" s="9">
        <v>39816</v>
      </c>
      <c r="G621" s="2" t="s">
        <v>339</v>
      </c>
      <c r="H621" s="2" t="s">
        <v>10</v>
      </c>
      <c r="I621" s="2"/>
      <c r="J621" s="3"/>
      <c r="K621" s="2" t="s">
        <v>338</v>
      </c>
      <c r="L621" s="2" t="s">
        <v>337</v>
      </c>
      <c r="M621" s="2" t="s">
        <v>29</v>
      </c>
      <c r="N621" s="2" t="s">
        <v>336</v>
      </c>
      <c r="O621" s="2" t="s">
        <v>335</v>
      </c>
      <c r="P621" s="2"/>
      <c r="Q621" s="2" t="s">
        <v>334</v>
      </c>
      <c r="R621" s="2" t="s">
        <v>333</v>
      </c>
      <c r="S621" s="2" t="s">
        <v>332</v>
      </c>
      <c r="T621" s="2" t="s">
        <v>331</v>
      </c>
      <c r="U621" s="2" t="s">
        <v>120</v>
      </c>
      <c r="V621" s="2" t="s">
        <v>0</v>
      </c>
    </row>
    <row r="622" spans="1:22" ht="60" x14ac:dyDescent="0.25">
      <c r="A622" s="6"/>
      <c r="B622" s="10"/>
      <c r="C622" s="2" t="s">
        <v>34</v>
      </c>
      <c r="D622" s="2" t="s">
        <v>12</v>
      </c>
      <c r="E622" s="1" t="str">
        <f>HYPERLINK("http://www-wds.worldbank.org/external/default/main?menuPK=64187510&amp;pagePK=64193027&amp;piPK=64187937&amp;menuPK=64154159&amp;searchMenuPK=64258546&amp;theSitePK=523679&amp;entityID=000333038_20090327002432","Ethnic minority plan ")</f>
        <v xml:space="preserve">Ethnic minority plan </v>
      </c>
      <c r="F622" s="9">
        <v>39816</v>
      </c>
      <c r="G622" s="2" t="s">
        <v>320</v>
      </c>
      <c r="H622" s="2" t="s">
        <v>10</v>
      </c>
      <c r="I622" s="2"/>
      <c r="J622" s="3"/>
      <c r="K622" s="2" t="s">
        <v>21</v>
      </c>
      <c r="L622" s="2" t="s">
        <v>319</v>
      </c>
      <c r="M622" s="2" t="s">
        <v>29</v>
      </c>
      <c r="N622" s="2" t="s">
        <v>318</v>
      </c>
      <c r="O622" s="2" t="s">
        <v>27</v>
      </c>
      <c r="P622" s="2"/>
      <c r="Q622" s="2" t="s">
        <v>330</v>
      </c>
      <c r="R622" s="2" t="s">
        <v>329</v>
      </c>
      <c r="S622" s="2" t="s">
        <v>316</v>
      </c>
      <c r="T622" s="2" t="s">
        <v>315</v>
      </c>
      <c r="U622" s="2" t="s">
        <v>23</v>
      </c>
      <c r="V622" s="2" t="s">
        <v>93</v>
      </c>
    </row>
    <row r="623" spans="1:22" ht="75" x14ac:dyDescent="0.25">
      <c r="A623" s="6"/>
      <c r="B623" s="10"/>
      <c r="C623" s="2" t="s">
        <v>34</v>
      </c>
      <c r="D623" s="2" t="s">
        <v>12</v>
      </c>
      <c r="E623" s="1" t="str">
        <f>HYPERLINK("http://www-wds.worldbank.org/external/default/main?menuPK=64187510&amp;pagePK=64193027&amp;piPK=64187937&amp;menuPK=64154159&amp;searchMenuPK=64258546&amp;theSitePK=523679&amp;entityID=000333038_20090511041826","Ethnic minority development plan of Tra Vinh 220kv substation ")</f>
        <v xml:space="preserve">Ethnic minority development plan of Tra Vinh 220kv substation </v>
      </c>
      <c r="F623" s="9">
        <v>39816</v>
      </c>
      <c r="G623" s="2" t="s">
        <v>152</v>
      </c>
      <c r="H623" s="2" t="s">
        <v>10</v>
      </c>
      <c r="I623" s="2"/>
      <c r="J623" s="3"/>
      <c r="K623" s="2" t="s">
        <v>80</v>
      </c>
      <c r="L623" s="2" t="s">
        <v>151</v>
      </c>
      <c r="M623" s="2" t="s">
        <v>29</v>
      </c>
      <c r="N623" s="2" t="s">
        <v>150</v>
      </c>
      <c r="O623" s="2" t="s">
        <v>77</v>
      </c>
      <c r="P623" s="2"/>
      <c r="Q623" s="2" t="s">
        <v>324</v>
      </c>
      <c r="R623" s="2" t="s">
        <v>242</v>
      </c>
      <c r="S623" s="2"/>
      <c r="T623" s="2" t="s">
        <v>149</v>
      </c>
      <c r="U623" s="2" t="s">
        <v>73</v>
      </c>
      <c r="V623" s="2" t="s">
        <v>328</v>
      </c>
    </row>
    <row r="624" spans="1:22" ht="75" x14ac:dyDescent="0.25">
      <c r="A624" s="6"/>
      <c r="B624" s="10"/>
      <c r="C624" s="2" t="s">
        <v>34</v>
      </c>
      <c r="D624" s="2" t="s">
        <v>12</v>
      </c>
      <c r="E624" s="1" t="str">
        <f>HYPERLINK("http://www-wds.worldbank.org/external/default/main?menuPK=64187510&amp;pagePK=64193027&amp;piPK=64187937&amp;menuPK=64154159&amp;searchMenuPK=64258546&amp;theSitePK=523679&amp;entityID=000333038_20090511043743","Ethnic minority development plan of Duc Trong 220kv substation and connection lines ")</f>
        <v xml:space="preserve">Ethnic minority development plan of Duc Trong 220kv substation and connection lines </v>
      </c>
      <c r="F624" s="9">
        <v>39816</v>
      </c>
      <c r="G624" s="2" t="s">
        <v>152</v>
      </c>
      <c r="H624" s="2" t="s">
        <v>10</v>
      </c>
      <c r="I624" s="2"/>
      <c r="J624" s="3"/>
      <c r="K624" s="2" t="s">
        <v>80</v>
      </c>
      <c r="L624" s="2" t="s">
        <v>151</v>
      </c>
      <c r="M624" s="2" t="s">
        <v>29</v>
      </c>
      <c r="N624" s="2" t="s">
        <v>150</v>
      </c>
      <c r="O624" s="2" t="s">
        <v>77</v>
      </c>
      <c r="P624" s="2"/>
      <c r="Q624" s="2" t="s">
        <v>327</v>
      </c>
      <c r="R624" s="2" t="s">
        <v>326</v>
      </c>
      <c r="S624" s="2"/>
      <c r="T624" s="2" t="s">
        <v>149</v>
      </c>
      <c r="U624" s="2" t="s">
        <v>73</v>
      </c>
      <c r="V624" s="2" t="s">
        <v>325</v>
      </c>
    </row>
    <row r="625" spans="1:22" ht="75" x14ac:dyDescent="0.25">
      <c r="A625" s="6"/>
      <c r="B625" s="10"/>
      <c r="C625" s="2" t="s">
        <v>34</v>
      </c>
      <c r="D625" s="2" t="s">
        <v>12</v>
      </c>
      <c r="E625" s="1" t="str">
        <f>HYPERLINK("http://www-wds.worldbank.org/external/default/main?menuPK=64187510&amp;pagePK=64193027&amp;piPK=64187937&amp;menuPK=64154159&amp;searchMenuPK=64258546&amp;theSitePK=523679&amp;entityID=000333038_20090511045315","Ethnic minority development plan of Vinh Long - Tra Vinh 220kv transmission line ")</f>
        <v xml:space="preserve">Ethnic minority development plan of Vinh Long - Tra Vinh 220kv transmission line </v>
      </c>
      <c r="F625" s="9">
        <v>39816</v>
      </c>
      <c r="G625" s="2" t="s">
        <v>152</v>
      </c>
      <c r="H625" s="2" t="s">
        <v>10</v>
      </c>
      <c r="I625" s="2"/>
      <c r="J625" s="3"/>
      <c r="K625" s="2" t="s">
        <v>80</v>
      </c>
      <c r="L625" s="2" t="s">
        <v>151</v>
      </c>
      <c r="M625" s="2" t="s">
        <v>29</v>
      </c>
      <c r="N625" s="2" t="s">
        <v>150</v>
      </c>
      <c r="O625" s="2" t="s">
        <v>77</v>
      </c>
      <c r="P625" s="2"/>
      <c r="Q625" s="2" t="s">
        <v>324</v>
      </c>
      <c r="R625" s="2" t="s">
        <v>242</v>
      </c>
      <c r="S625" s="2"/>
      <c r="T625" s="2" t="s">
        <v>149</v>
      </c>
      <c r="U625" s="2" t="s">
        <v>73</v>
      </c>
      <c r="V625" s="2" t="s">
        <v>323</v>
      </c>
    </row>
    <row r="626" spans="1:22" ht="75" x14ac:dyDescent="0.25">
      <c r="A626" s="6"/>
      <c r="B626" s="10"/>
      <c r="C626" s="2" t="s">
        <v>34</v>
      </c>
      <c r="D626" s="2" t="s">
        <v>12</v>
      </c>
      <c r="E626" s="1" t="str">
        <f>HYPERLINK("http://www-wds.worldbank.org/external/default/main?menuPK=64187510&amp;pagePK=64193027&amp;piPK=64187937&amp;menuPK=64154159&amp;searchMenuPK=64258546&amp;theSitePK=523679&amp;entityID=000334955_20090324045357","Ethnic minority development plan for Dien Bien vol 3b ")</f>
        <v xml:space="preserve">Ethnic minority development plan for Dien Bien vol 3b </v>
      </c>
      <c r="F626" s="9">
        <v>39815</v>
      </c>
      <c r="G626" s="2" t="s">
        <v>303</v>
      </c>
      <c r="H626" s="2" t="s">
        <v>10</v>
      </c>
      <c r="I626" s="2"/>
      <c r="J626" s="3"/>
      <c r="K626" s="2" t="s">
        <v>80</v>
      </c>
      <c r="L626" s="2" t="s">
        <v>302</v>
      </c>
      <c r="M626" s="2" t="s">
        <v>29</v>
      </c>
      <c r="N626" s="2" t="s">
        <v>301</v>
      </c>
      <c r="O626" s="2" t="s">
        <v>77</v>
      </c>
      <c r="P626" s="2"/>
      <c r="Q626" s="2" t="s">
        <v>300</v>
      </c>
      <c r="R626" s="2" t="s">
        <v>299</v>
      </c>
      <c r="S626" s="2" t="s">
        <v>298</v>
      </c>
      <c r="T626" s="2"/>
      <c r="U626" s="2" t="s">
        <v>120</v>
      </c>
      <c r="V626" s="2" t="s">
        <v>148</v>
      </c>
    </row>
    <row r="627" spans="1:22" ht="60" x14ac:dyDescent="0.25">
      <c r="A627" s="6"/>
      <c r="B627" s="10"/>
      <c r="C627" s="2" t="s">
        <v>34</v>
      </c>
      <c r="D627" s="2" t="s">
        <v>12</v>
      </c>
      <c r="E627" s="1" t="str">
        <f>HYPERLINK("http://www-wds.worldbank.org/external/default/main?menuPK=64187510&amp;pagePK=64193027&amp;piPK=64187937&amp;menuPK=64154159&amp;searchMenuPK=64258546&amp;theSitePK=523679&amp;entityID=000334955_20090225083452","Policy framework for ethnic minority development ")</f>
        <v xml:space="preserve">Policy framework for ethnic minority development </v>
      </c>
      <c r="F627" s="9">
        <v>39815</v>
      </c>
      <c r="G627" s="2" t="s">
        <v>320</v>
      </c>
      <c r="H627" s="2" t="s">
        <v>10</v>
      </c>
      <c r="I627" s="2"/>
      <c r="J627" s="3"/>
      <c r="K627" s="2" t="s">
        <v>21</v>
      </c>
      <c r="L627" s="2" t="s">
        <v>319</v>
      </c>
      <c r="M627" s="2" t="s">
        <v>29</v>
      </c>
      <c r="N627" s="2" t="s">
        <v>318</v>
      </c>
      <c r="O627" s="2" t="s">
        <v>27</v>
      </c>
      <c r="P627" s="2"/>
      <c r="Q627" s="2" t="s">
        <v>322</v>
      </c>
      <c r="R627" s="2" t="s">
        <v>321</v>
      </c>
      <c r="S627" s="2" t="s">
        <v>316</v>
      </c>
      <c r="T627" s="2" t="s">
        <v>315</v>
      </c>
      <c r="U627" s="2" t="s">
        <v>23</v>
      </c>
      <c r="V627" s="2" t="s">
        <v>55</v>
      </c>
    </row>
    <row r="628" spans="1:22" ht="60" x14ac:dyDescent="0.25">
      <c r="A628" s="6"/>
      <c r="B628" s="10"/>
      <c r="C628" s="2" t="s">
        <v>34</v>
      </c>
      <c r="D628" s="2" t="s">
        <v>12</v>
      </c>
      <c r="E628" s="1" t="str">
        <f>HYPERLINK("http://www-wds.worldbank.org/external/default/main?menuPK=64187510&amp;pagePK=64193027&amp;piPK=64187937&amp;menuPK=64154159&amp;searchMenuPK=64258546&amp;theSitePK=523679&amp;entityID=000334955_20090225083138","Social assessment ")</f>
        <v xml:space="preserve">Social assessment </v>
      </c>
      <c r="F628" s="9">
        <v>39580</v>
      </c>
      <c r="G628" s="2" t="s">
        <v>320</v>
      </c>
      <c r="H628" s="2" t="s">
        <v>10</v>
      </c>
      <c r="I628" s="2"/>
      <c r="J628" s="3"/>
      <c r="K628" s="2" t="s">
        <v>21</v>
      </c>
      <c r="L628" s="2" t="s">
        <v>319</v>
      </c>
      <c r="M628" s="2" t="s">
        <v>29</v>
      </c>
      <c r="N628" s="2" t="s">
        <v>318</v>
      </c>
      <c r="O628" s="2" t="s">
        <v>27</v>
      </c>
      <c r="P628" s="2"/>
      <c r="Q628" s="2" t="s">
        <v>317</v>
      </c>
      <c r="R628" s="2" t="s">
        <v>21</v>
      </c>
      <c r="S628" s="2" t="s">
        <v>316</v>
      </c>
      <c r="T628" s="2" t="s">
        <v>315</v>
      </c>
      <c r="U628" s="2" t="s">
        <v>23</v>
      </c>
      <c r="V628" s="2" t="s">
        <v>35</v>
      </c>
    </row>
    <row r="629" spans="1:22" ht="75" x14ac:dyDescent="0.25">
      <c r="A629" s="6"/>
      <c r="B629" s="10"/>
      <c r="C629" s="2" t="s">
        <v>34</v>
      </c>
      <c r="D629" s="2" t="s">
        <v>12</v>
      </c>
      <c r="E629" s="1" t="str">
        <f>HYPERLINK("http://www-wds.worldbank.org/external/default/main?menuPK=64187510&amp;pagePK=64193027&amp;piPK=64187937&amp;menuPK=64154159&amp;searchMenuPK=64258546&amp;theSitePK=523679&amp;entityID=000334955_20090324050009","Ethnic minority development plan for Lao Cai province vol 3b ")</f>
        <v xml:space="preserve">Ethnic minority development plan for Lao Cai province vol 3b </v>
      </c>
      <c r="F629" s="9">
        <v>39459</v>
      </c>
      <c r="G629" s="2" t="s">
        <v>303</v>
      </c>
      <c r="H629" s="2" t="s">
        <v>10</v>
      </c>
      <c r="I629" s="2"/>
      <c r="J629" s="3"/>
      <c r="K629" s="2" t="s">
        <v>80</v>
      </c>
      <c r="L629" s="2" t="s">
        <v>302</v>
      </c>
      <c r="M629" s="2" t="s">
        <v>29</v>
      </c>
      <c r="N629" s="2" t="s">
        <v>301</v>
      </c>
      <c r="O629" s="2" t="s">
        <v>77</v>
      </c>
      <c r="P629" s="2"/>
      <c r="Q629" s="2" t="s">
        <v>314</v>
      </c>
      <c r="R629" s="2" t="s">
        <v>313</v>
      </c>
      <c r="S629" s="2" t="s">
        <v>298</v>
      </c>
      <c r="T629" s="2"/>
      <c r="U629" s="2" t="s">
        <v>120</v>
      </c>
      <c r="V629" s="2" t="s">
        <v>225</v>
      </c>
    </row>
    <row r="630" spans="1:22" ht="75" x14ac:dyDescent="0.25">
      <c r="A630" s="6"/>
      <c r="B630" s="10"/>
      <c r="C630" s="2" t="s">
        <v>34</v>
      </c>
      <c r="D630" s="2" t="s">
        <v>12</v>
      </c>
      <c r="E630" s="1" t="str">
        <f>HYPERLINK("http://www-wds.worldbank.org/external/default/main?menuPK=64187510&amp;pagePK=64193027&amp;piPK=64187937&amp;menuPK=64154159&amp;searchMenuPK=64258546&amp;theSitePK=523679&amp;entityID=000334955_20091120061518","Ethnic minority plan for Tra Vinh province ")</f>
        <v xml:space="preserve">Ethnic minority plan for Tra Vinh province </v>
      </c>
      <c r="F630" s="9">
        <v>39459</v>
      </c>
      <c r="G630" s="2" t="s">
        <v>311</v>
      </c>
      <c r="H630" s="2" t="s">
        <v>10</v>
      </c>
      <c r="I630" s="2"/>
      <c r="J630" s="3"/>
      <c r="K630" s="2" t="s">
        <v>80</v>
      </c>
      <c r="L630" s="2" t="s">
        <v>222</v>
      </c>
      <c r="M630" s="2" t="s">
        <v>29</v>
      </c>
      <c r="N630" s="2" t="s">
        <v>221</v>
      </c>
      <c r="O630" s="2" t="s">
        <v>77</v>
      </c>
      <c r="P630" s="2"/>
      <c r="Q630" s="2" t="s">
        <v>310</v>
      </c>
      <c r="R630" s="2" t="s">
        <v>309</v>
      </c>
      <c r="S630" s="2" t="s">
        <v>298</v>
      </c>
      <c r="T630" s="2"/>
      <c r="U630" s="2" t="s">
        <v>120</v>
      </c>
      <c r="V630" s="2" t="s">
        <v>312</v>
      </c>
    </row>
    <row r="631" spans="1:22" ht="75" x14ac:dyDescent="0.25">
      <c r="A631" s="6"/>
      <c r="B631" s="10"/>
      <c r="C631" s="2" t="s">
        <v>34</v>
      </c>
      <c r="D631" s="2" t="s">
        <v>12</v>
      </c>
      <c r="E631" s="1" t="str">
        <f>HYPERLINK("http://www-wds.worldbank.org/external/default/main?menuPK=64187510&amp;pagePK=64193027&amp;piPK=64187937&amp;menuPK=64154159&amp;searchMenuPK=64258546&amp;theSitePK=523679&amp;entityID=000334955_20091120062026","Ethnic minority plan for Soc Trang province ")</f>
        <v xml:space="preserve">Ethnic minority plan for Soc Trang province </v>
      </c>
      <c r="F631" s="9">
        <v>39459</v>
      </c>
      <c r="G631" s="2" t="s">
        <v>311</v>
      </c>
      <c r="H631" s="2" t="s">
        <v>10</v>
      </c>
      <c r="I631" s="2"/>
      <c r="J631" s="3"/>
      <c r="K631" s="2" t="s">
        <v>80</v>
      </c>
      <c r="L631" s="2" t="s">
        <v>222</v>
      </c>
      <c r="M631" s="2" t="s">
        <v>29</v>
      </c>
      <c r="N631" s="2" t="s">
        <v>221</v>
      </c>
      <c r="O631" s="2" t="s">
        <v>77</v>
      </c>
      <c r="P631" s="2"/>
      <c r="Q631" s="2" t="s">
        <v>310</v>
      </c>
      <c r="R631" s="2" t="s">
        <v>309</v>
      </c>
      <c r="S631" s="2" t="s">
        <v>298</v>
      </c>
      <c r="T631" s="2"/>
      <c r="U631" s="2" t="s">
        <v>120</v>
      </c>
      <c r="V631" s="2" t="s">
        <v>308</v>
      </c>
    </row>
    <row r="632" spans="1:22" ht="150" x14ac:dyDescent="0.25">
      <c r="A632" s="6"/>
      <c r="B632" s="10"/>
      <c r="C632" s="2" t="s">
        <v>34</v>
      </c>
      <c r="D632" s="2" t="s">
        <v>12</v>
      </c>
      <c r="E632" s="1" t="str">
        <f>HYPERLINK("http://www-wds.worldbank.org/external/default/main?menuPK=64187510&amp;pagePK=64193027&amp;piPK=64187937&amp;menuPK=64154159&amp;searchMenuPK=64258546&amp;theSitePK=523679&amp;entityID=000333038_20081208052604","Ethnic minority development plan for Tuyen Quang province ")</f>
        <v xml:space="preserve">Ethnic minority development plan for Tuyen Quang province </v>
      </c>
      <c r="F632" s="3" t="s">
        <v>307</v>
      </c>
      <c r="G632" s="2" t="s">
        <v>224</v>
      </c>
      <c r="H632" s="2" t="s">
        <v>10</v>
      </c>
      <c r="I632" s="2" t="s">
        <v>223</v>
      </c>
      <c r="J632" s="3"/>
      <c r="K632" s="2" t="s">
        <v>80</v>
      </c>
      <c r="L632" s="2" t="s">
        <v>222</v>
      </c>
      <c r="M632" s="2" t="s">
        <v>29</v>
      </c>
      <c r="N632" s="2" t="s">
        <v>221</v>
      </c>
      <c r="O632" s="2" t="s">
        <v>77</v>
      </c>
      <c r="P632" s="2"/>
      <c r="Q632" s="2" t="s">
        <v>306</v>
      </c>
      <c r="R632" s="2" t="s">
        <v>305</v>
      </c>
      <c r="S632" s="2"/>
      <c r="T632" s="2"/>
      <c r="U632" s="2" t="s">
        <v>120</v>
      </c>
      <c r="V632" s="2" t="s">
        <v>304</v>
      </c>
    </row>
    <row r="633" spans="1:22" ht="75" x14ac:dyDescent="0.25">
      <c r="A633" s="6"/>
      <c r="B633" s="10"/>
      <c r="C633" s="2" t="s">
        <v>34</v>
      </c>
      <c r="D633" s="2" t="s">
        <v>12</v>
      </c>
      <c r="E633" s="1" t="str">
        <f>HYPERLINK("http://www-wds.worldbank.org/external/default/main?menuPK=64187510&amp;pagePK=64193027&amp;piPK=64187937&amp;menuPK=64154159&amp;searchMenuPK=64258546&amp;theSitePK=523679&amp;entityID=000334955_20090324045719","Ethnic minority development plan for Thanh Hoa province vol 3b ")</f>
        <v xml:space="preserve">Ethnic minority development plan for Thanh Hoa province vol 3b </v>
      </c>
      <c r="F633" s="9">
        <v>39458</v>
      </c>
      <c r="G633" s="2" t="s">
        <v>303</v>
      </c>
      <c r="H633" s="2" t="s">
        <v>10</v>
      </c>
      <c r="I633" s="2"/>
      <c r="J633" s="3"/>
      <c r="K633" s="2" t="s">
        <v>80</v>
      </c>
      <c r="L633" s="2" t="s">
        <v>302</v>
      </c>
      <c r="M633" s="2" t="s">
        <v>29</v>
      </c>
      <c r="N633" s="2" t="s">
        <v>301</v>
      </c>
      <c r="O633" s="2" t="s">
        <v>77</v>
      </c>
      <c r="P633" s="2"/>
      <c r="Q633" s="2" t="s">
        <v>300</v>
      </c>
      <c r="R633" s="2" t="s">
        <v>299</v>
      </c>
      <c r="S633" s="2" t="s">
        <v>298</v>
      </c>
      <c r="T633" s="2"/>
      <c r="U633" s="2" t="s">
        <v>120</v>
      </c>
      <c r="V633" s="2" t="s">
        <v>185</v>
      </c>
    </row>
    <row r="634" spans="1:22" ht="409.5" x14ac:dyDescent="0.25">
      <c r="A634" s="6"/>
      <c r="B634" s="10"/>
      <c r="C634" s="2" t="s">
        <v>34</v>
      </c>
      <c r="D634" s="2" t="s">
        <v>12</v>
      </c>
      <c r="E634" s="1" t="str">
        <f>HYPERLINK("http://www-wds.worldbank.org/external/default/main?menuPK=64187510&amp;pagePK=64193027&amp;piPK=64187937&amp;menuPK=64154159&amp;searchMenuPK=64258546&amp;theSitePK=523679&amp;entityID=000333037_20090115000909","Ethnic minority plan of Ha Tay Hydropower subproject ")</f>
        <v xml:space="preserve">Ethnic minority plan of Ha Tay Hydropower subproject </v>
      </c>
      <c r="F634" s="9">
        <v>39458</v>
      </c>
      <c r="G634" s="2" t="s">
        <v>282</v>
      </c>
      <c r="H634" s="2" t="s">
        <v>10</v>
      </c>
      <c r="I634" s="2" t="s">
        <v>281</v>
      </c>
      <c r="J634" s="3"/>
      <c r="K634" s="2" t="s">
        <v>80</v>
      </c>
      <c r="L634" s="2" t="s">
        <v>280</v>
      </c>
      <c r="M634" s="2" t="s">
        <v>29</v>
      </c>
      <c r="N634" s="2" t="s">
        <v>279</v>
      </c>
      <c r="O634" s="2" t="s">
        <v>278</v>
      </c>
      <c r="P634" s="2"/>
      <c r="Q634" s="2" t="s">
        <v>297</v>
      </c>
      <c r="R634" s="2" t="s">
        <v>296</v>
      </c>
      <c r="S634" s="2" t="s">
        <v>275</v>
      </c>
      <c r="T634" s="2" t="s">
        <v>274</v>
      </c>
      <c r="U634" s="2" t="s">
        <v>120</v>
      </c>
      <c r="V634" s="2" t="s">
        <v>295</v>
      </c>
    </row>
    <row r="635" spans="1:22" ht="409.5" x14ac:dyDescent="0.25">
      <c r="A635" s="6"/>
      <c r="B635" s="10"/>
      <c r="C635" s="2" t="s">
        <v>34</v>
      </c>
      <c r="D635" s="2" t="s">
        <v>12</v>
      </c>
      <c r="E635" s="1" t="str">
        <f>HYPERLINK("http://www-wds.worldbank.org/external/default/main?menuPK=64187510&amp;pagePK=64193027&amp;piPK=64187937&amp;menuPK=64154159&amp;searchMenuPK=64258546&amp;theSitePK=523679&amp;entityID=000333037_20090115001815","Ethnic minority plan of Dak Me Hydropower subproject ")</f>
        <v xml:space="preserve">Ethnic minority plan of Dak Me Hydropower subproject </v>
      </c>
      <c r="F635" s="9">
        <v>39458</v>
      </c>
      <c r="G635" s="2" t="s">
        <v>282</v>
      </c>
      <c r="H635" s="2" t="s">
        <v>10</v>
      </c>
      <c r="I635" s="2" t="s">
        <v>281</v>
      </c>
      <c r="J635" s="3"/>
      <c r="K635" s="2" t="s">
        <v>80</v>
      </c>
      <c r="L635" s="2" t="s">
        <v>280</v>
      </c>
      <c r="M635" s="2" t="s">
        <v>29</v>
      </c>
      <c r="N635" s="2" t="s">
        <v>279</v>
      </c>
      <c r="O635" s="2" t="s">
        <v>278</v>
      </c>
      <c r="P635" s="2"/>
      <c r="Q635" s="2" t="s">
        <v>294</v>
      </c>
      <c r="R635" s="2" t="s">
        <v>291</v>
      </c>
      <c r="S635" s="2" t="s">
        <v>275</v>
      </c>
      <c r="T635" s="2" t="s">
        <v>274</v>
      </c>
      <c r="U635" s="2" t="s">
        <v>120</v>
      </c>
      <c r="V635" s="2" t="s">
        <v>293</v>
      </c>
    </row>
    <row r="636" spans="1:22" ht="409.5" x14ac:dyDescent="0.25">
      <c r="A636" s="6"/>
      <c r="B636" s="10"/>
      <c r="C636" s="2" t="s">
        <v>34</v>
      </c>
      <c r="D636" s="2" t="s">
        <v>12</v>
      </c>
      <c r="E636" s="1" t="str">
        <f>HYPERLINK("http://www-wds.worldbank.org/external/default/main?menuPK=64187510&amp;pagePK=64193027&amp;piPK=64187937&amp;menuPK=64154159&amp;searchMenuPK=64258546&amp;theSitePK=523679&amp;entityID=000333037_20090114234907","Ethnic minority plan of Sung Vui Small Hydro Power Project ")</f>
        <v xml:space="preserve">Ethnic minority plan of Sung Vui Small Hydro Power Project </v>
      </c>
      <c r="F636" s="9">
        <v>39455</v>
      </c>
      <c r="G636" s="2" t="s">
        <v>282</v>
      </c>
      <c r="H636" s="2" t="s">
        <v>10</v>
      </c>
      <c r="I636" s="2" t="s">
        <v>281</v>
      </c>
      <c r="J636" s="3"/>
      <c r="K636" s="2" t="s">
        <v>80</v>
      </c>
      <c r="L636" s="2" t="s">
        <v>280</v>
      </c>
      <c r="M636" s="2" t="s">
        <v>29</v>
      </c>
      <c r="N636" s="2" t="s">
        <v>279</v>
      </c>
      <c r="O636" s="2" t="s">
        <v>278</v>
      </c>
      <c r="P636" s="2"/>
      <c r="Q636" s="2" t="s">
        <v>292</v>
      </c>
      <c r="R636" s="2" t="s">
        <v>291</v>
      </c>
      <c r="S636" s="2" t="s">
        <v>275</v>
      </c>
      <c r="T636" s="2" t="s">
        <v>274</v>
      </c>
      <c r="U636" s="2" t="s">
        <v>120</v>
      </c>
      <c r="V636" s="2" t="s">
        <v>290</v>
      </c>
    </row>
    <row r="637" spans="1:22" ht="409.5" x14ac:dyDescent="0.25">
      <c r="A637" s="6"/>
      <c r="B637" s="10"/>
      <c r="C637" s="2" t="s">
        <v>34</v>
      </c>
      <c r="D637" s="2" t="s">
        <v>12</v>
      </c>
      <c r="E637" s="1" t="str">
        <f>HYPERLINK("http://www-wds.worldbank.org/external/default/main?menuPK=64187510&amp;pagePK=64193027&amp;piPK=64187937&amp;menuPK=64154159&amp;searchMenuPK=64258546&amp;theSitePK=523679&amp;entityID=000333037_20090114235500","Ethnic minority plan of Can Ho Small Hydro Power Project ")</f>
        <v xml:space="preserve">Ethnic minority plan of Can Ho Small Hydro Power Project </v>
      </c>
      <c r="F637" s="9">
        <v>39455</v>
      </c>
      <c r="G637" s="2" t="s">
        <v>282</v>
      </c>
      <c r="H637" s="2" t="s">
        <v>10</v>
      </c>
      <c r="I637" s="2" t="s">
        <v>281</v>
      </c>
      <c r="J637" s="3"/>
      <c r="K637" s="2" t="s">
        <v>80</v>
      </c>
      <c r="L637" s="2" t="s">
        <v>280</v>
      </c>
      <c r="M637" s="2" t="s">
        <v>29</v>
      </c>
      <c r="N637" s="2" t="s">
        <v>279</v>
      </c>
      <c r="O637" s="2" t="s">
        <v>278</v>
      </c>
      <c r="P637" s="2"/>
      <c r="Q637" s="2" t="s">
        <v>289</v>
      </c>
      <c r="R637" s="2" t="s">
        <v>276</v>
      </c>
      <c r="S637" s="2" t="s">
        <v>275</v>
      </c>
      <c r="T637" s="2" t="s">
        <v>274</v>
      </c>
      <c r="U637" s="2" t="s">
        <v>120</v>
      </c>
      <c r="V637" s="2" t="s">
        <v>288</v>
      </c>
    </row>
    <row r="638" spans="1:22" ht="409.5" x14ac:dyDescent="0.25">
      <c r="A638" s="6"/>
      <c r="B638" s="10"/>
      <c r="C638" s="2" t="s">
        <v>34</v>
      </c>
      <c r="D638" s="2" t="s">
        <v>12</v>
      </c>
      <c r="E638" s="1" t="str">
        <f>HYPERLINK("http://www-wds.worldbank.org/external/default/main?menuPK=64187510&amp;pagePK=64193027&amp;piPK=64187937&amp;menuPK=64154159&amp;searchMenuPK=64258546&amp;theSitePK=523679&amp;entityID=000333037_20090115000022","Ethnic minority plan of Nam Tang Small Hydropower subproject ")</f>
        <v xml:space="preserve">Ethnic minority plan of Nam Tang Small Hydropower subproject </v>
      </c>
      <c r="F638" s="9">
        <v>39453</v>
      </c>
      <c r="G638" s="2" t="s">
        <v>282</v>
      </c>
      <c r="H638" s="2" t="s">
        <v>10</v>
      </c>
      <c r="I638" s="2" t="s">
        <v>281</v>
      </c>
      <c r="J638" s="3"/>
      <c r="K638" s="2" t="s">
        <v>80</v>
      </c>
      <c r="L638" s="2" t="s">
        <v>280</v>
      </c>
      <c r="M638" s="2" t="s">
        <v>29</v>
      </c>
      <c r="N638" s="2" t="s">
        <v>279</v>
      </c>
      <c r="O638" s="2" t="s">
        <v>278</v>
      </c>
      <c r="P638" s="2"/>
      <c r="Q638" s="2" t="s">
        <v>287</v>
      </c>
      <c r="R638" s="2" t="s">
        <v>286</v>
      </c>
      <c r="S638" s="2" t="s">
        <v>275</v>
      </c>
      <c r="T638" s="2" t="s">
        <v>274</v>
      </c>
      <c r="U638" s="2" t="s">
        <v>120</v>
      </c>
      <c r="V638" s="2" t="s">
        <v>285</v>
      </c>
    </row>
    <row r="639" spans="1:22" ht="150" x14ac:dyDescent="0.25">
      <c r="A639" s="6"/>
      <c r="B639" s="10"/>
      <c r="C639" s="2" t="s">
        <v>34</v>
      </c>
      <c r="D639" s="2" t="s">
        <v>12</v>
      </c>
      <c r="E639" s="1" t="str">
        <f>HYPERLINK("http://www-wds.worldbank.org/external/default/main?menuPK=64187510&amp;pagePK=64193027&amp;piPK=64187937&amp;menuPK=64154159&amp;searchMenuPK=64258546&amp;theSitePK=523679&amp;entityID=000333037_20080716002007","Ethnic minority development plan : Nghe An province ")</f>
        <v xml:space="preserve">Ethnic minority development plan : Nghe An province </v>
      </c>
      <c r="F639" s="9">
        <v>39453</v>
      </c>
      <c r="G639" s="2" t="s">
        <v>224</v>
      </c>
      <c r="H639" s="2" t="s">
        <v>10</v>
      </c>
      <c r="I639" s="2" t="s">
        <v>223</v>
      </c>
      <c r="J639" s="3"/>
      <c r="K639" s="2" t="s">
        <v>80</v>
      </c>
      <c r="L639" s="2" t="s">
        <v>222</v>
      </c>
      <c r="M639" s="2" t="s">
        <v>29</v>
      </c>
      <c r="N639" s="2" t="s">
        <v>221</v>
      </c>
      <c r="O639" s="2" t="s">
        <v>77</v>
      </c>
      <c r="P639" s="2"/>
      <c r="Q639" s="2" t="s">
        <v>284</v>
      </c>
      <c r="R639" s="2" t="s">
        <v>261</v>
      </c>
      <c r="S639" s="2"/>
      <c r="T639" s="2"/>
      <c r="U639" s="2" t="s">
        <v>120</v>
      </c>
      <c r="V639" s="2" t="s">
        <v>283</v>
      </c>
    </row>
    <row r="640" spans="1:22" ht="409.5" x14ac:dyDescent="0.25">
      <c r="A640" s="6"/>
      <c r="B640" s="10"/>
      <c r="C640" s="2" t="s">
        <v>34</v>
      </c>
      <c r="D640" s="2" t="s">
        <v>12</v>
      </c>
      <c r="E640" s="1" t="str">
        <f>HYPERLINK("http://www-wds.worldbank.org/external/default/main?menuPK=64187510&amp;pagePK=64193027&amp;piPK=64187937&amp;menuPK=64154159&amp;searchMenuPK=64258546&amp;theSitePK=523679&amp;entityID=000333037_20090115234011","Ethnic minority planning framework ")</f>
        <v xml:space="preserve">Ethnic minority planning framework </v>
      </c>
      <c r="F640" s="9">
        <v>39451</v>
      </c>
      <c r="G640" s="2" t="s">
        <v>282</v>
      </c>
      <c r="H640" s="2" t="s">
        <v>10</v>
      </c>
      <c r="I640" s="2" t="s">
        <v>281</v>
      </c>
      <c r="J640" s="3"/>
      <c r="K640" s="2" t="s">
        <v>80</v>
      </c>
      <c r="L640" s="2" t="s">
        <v>280</v>
      </c>
      <c r="M640" s="2" t="s">
        <v>29</v>
      </c>
      <c r="N640" s="2" t="s">
        <v>279</v>
      </c>
      <c r="O640" s="2" t="s">
        <v>278</v>
      </c>
      <c r="P640" s="2"/>
      <c r="Q640" s="2" t="s">
        <v>277</v>
      </c>
      <c r="R640" s="2" t="s">
        <v>276</v>
      </c>
      <c r="S640" s="2" t="s">
        <v>275</v>
      </c>
      <c r="T640" s="2" t="s">
        <v>274</v>
      </c>
      <c r="U640" s="2" t="s">
        <v>120</v>
      </c>
      <c r="V640" s="2" t="s">
        <v>273</v>
      </c>
    </row>
    <row r="641" spans="1:22" ht="150" x14ac:dyDescent="0.25">
      <c r="A641" s="6"/>
      <c r="B641" s="10"/>
      <c r="C641" s="2" t="s">
        <v>34</v>
      </c>
      <c r="D641" s="2" t="s">
        <v>12</v>
      </c>
      <c r="E641" s="1" t="str">
        <f>HYPERLINK("http://www-wds.worldbank.org/external/default/main?menuPK=64187510&amp;pagePK=64193027&amp;piPK=64187937&amp;menuPK=64154159&amp;searchMenuPK=64258546&amp;theSitePK=523679&amp;entityID=000333037_20081003014840","Ethnic minority development plan : Quang Binh province ")</f>
        <v xml:space="preserve">Ethnic minority development plan : Quang Binh province </v>
      </c>
      <c r="F641" s="9">
        <v>39450</v>
      </c>
      <c r="G641" s="2" t="s">
        <v>224</v>
      </c>
      <c r="H641" s="2" t="s">
        <v>10</v>
      </c>
      <c r="I641" s="2" t="s">
        <v>223</v>
      </c>
      <c r="J641" s="3"/>
      <c r="K641" s="2" t="s">
        <v>80</v>
      </c>
      <c r="L641" s="2" t="s">
        <v>222</v>
      </c>
      <c r="M641" s="2" t="s">
        <v>29</v>
      </c>
      <c r="N641" s="2" t="s">
        <v>221</v>
      </c>
      <c r="O641" s="2" t="s">
        <v>77</v>
      </c>
      <c r="P641" s="2"/>
      <c r="Q641" s="2" t="s">
        <v>272</v>
      </c>
      <c r="R641" s="2" t="s">
        <v>271</v>
      </c>
      <c r="S641" s="2"/>
      <c r="T641" s="2"/>
      <c r="U641" s="2" t="s">
        <v>120</v>
      </c>
      <c r="V641" s="2" t="s">
        <v>270</v>
      </c>
    </row>
    <row r="642" spans="1:22" ht="105" x14ac:dyDescent="0.25">
      <c r="A642" s="6"/>
      <c r="B642" s="10"/>
      <c r="C642" s="2" t="s">
        <v>34</v>
      </c>
      <c r="D642" s="2" t="s">
        <v>12</v>
      </c>
      <c r="E642" s="1" t="str">
        <f>HYPERLINK("http://www-wds.worldbank.org/external/default/main?menuPK=64187510&amp;pagePK=64193027&amp;piPK=64187937&amp;menuPK=64154159&amp;searchMenuPK=64258546&amp;theSitePK=523679&amp;entityID=000333037_20080305050231","Social assessment ")</f>
        <v xml:space="preserve">Social assessment </v>
      </c>
      <c r="F642" s="3" t="s">
        <v>269</v>
      </c>
      <c r="G642" s="2" t="s">
        <v>254</v>
      </c>
      <c r="H642" s="2" t="s">
        <v>10</v>
      </c>
      <c r="I642" s="2"/>
      <c r="J642" s="3"/>
      <c r="K642" s="2" t="s">
        <v>164</v>
      </c>
      <c r="L642" s="2" t="s">
        <v>253</v>
      </c>
      <c r="M642" s="2" t="s">
        <v>29</v>
      </c>
      <c r="N642" s="2" t="s">
        <v>252</v>
      </c>
      <c r="O642" s="2" t="s">
        <v>191</v>
      </c>
      <c r="P642" s="2"/>
      <c r="Q642" s="2" t="s">
        <v>268</v>
      </c>
      <c r="R642" s="2" t="s">
        <v>257</v>
      </c>
      <c r="S642" s="2" t="s">
        <v>249</v>
      </c>
      <c r="T642" s="2" t="s">
        <v>248</v>
      </c>
      <c r="U642" s="2" t="s">
        <v>247</v>
      </c>
      <c r="V642" s="2" t="s">
        <v>55</v>
      </c>
    </row>
    <row r="643" spans="1:22" ht="90" x14ac:dyDescent="0.25">
      <c r="A643" s="6"/>
      <c r="B643" s="10"/>
      <c r="C643" s="2" t="s">
        <v>34</v>
      </c>
      <c r="D643" s="2" t="s">
        <v>12</v>
      </c>
      <c r="E643" s="1" t="str">
        <f>HYPERLINK("http://www-wds.worldbank.org/external/default/main?menuPK=64187510&amp;pagePK=64193027&amp;piPK=64187937&amp;menuPK=64154159&amp;searchMenuPK=64258546&amp;theSitePK=523679&amp;entityID=000333037_20080124052712","Vietnam - Agriculture Competitiveness Project : policy framework for ethnic minority development ")</f>
        <v xml:space="preserve">Vietnam - Agriculture Competitiveness Project : policy framework for ethnic minority development </v>
      </c>
      <c r="F643" s="9">
        <v>39448</v>
      </c>
      <c r="G643" s="2" t="s">
        <v>267</v>
      </c>
      <c r="H643" s="2" t="s">
        <v>10</v>
      </c>
      <c r="I643" s="2"/>
      <c r="J643" s="3"/>
      <c r="K643" s="2" t="s">
        <v>266</v>
      </c>
      <c r="L643" s="2" t="s">
        <v>265</v>
      </c>
      <c r="M643" s="2" t="s">
        <v>29</v>
      </c>
      <c r="N643" s="2" t="s">
        <v>264</v>
      </c>
      <c r="O643" s="2" t="s">
        <v>263</v>
      </c>
      <c r="P643" s="2"/>
      <c r="Q643" s="2" t="s">
        <v>262</v>
      </c>
      <c r="R643" s="2" t="s">
        <v>261</v>
      </c>
      <c r="S643" s="2" t="s">
        <v>260</v>
      </c>
      <c r="T643" s="2" t="s">
        <v>259</v>
      </c>
      <c r="U643" s="2" t="s">
        <v>120</v>
      </c>
      <c r="V643" s="2" t="s">
        <v>0</v>
      </c>
    </row>
    <row r="644" spans="1:22" ht="105" x14ac:dyDescent="0.25">
      <c r="A644" s="6"/>
      <c r="B644" s="10"/>
      <c r="C644" s="2" t="s">
        <v>34</v>
      </c>
      <c r="D644" s="2" t="s">
        <v>12</v>
      </c>
      <c r="E644" s="1" t="str">
        <f>HYPERLINK("http://www-wds.worldbank.org/external/default/main?menuPK=64187510&amp;pagePK=64193027&amp;piPK=64187937&amp;menuPK=64154159&amp;searchMenuPK=64258546&amp;theSitePK=523679&amp;entityID=000333037_20080618010644","Ethnic minority policy framework ")</f>
        <v xml:space="preserve">Ethnic minority policy framework </v>
      </c>
      <c r="F644" s="3" t="s">
        <v>255</v>
      </c>
      <c r="G644" s="2" t="s">
        <v>254</v>
      </c>
      <c r="H644" s="2" t="s">
        <v>10</v>
      </c>
      <c r="I644" s="2"/>
      <c r="J644" s="3"/>
      <c r="K644" s="2" t="s">
        <v>164</v>
      </c>
      <c r="L644" s="2" t="s">
        <v>253</v>
      </c>
      <c r="M644" s="2" t="s">
        <v>29</v>
      </c>
      <c r="N644" s="2" t="s">
        <v>252</v>
      </c>
      <c r="O644" s="2" t="s">
        <v>191</v>
      </c>
      <c r="P644" s="2"/>
      <c r="Q644" s="2" t="s">
        <v>258</v>
      </c>
      <c r="R644" s="2" t="s">
        <v>257</v>
      </c>
      <c r="S644" s="2" t="s">
        <v>249</v>
      </c>
      <c r="T644" s="2" t="s">
        <v>248</v>
      </c>
      <c r="U644" s="2" t="s">
        <v>247</v>
      </c>
      <c r="V644" s="2" t="s">
        <v>35</v>
      </c>
    </row>
    <row r="645" spans="1:22" ht="105" x14ac:dyDescent="0.25">
      <c r="A645" s="6"/>
      <c r="B645" s="10"/>
      <c r="C645" s="2" t="s">
        <v>34</v>
      </c>
      <c r="D645" s="2" t="s">
        <v>256</v>
      </c>
      <c r="E645" s="1" t="str">
        <f>HYPERLINK("http://www-wds.worldbank.org/external/default/main?menuPK=64187510&amp;pagePK=64193027&amp;piPK=64187937&amp;menuPK=64154159&amp;searchMenuPK=64258546&amp;theSitePK=523679&amp;entityID=000333037_20080618012605","Du an phat trien giao thong dong bang bac bo (NDTDP) ")</f>
        <v xml:space="preserve">Du an phat trien giao thong dong bang bac bo (NDTDP) </v>
      </c>
      <c r="F645" s="3" t="s">
        <v>255</v>
      </c>
      <c r="G645" s="2" t="s">
        <v>254</v>
      </c>
      <c r="H645" s="2" t="s">
        <v>10</v>
      </c>
      <c r="I645" s="2"/>
      <c r="J645" s="3"/>
      <c r="K645" s="2" t="s">
        <v>164</v>
      </c>
      <c r="L645" s="2" t="s">
        <v>253</v>
      </c>
      <c r="M645" s="2" t="s">
        <v>29</v>
      </c>
      <c r="N645" s="2" t="s">
        <v>252</v>
      </c>
      <c r="O645" s="2" t="s">
        <v>191</v>
      </c>
      <c r="P645" s="2"/>
      <c r="Q645" s="2" t="s">
        <v>251</v>
      </c>
      <c r="R645" s="2" t="s">
        <v>250</v>
      </c>
      <c r="S645" s="2" t="s">
        <v>249</v>
      </c>
      <c r="T645" s="2" t="s">
        <v>248</v>
      </c>
      <c r="U645" s="2" t="s">
        <v>247</v>
      </c>
      <c r="V645" s="2" t="s">
        <v>93</v>
      </c>
    </row>
    <row r="646" spans="1:22" ht="150" x14ac:dyDescent="0.25">
      <c r="A646" s="6"/>
      <c r="B646" s="10"/>
      <c r="C646" s="2" t="s">
        <v>34</v>
      </c>
      <c r="D646" s="2" t="s">
        <v>12</v>
      </c>
      <c r="E646" s="1" t="str">
        <f>HYPERLINK("http://www-wds.worldbank.org/external/default/main?menuPK=64187510&amp;pagePK=64193027&amp;piPK=64187937&amp;menuPK=64154159&amp;searchMenuPK=64258546&amp;theSitePK=523679&amp;entityID=000011823_20071214194514","Ethnic minority development plan : Quang Tri province ")</f>
        <v xml:space="preserve">Ethnic minority development plan : Quang Tri province </v>
      </c>
      <c r="F646" s="9">
        <v>39244</v>
      </c>
      <c r="G646" s="2" t="s">
        <v>224</v>
      </c>
      <c r="H646" s="2" t="s">
        <v>10</v>
      </c>
      <c r="I646" s="2" t="s">
        <v>223</v>
      </c>
      <c r="J646" s="3"/>
      <c r="K646" s="2" t="s">
        <v>80</v>
      </c>
      <c r="L646" s="2" t="s">
        <v>222</v>
      </c>
      <c r="M646" s="2" t="s">
        <v>29</v>
      </c>
      <c r="N646" s="2" t="s">
        <v>221</v>
      </c>
      <c r="O646" s="2" t="s">
        <v>77</v>
      </c>
      <c r="P646" s="2"/>
      <c r="Q646" s="2" t="s">
        <v>246</v>
      </c>
      <c r="R646" s="2" t="s">
        <v>245</v>
      </c>
      <c r="S646" s="2"/>
      <c r="T646" s="2"/>
      <c r="U646" s="2" t="s">
        <v>120</v>
      </c>
      <c r="V646" s="2" t="s">
        <v>244</v>
      </c>
    </row>
    <row r="647" spans="1:22" ht="150" x14ac:dyDescent="0.25">
      <c r="A647" s="6"/>
      <c r="B647" s="10"/>
      <c r="C647" s="2" t="s">
        <v>34</v>
      </c>
      <c r="D647" s="2" t="s">
        <v>12</v>
      </c>
      <c r="E647" s="1" t="str">
        <f>HYPERLINK("http://www-wds.worldbank.org/external/default/main?menuPK=64187510&amp;pagePK=64193027&amp;piPK=64187937&amp;menuPK=64154159&amp;searchMenuPK=64258546&amp;theSitePK=523679&amp;entityID=000333037_20081003015622","Ethnic minority development plan : Thua Thien Hue province ")</f>
        <v xml:space="preserve">Ethnic minority development plan : Thua Thien Hue province </v>
      </c>
      <c r="F647" s="9">
        <v>39093</v>
      </c>
      <c r="G647" s="2" t="s">
        <v>224</v>
      </c>
      <c r="H647" s="2" t="s">
        <v>10</v>
      </c>
      <c r="I647" s="2" t="s">
        <v>223</v>
      </c>
      <c r="J647" s="3"/>
      <c r="K647" s="2" t="s">
        <v>80</v>
      </c>
      <c r="L647" s="2" t="s">
        <v>222</v>
      </c>
      <c r="M647" s="2" t="s">
        <v>29</v>
      </c>
      <c r="N647" s="2" t="s">
        <v>221</v>
      </c>
      <c r="O647" s="2" t="s">
        <v>77</v>
      </c>
      <c r="P647" s="2"/>
      <c r="Q647" s="2" t="s">
        <v>243</v>
      </c>
      <c r="R647" s="2" t="s">
        <v>242</v>
      </c>
      <c r="S647" s="2"/>
      <c r="T647" s="2"/>
      <c r="U647" s="2" t="s">
        <v>120</v>
      </c>
      <c r="V647" s="2" t="s">
        <v>241</v>
      </c>
    </row>
    <row r="648" spans="1:22" ht="150" x14ac:dyDescent="0.25">
      <c r="A648" s="6"/>
      <c r="B648" s="10"/>
      <c r="C648" s="2" t="s">
        <v>34</v>
      </c>
      <c r="D648" s="2" t="s">
        <v>12</v>
      </c>
      <c r="E648" s="1" t="str">
        <f>HYPERLINK("http://www-wds.worldbank.org/external/default/main?menuPK=64187510&amp;pagePK=64193027&amp;piPK=64187937&amp;menuPK=64154159&amp;searchMenuPK=64258546&amp;theSitePK=523679&amp;entityID=000011823_20071214192836","Ethnic minority plan : rural medium voltage power grid for Bac Giang Province ")</f>
        <v xml:space="preserve">Ethnic minority plan : rural medium voltage power grid for Bac Giang Province </v>
      </c>
      <c r="F648" s="9">
        <v>39092</v>
      </c>
      <c r="G648" s="2" t="s">
        <v>224</v>
      </c>
      <c r="H648" s="2" t="s">
        <v>10</v>
      </c>
      <c r="I648" s="2" t="s">
        <v>223</v>
      </c>
      <c r="J648" s="3"/>
      <c r="K648" s="2" t="s">
        <v>80</v>
      </c>
      <c r="L648" s="2" t="s">
        <v>222</v>
      </c>
      <c r="M648" s="2" t="s">
        <v>29</v>
      </c>
      <c r="N648" s="2" t="s">
        <v>221</v>
      </c>
      <c r="O648" s="2" t="s">
        <v>77</v>
      </c>
      <c r="P648" s="2"/>
      <c r="Q648" s="2" t="s">
        <v>220</v>
      </c>
      <c r="R648" s="2" t="s">
        <v>219</v>
      </c>
      <c r="S648" s="2"/>
      <c r="T648" s="2"/>
      <c r="U648" s="2" t="s">
        <v>120</v>
      </c>
      <c r="V648" s="2" t="s">
        <v>240</v>
      </c>
    </row>
    <row r="649" spans="1:22" ht="150" x14ac:dyDescent="0.25">
      <c r="A649" s="6"/>
      <c r="B649" s="10"/>
      <c r="C649" s="2" t="s">
        <v>34</v>
      </c>
      <c r="D649" s="2" t="s">
        <v>12</v>
      </c>
      <c r="E649" s="1" t="str">
        <f>HYPERLINK("http://www-wds.worldbank.org/external/default/main?menuPK=64187510&amp;pagePK=64193027&amp;piPK=64187937&amp;menuPK=64154159&amp;searchMenuPK=64258546&amp;theSitePK=523679&amp;entityID=000011823_20071214193208","Ethnic minority plan : Krong - Buk - Cu M'Gar 110 KV line and Cu M'Gar substation of Dak Lak Province ")</f>
        <v xml:space="preserve">Ethnic minority plan : Krong - Buk - Cu M'Gar 110 KV line and Cu M'Gar substation of Dak Lak Province </v>
      </c>
      <c r="F649" s="9">
        <v>39092</v>
      </c>
      <c r="G649" s="2" t="s">
        <v>224</v>
      </c>
      <c r="H649" s="2" t="s">
        <v>10</v>
      </c>
      <c r="I649" s="2" t="s">
        <v>223</v>
      </c>
      <c r="J649" s="3"/>
      <c r="K649" s="2" t="s">
        <v>80</v>
      </c>
      <c r="L649" s="2" t="s">
        <v>222</v>
      </c>
      <c r="M649" s="2" t="s">
        <v>29</v>
      </c>
      <c r="N649" s="2" t="s">
        <v>221</v>
      </c>
      <c r="O649" s="2" t="s">
        <v>77</v>
      </c>
      <c r="P649" s="2"/>
      <c r="Q649" s="2" t="s">
        <v>239</v>
      </c>
      <c r="R649" s="2" t="s">
        <v>238</v>
      </c>
      <c r="S649" s="2"/>
      <c r="T649" s="2"/>
      <c r="U649" s="2" t="s">
        <v>120</v>
      </c>
      <c r="V649" s="2" t="s">
        <v>237</v>
      </c>
    </row>
    <row r="650" spans="1:22" ht="150" x14ac:dyDescent="0.25">
      <c r="A650" s="6"/>
      <c r="B650" s="10"/>
      <c r="C650" s="2" t="s">
        <v>34</v>
      </c>
      <c r="D650" s="2" t="s">
        <v>12</v>
      </c>
      <c r="E650" s="1" t="str">
        <f>HYPERLINK("http://www-wds.worldbank.org/external/default/main?menuPK=64187510&amp;pagePK=64193027&amp;piPK=64187937&amp;menuPK=64154159&amp;searchMenuPK=64258546&amp;theSitePK=523679&amp;entityID=000011823_20071214194131","Ethnic minority development plan : Chu Prong 110kv substation and branch line : Gia Lai province ")</f>
        <v xml:space="preserve">Ethnic minority development plan : Chu Prong 110kv substation and branch line : Gia Lai province </v>
      </c>
      <c r="F650" s="9">
        <v>39092</v>
      </c>
      <c r="G650" s="2" t="s">
        <v>224</v>
      </c>
      <c r="H650" s="2" t="s">
        <v>10</v>
      </c>
      <c r="I650" s="2" t="s">
        <v>223</v>
      </c>
      <c r="J650" s="3"/>
      <c r="K650" s="2" t="s">
        <v>80</v>
      </c>
      <c r="L650" s="2" t="s">
        <v>222</v>
      </c>
      <c r="M650" s="2" t="s">
        <v>29</v>
      </c>
      <c r="N650" s="2" t="s">
        <v>221</v>
      </c>
      <c r="O650" s="2" t="s">
        <v>77</v>
      </c>
      <c r="P650" s="2"/>
      <c r="Q650" s="2" t="s">
        <v>235</v>
      </c>
      <c r="R650" s="2" t="s">
        <v>234</v>
      </c>
      <c r="S650" s="2"/>
      <c r="T650" s="2"/>
      <c r="U650" s="2" t="s">
        <v>120</v>
      </c>
      <c r="V650" s="2" t="s">
        <v>236</v>
      </c>
    </row>
    <row r="651" spans="1:22" ht="150" x14ac:dyDescent="0.25">
      <c r="A651" s="6"/>
      <c r="B651" s="10"/>
      <c r="C651" s="2" t="s">
        <v>34</v>
      </c>
      <c r="D651" s="2" t="s">
        <v>12</v>
      </c>
      <c r="E651" s="1" t="str">
        <f>HYPERLINK("http://www-wds.worldbank.org/external/default/main?menuPK=64187510&amp;pagePK=64193027&amp;piPK=64187937&amp;menuPK=64154159&amp;searchMenuPK=64258546&amp;theSitePK=523679&amp;entityID=000011823_20071214194927","Ethnic minority development plan : Binh Dinh province ")</f>
        <v xml:space="preserve">Ethnic minority development plan : Binh Dinh province </v>
      </c>
      <c r="F651" s="9">
        <v>39092</v>
      </c>
      <c r="G651" s="2" t="s">
        <v>224</v>
      </c>
      <c r="H651" s="2" t="s">
        <v>10</v>
      </c>
      <c r="I651" s="2" t="s">
        <v>223</v>
      </c>
      <c r="J651" s="3"/>
      <c r="K651" s="2" t="s">
        <v>80</v>
      </c>
      <c r="L651" s="2" t="s">
        <v>222</v>
      </c>
      <c r="M651" s="2" t="s">
        <v>29</v>
      </c>
      <c r="N651" s="2" t="s">
        <v>221</v>
      </c>
      <c r="O651" s="2" t="s">
        <v>77</v>
      </c>
      <c r="P651" s="2"/>
      <c r="Q651" s="2" t="s">
        <v>235</v>
      </c>
      <c r="R651" s="2" t="s">
        <v>234</v>
      </c>
      <c r="S651" s="2"/>
      <c r="T651" s="2"/>
      <c r="U651" s="2" t="s">
        <v>120</v>
      </c>
      <c r="V651" s="2" t="s">
        <v>233</v>
      </c>
    </row>
    <row r="652" spans="1:22" ht="150" x14ac:dyDescent="0.25">
      <c r="A652" s="6"/>
      <c r="B652" s="10"/>
      <c r="C652" s="2" t="s">
        <v>34</v>
      </c>
      <c r="D652" s="2" t="s">
        <v>12</v>
      </c>
      <c r="E652" s="1" t="str">
        <f>HYPERLINK("http://www-wds.worldbank.org/external/default/main?menuPK=64187510&amp;pagePK=64193027&amp;piPK=64187937&amp;menuPK=64154159&amp;searchMenuPK=64258546&amp;theSitePK=523679&amp;entityID=000011823_20071214195336","Ethnic minority development plan : 110 kv transmission lines : Son Tay - Yen Mao - Pho Vang : Phu Tho and Ha Tay Provinces ")</f>
        <v xml:space="preserve">Ethnic minority development plan : 110 kv transmission lines : Son Tay - Yen Mao - Pho Vang : Phu Tho and Ha Tay Provinces </v>
      </c>
      <c r="F652" s="9">
        <v>39092</v>
      </c>
      <c r="G652" s="2" t="s">
        <v>224</v>
      </c>
      <c r="H652" s="2" t="s">
        <v>10</v>
      </c>
      <c r="I652" s="2" t="s">
        <v>223</v>
      </c>
      <c r="J652" s="3"/>
      <c r="K652" s="2" t="s">
        <v>80</v>
      </c>
      <c r="L652" s="2" t="s">
        <v>222</v>
      </c>
      <c r="M652" s="2" t="s">
        <v>29</v>
      </c>
      <c r="N652" s="2" t="s">
        <v>221</v>
      </c>
      <c r="O652" s="2" t="s">
        <v>77</v>
      </c>
      <c r="P652" s="2"/>
      <c r="Q652" s="2" t="s">
        <v>232</v>
      </c>
      <c r="R652" s="2" t="s">
        <v>231</v>
      </c>
      <c r="S652" s="2"/>
      <c r="T652" s="2"/>
      <c r="U652" s="2" t="s">
        <v>120</v>
      </c>
      <c r="V652" s="2" t="s">
        <v>230</v>
      </c>
    </row>
    <row r="653" spans="1:22" ht="150" x14ac:dyDescent="0.25">
      <c r="A653" s="6"/>
      <c r="B653" s="10"/>
      <c r="C653" s="2" t="s">
        <v>34</v>
      </c>
      <c r="D653" s="2" t="s">
        <v>12</v>
      </c>
      <c r="E653" s="1" t="str">
        <f>HYPERLINK("http://www-wds.worldbank.org/external/default/main?menuPK=64187510&amp;pagePK=64193027&amp;piPK=64187937&amp;menuPK=64154159&amp;searchMenuPK=64258546&amp;theSitePK=523679&amp;entityID=000011823_20071220160950","Ethnic minority plan : 110 kv Thanh Nong - Kim Boi transmission line and substation for Ha Tay and Hoa Binh Provinces ")</f>
        <v xml:space="preserve">Ethnic minority plan : 110 kv Thanh Nong - Kim Boi transmission line and substation for Ha Tay and Hoa Binh Provinces </v>
      </c>
      <c r="F653" s="9">
        <v>39092</v>
      </c>
      <c r="G653" s="2" t="s">
        <v>224</v>
      </c>
      <c r="H653" s="2" t="s">
        <v>10</v>
      </c>
      <c r="I653" s="2" t="s">
        <v>223</v>
      </c>
      <c r="J653" s="3"/>
      <c r="K653" s="2" t="s">
        <v>80</v>
      </c>
      <c r="L653" s="2" t="s">
        <v>222</v>
      </c>
      <c r="M653" s="2" t="s">
        <v>29</v>
      </c>
      <c r="N653" s="2" t="s">
        <v>221</v>
      </c>
      <c r="O653" s="2" t="s">
        <v>77</v>
      </c>
      <c r="P653" s="2"/>
      <c r="Q653" s="2" t="s">
        <v>229</v>
      </c>
      <c r="R653" s="2" t="s">
        <v>228</v>
      </c>
      <c r="S653" s="2"/>
      <c r="T653" s="2"/>
      <c r="U653" s="2" t="s">
        <v>120</v>
      </c>
      <c r="V653" s="2" t="s">
        <v>227</v>
      </c>
    </row>
    <row r="654" spans="1:22" ht="45" x14ac:dyDescent="0.25">
      <c r="A654" s="6"/>
      <c r="B654" s="10"/>
      <c r="C654" s="2" t="s">
        <v>34</v>
      </c>
      <c r="D654" s="2" t="s">
        <v>12</v>
      </c>
      <c r="E654" s="1" t="str">
        <f>HYPERLINK("http://www-wds.worldbank.org/external/default/main?menuPK=64187510&amp;pagePK=64193027&amp;piPK=64187937&amp;menuPK=64154159&amp;searchMenuPK=64258546&amp;theSitePK=523679&amp;entityID=000020439_20071029134512","Hoa Thuan 110K substation and the branch line of Dak Lak Province ")</f>
        <v xml:space="preserve">Hoa Thuan 110K substation and the branch line of Dak Lak Province </v>
      </c>
      <c r="F654" s="3" t="s">
        <v>226</v>
      </c>
      <c r="G654" s="2" t="s">
        <v>152</v>
      </c>
      <c r="H654" s="2" t="s">
        <v>10</v>
      </c>
      <c r="I654" s="2"/>
      <c r="J654" s="3"/>
      <c r="K654" s="2" t="s">
        <v>80</v>
      </c>
      <c r="L654" s="2" t="s">
        <v>151</v>
      </c>
      <c r="M654" s="2" t="s">
        <v>29</v>
      </c>
      <c r="N654" s="2" t="s">
        <v>150</v>
      </c>
      <c r="O654" s="2" t="s">
        <v>77</v>
      </c>
      <c r="P654" s="2"/>
      <c r="Q654" s="2"/>
      <c r="R654" s="2"/>
      <c r="S654" s="2"/>
      <c r="T654" s="2" t="s">
        <v>149</v>
      </c>
      <c r="U654" s="2" t="s">
        <v>73</v>
      </c>
      <c r="V654" s="2" t="s">
        <v>225</v>
      </c>
    </row>
    <row r="655" spans="1:22" ht="150" x14ac:dyDescent="0.25">
      <c r="A655" s="6"/>
      <c r="B655" s="10"/>
      <c r="C655" s="2" t="s">
        <v>34</v>
      </c>
      <c r="D655" s="2" t="s">
        <v>12</v>
      </c>
      <c r="E655" s="1" t="str">
        <f>HYPERLINK("http://www-wds.worldbank.org/external/default/main?menuPK=64187510&amp;pagePK=64193027&amp;piPK=64187937&amp;menuPK=64154159&amp;searchMenuPK=64258546&amp;theSitePK=523679&amp;entityID=000011823_20071214195938","Ethnic minority development plan : Thanh Hoa province ")</f>
        <v xml:space="preserve">Ethnic minority development plan : Thanh Hoa province </v>
      </c>
      <c r="F655" s="9">
        <v>39090</v>
      </c>
      <c r="G655" s="2" t="s">
        <v>224</v>
      </c>
      <c r="H655" s="2" t="s">
        <v>10</v>
      </c>
      <c r="I655" s="2" t="s">
        <v>223</v>
      </c>
      <c r="J655" s="3"/>
      <c r="K655" s="2" t="s">
        <v>80</v>
      </c>
      <c r="L655" s="2" t="s">
        <v>222</v>
      </c>
      <c r="M655" s="2" t="s">
        <v>29</v>
      </c>
      <c r="N655" s="2" t="s">
        <v>221</v>
      </c>
      <c r="O655" s="2" t="s">
        <v>77</v>
      </c>
      <c r="P655" s="2"/>
      <c r="Q655" s="2" t="s">
        <v>220</v>
      </c>
      <c r="R655" s="2" t="s">
        <v>219</v>
      </c>
      <c r="S655" s="2"/>
      <c r="T655" s="2"/>
      <c r="U655" s="2" t="s">
        <v>120</v>
      </c>
      <c r="V655" s="2" t="s">
        <v>218</v>
      </c>
    </row>
    <row r="656" spans="1:22" ht="105" x14ac:dyDescent="0.25">
      <c r="A656" s="6"/>
      <c r="B656" s="10"/>
      <c r="C656" s="2" t="s">
        <v>34</v>
      </c>
      <c r="D656" s="2" t="s">
        <v>12</v>
      </c>
      <c r="E656" s="1" t="str">
        <f>HYPERLINK("http://www-wds.worldbank.org/external/default/main?menuPK=64187510&amp;pagePK=64193027&amp;piPK=64187937&amp;menuPK=64154159&amp;searchMenuPK=64258546&amp;theSitePK=523679&amp;entityID=000011823_20070810165735","Vietnam - System Efficiency Improvement, Equitization, and Renewables Project (SEIERP), additional financing : report on ethnic minority development plan ")</f>
        <v xml:space="preserve">Vietnam - System Efficiency Improvement, Equitization, and Renewables Project (SEIERP), additional financing : report on ethnic minority development plan </v>
      </c>
      <c r="F656" s="9">
        <v>39270</v>
      </c>
      <c r="G656" s="2" t="s">
        <v>217</v>
      </c>
      <c r="H656" s="2" t="s">
        <v>10</v>
      </c>
      <c r="I656" s="2" t="s">
        <v>216</v>
      </c>
      <c r="J656" s="3"/>
      <c r="K656" s="2" t="s">
        <v>100</v>
      </c>
      <c r="L656" s="2" t="s">
        <v>215</v>
      </c>
      <c r="M656" s="2" t="s">
        <v>29</v>
      </c>
      <c r="N656" s="2" t="s">
        <v>214</v>
      </c>
      <c r="O656" s="2" t="s">
        <v>213</v>
      </c>
      <c r="P656" s="2"/>
      <c r="Q656" s="2" t="s">
        <v>212</v>
      </c>
      <c r="R656" s="2" t="s">
        <v>211</v>
      </c>
      <c r="S656" s="2"/>
      <c r="T656" s="2" t="s">
        <v>210</v>
      </c>
      <c r="U656" s="2" t="s">
        <v>120</v>
      </c>
      <c r="V656" s="2" t="s">
        <v>0</v>
      </c>
    </row>
    <row r="657" spans="1:22" ht="75" x14ac:dyDescent="0.25">
      <c r="A657" s="6"/>
      <c r="B657" s="10"/>
      <c r="C657" s="2" t="s">
        <v>34</v>
      </c>
      <c r="D657" s="2" t="s">
        <v>12</v>
      </c>
      <c r="E657" s="1" t="str">
        <f>HYPERLINK("http://www-wds.worldbank.org/external/default/main?menuPK=64187510&amp;pagePK=64193027&amp;piPK=64187937&amp;menuPK=64154159&amp;searchMenuPK=64258546&amp;theSitePK=523679&amp;entityID=000020953_20070319152143","Ethnic minority development plan ")</f>
        <v xml:space="preserve">Ethnic minority development plan </v>
      </c>
      <c r="F657" s="3" t="s">
        <v>209</v>
      </c>
      <c r="G657" s="2" t="s">
        <v>195</v>
      </c>
      <c r="H657" s="2" t="s">
        <v>10</v>
      </c>
      <c r="I657" s="2" t="s">
        <v>194</v>
      </c>
      <c r="J657" s="3"/>
      <c r="K657" s="2" t="s">
        <v>164</v>
      </c>
      <c r="L657" s="2" t="s">
        <v>193</v>
      </c>
      <c r="M657" s="2" t="s">
        <v>29</v>
      </c>
      <c r="N657" s="2" t="s">
        <v>192</v>
      </c>
      <c r="O657" s="2" t="s">
        <v>191</v>
      </c>
      <c r="P657" s="2"/>
      <c r="Q657" s="2" t="s">
        <v>208</v>
      </c>
      <c r="R657" s="2" t="s">
        <v>207</v>
      </c>
      <c r="S657" s="2"/>
      <c r="T657" s="2" t="s">
        <v>188</v>
      </c>
      <c r="U657" s="2" t="s">
        <v>36</v>
      </c>
      <c r="V657" s="2" t="s">
        <v>35</v>
      </c>
    </row>
    <row r="658" spans="1:22" ht="75" x14ac:dyDescent="0.25">
      <c r="A658" s="6"/>
      <c r="B658" s="10"/>
      <c r="C658" s="2" t="s">
        <v>34</v>
      </c>
      <c r="D658" s="2" t="s">
        <v>12</v>
      </c>
      <c r="E658" s="1" t="str">
        <f>HYPERLINK("http://www-wds.worldbank.org/external/default/main?menuPK=64187510&amp;pagePK=64193027&amp;piPK=64187937&amp;menuPK=64154159&amp;searchMenuPK=64258546&amp;theSitePK=523679&amp;entityID=000020953_20070319153918","Ethnic minority policy framework ")</f>
        <v xml:space="preserve">Ethnic minority policy framework </v>
      </c>
      <c r="F658" s="3" t="s">
        <v>209</v>
      </c>
      <c r="G658" s="2" t="s">
        <v>195</v>
      </c>
      <c r="H658" s="2" t="s">
        <v>10</v>
      </c>
      <c r="I658" s="2" t="s">
        <v>194</v>
      </c>
      <c r="J658" s="3"/>
      <c r="K658" s="2" t="s">
        <v>164</v>
      </c>
      <c r="L658" s="2" t="s">
        <v>193</v>
      </c>
      <c r="M658" s="2" t="s">
        <v>29</v>
      </c>
      <c r="N658" s="2" t="s">
        <v>192</v>
      </c>
      <c r="O658" s="2" t="s">
        <v>191</v>
      </c>
      <c r="P658" s="2"/>
      <c r="Q658" s="2" t="s">
        <v>208</v>
      </c>
      <c r="R658" s="2" t="s">
        <v>207</v>
      </c>
      <c r="S658" s="2"/>
      <c r="T658" s="2" t="s">
        <v>188</v>
      </c>
      <c r="U658" s="2" t="s">
        <v>36</v>
      </c>
      <c r="V658" s="2" t="s">
        <v>55</v>
      </c>
    </row>
    <row r="659" spans="1:22" ht="60" x14ac:dyDescent="0.25">
      <c r="A659" s="6"/>
      <c r="B659" s="10"/>
      <c r="C659" s="2" t="s">
        <v>34</v>
      </c>
      <c r="D659" s="2" t="s">
        <v>12</v>
      </c>
      <c r="E659" s="1" t="str">
        <f>HYPERLINK("http://www-wds.worldbank.org/external/default/main?menuPK=64187510&amp;pagePK=64193027&amp;piPK=64187937&amp;menuPK=64154159&amp;searchMenuPK=64258546&amp;theSitePK=523679&amp;entityID=000090341_20070405095054","Vietnam - HIFU Development Project : indigenous peoples plan ")</f>
        <v xml:space="preserve">Vietnam - HIFU Development Project : indigenous peoples plan </v>
      </c>
      <c r="F659" s="3" t="s">
        <v>206</v>
      </c>
      <c r="G659" s="2" t="s">
        <v>205</v>
      </c>
      <c r="H659" s="2" t="s">
        <v>10</v>
      </c>
      <c r="I659" s="2"/>
      <c r="J659" s="3"/>
      <c r="K659" s="2" t="s">
        <v>204</v>
      </c>
      <c r="L659" s="2" t="s">
        <v>203</v>
      </c>
      <c r="M659" s="2" t="s">
        <v>29</v>
      </c>
      <c r="N659" s="2" t="s">
        <v>202</v>
      </c>
      <c r="O659" s="2" t="s">
        <v>201</v>
      </c>
      <c r="P659" s="2"/>
      <c r="Q659" s="2"/>
      <c r="R659" s="2"/>
      <c r="S659" s="2"/>
      <c r="T659" s="2"/>
      <c r="U659" s="2" t="s">
        <v>112</v>
      </c>
      <c r="V659" s="2" t="s">
        <v>0</v>
      </c>
    </row>
    <row r="660" spans="1:22" ht="225" x14ac:dyDescent="0.25">
      <c r="A660" s="6"/>
      <c r="B660" s="10"/>
      <c r="C660" s="2" t="s">
        <v>34</v>
      </c>
      <c r="D660" s="2" t="s">
        <v>12</v>
      </c>
      <c r="E660" s="1" t="str">
        <f>HYPERLINK("http://www-wds.worldbank.org/external/default/main?menuPK=64187510&amp;pagePK=64193027&amp;piPK=64187937&amp;menuPK=64154159&amp;searchMenuPK=64258546&amp;theSitePK=523679&amp;entityID=000011823_20070216153734","Ethnic minority development plan - Binh Dinh Province ")</f>
        <v xml:space="preserve">Ethnic minority development plan - Binh Dinh Province </v>
      </c>
      <c r="F660" s="9">
        <v>38729</v>
      </c>
      <c r="G660" s="2" t="s">
        <v>82</v>
      </c>
      <c r="H660" s="2" t="s">
        <v>10</v>
      </c>
      <c r="I660" s="2" t="s">
        <v>81</v>
      </c>
      <c r="J660" s="3"/>
      <c r="K660" s="2" t="s">
        <v>80</v>
      </c>
      <c r="L660" s="2" t="s">
        <v>79</v>
      </c>
      <c r="M660" s="2" t="s">
        <v>29</v>
      </c>
      <c r="N660" s="2" t="s">
        <v>78</v>
      </c>
      <c r="O660" s="2" t="s">
        <v>77</v>
      </c>
      <c r="P660" s="2"/>
      <c r="Q660" s="2" t="s">
        <v>200</v>
      </c>
      <c r="R660" s="2" t="s">
        <v>154</v>
      </c>
      <c r="S660" s="2"/>
      <c r="T660" s="2" t="s">
        <v>74</v>
      </c>
      <c r="U660" s="2" t="s">
        <v>73</v>
      </c>
      <c r="V660" s="2" t="s">
        <v>199</v>
      </c>
    </row>
    <row r="661" spans="1:22" ht="225" x14ac:dyDescent="0.25">
      <c r="A661" s="6"/>
      <c r="B661" s="10"/>
      <c r="C661" s="2" t="s">
        <v>34</v>
      </c>
      <c r="D661" s="2" t="s">
        <v>12</v>
      </c>
      <c r="E661" s="1" t="str">
        <f>HYPERLINK("http://www-wds.worldbank.org/external/default/main?menuPK=64187510&amp;pagePK=64193027&amp;piPK=64187937&amp;menuPK=64154159&amp;searchMenuPK=64258546&amp;theSitePK=523679&amp;entityID=000011823_20070627112912","Ethnic minority development plan : Ha Tay Province ")</f>
        <v xml:space="preserve">Ethnic minority development plan : Ha Tay Province </v>
      </c>
      <c r="F661" s="9">
        <v>38725</v>
      </c>
      <c r="G661" s="2" t="s">
        <v>82</v>
      </c>
      <c r="H661" s="2" t="s">
        <v>10</v>
      </c>
      <c r="I661" s="2" t="s">
        <v>81</v>
      </c>
      <c r="J661" s="3"/>
      <c r="K661" s="2" t="s">
        <v>80</v>
      </c>
      <c r="L661" s="2" t="s">
        <v>79</v>
      </c>
      <c r="M661" s="2" t="s">
        <v>29</v>
      </c>
      <c r="N661" s="2" t="s">
        <v>78</v>
      </c>
      <c r="O661" s="2" t="s">
        <v>77</v>
      </c>
      <c r="P661" s="2"/>
      <c r="Q661" s="2" t="s">
        <v>198</v>
      </c>
      <c r="R661" s="2" t="s">
        <v>197</v>
      </c>
      <c r="S661" s="2"/>
      <c r="T661" s="2" t="s">
        <v>74</v>
      </c>
      <c r="U661" s="2" t="s">
        <v>73</v>
      </c>
      <c r="V661" s="2" t="s">
        <v>196</v>
      </c>
    </row>
    <row r="662" spans="1:22" ht="75" x14ac:dyDescent="0.25">
      <c r="A662" s="6"/>
      <c r="B662" s="10"/>
      <c r="C662" s="2" t="s">
        <v>34</v>
      </c>
      <c r="D662" s="2" t="s">
        <v>12</v>
      </c>
      <c r="E662" s="1" t="str">
        <f>HYPERLINK("http://www-wds.worldbank.org/external/default/main?menuPK=64187510&amp;pagePK=64193027&amp;piPK=64187937&amp;menuPK=64154159&amp;searchMenuPK=64258546&amp;theSitePK=523679&amp;entityID=000160016_20060925142526","Social assessment ")</f>
        <v xml:space="preserve">Social assessment </v>
      </c>
      <c r="F662" s="9">
        <v>38723</v>
      </c>
      <c r="G662" s="2" t="s">
        <v>195</v>
      </c>
      <c r="H662" s="2" t="s">
        <v>10</v>
      </c>
      <c r="I662" s="2" t="s">
        <v>194</v>
      </c>
      <c r="J662" s="3"/>
      <c r="K662" s="2" t="s">
        <v>164</v>
      </c>
      <c r="L662" s="2" t="s">
        <v>193</v>
      </c>
      <c r="M662" s="2" t="s">
        <v>29</v>
      </c>
      <c r="N662" s="2" t="s">
        <v>192</v>
      </c>
      <c r="O662" s="2" t="s">
        <v>191</v>
      </c>
      <c r="P662" s="2"/>
      <c r="Q662" s="2" t="s">
        <v>190</v>
      </c>
      <c r="R662" s="2" t="s">
        <v>189</v>
      </c>
      <c r="S662" s="2"/>
      <c r="T662" s="2" t="s">
        <v>188</v>
      </c>
      <c r="U662" s="2" t="s">
        <v>36</v>
      </c>
      <c r="V662" s="2" t="s">
        <v>93</v>
      </c>
    </row>
    <row r="663" spans="1:22" ht="60" x14ac:dyDescent="0.25">
      <c r="A663" s="6"/>
      <c r="B663" s="10"/>
      <c r="C663" s="2" t="s">
        <v>34</v>
      </c>
      <c r="D663" s="2" t="s">
        <v>12</v>
      </c>
      <c r="E663" s="1" t="str">
        <f>HYPERLINK("http://www-wds.worldbank.org/external/default/main?menuPK=64187510&amp;pagePK=64193027&amp;piPK=64187937&amp;menuPK=64154159&amp;searchMenuPK=64258546&amp;theSitePK=523679&amp;entityID=000011823_20060814123133","Ethnic minority development plan (EMDP) ")</f>
        <v xml:space="preserve">Ethnic minority development plan (EMDP) </v>
      </c>
      <c r="F663" s="9">
        <v>38722</v>
      </c>
      <c r="G663" s="2" t="s">
        <v>152</v>
      </c>
      <c r="H663" s="2" t="s">
        <v>10</v>
      </c>
      <c r="I663" s="2"/>
      <c r="J663" s="3"/>
      <c r="K663" s="2" t="s">
        <v>80</v>
      </c>
      <c r="L663" s="2" t="s">
        <v>151</v>
      </c>
      <c r="M663" s="2" t="s">
        <v>29</v>
      </c>
      <c r="N663" s="2" t="s">
        <v>150</v>
      </c>
      <c r="O663" s="2" t="s">
        <v>77</v>
      </c>
      <c r="P663" s="2"/>
      <c r="Q663" s="2" t="s">
        <v>187</v>
      </c>
      <c r="R663" s="2" t="s">
        <v>186</v>
      </c>
      <c r="S663" s="2"/>
      <c r="T663" s="2" t="s">
        <v>149</v>
      </c>
      <c r="U663" s="2" t="s">
        <v>73</v>
      </c>
      <c r="V663" s="2" t="s">
        <v>185</v>
      </c>
    </row>
    <row r="664" spans="1:22" ht="60" x14ac:dyDescent="0.25">
      <c r="A664" s="6"/>
      <c r="B664" s="10"/>
      <c r="C664" s="2" t="s">
        <v>34</v>
      </c>
      <c r="D664" s="2" t="s">
        <v>12</v>
      </c>
      <c r="E664" s="1" t="str">
        <f>HYPERLINK("http://www-wds.worldbank.org/external/default/main?menuPK=64187510&amp;pagePK=64193027&amp;piPK=64187937&amp;menuPK=64154159&amp;searchMenuPK=64258546&amp;theSitePK=523679&amp;entityID=000090341_20060118090451","Vietnam - Mekong Health Support Project : indigenous peoples plan ")</f>
        <v xml:space="preserve">Vietnam - Mekong Health Support Project : indigenous peoples plan </v>
      </c>
      <c r="F664" s="9">
        <v>38718</v>
      </c>
      <c r="G664" s="2" t="s">
        <v>184</v>
      </c>
      <c r="H664" s="2" t="s">
        <v>10</v>
      </c>
      <c r="I664" s="2"/>
      <c r="J664" s="3"/>
      <c r="K664" s="2" t="s">
        <v>183</v>
      </c>
      <c r="L664" s="2" t="s">
        <v>182</v>
      </c>
      <c r="M664" s="2" t="s">
        <v>29</v>
      </c>
      <c r="N664" s="2" t="s">
        <v>181</v>
      </c>
      <c r="O664" s="2" t="s">
        <v>180</v>
      </c>
      <c r="P664" s="2"/>
      <c r="Q664" s="2" t="s">
        <v>179</v>
      </c>
      <c r="R664" s="2" t="s">
        <v>178</v>
      </c>
      <c r="S664" s="2"/>
      <c r="T664" s="2" t="s">
        <v>177</v>
      </c>
      <c r="U664" s="2" t="s">
        <v>23</v>
      </c>
      <c r="V664" s="2" t="s">
        <v>0</v>
      </c>
    </row>
    <row r="665" spans="1:22" ht="225" x14ac:dyDescent="0.25">
      <c r="A665" s="6"/>
      <c r="B665" s="10"/>
      <c r="C665" s="2" t="s">
        <v>34</v>
      </c>
      <c r="D665" s="2" t="s">
        <v>12</v>
      </c>
      <c r="E665" s="1" t="str">
        <f>HYPERLINK("http://www-wds.worldbank.org/external/default/main?menuPK=64187510&amp;pagePK=64193027&amp;piPK=64187937&amp;menuPK=64154159&amp;searchMenuPK=64258546&amp;theSitePK=523679&amp;entityID=000011823_20070620113130","Ethnic minority development plan : Yen Bai Province ")</f>
        <v xml:space="preserve">Ethnic minority development plan : Yen Bai Province </v>
      </c>
      <c r="F665" s="9">
        <v>38364</v>
      </c>
      <c r="G665" s="2" t="s">
        <v>82</v>
      </c>
      <c r="H665" s="2" t="s">
        <v>10</v>
      </c>
      <c r="I665" s="2" t="s">
        <v>81</v>
      </c>
      <c r="J665" s="3"/>
      <c r="K665" s="2" t="s">
        <v>80</v>
      </c>
      <c r="L665" s="2" t="s">
        <v>79</v>
      </c>
      <c r="M665" s="2" t="s">
        <v>29</v>
      </c>
      <c r="N665" s="2" t="s">
        <v>78</v>
      </c>
      <c r="O665" s="2" t="s">
        <v>77</v>
      </c>
      <c r="P665" s="2"/>
      <c r="Q665" s="2" t="s">
        <v>176</v>
      </c>
      <c r="R665" s="2" t="s">
        <v>175</v>
      </c>
      <c r="S665" s="2"/>
      <c r="T665" s="2" t="s">
        <v>74</v>
      </c>
      <c r="U665" s="2" t="s">
        <v>73</v>
      </c>
      <c r="V665" s="2" t="s">
        <v>174</v>
      </c>
    </row>
    <row r="666" spans="1:22" ht="60" x14ac:dyDescent="0.25">
      <c r="A666" s="6"/>
      <c r="B666" s="10"/>
      <c r="C666" s="2" t="s">
        <v>34</v>
      </c>
      <c r="D666" s="2" t="s">
        <v>12</v>
      </c>
      <c r="E666" s="1" t="str">
        <f>HYPERLINK("http://www-wds.worldbank.org/external/default/main?menuPK=64187510&amp;pagePK=64193027&amp;piPK=64187937&amp;menuPK=64154159&amp;searchMenuPK=64258546&amp;theSitePK=523679&amp;entityID=000011823_20051110153307","Ethnic minority development plan for roads in AWP1 ")</f>
        <v xml:space="preserve">Ethnic minority development plan for roads in AWP1 </v>
      </c>
      <c r="F666" s="9">
        <v>38359</v>
      </c>
      <c r="G666" s="2" t="s">
        <v>166</v>
      </c>
      <c r="H666" s="2" t="s">
        <v>10</v>
      </c>
      <c r="I666" s="2" t="s">
        <v>165</v>
      </c>
      <c r="J666" s="3"/>
      <c r="K666" s="2" t="s">
        <v>164</v>
      </c>
      <c r="L666" s="2" t="s">
        <v>163</v>
      </c>
      <c r="M666" s="2" t="s">
        <v>29</v>
      </c>
      <c r="N666" s="2" t="s">
        <v>162</v>
      </c>
      <c r="O666" s="2" t="s">
        <v>161</v>
      </c>
      <c r="P666" s="2"/>
      <c r="Q666" s="2" t="s">
        <v>173</v>
      </c>
      <c r="R666" s="2" t="s">
        <v>172</v>
      </c>
      <c r="S666" s="2"/>
      <c r="T666" s="2"/>
      <c r="U666" s="2" t="s">
        <v>36</v>
      </c>
      <c r="V666" s="2" t="s">
        <v>59</v>
      </c>
    </row>
    <row r="667" spans="1:22" ht="105" x14ac:dyDescent="0.25">
      <c r="A667" s="6"/>
      <c r="B667" s="10"/>
      <c r="C667" s="2" t="s">
        <v>34</v>
      </c>
      <c r="D667" s="2" t="s">
        <v>12</v>
      </c>
      <c r="E667" s="1" t="str">
        <f>HYPERLINK("http://www-wds.worldbank.org/external/default/main?menuPK=64187510&amp;pagePK=64193027&amp;piPK=64187937&amp;menuPK=64154159&amp;searchMenuPK=64258546&amp;theSitePK=523679&amp;entityID=000012009_20050802140944","Vietnam - Rural Energy Project : ethnic minority development plan ")</f>
        <v xml:space="preserve">Vietnam - Rural Energy Project : ethnic minority development plan </v>
      </c>
      <c r="F667" s="9">
        <v>38358</v>
      </c>
      <c r="G667" s="2" t="s">
        <v>171</v>
      </c>
      <c r="H667" s="2" t="s">
        <v>10</v>
      </c>
      <c r="I667" s="2" t="s">
        <v>170</v>
      </c>
      <c r="J667" s="3"/>
      <c r="K667" s="2" t="s">
        <v>80</v>
      </c>
      <c r="L667" s="2" t="s">
        <v>169</v>
      </c>
      <c r="M667" s="2" t="s">
        <v>29</v>
      </c>
      <c r="N667" s="2" t="s">
        <v>168</v>
      </c>
      <c r="O667" s="2" t="s">
        <v>77</v>
      </c>
      <c r="P667" s="2"/>
      <c r="Q667" s="2"/>
      <c r="R667" s="2"/>
      <c r="S667" s="2"/>
      <c r="T667" s="2" t="s">
        <v>167</v>
      </c>
      <c r="U667" s="2" t="s">
        <v>73</v>
      </c>
      <c r="V667" s="2" t="s">
        <v>0</v>
      </c>
    </row>
    <row r="668" spans="1:22" ht="60" x14ac:dyDescent="0.25">
      <c r="A668" s="6"/>
      <c r="B668" s="10"/>
      <c r="C668" s="2" t="s">
        <v>34</v>
      </c>
      <c r="D668" s="2" t="s">
        <v>12</v>
      </c>
      <c r="E668" s="1" t="str">
        <f>HYPERLINK("http://www-wds.worldbank.org/external/default/main?menuPK=64187510&amp;pagePK=64193027&amp;piPK=64187937&amp;menuPK=64154159&amp;searchMenuPK=64258546&amp;theSitePK=523679&amp;entityID=000160016_20050629095510","Vietnam - Third Rural Transport Project : policy framework for ethnic minority development ")</f>
        <v xml:space="preserve">Vietnam - Third Rural Transport Project : policy framework for ethnic minority development </v>
      </c>
      <c r="F668" s="9">
        <v>38358</v>
      </c>
      <c r="G668" s="2" t="s">
        <v>166</v>
      </c>
      <c r="H668" s="2" t="s">
        <v>10</v>
      </c>
      <c r="I668" s="2" t="s">
        <v>165</v>
      </c>
      <c r="J668" s="3"/>
      <c r="K668" s="2" t="s">
        <v>164</v>
      </c>
      <c r="L668" s="2" t="s">
        <v>163</v>
      </c>
      <c r="M668" s="2" t="s">
        <v>29</v>
      </c>
      <c r="N668" s="2" t="s">
        <v>162</v>
      </c>
      <c r="O668" s="2" t="s">
        <v>161</v>
      </c>
      <c r="P668" s="2"/>
      <c r="Q668" s="2"/>
      <c r="R668" s="2"/>
      <c r="S668" s="2"/>
      <c r="T668" s="2"/>
      <c r="U668" s="2" t="s">
        <v>36</v>
      </c>
      <c r="V668" s="2" t="s">
        <v>70</v>
      </c>
    </row>
    <row r="669" spans="1:22" ht="225" x14ac:dyDescent="0.25">
      <c r="A669" s="6"/>
      <c r="B669" s="10"/>
      <c r="C669" s="2" t="s">
        <v>34</v>
      </c>
      <c r="D669" s="2" t="s">
        <v>12</v>
      </c>
      <c r="E669" s="1" t="str">
        <f>HYPERLINK("http://www-wds.worldbank.org/external/default/main?menuPK=64187510&amp;pagePK=64193027&amp;piPK=64187937&amp;menuPK=64154159&amp;searchMenuPK=64258546&amp;theSitePK=523679&amp;entityID=000012009_20050922151704","Ethnic minority development plan - Cao Bang Province ")</f>
        <v xml:space="preserve">Ethnic minority development plan - Cao Bang Province </v>
      </c>
      <c r="F669" s="9">
        <v>38357</v>
      </c>
      <c r="G669" s="2" t="s">
        <v>82</v>
      </c>
      <c r="H669" s="2" t="s">
        <v>10</v>
      </c>
      <c r="I669" s="2" t="s">
        <v>81</v>
      </c>
      <c r="J669" s="3"/>
      <c r="K669" s="2" t="s">
        <v>80</v>
      </c>
      <c r="L669" s="2" t="s">
        <v>79</v>
      </c>
      <c r="M669" s="2" t="s">
        <v>29</v>
      </c>
      <c r="N669" s="2" t="s">
        <v>78</v>
      </c>
      <c r="O669" s="2" t="s">
        <v>77</v>
      </c>
      <c r="P669" s="2"/>
      <c r="Q669" s="2" t="s">
        <v>160</v>
      </c>
      <c r="R669" s="2" t="s">
        <v>159</v>
      </c>
      <c r="S669" s="2"/>
      <c r="T669" s="2" t="s">
        <v>74</v>
      </c>
      <c r="U669" s="2" t="s">
        <v>73</v>
      </c>
      <c r="V669" s="2" t="s">
        <v>158</v>
      </c>
    </row>
    <row r="670" spans="1:22" ht="225" x14ac:dyDescent="0.25">
      <c r="A670" s="6"/>
      <c r="B670" s="10"/>
      <c r="C670" s="2" t="s">
        <v>34</v>
      </c>
      <c r="D670" s="2" t="s">
        <v>12</v>
      </c>
      <c r="E670" s="1" t="str">
        <f>HYPERLINK("http://www-wds.worldbank.org/external/default/main?menuPK=64187510&amp;pagePK=64193027&amp;piPK=64187937&amp;menuPK=64154159&amp;searchMenuPK=64258546&amp;theSitePK=523679&amp;entityID=000012009_20050922152236","Ethnic minority development plan : Lai Chau and Dien Bien Provinces ")</f>
        <v xml:space="preserve">Ethnic minority development plan : Lai Chau and Dien Bien Provinces </v>
      </c>
      <c r="F670" s="9">
        <v>38357</v>
      </c>
      <c r="G670" s="2" t="s">
        <v>82</v>
      </c>
      <c r="H670" s="2" t="s">
        <v>10</v>
      </c>
      <c r="I670" s="2" t="s">
        <v>81</v>
      </c>
      <c r="J670" s="3"/>
      <c r="K670" s="2" t="s">
        <v>80</v>
      </c>
      <c r="L670" s="2" t="s">
        <v>79</v>
      </c>
      <c r="M670" s="2" t="s">
        <v>29</v>
      </c>
      <c r="N670" s="2" t="s">
        <v>78</v>
      </c>
      <c r="O670" s="2" t="s">
        <v>77</v>
      </c>
      <c r="P670" s="2"/>
      <c r="Q670" s="2" t="s">
        <v>157</v>
      </c>
      <c r="R670" s="2" t="s">
        <v>131</v>
      </c>
      <c r="S670" s="2"/>
      <c r="T670" s="2" t="s">
        <v>74</v>
      </c>
      <c r="U670" s="2" t="s">
        <v>73</v>
      </c>
      <c r="V670" s="2" t="s">
        <v>156</v>
      </c>
    </row>
    <row r="671" spans="1:22" ht="225" x14ac:dyDescent="0.25">
      <c r="A671" s="6"/>
      <c r="B671" s="10"/>
      <c r="C671" s="2" t="s">
        <v>34</v>
      </c>
      <c r="D671" s="2" t="s">
        <v>12</v>
      </c>
      <c r="E671" s="1" t="str">
        <f>HYPERLINK("http://www-wds.worldbank.org/external/default/main?menuPK=64187510&amp;pagePK=64193027&amp;piPK=64187937&amp;menuPK=64154159&amp;searchMenuPK=64258546&amp;theSitePK=523679&amp;entityID=000012009_20050922152735","Ethnic minority development plan : Lao Cai Province ")</f>
        <v xml:space="preserve">Ethnic minority development plan : Lao Cai Province </v>
      </c>
      <c r="F671" s="9">
        <v>38357</v>
      </c>
      <c r="G671" s="2" t="s">
        <v>82</v>
      </c>
      <c r="H671" s="2" t="s">
        <v>10</v>
      </c>
      <c r="I671" s="2" t="s">
        <v>81</v>
      </c>
      <c r="J671" s="3"/>
      <c r="K671" s="2" t="s">
        <v>80</v>
      </c>
      <c r="L671" s="2" t="s">
        <v>79</v>
      </c>
      <c r="M671" s="2" t="s">
        <v>29</v>
      </c>
      <c r="N671" s="2" t="s">
        <v>78</v>
      </c>
      <c r="O671" s="2" t="s">
        <v>77</v>
      </c>
      <c r="P671" s="2"/>
      <c r="Q671" s="2" t="s">
        <v>155</v>
      </c>
      <c r="R671" s="2" t="s">
        <v>154</v>
      </c>
      <c r="S671" s="2"/>
      <c r="T671" s="2" t="s">
        <v>74</v>
      </c>
      <c r="U671" s="2" t="s">
        <v>73</v>
      </c>
      <c r="V671" s="2" t="s">
        <v>153</v>
      </c>
    </row>
    <row r="672" spans="1:22" ht="45" x14ac:dyDescent="0.25">
      <c r="A672" s="6"/>
      <c r="B672" s="10"/>
      <c r="C672" s="2" t="s">
        <v>34</v>
      </c>
      <c r="D672" s="2" t="s">
        <v>12</v>
      </c>
      <c r="E672" s="1" t="str">
        <f>HYPERLINK("http://www-wds.worldbank.org/external/default/main?menuPK=64187510&amp;pagePK=64193027&amp;piPK=64187937&amp;menuPK=64154159&amp;searchMenuPK=64258546&amp;theSitePK=523679&amp;entityID=000011823_20050720161203","Policy framework and guidelines for EMDP ")</f>
        <v xml:space="preserve">Policy framework and guidelines for EMDP </v>
      </c>
      <c r="F672" s="9">
        <v>38357</v>
      </c>
      <c r="G672" s="2" t="s">
        <v>152</v>
      </c>
      <c r="H672" s="2" t="s">
        <v>10</v>
      </c>
      <c r="I672" s="2"/>
      <c r="J672" s="3"/>
      <c r="K672" s="2" t="s">
        <v>80</v>
      </c>
      <c r="L672" s="2" t="s">
        <v>151</v>
      </c>
      <c r="M672" s="2" t="s">
        <v>29</v>
      </c>
      <c r="N672" s="2" t="s">
        <v>150</v>
      </c>
      <c r="O672" s="2" t="s">
        <v>77</v>
      </c>
      <c r="P672" s="2"/>
      <c r="Q672" s="2"/>
      <c r="R672" s="2"/>
      <c r="S672" s="2"/>
      <c r="T672" s="2" t="s">
        <v>149</v>
      </c>
      <c r="U672" s="2" t="s">
        <v>73</v>
      </c>
      <c r="V672" s="2" t="s">
        <v>148</v>
      </c>
    </row>
    <row r="673" spans="1:22" ht="285" x14ac:dyDescent="0.25">
      <c r="A673" s="6"/>
      <c r="B673" s="10"/>
      <c r="C673" s="2" t="s">
        <v>34</v>
      </c>
      <c r="D673" s="2" t="s">
        <v>12</v>
      </c>
      <c r="E673" s="1" t="str">
        <f>HYPERLINK("http://www-wds.worldbank.org/external/default/main?menuPK=64187510&amp;pagePK=64193027&amp;piPK=64187937&amp;menuPK=64154159&amp;searchMenuPK=64258546&amp;theSitePK=523679&amp;entityID=000012009_20050622145526","Ethnic minorities development plan - Southern Vietnam ")</f>
        <v xml:space="preserve">Ethnic minorities development plan - Southern Vietnam </v>
      </c>
      <c r="F673" s="9">
        <v>38357</v>
      </c>
      <c r="G673" s="2" t="s">
        <v>139</v>
      </c>
      <c r="H673" s="2" t="s">
        <v>10</v>
      </c>
      <c r="I673" s="2" t="s">
        <v>138</v>
      </c>
      <c r="J673" s="3"/>
      <c r="K673" s="2" t="s">
        <v>80</v>
      </c>
      <c r="L673" s="2" t="s">
        <v>137</v>
      </c>
      <c r="M673" s="2" t="s">
        <v>29</v>
      </c>
      <c r="N673" s="2" t="s">
        <v>136</v>
      </c>
      <c r="O673" s="2" t="s">
        <v>77</v>
      </c>
      <c r="P673" s="2"/>
      <c r="Q673" s="2"/>
      <c r="R673" s="2"/>
      <c r="S673" s="2"/>
      <c r="T673" s="2" t="s">
        <v>135</v>
      </c>
      <c r="U673" s="2" t="s">
        <v>73</v>
      </c>
      <c r="V673" s="2" t="s">
        <v>70</v>
      </c>
    </row>
    <row r="674" spans="1:22" ht="180" x14ac:dyDescent="0.25">
      <c r="A674" s="6"/>
      <c r="B674" s="10"/>
      <c r="C674" s="2" t="s">
        <v>34</v>
      </c>
      <c r="D674" s="2" t="s">
        <v>12</v>
      </c>
      <c r="E674" s="1" t="str">
        <f>HYPERLINK("http://www-wds.worldbank.org/external/default/main?menuPK=64187510&amp;pagePK=64193027&amp;piPK=64187937&amp;menuPK=64154159&amp;searchMenuPK=64258546&amp;theSitePK=523679&amp;entityID=000012009_20050616135914","Vietnam - Natural Disaster Mitigation Project : indigenous peoples plan ")</f>
        <v xml:space="preserve">Vietnam - Natural Disaster Mitigation Project : indigenous peoples plan </v>
      </c>
      <c r="F674" s="9">
        <v>38355</v>
      </c>
      <c r="G674" s="2" t="s">
        <v>147</v>
      </c>
      <c r="H674" s="2" t="s">
        <v>10</v>
      </c>
      <c r="I674" s="2" t="s">
        <v>146</v>
      </c>
      <c r="J674" s="3"/>
      <c r="K674" s="2" t="s">
        <v>145</v>
      </c>
      <c r="L674" s="2" t="s">
        <v>144</v>
      </c>
      <c r="M674" s="2" t="s">
        <v>29</v>
      </c>
      <c r="N674" s="2" t="s">
        <v>143</v>
      </c>
      <c r="O674" s="2" t="s">
        <v>142</v>
      </c>
      <c r="P674" s="2"/>
      <c r="Q674" s="2" t="s">
        <v>141</v>
      </c>
      <c r="R674" s="2" t="s">
        <v>25</v>
      </c>
      <c r="S674" s="2"/>
      <c r="T674" s="2" t="s">
        <v>140</v>
      </c>
      <c r="U674" s="2" t="s">
        <v>1</v>
      </c>
      <c r="V674" s="2" t="s">
        <v>0</v>
      </c>
    </row>
    <row r="675" spans="1:22" ht="285" x14ac:dyDescent="0.25">
      <c r="A675" s="6"/>
      <c r="B675" s="10"/>
      <c r="C675" s="2" t="s">
        <v>34</v>
      </c>
      <c r="D675" s="2" t="s">
        <v>12</v>
      </c>
      <c r="E675" s="1" t="str">
        <f>HYPERLINK("http://www-wds.worldbank.org/external/default/main?menuPK=64187510&amp;pagePK=64193027&amp;piPK=64187937&amp;menuPK=64154159&amp;searchMenuPK=64258546&amp;theSitePK=523679&amp;entityID=000012009_20050712132949","Ethnic minority development plan - Lang Son - Cao Bang ")</f>
        <v xml:space="preserve">Ethnic minority development plan - Lang Son - Cao Bang </v>
      </c>
      <c r="F675" s="9">
        <v>38354</v>
      </c>
      <c r="G675" s="2" t="s">
        <v>139</v>
      </c>
      <c r="H675" s="2" t="s">
        <v>10</v>
      </c>
      <c r="I675" s="2" t="s">
        <v>138</v>
      </c>
      <c r="J675" s="3"/>
      <c r="K675" s="2" t="s">
        <v>80</v>
      </c>
      <c r="L675" s="2" t="s">
        <v>137</v>
      </c>
      <c r="M675" s="2" t="s">
        <v>29</v>
      </c>
      <c r="N675" s="2" t="s">
        <v>136</v>
      </c>
      <c r="O675" s="2" t="s">
        <v>77</v>
      </c>
      <c r="P675" s="2"/>
      <c r="Q675" s="2"/>
      <c r="R675" s="2"/>
      <c r="S675" s="2"/>
      <c r="T675" s="2" t="s">
        <v>135</v>
      </c>
      <c r="U675" s="2" t="s">
        <v>73</v>
      </c>
      <c r="V675" s="2" t="s">
        <v>59</v>
      </c>
    </row>
    <row r="676" spans="1:22" ht="225" x14ac:dyDescent="0.25">
      <c r="A676" s="6"/>
      <c r="B676" s="10"/>
      <c r="C676" s="2" t="s">
        <v>34</v>
      </c>
      <c r="D676" s="2" t="s">
        <v>12</v>
      </c>
      <c r="E676" s="1" t="str">
        <f>HYPERLINK("http://www-wds.worldbank.org/external/default/main?menuPK=64187510&amp;pagePK=64193027&amp;piPK=64187937&amp;menuPK=64154159&amp;searchMenuPK=64258546&amp;theSitePK=523679&amp;entityID=000012009_20051028121411","Ethnic minority development plan : Bac Giang Province ")</f>
        <v xml:space="preserve">Ethnic minority development plan : Bac Giang Province </v>
      </c>
      <c r="F676" s="9">
        <v>38353</v>
      </c>
      <c r="G676" s="2" t="s">
        <v>82</v>
      </c>
      <c r="H676" s="2" t="s">
        <v>10</v>
      </c>
      <c r="I676" s="2" t="s">
        <v>81</v>
      </c>
      <c r="J676" s="3"/>
      <c r="K676" s="2" t="s">
        <v>80</v>
      </c>
      <c r="L676" s="2" t="s">
        <v>79</v>
      </c>
      <c r="M676" s="2" t="s">
        <v>29</v>
      </c>
      <c r="N676" s="2" t="s">
        <v>78</v>
      </c>
      <c r="O676" s="2" t="s">
        <v>77</v>
      </c>
      <c r="P676" s="2"/>
      <c r="Q676" s="2" t="s">
        <v>134</v>
      </c>
      <c r="R676" s="2" t="s">
        <v>131</v>
      </c>
      <c r="S676" s="2"/>
      <c r="T676" s="2" t="s">
        <v>74</v>
      </c>
      <c r="U676" s="2" t="s">
        <v>73</v>
      </c>
      <c r="V676" s="2" t="s">
        <v>133</v>
      </c>
    </row>
    <row r="677" spans="1:22" ht="225" x14ac:dyDescent="0.25">
      <c r="A677" s="6"/>
      <c r="B677" s="10"/>
      <c r="C677" s="2" t="s">
        <v>34</v>
      </c>
      <c r="D677" s="2" t="s">
        <v>12</v>
      </c>
      <c r="E677" s="1" t="str">
        <f>HYPERLINK("http://www-wds.worldbank.org/external/default/main?menuPK=64187510&amp;pagePK=64193027&amp;piPK=64187937&amp;menuPK=64154159&amp;searchMenuPK=64258546&amp;theSitePK=523679&amp;entityID=000012009_20051028121837","Ethnic minority development plan : Phu Tho Province ")</f>
        <v xml:space="preserve">Ethnic minority development plan : Phu Tho Province </v>
      </c>
      <c r="F677" s="9">
        <v>38353</v>
      </c>
      <c r="G677" s="2" t="s">
        <v>82</v>
      </c>
      <c r="H677" s="2" t="s">
        <v>10</v>
      </c>
      <c r="I677" s="2" t="s">
        <v>81</v>
      </c>
      <c r="J677" s="3"/>
      <c r="K677" s="2" t="s">
        <v>80</v>
      </c>
      <c r="L677" s="2" t="s">
        <v>79</v>
      </c>
      <c r="M677" s="2" t="s">
        <v>29</v>
      </c>
      <c r="N677" s="2" t="s">
        <v>78</v>
      </c>
      <c r="O677" s="2" t="s">
        <v>77</v>
      </c>
      <c r="P677" s="2"/>
      <c r="Q677" s="2" t="s">
        <v>132</v>
      </c>
      <c r="R677" s="2" t="s">
        <v>131</v>
      </c>
      <c r="S677" s="2"/>
      <c r="T677" s="2" t="s">
        <v>74</v>
      </c>
      <c r="U677" s="2" t="s">
        <v>73</v>
      </c>
      <c r="V677" s="2" t="s">
        <v>130</v>
      </c>
    </row>
    <row r="678" spans="1:22" ht="90" x14ac:dyDescent="0.25">
      <c r="A678" s="6"/>
      <c r="B678" s="10"/>
      <c r="C678" s="2" t="s">
        <v>34</v>
      </c>
      <c r="D678" s="2" t="s">
        <v>12</v>
      </c>
      <c r="E678" s="1" t="str">
        <f>HYPERLINK("http://www-wds.worldbank.org/external/default/main?menuPK=64187510&amp;pagePK=64193027&amp;piPK=64187937&amp;menuPK=64154159&amp;searchMenuPK=64258546&amp;theSitePK=523679&amp;entityID=000334955_20091221040748","Strategy and guidelines for ethnic minority development plan ")</f>
        <v xml:space="preserve">Strategy and guidelines for ethnic minority development plan </v>
      </c>
      <c r="F678" s="9">
        <v>37998</v>
      </c>
      <c r="G678" s="2" t="s">
        <v>129</v>
      </c>
      <c r="H678" s="2" t="s">
        <v>10</v>
      </c>
      <c r="I678" s="2"/>
      <c r="J678" s="3"/>
      <c r="K678" s="2" t="s">
        <v>128</v>
      </c>
      <c r="L678" s="2" t="s">
        <v>127</v>
      </c>
      <c r="M678" s="2" t="s">
        <v>29</v>
      </c>
      <c r="N678" s="2" t="s">
        <v>126</v>
      </c>
      <c r="O678" s="2" t="s">
        <v>125</v>
      </c>
      <c r="P678" s="2"/>
      <c r="Q678" s="2" t="s">
        <v>124</v>
      </c>
      <c r="R678" s="2" t="s">
        <v>123</v>
      </c>
      <c r="S678" s="2" t="s">
        <v>122</v>
      </c>
      <c r="T678" s="2" t="s">
        <v>121</v>
      </c>
      <c r="U678" s="2" t="s">
        <v>120</v>
      </c>
      <c r="V678" s="2" t="s">
        <v>0</v>
      </c>
    </row>
    <row r="679" spans="1:22" ht="75" x14ac:dyDescent="0.25">
      <c r="A679" s="6"/>
      <c r="B679" s="10"/>
      <c r="C679" s="2" t="s">
        <v>34</v>
      </c>
      <c r="D679" s="2" t="s">
        <v>12</v>
      </c>
      <c r="E679" s="1" t="str">
        <f>HYPERLINK("http://www-wds.worldbank.org/external/default/main?menuPK=64187510&amp;pagePK=64193027&amp;piPK=64187937&amp;menuPK=64154159&amp;searchMenuPK=64258546&amp;theSitePK=523679&amp;entityID=000160016_20041220170533","Vietnam - Red River Delta Rural Water Supply and Sanitation Project : strategy and guidelines for ethnic minority development plan ")</f>
        <v xml:space="preserve">Vietnam - Red River Delta Rural Water Supply and Sanitation Project : strategy and guidelines for ethnic minority development plan </v>
      </c>
      <c r="F679" s="9">
        <v>37998</v>
      </c>
      <c r="G679" s="2" t="s">
        <v>119</v>
      </c>
      <c r="H679" s="2" t="s">
        <v>10</v>
      </c>
      <c r="I679" s="2" t="s">
        <v>53</v>
      </c>
      <c r="J679" s="3"/>
      <c r="K679" s="2" t="s">
        <v>118</v>
      </c>
      <c r="L679" s="2" t="s">
        <v>117</v>
      </c>
      <c r="M679" s="2" t="s">
        <v>29</v>
      </c>
      <c r="N679" s="2" t="s">
        <v>116</v>
      </c>
      <c r="O679" s="2" t="s">
        <v>115</v>
      </c>
      <c r="P679" s="2"/>
      <c r="Q679" s="2" t="s">
        <v>114</v>
      </c>
      <c r="R679" s="2" t="s">
        <v>48</v>
      </c>
      <c r="S679" s="2"/>
      <c r="T679" s="2" t="s">
        <v>113</v>
      </c>
      <c r="U679" s="2" t="s">
        <v>112</v>
      </c>
      <c r="V679" s="2" t="s">
        <v>0</v>
      </c>
    </row>
    <row r="680" spans="1:22" ht="60" x14ac:dyDescent="0.25">
      <c r="A680" s="6"/>
      <c r="B680" s="10"/>
      <c r="C680" s="2" t="s">
        <v>34</v>
      </c>
      <c r="D680" s="2" t="s">
        <v>12</v>
      </c>
      <c r="E680" s="1" t="str">
        <f>HYPERLINK("http://www-wds.worldbank.org/external/default/main?menuPK=64187510&amp;pagePK=64193027&amp;piPK=64187937&amp;menuPK=64154159&amp;searchMenuPK=64258546&amp;theSitePK=523679&amp;entityID=000160016_20041208171853","Vietnam - HIV/AIDS Prevention Project : ethnic minority policy framework ")</f>
        <v xml:space="preserve">Vietnam - HIV/AIDS Prevention Project : ethnic minority policy framework </v>
      </c>
      <c r="F680" s="9">
        <v>37997</v>
      </c>
      <c r="G680" s="2" t="s">
        <v>111</v>
      </c>
      <c r="H680" s="2" t="s">
        <v>10</v>
      </c>
      <c r="I680" s="2" t="s">
        <v>110</v>
      </c>
      <c r="J680" s="3"/>
      <c r="K680" s="2" t="s">
        <v>109</v>
      </c>
      <c r="L680" s="2" t="s">
        <v>108</v>
      </c>
      <c r="M680" s="2" t="s">
        <v>29</v>
      </c>
      <c r="N680" s="2" t="s">
        <v>107</v>
      </c>
      <c r="O680" s="2" t="s">
        <v>106</v>
      </c>
      <c r="P680" s="2"/>
      <c r="Q680" s="2" t="s">
        <v>105</v>
      </c>
      <c r="R680" s="2" t="s">
        <v>104</v>
      </c>
      <c r="S680" s="2"/>
      <c r="T680" s="2" t="s">
        <v>103</v>
      </c>
      <c r="U680" s="2" t="s">
        <v>23</v>
      </c>
      <c r="V680" s="2" t="s">
        <v>70</v>
      </c>
    </row>
    <row r="681" spans="1:22" ht="90" x14ac:dyDescent="0.25">
      <c r="A681" s="6"/>
      <c r="B681" s="10"/>
      <c r="C681" s="2" t="s">
        <v>34</v>
      </c>
      <c r="D681" s="2" t="s">
        <v>12</v>
      </c>
      <c r="E681" s="1" t="str">
        <f>HYPERLINK("http://www-wds.worldbank.org/external/default/main?menuPK=64187510&amp;pagePK=64193027&amp;piPK=64187937&amp;menuPK=64154159&amp;searchMenuPK=64258546&amp;theSitePK=523679&amp;entityID=000012009_20050802145335","Vietnam - System Efficiency Improvement, Equitization Renewables Project : Ethnic Minority Development Plan ")</f>
        <v xml:space="preserve">Vietnam - System Efficiency Improvement, Equitization Renewables Project : Ethnic Minority Development Plan </v>
      </c>
      <c r="F681" s="9">
        <v>37995</v>
      </c>
      <c r="G681" s="2" t="s">
        <v>102</v>
      </c>
      <c r="H681" s="2" t="s">
        <v>10</v>
      </c>
      <c r="I681" s="2" t="s">
        <v>101</v>
      </c>
      <c r="J681" s="3"/>
      <c r="K681" s="2" t="s">
        <v>100</v>
      </c>
      <c r="L681" s="2" t="s">
        <v>99</v>
      </c>
      <c r="M681" s="2" t="s">
        <v>29</v>
      </c>
      <c r="N681" s="2" t="s">
        <v>98</v>
      </c>
      <c r="O681" s="2" t="s">
        <v>97</v>
      </c>
      <c r="P681" s="2"/>
      <c r="Q681" s="2"/>
      <c r="R681" s="2"/>
      <c r="S681" s="2"/>
      <c r="T681" s="2" t="s">
        <v>96</v>
      </c>
      <c r="U681" s="2" t="s">
        <v>73</v>
      </c>
      <c r="V681" s="2" t="s">
        <v>0</v>
      </c>
    </row>
    <row r="682" spans="1:22" ht="75" x14ac:dyDescent="0.25">
      <c r="A682" s="6"/>
      <c r="B682" s="10"/>
      <c r="C682" s="2" t="s">
        <v>34</v>
      </c>
      <c r="D682" s="2" t="s">
        <v>12</v>
      </c>
      <c r="E682" s="1" t="str">
        <f>HYPERLINK("http://www-wds.worldbank.org/external/default/main?menuPK=64187510&amp;pagePK=64193027&amp;piPK=64187937&amp;menuPK=64154159&amp;searchMenuPK=64258546&amp;theSitePK=523679&amp;entityID=000333037_20101110232451","Ethnic Minorities Development Plan (EMDP) ")</f>
        <v xml:space="preserve">Ethnic Minorities Development Plan (EMDP) </v>
      </c>
      <c r="F682" s="9">
        <v>37994</v>
      </c>
      <c r="G682" s="2" t="s">
        <v>45</v>
      </c>
      <c r="H682" s="2" t="s">
        <v>10</v>
      </c>
      <c r="I682" s="2" t="s">
        <v>44</v>
      </c>
      <c r="J682" s="3"/>
      <c r="K682" s="2" t="s">
        <v>43</v>
      </c>
      <c r="L682" s="2" t="s">
        <v>42</v>
      </c>
      <c r="M682" s="2" t="s">
        <v>29</v>
      </c>
      <c r="N682" s="2" t="s">
        <v>41</v>
      </c>
      <c r="O682" s="2" t="s">
        <v>40</v>
      </c>
      <c r="P682" s="2"/>
      <c r="Q682" s="2" t="s">
        <v>95</v>
      </c>
      <c r="R682" s="2" t="s">
        <v>94</v>
      </c>
      <c r="S682" s="2"/>
      <c r="T682" s="2" t="s">
        <v>37</v>
      </c>
      <c r="U682" s="2" t="s">
        <v>36</v>
      </c>
      <c r="V682" s="2" t="s">
        <v>93</v>
      </c>
    </row>
    <row r="683" spans="1:22" ht="225" x14ac:dyDescent="0.25">
      <c r="A683" s="6"/>
      <c r="B683" s="10"/>
      <c r="C683" s="2" t="s">
        <v>34</v>
      </c>
      <c r="D683" s="2" t="s">
        <v>12</v>
      </c>
      <c r="E683" s="1" t="str">
        <f>HYPERLINK("http://www-wds.worldbank.org/external/default/main?menuPK=64187510&amp;pagePK=64193027&amp;piPK=64187937&amp;menuPK=64154159&amp;searchMenuPK=64258546&amp;theSitePK=523679&amp;entityID=000160016_20040617121110","Ethnic minority development plan : Quang Ngai Province ")</f>
        <v xml:space="preserve">Ethnic minority development plan : Quang Ngai Province </v>
      </c>
      <c r="F683" s="9">
        <v>37991</v>
      </c>
      <c r="G683" s="2" t="s">
        <v>82</v>
      </c>
      <c r="H683" s="2" t="s">
        <v>10</v>
      </c>
      <c r="I683" s="2" t="s">
        <v>81</v>
      </c>
      <c r="J683" s="3"/>
      <c r="K683" s="2" t="s">
        <v>80</v>
      </c>
      <c r="L683" s="2" t="s">
        <v>79</v>
      </c>
      <c r="M683" s="2" t="s">
        <v>29</v>
      </c>
      <c r="N683" s="2" t="s">
        <v>78</v>
      </c>
      <c r="O683" s="2" t="s">
        <v>77</v>
      </c>
      <c r="P683" s="2"/>
      <c r="Q683" s="2" t="s">
        <v>88</v>
      </c>
      <c r="R683" s="2" t="s">
        <v>87</v>
      </c>
      <c r="S683" s="2"/>
      <c r="T683" s="2" t="s">
        <v>74</v>
      </c>
      <c r="U683" s="2" t="s">
        <v>73</v>
      </c>
      <c r="V683" s="2" t="s">
        <v>92</v>
      </c>
    </row>
    <row r="684" spans="1:22" ht="225" x14ac:dyDescent="0.25">
      <c r="A684" s="6"/>
      <c r="B684" s="10"/>
      <c r="C684" s="2" t="s">
        <v>34</v>
      </c>
      <c r="D684" s="2" t="s">
        <v>12</v>
      </c>
      <c r="E684" s="1" t="str">
        <f>HYPERLINK("http://www-wds.worldbank.org/external/default/main?menuPK=64187510&amp;pagePK=64193027&amp;piPK=64187937&amp;menuPK=64154159&amp;searchMenuPK=64258546&amp;theSitePK=523679&amp;entityID=000160016_20040617121357","Ethnic minority development plan : Vinh Phuc Province ")</f>
        <v xml:space="preserve">Ethnic minority development plan : Vinh Phuc Province </v>
      </c>
      <c r="F684" s="9">
        <v>37991</v>
      </c>
      <c r="G684" s="2" t="s">
        <v>82</v>
      </c>
      <c r="H684" s="2" t="s">
        <v>10</v>
      </c>
      <c r="I684" s="2" t="s">
        <v>81</v>
      </c>
      <c r="J684" s="3"/>
      <c r="K684" s="2" t="s">
        <v>80</v>
      </c>
      <c r="L684" s="2" t="s">
        <v>79</v>
      </c>
      <c r="M684" s="2" t="s">
        <v>29</v>
      </c>
      <c r="N684" s="2" t="s">
        <v>78</v>
      </c>
      <c r="O684" s="2" t="s">
        <v>77</v>
      </c>
      <c r="P684" s="2"/>
      <c r="Q684" s="2" t="s">
        <v>91</v>
      </c>
      <c r="R684" s="2" t="s">
        <v>90</v>
      </c>
      <c r="S684" s="2"/>
      <c r="T684" s="2" t="s">
        <v>74</v>
      </c>
      <c r="U684" s="2" t="s">
        <v>73</v>
      </c>
      <c r="V684" s="2" t="s">
        <v>89</v>
      </c>
    </row>
    <row r="685" spans="1:22" ht="225" x14ac:dyDescent="0.25">
      <c r="A685" s="6"/>
      <c r="B685" s="10"/>
      <c r="C685" s="2" t="s">
        <v>34</v>
      </c>
      <c r="D685" s="2" t="s">
        <v>12</v>
      </c>
      <c r="E685" s="1" t="str">
        <f>HYPERLINK("http://www-wds.worldbank.org/external/default/main?menuPK=64187510&amp;pagePK=64193027&amp;piPK=64187937&amp;menuPK=64154159&amp;searchMenuPK=64258546&amp;theSitePK=523679&amp;entityID=000160016_20040617122020","Ethnic minority development plan : Ha Tinh Province ")</f>
        <v xml:space="preserve">Ethnic minority development plan : Ha Tinh Province </v>
      </c>
      <c r="F685" s="9">
        <v>37991</v>
      </c>
      <c r="G685" s="2" t="s">
        <v>82</v>
      </c>
      <c r="H685" s="2" t="s">
        <v>10</v>
      </c>
      <c r="I685" s="2" t="s">
        <v>81</v>
      </c>
      <c r="J685" s="3"/>
      <c r="K685" s="2" t="s">
        <v>80</v>
      </c>
      <c r="L685" s="2" t="s">
        <v>79</v>
      </c>
      <c r="M685" s="2" t="s">
        <v>29</v>
      </c>
      <c r="N685" s="2" t="s">
        <v>78</v>
      </c>
      <c r="O685" s="2" t="s">
        <v>77</v>
      </c>
      <c r="P685" s="2"/>
      <c r="Q685" s="2" t="s">
        <v>88</v>
      </c>
      <c r="R685" s="2" t="s">
        <v>87</v>
      </c>
      <c r="S685" s="2"/>
      <c r="T685" s="2" t="s">
        <v>74</v>
      </c>
      <c r="U685" s="2" t="s">
        <v>73</v>
      </c>
      <c r="V685" s="2" t="s">
        <v>86</v>
      </c>
    </row>
    <row r="686" spans="1:22" ht="225" x14ac:dyDescent="0.25">
      <c r="A686" s="6"/>
      <c r="B686" s="10"/>
      <c r="C686" s="2" t="s">
        <v>34</v>
      </c>
      <c r="D686" s="2" t="s">
        <v>12</v>
      </c>
      <c r="E686" s="1" t="str">
        <f>HYPERLINK("http://www-wds.worldbank.org/external/default/main?menuPK=64187510&amp;pagePK=64193027&amp;piPK=64187937&amp;menuPK=64154159&amp;searchMenuPK=64258546&amp;theSitePK=523679&amp;entityID=000333038_20090320014910","Strategy and guidelines for Ethnic Minority Development Plan (EMDP) ")</f>
        <v xml:space="preserve">Strategy and guidelines for Ethnic Minority Development Plan (EMDP) </v>
      </c>
      <c r="F686" s="9">
        <v>37987</v>
      </c>
      <c r="G686" s="2" t="s">
        <v>82</v>
      </c>
      <c r="H686" s="2" t="s">
        <v>10</v>
      </c>
      <c r="I686" s="2" t="s">
        <v>81</v>
      </c>
      <c r="J686" s="3"/>
      <c r="K686" s="2" t="s">
        <v>80</v>
      </c>
      <c r="L686" s="2" t="s">
        <v>79</v>
      </c>
      <c r="M686" s="2" t="s">
        <v>29</v>
      </c>
      <c r="N686" s="2" t="s">
        <v>78</v>
      </c>
      <c r="O686" s="2" t="s">
        <v>77</v>
      </c>
      <c r="P686" s="2"/>
      <c r="Q686" s="2" t="s">
        <v>85</v>
      </c>
      <c r="R686" s="2" t="s">
        <v>84</v>
      </c>
      <c r="S686" s="2"/>
      <c r="T686" s="2" t="s">
        <v>74</v>
      </c>
      <c r="U686" s="2" t="s">
        <v>73</v>
      </c>
      <c r="V686" s="2" t="s">
        <v>83</v>
      </c>
    </row>
    <row r="687" spans="1:22" ht="225" x14ac:dyDescent="0.25">
      <c r="A687" s="6"/>
      <c r="B687" s="10"/>
      <c r="C687" s="2" t="s">
        <v>34</v>
      </c>
      <c r="D687" s="2" t="s">
        <v>12</v>
      </c>
      <c r="E687" s="1" t="str">
        <f>HYPERLINK("http://www-wds.worldbank.org/external/default/main?menuPK=64187510&amp;pagePK=64193027&amp;piPK=64187937&amp;menuPK=64154159&amp;searchMenuPK=64258546&amp;theSitePK=523679&amp;entityID=000160016_20040617122329","Ethnic minority development plan : Ca Mau Province ")</f>
        <v xml:space="preserve">Ethnic minority development plan : Ca Mau Province </v>
      </c>
      <c r="F687" s="9">
        <v>37987</v>
      </c>
      <c r="G687" s="2" t="s">
        <v>82</v>
      </c>
      <c r="H687" s="2" t="s">
        <v>10</v>
      </c>
      <c r="I687" s="2" t="s">
        <v>81</v>
      </c>
      <c r="J687" s="3"/>
      <c r="K687" s="2" t="s">
        <v>80</v>
      </c>
      <c r="L687" s="2" t="s">
        <v>79</v>
      </c>
      <c r="M687" s="2" t="s">
        <v>29</v>
      </c>
      <c r="N687" s="2" t="s">
        <v>78</v>
      </c>
      <c r="O687" s="2" t="s">
        <v>77</v>
      </c>
      <c r="P687" s="2"/>
      <c r="Q687" s="2" t="s">
        <v>76</v>
      </c>
      <c r="R687" s="2" t="s">
        <v>75</v>
      </c>
      <c r="S687" s="2"/>
      <c r="T687" s="2" t="s">
        <v>74</v>
      </c>
      <c r="U687" s="2" t="s">
        <v>73</v>
      </c>
      <c r="V687" s="2" t="s">
        <v>72</v>
      </c>
    </row>
    <row r="688" spans="1:22" ht="210" x14ac:dyDescent="0.25">
      <c r="A688" s="6"/>
      <c r="B688" s="10"/>
      <c r="C688" s="2" t="s">
        <v>34</v>
      </c>
      <c r="D688" s="2" t="s">
        <v>12</v>
      </c>
      <c r="E688" s="1" t="str">
        <f>HYPERLINK("http://www-wds.worldbank.org/external/default/main?menuPK=64187510&amp;pagePK=64193027&amp;piPK=64187937&amp;menuPK=64154159&amp;searchMenuPK=64258546&amp;theSitePK=523679&amp;entityID=000012009_20031007171957","Viet Nam - Water Resources Assistance Project ")</f>
        <v xml:space="preserve">Viet Nam - Water Resources Assistance Project </v>
      </c>
      <c r="F688" s="3" t="s">
        <v>69</v>
      </c>
      <c r="G688" s="2" t="s">
        <v>68</v>
      </c>
      <c r="H688" s="2" t="s">
        <v>10</v>
      </c>
      <c r="I688" s="2" t="s">
        <v>67</v>
      </c>
      <c r="J688" s="3"/>
      <c r="K688" s="2" t="s">
        <v>66</v>
      </c>
      <c r="L688" s="2" t="s">
        <v>65</v>
      </c>
      <c r="M688" s="2" t="s">
        <v>29</v>
      </c>
      <c r="N688" s="2" t="s">
        <v>64</v>
      </c>
      <c r="O688" s="2" t="s">
        <v>63</v>
      </c>
      <c r="P688" s="2"/>
      <c r="Q688" s="2" t="s">
        <v>71</v>
      </c>
      <c r="R688" s="2" t="s">
        <v>25</v>
      </c>
      <c r="S688" s="2"/>
      <c r="T688" s="2" t="s">
        <v>60</v>
      </c>
      <c r="U688" s="2" t="s">
        <v>1</v>
      </c>
      <c r="V688" s="2" t="s">
        <v>70</v>
      </c>
    </row>
    <row r="689" spans="1:22" ht="210" x14ac:dyDescent="0.25">
      <c r="A689" s="6"/>
      <c r="B689" s="10"/>
      <c r="C689" s="2" t="s">
        <v>34</v>
      </c>
      <c r="D689" s="2" t="s">
        <v>12</v>
      </c>
      <c r="E689" s="1" t="str">
        <f>HYPERLINK("http://www-wds.worldbank.org/external/default/main?menuPK=64187510&amp;pagePK=64193027&amp;piPK=64187937&amp;menuPK=64154159&amp;searchMenuPK=64258546&amp;theSitePK=523679&amp;entityID=000012009_20031007172226","Viet Nam - Water Resources Assistance Project ")</f>
        <v xml:space="preserve">Viet Nam - Water Resources Assistance Project </v>
      </c>
      <c r="F689" s="3" t="s">
        <v>69</v>
      </c>
      <c r="G689" s="2" t="s">
        <v>68</v>
      </c>
      <c r="H689" s="2" t="s">
        <v>10</v>
      </c>
      <c r="I689" s="2" t="s">
        <v>67</v>
      </c>
      <c r="J689" s="3"/>
      <c r="K689" s="2" t="s">
        <v>66</v>
      </c>
      <c r="L689" s="2" t="s">
        <v>65</v>
      </c>
      <c r="M689" s="2" t="s">
        <v>29</v>
      </c>
      <c r="N689" s="2" t="s">
        <v>64</v>
      </c>
      <c r="O689" s="2" t="s">
        <v>63</v>
      </c>
      <c r="P689" s="2"/>
      <c r="Q689" s="2" t="s">
        <v>62</v>
      </c>
      <c r="R689" s="2" t="s">
        <v>61</v>
      </c>
      <c r="S689" s="2"/>
      <c r="T689" s="2" t="s">
        <v>60</v>
      </c>
      <c r="U689" s="2" t="s">
        <v>1</v>
      </c>
      <c r="V689" s="2" t="s">
        <v>59</v>
      </c>
    </row>
    <row r="690" spans="1:22" ht="75" x14ac:dyDescent="0.25">
      <c r="A690" s="6"/>
      <c r="B690" s="10"/>
      <c r="C690" s="2" t="s">
        <v>34</v>
      </c>
      <c r="D690" s="2" t="s">
        <v>12</v>
      </c>
      <c r="E690" s="1" t="str">
        <f>HYPERLINK("http://www-wds.worldbank.org/external/default/main?menuPK=64187510&amp;pagePK=64193027&amp;piPK=64187937&amp;menuPK=64154159&amp;searchMenuPK=64258546&amp;theSitePK=523679&amp;entityID=000356161_20100915020737","Indigenous peoples planning framework ")</f>
        <v xml:space="preserve">Indigenous peoples planning framework </v>
      </c>
      <c r="F690" s="3" t="s">
        <v>58</v>
      </c>
      <c r="G690" s="2" t="s">
        <v>45</v>
      </c>
      <c r="H690" s="2" t="s">
        <v>10</v>
      </c>
      <c r="I690" s="2" t="s">
        <v>44</v>
      </c>
      <c r="J690" s="3"/>
      <c r="K690" s="2" t="s">
        <v>43</v>
      </c>
      <c r="L690" s="2" t="s">
        <v>42</v>
      </c>
      <c r="M690" s="2" t="s">
        <v>29</v>
      </c>
      <c r="N690" s="2" t="s">
        <v>41</v>
      </c>
      <c r="O690" s="2" t="s">
        <v>40</v>
      </c>
      <c r="P690" s="2"/>
      <c r="Q690" s="2" t="s">
        <v>57</v>
      </c>
      <c r="R690" s="2" t="s">
        <v>56</v>
      </c>
      <c r="S690" s="2"/>
      <c r="T690" s="2" t="s">
        <v>37</v>
      </c>
      <c r="U690" s="2" t="s">
        <v>36</v>
      </c>
      <c r="V690" s="2" t="s">
        <v>55</v>
      </c>
    </row>
    <row r="691" spans="1:22" ht="75" x14ac:dyDescent="0.25">
      <c r="A691" s="6"/>
      <c r="B691" s="10"/>
      <c r="C691" s="2" t="s">
        <v>34</v>
      </c>
      <c r="D691" s="2" t="s">
        <v>12</v>
      </c>
      <c r="E691" s="1" t="str">
        <f>HYPERLINK("http://www-wds.worldbank.org/external/default/main?menuPK=64187510&amp;pagePK=64193027&amp;piPK=64187937&amp;menuPK=64154159&amp;searchMenuPK=64258546&amp;theSitePK=523679&amp;entityID=000160016_20031006180602","Vietnam - Forest Sector Development Project : indigenous peoples development plan ")</f>
        <v xml:space="preserve">Vietnam - Forest Sector Development Project : indigenous peoples development plan </v>
      </c>
      <c r="F691" s="9">
        <v>37780</v>
      </c>
      <c r="G691" s="2" t="s">
        <v>54</v>
      </c>
      <c r="H691" s="2" t="s">
        <v>10</v>
      </c>
      <c r="I691" s="2" t="s">
        <v>53</v>
      </c>
      <c r="J691" s="3"/>
      <c r="K691" s="2" t="s">
        <v>8</v>
      </c>
      <c r="L691" s="2" t="s">
        <v>52</v>
      </c>
      <c r="M691" s="2" t="s">
        <v>29</v>
      </c>
      <c r="N691" s="2" t="s">
        <v>51</v>
      </c>
      <c r="O691" s="2" t="s">
        <v>50</v>
      </c>
      <c r="P691" s="2"/>
      <c r="Q691" s="2" t="s">
        <v>49</v>
      </c>
      <c r="R691" s="2" t="s">
        <v>48</v>
      </c>
      <c r="S691" s="2"/>
      <c r="T691" s="2" t="s">
        <v>47</v>
      </c>
      <c r="U691" s="2" t="s">
        <v>1</v>
      </c>
      <c r="V691" s="2" t="s">
        <v>0</v>
      </c>
    </row>
    <row r="692" spans="1:22" ht="75" x14ac:dyDescent="0.25">
      <c r="A692" s="6"/>
      <c r="B692" s="10"/>
      <c r="C692" s="2" t="s">
        <v>34</v>
      </c>
      <c r="D692" s="2" t="s">
        <v>12</v>
      </c>
      <c r="E692" s="1" t="str">
        <f>HYPERLINK("http://www-wds.worldbank.org/external/default/main?menuPK=64187510&amp;pagePK=64193027&amp;piPK=64187937&amp;menuPK=64154159&amp;searchMenuPK=64258546&amp;theSitePK=523679&amp;entityID=000012009_20030825145250","Ethnic minorities development plan ")</f>
        <v xml:space="preserve">Ethnic minorities development plan </v>
      </c>
      <c r="F692" s="3" t="s">
        <v>46</v>
      </c>
      <c r="G692" s="2" t="s">
        <v>45</v>
      </c>
      <c r="H692" s="2" t="s">
        <v>10</v>
      </c>
      <c r="I692" s="2" t="s">
        <v>44</v>
      </c>
      <c r="J692" s="3"/>
      <c r="K692" s="2" t="s">
        <v>43</v>
      </c>
      <c r="L692" s="2" t="s">
        <v>42</v>
      </c>
      <c r="M692" s="2" t="s">
        <v>29</v>
      </c>
      <c r="N692" s="2" t="s">
        <v>41</v>
      </c>
      <c r="O692" s="2" t="s">
        <v>40</v>
      </c>
      <c r="P692" s="2"/>
      <c r="Q692" s="2" t="s">
        <v>39</v>
      </c>
      <c r="R692" s="2" t="s">
        <v>38</v>
      </c>
      <c r="S692" s="2"/>
      <c r="T692" s="2" t="s">
        <v>37</v>
      </c>
      <c r="U692" s="2" t="s">
        <v>36</v>
      </c>
      <c r="V692" s="2" t="s">
        <v>35</v>
      </c>
    </row>
    <row r="693" spans="1:22" ht="105" x14ac:dyDescent="0.25">
      <c r="A693" s="6"/>
      <c r="B693" s="10"/>
      <c r="C693" s="2" t="s">
        <v>34</v>
      </c>
      <c r="D693" s="2" t="s">
        <v>12</v>
      </c>
      <c r="E693" s="1" t="str">
        <f>HYPERLINK("http://www-wds.worldbank.org/external/default/main?menuPK=64187510&amp;pagePK=64193027&amp;piPK=64187937&amp;menuPK=64154159&amp;searchMenuPK=64258546&amp;theSitePK=523679&amp;entityID=000094946_03013104014262","Viet Nam - Primary Education for Disadvantaged Children Project : indigenous peoples plan ")</f>
        <v xml:space="preserve">Viet Nam - Primary Education for Disadvantaged Children Project : indigenous peoples plan </v>
      </c>
      <c r="F693" s="3" t="s">
        <v>33</v>
      </c>
      <c r="G693" s="2" t="s">
        <v>32</v>
      </c>
      <c r="H693" s="2" t="s">
        <v>10</v>
      </c>
      <c r="I693" s="2" t="s">
        <v>31</v>
      </c>
      <c r="J693" s="3"/>
      <c r="K693" s="2" t="s">
        <v>21</v>
      </c>
      <c r="L693" s="2" t="s">
        <v>30</v>
      </c>
      <c r="M693" s="2" t="s">
        <v>29</v>
      </c>
      <c r="N693" s="2" t="s">
        <v>28</v>
      </c>
      <c r="O693" s="2" t="s">
        <v>27</v>
      </c>
      <c r="P693" s="2"/>
      <c r="Q693" s="2" t="s">
        <v>26</v>
      </c>
      <c r="R693" s="2" t="s">
        <v>25</v>
      </c>
      <c r="S693" s="2"/>
      <c r="T693" s="2" t="s">
        <v>24</v>
      </c>
      <c r="U693" s="2" t="s">
        <v>23</v>
      </c>
      <c r="V693" s="2">
        <v>1</v>
      </c>
    </row>
    <row r="694" spans="1:22" ht="75" x14ac:dyDescent="0.25">
      <c r="A694" s="6"/>
      <c r="B694" s="10"/>
      <c r="C694" s="2" t="s">
        <v>13</v>
      </c>
      <c r="D694" s="2" t="s">
        <v>12</v>
      </c>
      <c r="E694" s="1" t="str">
        <f>HYPERLINK("http://www-wds.worldbank.org/external/default/main?menuPK=64187510&amp;pagePK=64193027&amp;piPK=64187937&amp;menuPK=64154159&amp;searchMenuPK=64258546&amp;theSitePK=523679&amp;entityID=000333038_20080214044927","Cambodia - Road Asset Management Project : indigenous peoples plan ")</f>
        <v xml:space="preserve">Cambodia - Road Asset Management Project : indigenous peoples plan </v>
      </c>
      <c r="F694" s="9">
        <v>39540</v>
      </c>
      <c r="G694" s="2" t="s">
        <v>22</v>
      </c>
      <c r="H694" s="2" t="s">
        <v>10</v>
      </c>
      <c r="I694" s="2"/>
      <c r="J694" s="3"/>
      <c r="K694" s="2" t="s">
        <v>21</v>
      </c>
      <c r="L694" s="2" t="s">
        <v>20</v>
      </c>
      <c r="M694" s="2" t="s">
        <v>6</v>
      </c>
      <c r="N694" s="2" t="s">
        <v>19</v>
      </c>
      <c r="O694" s="2" t="s">
        <v>18</v>
      </c>
      <c r="P694" s="2"/>
      <c r="Q694" s="2" t="s">
        <v>17</v>
      </c>
      <c r="R694" s="2" t="s">
        <v>16</v>
      </c>
      <c r="S694" s="2" t="s">
        <v>15</v>
      </c>
      <c r="T694" s="2"/>
      <c r="U694" s="2" t="s">
        <v>14</v>
      </c>
      <c r="V694" s="2" t="s">
        <v>0</v>
      </c>
    </row>
    <row r="695" spans="1:22" ht="60" x14ac:dyDescent="0.25">
      <c r="A695" s="6"/>
      <c r="B695" s="10"/>
      <c r="C695" s="2" t="s">
        <v>13</v>
      </c>
      <c r="D695" s="2" t="s">
        <v>12</v>
      </c>
      <c r="E695" s="1" t="str">
        <f>HYPERLINK("http://www-wds.worldbank.org/external/default/main?menuPK=64187510&amp;pagePK=64193027&amp;piPK=64187937&amp;menuPK=64154159&amp;searchMenuPK=64258546&amp;theSitePK=523679&amp;entityID=000020953_20070516144049","Global - Second Critical Ecosystem Partnership Fund Project : indigenous peoples planning framework ")</f>
        <v xml:space="preserve">Global - Second Critical Ecosystem Partnership Fund Project : indigenous peoples planning framework </v>
      </c>
      <c r="F695" s="9">
        <v>39177</v>
      </c>
      <c r="G695" s="2" t="s">
        <v>11</v>
      </c>
      <c r="H695" s="2" t="s">
        <v>10</v>
      </c>
      <c r="I695" s="2" t="s">
        <v>9</v>
      </c>
      <c r="J695" s="3"/>
      <c r="K695" s="2" t="s">
        <v>8</v>
      </c>
      <c r="L695" s="2" t="s">
        <v>7</v>
      </c>
      <c r="M695" s="2" t="s">
        <v>6</v>
      </c>
      <c r="N695" s="2" t="s">
        <v>5</v>
      </c>
      <c r="O695" s="2" t="s">
        <v>4</v>
      </c>
      <c r="P695" s="2"/>
      <c r="Q695" s="2" t="s">
        <v>3</v>
      </c>
      <c r="R695" s="2" t="s">
        <v>2</v>
      </c>
      <c r="S695" s="2"/>
      <c r="T695" s="2"/>
      <c r="U695" s="2" t="s">
        <v>1</v>
      </c>
      <c r="V695" s="2" t="s">
        <v>0</v>
      </c>
    </row>
  </sheetData>
  <hyperlinks>
    <hyperlink ref="E2" r:id="rId1" display="http://www-wds.worldbank.org/external/default/main?menuPK=64187510&amp;pagePK=64193027&amp;piPK=64187937&amp;menuPK=64154159&amp;searchMenuPK=64258546&amp;theSitePK=523679&amp;entityID=000334955_20100223042042"/>
    <hyperlink ref="E3" r:id="rId2" display="http://www-wds.worldbank.org/external/default/main?menuPK=64187510&amp;pagePK=64193027&amp;piPK=64187937&amp;menuPK=64154159&amp;searchMenuPK=64258546&amp;theSitePK=523679&amp;entityID=000011823_20070816160933"/>
    <hyperlink ref="E4" r:id="rId3" display="http://www-wds.worldbank.org/external/default/main?menuPK=64187510&amp;pagePK=64193027&amp;piPK=64187937&amp;menuPK=64154159&amp;searchMenuPK=64258546&amp;theSitePK=523679&amp;entityID=000011823_20070816162336"/>
    <hyperlink ref="E5" r:id="rId4" display="http://www-wds.worldbank.org/external/default/main?menuPK=64187510&amp;pagePK=64193027&amp;piPK=64187937&amp;menuPK=64154159&amp;searchMenuPK=64258546&amp;theSitePK=523679&amp;entityID=000333037_20090506030724"/>
    <hyperlink ref="E6" r:id="rId5" display="http://www-wds.worldbank.org/external/default/main?menuPK=64187510&amp;pagePK=64193027&amp;piPK=64187937&amp;menuPK=64154159&amp;searchMenuPK=64258546&amp;theSitePK=523679&amp;entityID=000356161_20110302010438"/>
    <hyperlink ref="E7" r:id="rId6" display="http://www-wds.worldbank.org/external/default/main?menuPK=64187510&amp;pagePK=64193027&amp;piPK=64187937&amp;menuPK=64154159&amp;searchMenuPK=64258546&amp;theSitePK=523679&amp;entityID=000020953_20110224141340"/>
    <hyperlink ref="E8" r:id="rId7" display="http://www-wds.worldbank.org/external/default/main?menuPK=64187510&amp;pagePK=64193027&amp;piPK=64187937&amp;menuPK=64154159&amp;searchMenuPK=64258546&amp;theSitePK=523679&amp;entityID=000020953_20110224144410"/>
    <hyperlink ref="E9" r:id="rId8" display="http://www-wds.worldbank.org/external/default/main?menuPK=64187510&amp;pagePK=64193027&amp;piPK=64187937&amp;menuPK=64154159&amp;searchMenuPK=64258546&amp;theSitePK=523679&amp;entityID=000020953_20110106142038"/>
    <hyperlink ref="E10" r:id="rId9" display="http://www-wds.worldbank.org/external/default/main?menuPK=64187510&amp;pagePK=64193027&amp;piPK=64187937&amp;menuPK=64154159&amp;searchMenuPK=64258546&amp;theSitePK=523679&amp;entityID=000020953_20110113160315"/>
    <hyperlink ref="E11" r:id="rId10" display="http://www-wds.worldbank.org/external/default/main?menuPK=64187510&amp;pagePK=64193027&amp;piPK=64187937&amp;menuPK=64154159&amp;searchMenuPK=64258546&amp;theSitePK=523679&amp;entityID=000020953_20101223124725"/>
    <hyperlink ref="E12" r:id="rId11" display="http://www-wds.worldbank.org/external/default/main?menuPK=64187510&amp;pagePK=64193027&amp;piPK=64187937&amp;menuPK=64154159&amp;searchMenuPK=64258546&amp;theSitePK=523679&amp;entityID=000333038_20101118233257"/>
    <hyperlink ref="E13" r:id="rId12" display="http://www-wds.worldbank.org/external/default/main?menuPK=64187510&amp;pagePK=64193027&amp;piPK=64187937&amp;menuPK=64154159&amp;searchMenuPK=64258546&amp;theSitePK=523679&amp;entityID=000356161_20101118000351"/>
    <hyperlink ref="E14" r:id="rId13" display="http://www-wds.worldbank.org/external/default/main?menuPK=64187510&amp;pagePK=64193027&amp;piPK=64187937&amp;menuPK=64154159&amp;searchMenuPK=64258546&amp;theSitePK=523679&amp;entityID=000356161_20101118001701"/>
    <hyperlink ref="E15" r:id="rId14" display="http://www-wds.worldbank.org/external/default/main?menuPK=64187510&amp;pagePK=64193027&amp;piPK=64187937&amp;menuPK=64154159&amp;searchMenuPK=64258546&amp;theSitePK=523679&amp;entityID=000356161_20101118002130"/>
    <hyperlink ref="E16" r:id="rId15" display="http://www-wds.worldbank.org/external/default/main?menuPK=64187510&amp;pagePK=64193027&amp;piPK=64187937&amp;menuPK=64154159&amp;searchMenuPK=64258546&amp;theSitePK=523679&amp;entityID=000020953_20100908141016"/>
    <hyperlink ref="E17" r:id="rId16" display="http://www-wds.worldbank.org/external/default/main?menuPK=64187510&amp;pagePK=64193027&amp;piPK=64187937&amp;menuPK=64154159&amp;searchMenuPK=64258546&amp;theSitePK=523679&amp;entityID=000020953_20110106112606"/>
    <hyperlink ref="E18" r:id="rId17" display="http://www-wds.worldbank.org/external/default/main?menuPK=64187510&amp;pagePK=64193027&amp;piPK=64187937&amp;menuPK=64154159&amp;searchMenuPK=64258546&amp;theSitePK=523679&amp;entityID=000333038_20100613233814"/>
    <hyperlink ref="E19" r:id="rId18" display="http://www-wds.worldbank.org/external/default/main?menuPK=64187510&amp;pagePK=64193027&amp;piPK=64187937&amp;menuPK=64154159&amp;searchMenuPK=64258546&amp;theSitePK=523679&amp;entityID=000020953_20100701144525"/>
    <hyperlink ref="E20" r:id="rId19" display="http://www-wds.worldbank.org/external/default/main?menuPK=64187510&amp;pagePK=64193027&amp;piPK=64187937&amp;menuPK=64154159&amp;searchMenuPK=64258546&amp;theSitePK=523679&amp;entityID=000020953_20100701134120"/>
    <hyperlink ref="E21" r:id="rId20" display="http://www-wds.worldbank.org/external/default/main?menuPK=64187510&amp;pagePK=64193027&amp;piPK=64187937&amp;menuPK=64154159&amp;searchMenuPK=64258546&amp;theSitePK=523679&amp;entityID=000020953_20100701115550"/>
    <hyperlink ref="E22" r:id="rId21" display="http://www-wds.worldbank.org/external/default/main?menuPK=64187510&amp;pagePK=64193027&amp;piPK=64187937&amp;menuPK=64154159&amp;searchMenuPK=64258546&amp;theSitePK=523679&amp;entityID=000020953_20100701140901"/>
    <hyperlink ref="E23" r:id="rId22" display="http://www-wds.worldbank.org/external/default/main?menuPK=64187510&amp;pagePK=64193027&amp;piPK=64187937&amp;menuPK=64154159&amp;searchMenuPK=64258546&amp;theSitePK=523679&amp;entityID=000020953_20100701135258"/>
    <hyperlink ref="E24" r:id="rId23" display="http://www-wds.worldbank.org/external/default/main?menuPK=64187510&amp;pagePK=64193027&amp;piPK=64187937&amp;menuPK=64154159&amp;searchMenuPK=64258546&amp;theSitePK=523679&amp;entityID=000020953_20100701151048"/>
    <hyperlink ref="E25" r:id="rId24" display="http://www-wds.worldbank.org/external/default/main?menuPK=64187510&amp;pagePK=64193027&amp;piPK=64187937&amp;menuPK=64154159&amp;searchMenuPK=64258546&amp;theSitePK=523679&amp;entityID=000020953_20100701151815"/>
    <hyperlink ref="E26" r:id="rId25" display="http://www-wds.worldbank.org/external/default/main?menuPK=64187510&amp;pagePK=64193027&amp;piPK=64187937&amp;menuPK=64154159&amp;searchMenuPK=64258546&amp;theSitePK=523679&amp;entityID=000333037_20100614041351"/>
    <hyperlink ref="E27" r:id="rId26" display="http://www-wds.worldbank.org/external/default/main?menuPK=64187510&amp;pagePK=64193027&amp;piPK=64187937&amp;menuPK=64154159&amp;searchMenuPK=64258546&amp;theSitePK=523679&amp;entityID=000020953_20100701143631"/>
    <hyperlink ref="E28" r:id="rId27" display="http://www-wds.worldbank.org/external/default/main?menuPK=64187510&amp;pagePK=64193027&amp;piPK=64187937&amp;menuPK=64154159&amp;searchMenuPK=64258546&amp;theSitePK=523679&amp;entityID=000333038_20100301224514"/>
    <hyperlink ref="E29" r:id="rId28" display="http://www-wds.worldbank.org/external/default/main?menuPK=64187510&amp;pagePK=64193027&amp;piPK=64187937&amp;menuPK=64154159&amp;searchMenuPK=64258546&amp;theSitePK=523679&amp;entityID=000333038_20100301225441"/>
    <hyperlink ref="E30" r:id="rId29" display="http://www-wds.worldbank.org/external/default/main?menuPK=64187510&amp;pagePK=64193027&amp;piPK=64187937&amp;menuPK=64154159&amp;searchMenuPK=64258546&amp;theSitePK=523679&amp;entityID=000020953_20100226131128"/>
    <hyperlink ref="E31" r:id="rId30" display="http://www-wds.worldbank.org/external/default/main?menuPK=64187510&amp;pagePK=64193027&amp;piPK=64187937&amp;menuPK=64154159&amp;searchMenuPK=64258546&amp;theSitePK=523679&amp;entityID=000020953_20100226132010"/>
    <hyperlink ref="E32" r:id="rId31" display="http://www-wds.worldbank.org/external/default/main?menuPK=64187510&amp;pagePK=64193027&amp;piPK=64187937&amp;menuPK=64154159&amp;searchMenuPK=64258546&amp;theSitePK=523679&amp;entityID=000020953_20100226135035"/>
    <hyperlink ref="E33" r:id="rId32" display="http://www-wds.worldbank.org/external/default/main?menuPK=64187510&amp;pagePK=64193027&amp;piPK=64187937&amp;menuPK=64154159&amp;searchMenuPK=64258546&amp;theSitePK=523679&amp;entityID=000020953_20100217135426"/>
    <hyperlink ref="E34" r:id="rId33" display="http://www-wds.worldbank.org/external/default/main?menuPK=64187510&amp;pagePK=64193027&amp;piPK=64187937&amp;menuPK=64154159&amp;searchMenuPK=64258546&amp;theSitePK=523679&amp;entityID=000020953_20100226133240"/>
    <hyperlink ref="E35" r:id="rId34" display="http://www-wds.worldbank.org/external/default/main?menuPK=64187510&amp;pagePK=64193027&amp;piPK=64187937&amp;menuPK=64154159&amp;searchMenuPK=64258546&amp;theSitePK=523679&amp;entityID=000020953_20100226134024"/>
    <hyperlink ref="E36" r:id="rId35" display="http://www-wds.worldbank.org/external/default/main?menuPK=64187510&amp;pagePK=64193027&amp;piPK=64187937&amp;menuPK=64154159&amp;searchMenuPK=64258546&amp;theSitePK=523679&amp;entityID=000333038_20100613232003"/>
    <hyperlink ref="E37" r:id="rId36" display="http://www-wds.worldbank.org/external/default/main?menuPK=64187510&amp;pagePK=64193027&amp;piPK=64187937&amp;menuPK=64154159&amp;searchMenuPK=64258546&amp;theSitePK=523679&amp;entityID=000333038_20100613231343"/>
    <hyperlink ref="E38" r:id="rId37" display="http://www-wds.worldbank.org/external/default/main?menuPK=64187510&amp;pagePK=64193027&amp;piPK=64187937&amp;menuPK=64154159&amp;searchMenuPK=64258546&amp;theSitePK=523679&amp;entityID=000020953_20090320121918"/>
    <hyperlink ref="E39" r:id="rId38" display="http://www-wds.worldbank.org/external/default/main?menuPK=64187510&amp;pagePK=64193027&amp;piPK=64187937&amp;menuPK=64154159&amp;searchMenuPK=64258546&amp;theSitePK=523679&amp;entityID=000333038_20100420000430"/>
    <hyperlink ref="E40" r:id="rId39" display="http://www-wds.worldbank.org/external/default/main?menuPK=64187510&amp;pagePK=64193027&amp;piPK=64187937&amp;menuPK=64154159&amp;searchMenuPK=64258546&amp;theSitePK=523679&amp;entityID=000020953_20081113113133"/>
    <hyperlink ref="E41" r:id="rId40" display="http://www-wds.worldbank.org/external/default/main?menuPK=64187510&amp;pagePK=64193027&amp;piPK=64187937&amp;menuPK=64154159&amp;searchMenuPK=64258546&amp;theSitePK=523679&amp;entityID=000011823_20080425160912"/>
    <hyperlink ref="E42" r:id="rId41" display="http://www-wds.worldbank.org/external/default/main?menuPK=64187510&amp;pagePK=64193027&amp;piPK=64187937&amp;menuPK=64154159&amp;searchMenuPK=64258546&amp;theSitePK=523679&amp;entityID=000011823_20070525173334"/>
    <hyperlink ref="E43" r:id="rId42" display="http://www-wds.worldbank.org/external/default/main?menuPK=64187510&amp;pagePK=64193027&amp;piPK=64187937&amp;menuPK=64154159&amp;searchMenuPK=64258546&amp;theSitePK=523679&amp;entityID=000090341_20070419101541"/>
    <hyperlink ref="E44" r:id="rId43" display="http://www-wds.worldbank.org/external/default/main?menuPK=64187510&amp;pagePK=64193027&amp;piPK=64187937&amp;menuPK=64154159&amp;searchMenuPK=64258546&amp;theSitePK=523679&amp;entityID=000090341_20061003092930"/>
    <hyperlink ref="E45" r:id="rId44" display="http://www-wds.worldbank.org/external/default/main?menuPK=64187510&amp;pagePK=64193027&amp;piPK=64187937&amp;menuPK=64154159&amp;searchMenuPK=64258546&amp;theSitePK=523679&amp;entityID=000011823_20060823132146"/>
    <hyperlink ref="E46" r:id="rId45" display="http://www-wds.worldbank.org/external/default/main?menuPK=64187510&amp;pagePK=64193027&amp;piPK=64187937&amp;menuPK=64154159&amp;searchMenuPK=64258546&amp;theSitePK=523679&amp;entityID=000160016_20051024174154"/>
    <hyperlink ref="E47" r:id="rId46" display="http://www-wds.worldbank.org/external/default/main?menuPK=64187510&amp;pagePK=64193027&amp;piPK=64187937&amp;menuPK=64154159&amp;searchMenuPK=64258546&amp;theSitePK=523679&amp;entityID=000011823_20080207110119"/>
    <hyperlink ref="E48" r:id="rId47" display="http://www-wds.worldbank.org/external/default/main?menuPK=64187510&amp;pagePK=64193027&amp;piPK=64187937&amp;menuPK=64154159&amp;searchMenuPK=64258546&amp;theSitePK=523679&amp;entityID=000011823_20070627170535"/>
    <hyperlink ref="E49" r:id="rId48" display="http://www-wds.worldbank.org/external/default/main?menuPK=64187510&amp;pagePK=64193027&amp;piPK=64187937&amp;menuPK=64154159&amp;searchMenuPK=64258546&amp;theSitePK=523679&amp;entityID=000334955_20080407073927"/>
    <hyperlink ref="E50" r:id="rId49" display="http://www-wds.worldbank.org/external/default/main?menuPK=64187510&amp;pagePK=64193027&amp;piPK=64187937&amp;menuPK=64154159&amp;searchMenuPK=64258546&amp;theSitePK=523679&amp;entityID=000090341_20070305114931"/>
    <hyperlink ref="E51" r:id="rId50" display="http://www-wds.worldbank.org/external/default/main?menuPK=64187510&amp;pagePK=64193027&amp;piPK=64187937&amp;menuPK=64154159&amp;searchMenuPK=64258546&amp;theSitePK=523679&amp;entityID=000090341_20041215114257"/>
    <hyperlink ref="E52" r:id="rId51" display="http://www-wds.worldbank.org/external/default/main?menuPK=64187510&amp;pagePK=64193027&amp;piPK=64187937&amp;menuPK=64154159&amp;searchMenuPK=64258546&amp;theSitePK=523679&amp;entityID=000160016_20031015142205"/>
    <hyperlink ref="E53" r:id="rId52" display="http://www-wds.worldbank.org/external/default/main?menuPK=64187510&amp;pagePK=64193027&amp;piPK=64187937&amp;menuPK=64154159&amp;searchMenuPK=64258546&amp;theSitePK=523679&amp;entityID=000094946_03020104012585"/>
    <hyperlink ref="E54" r:id="rId53" display="http://www-wds.worldbank.org/external/default/main?menuPK=64187510&amp;pagePK=64193027&amp;piPK=64187937&amp;menuPK=64154159&amp;searchMenuPK=64258546&amp;theSitePK=523679&amp;entityID=000333037_20100610012534"/>
    <hyperlink ref="E55" r:id="rId54" display="http://www-wds.worldbank.org/external/default/main?menuPK=64187510&amp;pagePK=64193027&amp;piPK=64187937&amp;menuPK=64154159&amp;searchMenuPK=64258546&amp;theSitePK=523679&amp;entityID=000333037_20100610012918"/>
    <hyperlink ref="E56" r:id="rId55" display="http://www-wds.worldbank.org/external/default/main?menuPK=64187510&amp;pagePK=64193027&amp;piPK=64187937&amp;menuPK=64154159&amp;searchMenuPK=64258546&amp;theSitePK=523679&amp;entityID=000011823_20061107154743"/>
    <hyperlink ref="E57" r:id="rId56" display="http://www-wds.worldbank.org/external/default/main?menuPK=64187510&amp;pagePK=64193027&amp;piPK=64187937&amp;menuPK=64154159&amp;searchMenuPK=64258546&amp;theSitePK=523679&amp;entityID=000011823_20061107155201"/>
    <hyperlink ref="E58" r:id="rId57" display="http://www-wds.worldbank.org/external/default/main?menuPK=64187510&amp;pagePK=64193027&amp;piPK=64187937&amp;menuPK=64154159&amp;searchMenuPK=64258546&amp;theSitePK=523679&amp;entityID=000094946_03032604015249"/>
    <hyperlink ref="E59" r:id="rId58" display="http://www-wds.worldbank.org/external/default/main?menuPK=64187510&amp;pagePK=64193027&amp;piPK=64187937&amp;menuPK=64154159&amp;searchMenuPK=64258546&amp;theSitePK=523679&amp;entityID=000333038_20110303225022"/>
    <hyperlink ref="E60" r:id="rId59" display="http://www-wds.worldbank.org/external/default/main?menuPK=64187510&amp;pagePK=64193027&amp;piPK=64187937&amp;menuPK=64154159&amp;searchMenuPK=64258546&amp;theSitePK=523679&amp;entityID=000333038_20110303225852"/>
    <hyperlink ref="E61" r:id="rId60" display="http://www-wds.worldbank.org/external/default/main?menuPK=64187510&amp;pagePK=64193027&amp;piPK=64187937&amp;menuPK=64154159&amp;searchMenuPK=64258546&amp;theSitePK=523679&amp;entityID=000333038_20110303230557"/>
    <hyperlink ref="E62" r:id="rId61" display="http://www-wds.worldbank.org/external/default/main?menuPK=64187510&amp;pagePK=64193027&amp;piPK=64187937&amp;menuPK=64154159&amp;searchMenuPK=64258546&amp;theSitePK=523679&amp;entityID=000020953_20110223095154"/>
    <hyperlink ref="E63" r:id="rId62" display="http://www-wds.worldbank.org/external/default/main?menuPK=64187510&amp;pagePK=64193027&amp;piPK=64187937&amp;menuPK=64154159&amp;searchMenuPK=64258546&amp;theSitePK=523679&amp;entityID=000020953_20110223101407"/>
    <hyperlink ref="E64" r:id="rId63" display="http://www-wds.worldbank.org/external/default/main?menuPK=64187510&amp;pagePK=64193027&amp;piPK=64187937&amp;menuPK=64154159&amp;searchMenuPK=64258546&amp;theSitePK=523679&amp;entityID=000020953_20110223102224"/>
    <hyperlink ref="E65" r:id="rId64" display="http://www-wds.worldbank.org/external/default/main?menuPK=64187510&amp;pagePK=64193027&amp;piPK=64187937&amp;menuPK=64154159&amp;searchMenuPK=64258546&amp;theSitePK=523679&amp;entityID=000356161_20101213034035"/>
    <hyperlink ref="E66" r:id="rId65" display="http://www-wds.worldbank.org/external/default/main?menuPK=64187510&amp;pagePK=64193027&amp;piPK=64187937&amp;menuPK=64154159&amp;searchMenuPK=64258546&amp;theSitePK=523679&amp;entityID=000020953_20110120105545"/>
    <hyperlink ref="E67" r:id="rId66" display="http://www-wds.worldbank.org/external/default/main?menuPK=64187510&amp;pagePK=64193027&amp;piPK=64187937&amp;menuPK=64154159&amp;searchMenuPK=64258546&amp;theSitePK=523679&amp;entityID=000020953_20090204160239"/>
    <hyperlink ref="E68" r:id="rId67" display="http://www-wds.worldbank.org/external/default/main?menuPK=64187510&amp;pagePK=64193027&amp;piPK=64187937&amp;menuPK=64154159&amp;searchMenuPK=64258546&amp;theSitePK=523679&amp;entityID=000020953_20090204161959"/>
    <hyperlink ref="E69" r:id="rId68" display="http://www-wds.worldbank.org/external/default/main?menuPK=64187510&amp;pagePK=64193027&amp;piPK=64187937&amp;menuPK=64154159&amp;searchMenuPK=64258546&amp;theSitePK=523679&amp;entityID=000333038_20080131065838"/>
    <hyperlink ref="E70" r:id="rId69" display="http://www-wds.worldbank.org/external/default/main?menuPK=64187510&amp;pagePK=64193027&amp;piPK=64187937&amp;menuPK=64154159&amp;searchMenuPK=64258546&amp;theSitePK=523679&amp;entityID=000333038_20080131064800"/>
    <hyperlink ref="E71" r:id="rId70" display="http://www-wds.worldbank.org/external/default/main?menuPK=64187510&amp;pagePK=64193027&amp;piPK=64187937&amp;menuPK=64154159&amp;searchMenuPK=64258546&amp;theSitePK=523679&amp;entityID=000160016_20080922162924"/>
    <hyperlink ref="E72" r:id="rId71" display="http://www-wds.worldbank.org/external/default/main?menuPK=64187510&amp;pagePK=64193027&amp;piPK=64187937&amp;menuPK=64154159&amp;searchMenuPK=64258546&amp;theSitePK=523679&amp;entityID=000160016_20080528174543"/>
    <hyperlink ref="E73" r:id="rId72" display="http://www-wds.worldbank.org/external/default/main?menuPK=64187510&amp;pagePK=64193027&amp;piPK=64187937&amp;menuPK=64154159&amp;searchMenuPK=64258546&amp;theSitePK=523679&amp;entityID=000160016_20080529120549"/>
    <hyperlink ref="E74" r:id="rId73" display="http://www-wds.worldbank.org/external/default/main?menuPK=64187510&amp;pagePK=64193027&amp;piPK=64187937&amp;menuPK=64154159&amp;searchMenuPK=64258546&amp;theSitePK=523679&amp;entityID=000011823_20070725160239"/>
    <hyperlink ref="E75" r:id="rId74" display="http://www-wds.worldbank.org/external/default/main?menuPK=64187510&amp;pagePK=64193027&amp;piPK=64187937&amp;menuPK=64154159&amp;searchMenuPK=64258546&amp;theSitePK=523679&amp;entityID=000020953_20070608144102"/>
    <hyperlink ref="E76" r:id="rId75" display="http://www-wds.worldbank.org/external/default/main?menuPK=64187510&amp;pagePK=64193027&amp;piPK=64187937&amp;menuPK=64154159&amp;searchMenuPK=64258546&amp;theSitePK=523679&amp;entityID=000020953_20070112155612"/>
    <hyperlink ref="E77" r:id="rId76" display="http://www-wds.worldbank.org/external/default/main?menuPK=64187510&amp;pagePK=64193027&amp;piPK=64187937&amp;menuPK=64154159&amp;searchMenuPK=64258546&amp;theSitePK=523679&amp;entityID=000160016_20060224122332"/>
    <hyperlink ref="E78" r:id="rId77" display="http://www-wds.worldbank.org/external/default/main?menuPK=64187510&amp;pagePK=64193027&amp;piPK=64187937&amp;menuPK=64154159&amp;searchMenuPK=64258546&amp;theSitePK=523679&amp;entityID=000333037_20090210223820"/>
    <hyperlink ref="E79" r:id="rId78" display="http://www-wds.worldbank.org/external/default/main?menuPK=64187510&amp;pagePK=64193027&amp;piPK=64187937&amp;menuPK=64154159&amp;searchMenuPK=64258546&amp;theSitePK=523679&amp;entityID=000094946_03052004071310"/>
    <hyperlink ref="E80" r:id="rId79" display="http://www-wds.worldbank.org/external/default/main?menuPK=64187510&amp;pagePK=64193027&amp;piPK=64187937&amp;menuPK=64154159&amp;searchMenuPK=64258546&amp;theSitePK=523679&amp;entityID=000094946_02050404112144"/>
    <hyperlink ref="E81" r:id="rId80" display="http://www-wds.worldbank.org/external/default/main?menuPK=64187510&amp;pagePK=64193027&amp;piPK=64187937&amp;menuPK=64154159&amp;searchMenuPK=64258546&amp;theSitePK=523679&amp;entityID=000334955_20090918025408"/>
    <hyperlink ref="E82" r:id="rId81" display="http://www-wds.worldbank.org/external/default/main?menuPK=64187510&amp;pagePK=64193027&amp;piPK=64187937&amp;menuPK=64154159&amp;searchMenuPK=64258546&amp;theSitePK=523679&amp;entityID=000333038_20090607233652"/>
    <hyperlink ref="E83" r:id="rId82" display="http://www-wds.worldbank.org/external/default/main?menuPK=64187510&amp;pagePK=64193027&amp;piPK=64187937&amp;menuPK=64154159&amp;searchMenuPK=64258546&amp;theSitePK=523679&amp;entityID=000334955_20090403060859"/>
    <hyperlink ref="E84" r:id="rId83" display="http://www-wds.worldbank.org/external/default/main?menuPK=64187510&amp;pagePK=64193027&amp;piPK=64187937&amp;menuPK=64154159&amp;searchMenuPK=64258546&amp;theSitePK=523679&amp;entityID=000333038_20101028005021"/>
    <hyperlink ref="E85" r:id="rId84" display="http://www-wds.worldbank.org/external/default/main?menuPK=64187510&amp;pagePK=64193027&amp;piPK=64187937&amp;menuPK=64154159&amp;searchMenuPK=64258546&amp;theSitePK=523679&amp;entityID=000020953_20100721161719"/>
    <hyperlink ref="E86" r:id="rId85" display="http://www-wds.worldbank.org/external/default/main?menuPK=64187510&amp;pagePK=64193027&amp;piPK=64187937&amp;menuPK=64154159&amp;searchMenuPK=64258546&amp;theSitePK=523679&amp;entityID=000020953_20100311140208"/>
    <hyperlink ref="E87" r:id="rId86" display="http://www-wds.worldbank.org/external/default/main?menuPK=64187510&amp;pagePK=64193027&amp;piPK=64187937&amp;menuPK=64154159&amp;searchMenuPK=64258546&amp;theSitePK=523679&amp;entityID=000020953_20100128135707"/>
    <hyperlink ref="E88" r:id="rId87" display="http://www-wds.worldbank.org/external/default/main?menuPK=64187510&amp;pagePK=64193027&amp;piPK=64187937&amp;menuPK=64154159&amp;searchMenuPK=64258546&amp;theSitePK=523679&amp;entityID=000020953_20100115131408"/>
    <hyperlink ref="E89" r:id="rId88" display="http://www-wds.worldbank.org/external/default/main?menuPK=64187510&amp;pagePK=64193027&amp;piPK=64187937&amp;menuPK=64154159&amp;searchMenuPK=64258546&amp;theSitePK=523679&amp;entityID=000334955_20091106012020"/>
    <hyperlink ref="E90" r:id="rId89" display="http://www-wds.worldbank.org/external/default/main?menuPK=64187510&amp;pagePK=64193027&amp;piPK=64187937&amp;menuPK=64154159&amp;searchMenuPK=64258546&amp;theSitePK=523679&amp;entityID=000020953_20100226142011"/>
    <hyperlink ref="E91" r:id="rId90" display="http://www-wds.worldbank.org/external/default/main?menuPK=64187510&amp;pagePK=64193027&amp;piPK=64187937&amp;menuPK=64154159&amp;searchMenuPK=64258546&amp;theSitePK=523679&amp;entityID=000334955_20090723030436"/>
    <hyperlink ref="E92" r:id="rId91" display="http://www-wds.worldbank.org/external/default/main?menuPK=64187510&amp;pagePK=64193027&amp;piPK=64187937&amp;menuPK=64154159&amp;searchMenuPK=64258546&amp;theSitePK=523679&amp;entityID=000020953_20090204142504"/>
    <hyperlink ref="E93" r:id="rId92" display="http://www-wds.worldbank.org/external/default/main?menuPK=64187510&amp;pagePK=64193027&amp;piPK=64187937&amp;menuPK=64154159&amp;searchMenuPK=64258546&amp;theSitePK=523679&amp;entityID=000333038_20090603020745"/>
    <hyperlink ref="E94" r:id="rId93" display="http://www-wds.worldbank.org/external/default/main?menuPK=64187510&amp;pagePK=64193027&amp;piPK=64187937&amp;menuPK=64154159&amp;searchMenuPK=64258546&amp;theSitePK=523679&amp;entityID=000334955_20081113042400"/>
    <hyperlink ref="E95" r:id="rId94" display="http://www-wds.worldbank.org/external/default/main?menuPK=64187510&amp;pagePK=64193027&amp;piPK=64187937&amp;menuPK=64154159&amp;searchMenuPK=64258546&amp;theSitePK=523679&amp;entityID=000020953_20081120103558"/>
    <hyperlink ref="E96" r:id="rId95" display="http://www-wds.worldbank.org/external/default/main?menuPK=64187510&amp;pagePK=64193027&amp;piPK=64187937&amp;menuPK=64154159&amp;searchMenuPK=64258546&amp;theSitePK=523679&amp;entityID=000020953_20080905095659"/>
    <hyperlink ref="E97" r:id="rId96" display="http://www-wds.worldbank.org/external/default/main?menuPK=64187510&amp;pagePK=64193027&amp;piPK=64187937&amp;menuPK=64154159&amp;searchMenuPK=64258546&amp;theSitePK=523679&amp;entityID=000020953_20080603114843"/>
    <hyperlink ref="E98" r:id="rId97" display="http://www-wds.worldbank.org/external/default/main?menuPK=64187510&amp;pagePK=64193027&amp;piPK=64187937&amp;menuPK=64154159&amp;searchMenuPK=64258546&amp;theSitePK=523679&amp;entityID=000334955_20080429070440"/>
    <hyperlink ref="E99" r:id="rId98" display="http://www-wds.worldbank.org/external/default/main?menuPK=64187510&amp;pagePK=64193027&amp;piPK=64187937&amp;menuPK=64154159&amp;searchMenuPK=64258546&amp;theSitePK=523679&amp;entityID=000011823_20080701140445"/>
    <hyperlink ref="E100" r:id="rId99" display="http://www-wds.worldbank.org/external/default/main?menuPK=64187510&amp;pagePK=64193027&amp;piPK=64187937&amp;menuPK=64154159&amp;searchMenuPK=64258546&amp;theSitePK=523679&amp;entityID=000011823_20080502171027"/>
    <hyperlink ref="E101" r:id="rId100" display="http://www-wds.worldbank.org/external/default/main?menuPK=64187510&amp;pagePK=64193027&amp;piPK=64187937&amp;menuPK=64154159&amp;searchMenuPK=64258546&amp;theSitePK=523679&amp;entityID=000020953_20080324112213"/>
    <hyperlink ref="E102" r:id="rId101" display="http://www-wds.worldbank.org/external/default/main?menuPK=64187510&amp;pagePK=64193027&amp;piPK=64187937&amp;menuPK=64154159&amp;searchMenuPK=64258546&amp;theSitePK=523679&amp;entityID=000020953_20080225110746"/>
    <hyperlink ref="E103" r:id="rId102" display="http://www-wds.worldbank.org/external/default/main?menuPK=64187510&amp;pagePK=64193027&amp;piPK=64187937&amp;menuPK=64154159&amp;searchMenuPK=64258546&amp;theSitePK=523679&amp;entityID=000011823_20070928112248"/>
    <hyperlink ref="E104" r:id="rId103" display="http://www-wds.worldbank.org/external/default/main?menuPK=64187510&amp;pagePK=64193027&amp;piPK=64187937&amp;menuPK=64154159&amp;searchMenuPK=64258546&amp;theSitePK=523679&amp;entityID=000011823_20070720171407"/>
    <hyperlink ref="E105" r:id="rId104" display="http://www-wds.worldbank.org/external/default/main?menuPK=64187510&amp;pagePK=64193027&amp;piPK=64187937&amp;menuPK=64154159&amp;searchMenuPK=64258546&amp;theSitePK=523679&amp;entityID=000090341_20070409084722"/>
    <hyperlink ref="E106" r:id="rId105" display="http://www-wds.worldbank.org/external/default/main?menuPK=64187510&amp;pagePK=64193027&amp;piPK=64187937&amp;menuPK=64154159&amp;searchMenuPK=64258546&amp;theSitePK=523679&amp;entityID=000090341_20070208152138"/>
    <hyperlink ref="E107" r:id="rId106" display="http://www-wds.worldbank.org/external/default/main?menuPK=64187510&amp;pagePK=64193027&amp;piPK=64187937&amp;menuPK=64154159&amp;searchMenuPK=64258546&amp;theSitePK=523679&amp;entityID=000160016_20060914155220"/>
    <hyperlink ref="E108" r:id="rId107" display="http://www-wds.worldbank.org/external/default/main?menuPK=64187510&amp;pagePK=64193027&amp;piPK=64187937&amp;menuPK=64154159&amp;searchMenuPK=64258546&amp;theSitePK=523679&amp;entityID=000090341_20060222102449"/>
    <hyperlink ref="E109" r:id="rId108" display="http://www-wds.worldbank.org/external/default/main?menuPK=64187510&amp;pagePK=64193027&amp;piPK=64187937&amp;menuPK=64154159&amp;searchMenuPK=64258546&amp;theSitePK=523679&amp;entityID=000090341_20060308161522"/>
    <hyperlink ref="E110" r:id="rId109" display="http://www-wds.worldbank.org/external/default/main?menuPK=64187510&amp;pagePK=64193027&amp;piPK=64187937&amp;menuPK=64154159&amp;searchMenuPK=64258546&amp;theSitePK=523679&amp;entityID=000090341_20060308162244"/>
    <hyperlink ref="E111" r:id="rId110" display="http://www-wds.worldbank.org/external/default/main?menuPK=64187510&amp;pagePK=64193027&amp;piPK=64187937&amp;menuPK=64154159&amp;searchMenuPK=64258546&amp;theSitePK=523679&amp;entityID=000011823_20060109132946"/>
    <hyperlink ref="E112" r:id="rId111" display="http://www-wds.worldbank.org/external/default/main?menuPK=64187510&amp;pagePK=64193027&amp;piPK=64187937&amp;menuPK=64154159&amp;searchMenuPK=64258546&amp;theSitePK=523679&amp;entityID=000011823_20050615160951"/>
    <hyperlink ref="E113" r:id="rId112" display="http://www-wds.worldbank.org/external/default/main?menuPK=64187510&amp;pagePK=64193027&amp;piPK=64187937&amp;menuPK=64154159&amp;searchMenuPK=64258546&amp;theSitePK=523679&amp;entityID=000011823_20050516125905"/>
    <hyperlink ref="E114" r:id="rId113" display="http://www-wds.worldbank.org/external/default/main?menuPK=64187510&amp;pagePK=64193027&amp;piPK=64187937&amp;menuPK=64154159&amp;searchMenuPK=64258546&amp;theSitePK=523679&amp;entityID=000090341_20060308161822"/>
    <hyperlink ref="E115" r:id="rId114" display="http://www-wds.worldbank.org/external/default/main?menuPK=64187510&amp;pagePK=64193027&amp;piPK=64187937&amp;menuPK=64154159&amp;searchMenuPK=64258546&amp;theSitePK=523679&amp;entityID=000090341_20050303102938"/>
    <hyperlink ref="E116" r:id="rId115" display="http://www-wds.worldbank.org/external/default/main?menuPK=64187510&amp;pagePK=64193027&amp;piPK=64187937&amp;menuPK=64154159&amp;searchMenuPK=64258546&amp;theSitePK=523679&amp;entityID=000012009_20040514153218"/>
    <hyperlink ref="E117" r:id="rId116" display="http://www-wds.worldbank.org/external/default/main?menuPK=64187510&amp;pagePK=64193027&amp;piPK=64187937&amp;menuPK=64154159&amp;searchMenuPK=64258546&amp;theSitePK=523679&amp;entityID=000012009_20040211152537"/>
    <hyperlink ref="E118" r:id="rId117" display="http://www-wds.worldbank.org/external/default/main?menuPK=64187510&amp;pagePK=64193027&amp;piPK=64187937&amp;menuPK=64154159&amp;searchMenuPK=64258546&amp;theSitePK=523679&amp;entityID=000094946_03052004071311"/>
    <hyperlink ref="E119" r:id="rId118" display="http://www-wds.worldbank.org/external/default/main?menuPK=64187510&amp;pagePK=64193027&amp;piPK=64187937&amp;menuPK=64154159&amp;searchMenuPK=64258546&amp;theSitePK=523679&amp;entityID=000090341_20060308162537"/>
    <hyperlink ref="E120" r:id="rId119" display="http://www-wds.worldbank.org/external/default/main?menuPK=64187510&amp;pagePK=64193027&amp;piPK=64187937&amp;menuPK=64154159&amp;searchMenuPK=64258546&amp;theSitePK=523679&amp;entityID=000094946_03051404055724"/>
    <hyperlink ref="E121" r:id="rId120" display="http://www-wds.worldbank.org/external/default/main?menuPK=64187510&amp;pagePK=64193027&amp;piPK=64187937&amp;menuPK=64154159&amp;searchMenuPK=64258546&amp;theSitePK=523679&amp;entityID=000094946_03020604040383"/>
    <hyperlink ref="E122" r:id="rId121" display="http://www-wds.worldbank.org/external/default/main?menuPK=64187510&amp;pagePK=64193027&amp;piPK=64187937&amp;menuPK=64154159&amp;searchMenuPK=64258546&amp;theSitePK=523679&amp;entityID=000094946_02112104074481"/>
    <hyperlink ref="E123" r:id="rId122" display="http://www-wds.worldbank.org/external/default/main?menuPK=64187510&amp;pagePK=64193027&amp;piPK=64187937&amp;menuPK=64154159&amp;searchMenuPK=64258546&amp;theSitePK=523679&amp;entityID=000020953_20080905112312"/>
    <hyperlink ref="E124" r:id="rId123" display="http://www-wds.worldbank.org/external/default/main?menuPK=64187510&amp;pagePK=64193027&amp;piPK=64187937&amp;menuPK=64154159&amp;searchMenuPK=64258546&amp;theSitePK=523679&amp;entityID=000094946_02070304122181"/>
    <hyperlink ref="E125" r:id="rId124" display="http://www-wds.worldbank.org/external/default/main?menuPK=64187510&amp;pagePK=64193027&amp;piPK=64187937&amp;menuPK=64154159&amp;searchMenuPK=64258546&amp;theSitePK=523679&amp;entityID=000094946_02050404111737"/>
    <hyperlink ref="E126" r:id="rId125" display="http://www-wds.worldbank.org/external/default/main?menuPK=64187510&amp;pagePK=64193027&amp;piPK=64187937&amp;menuPK=64154159&amp;searchMenuPK=64258546&amp;theSitePK=523679&amp;entityID=000020953_20100106145712"/>
    <hyperlink ref="E127" r:id="rId126" display="http://www-wds.worldbank.org/external/default/main?menuPK=64187510&amp;pagePK=64193027&amp;piPK=64187937&amp;menuPK=64154159&amp;searchMenuPK=64258546&amp;theSitePK=523679&amp;entityID=000020953_20090417141830"/>
    <hyperlink ref="E128" r:id="rId127" display="http://www-wds.worldbank.org/external/default/main?menuPK=64187510&amp;pagePK=64193027&amp;piPK=64187937&amp;menuPK=64154159&amp;searchMenuPK=64258546&amp;theSitePK=523679&amp;entityID=000020953_20080423141904"/>
    <hyperlink ref="E129" r:id="rId128" display="http://www-wds.worldbank.org/external/default/main?menuPK=64187510&amp;pagePK=64193027&amp;piPK=64187937&amp;menuPK=64154159&amp;searchMenuPK=64258546&amp;theSitePK=523679&amp;entityID=000011823_20061212173027"/>
    <hyperlink ref="E130" r:id="rId129" display="http://www-wds.worldbank.org/external/default/main?menuPK=64187510&amp;pagePK=64193027&amp;piPK=64187937&amp;menuPK=64154159&amp;searchMenuPK=64258546&amp;theSitePK=523679&amp;entityID=000333037_20091026021126"/>
    <hyperlink ref="E131" r:id="rId130" display="http://www-wds.worldbank.org/external/default/main?menuPK=64187510&amp;pagePK=64193027&amp;piPK=64187937&amp;menuPK=64154159&amp;searchMenuPK=64258546&amp;theSitePK=523679&amp;entityID=000020953_20080730155339"/>
    <hyperlink ref="E132" r:id="rId131" display="http://www-wds.worldbank.org/external/default/main?menuPK=64187510&amp;pagePK=64193027&amp;piPK=64187937&amp;menuPK=64154159&amp;searchMenuPK=64258546&amp;theSitePK=523679&amp;entityID=000333037_20091026020742"/>
    <hyperlink ref="E133" r:id="rId132" display="http://www-wds.worldbank.org/external/default/main?menuPK=64187510&amp;pagePK=64193027&amp;piPK=64187937&amp;menuPK=64154159&amp;searchMenuPK=64258546&amp;theSitePK=523679&amp;entityID=000333037_20080528034140"/>
    <hyperlink ref="E134" r:id="rId133" display="http://www-wds.worldbank.org/external/default/main?menuPK=64187510&amp;pagePK=64193027&amp;piPK=64187937&amp;menuPK=64154159&amp;searchMenuPK=64258546&amp;theSitePK=523679&amp;entityID=000333037_20080506014958"/>
    <hyperlink ref="E135" r:id="rId134" display="http://www-wds.worldbank.org/external/default/main?menuPK=64187510&amp;pagePK=64193027&amp;piPK=64187937&amp;menuPK=64154159&amp;searchMenuPK=64258546&amp;theSitePK=523679&amp;entityID=000333037_20080506021835"/>
    <hyperlink ref="E136" r:id="rId135" display="http://www-wds.worldbank.org/external/default/main?menuPK=64187510&amp;pagePK=64193027&amp;piPK=64187937&amp;menuPK=64154159&amp;searchMenuPK=64258546&amp;theSitePK=523679&amp;entityID=000020953_20080212153916"/>
    <hyperlink ref="E137" r:id="rId136" display="http://www-wds.worldbank.org/external/default/main?menuPK=64187510&amp;pagePK=64193027&amp;piPK=64187937&amp;menuPK=64154159&amp;searchMenuPK=64258546&amp;theSitePK=523679&amp;entityID=000020953_20080212152400"/>
    <hyperlink ref="E138" r:id="rId137" display="http://www-wds.worldbank.org/external/default/main?menuPK=64187510&amp;pagePK=64193027&amp;piPK=64187937&amp;menuPK=64154159&amp;searchMenuPK=64258546&amp;theSitePK=523679&amp;entityID=000012009_20040330125654"/>
    <hyperlink ref="E139" r:id="rId138" display="http://www-wds.worldbank.org/external/default/main?menuPK=64187510&amp;pagePK=64193027&amp;piPK=64187937&amp;menuPK=64154159&amp;searchMenuPK=64258546&amp;theSitePK=523679&amp;entityID=000094946_03041604045531"/>
    <hyperlink ref="E140" r:id="rId139" display="http://www-wds.worldbank.org/external/default/main?menuPK=64187510&amp;pagePK=64193027&amp;piPK=64187937&amp;menuPK=64154159&amp;searchMenuPK=64258546&amp;theSitePK=523679&amp;entityID=000094946_03041604045529"/>
    <hyperlink ref="E141" r:id="rId140" display="http://www-wds.worldbank.org/external/default/main?menuPK=64187510&amp;pagePK=64193027&amp;piPK=64187937&amp;menuPK=64154159&amp;searchMenuPK=64258546&amp;theSitePK=523679&amp;entityID=000094946_03031904081256"/>
    <hyperlink ref="E142" r:id="rId141" display="http://www-wds.worldbank.org/external/default/main?menuPK=64187510&amp;pagePK=64193027&amp;piPK=64187937&amp;menuPK=64154159&amp;searchMenuPK=64258546&amp;theSitePK=523679&amp;entityID=000094946_03020504014850"/>
    <hyperlink ref="E143" r:id="rId142" display="http://www-wds.worldbank.org/external/default/main?menuPK=64187510&amp;pagePK=64193027&amp;piPK=64187937&amp;menuPK=64154159&amp;searchMenuPK=64258546&amp;theSitePK=523679&amp;entityID=000333037_20100422000634"/>
    <hyperlink ref="E144" r:id="rId143" display="http://www-wds.worldbank.org/external/default/main?menuPK=64187510&amp;pagePK=64193027&amp;piPK=64187937&amp;menuPK=64154159&amp;searchMenuPK=64258546&amp;theSitePK=523679&amp;entityID=000020953_20100121161127"/>
    <hyperlink ref="E145" r:id="rId144" display="http://www-wds.worldbank.org/external/default/main?menuPK=64187510&amp;pagePK=64193027&amp;piPK=64187937&amp;menuPK=64154159&amp;searchMenuPK=64258546&amp;theSitePK=523679&amp;entityID=000020953_20090410142250"/>
    <hyperlink ref="E146" r:id="rId145" display="http://www-wds.worldbank.org/external/default/main?menuPK=64187510&amp;pagePK=64193027&amp;piPK=64187937&amp;menuPK=64154159&amp;searchMenuPK=64258546&amp;theSitePK=523679&amp;entityID=000020953_20090313081416"/>
    <hyperlink ref="E147" r:id="rId146" display="http://www-wds.worldbank.org/external/default/main?menuPK=64187510&amp;pagePK=64193027&amp;piPK=64187937&amp;menuPK=64154159&amp;searchMenuPK=64258546&amp;theSitePK=523679&amp;entityID=000334955_20080407070115"/>
    <hyperlink ref="E148" r:id="rId147" display="http://www-wds.worldbank.org/external/default/main?menuPK=64187510&amp;pagePK=64193027&amp;piPK=64187937&amp;menuPK=64154159&amp;searchMenuPK=64258546&amp;theSitePK=523679&amp;entityID=000333037_20080228041555"/>
    <hyperlink ref="E149" r:id="rId148" display="http://www-wds.worldbank.org/external/default/main?menuPK=64187510&amp;pagePK=64193027&amp;piPK=64187937&amp;menuPK=64154159&amp;searchMenuPK=64258546&amp;theSitePK=523679&amp;entityID=000011823_20050831121713"/>
    <hyperlink ref="E150" r:id="rId149" display="http://www-wds.worldbank.org/external/default/main?menuPK=64187510&amp;pagePK=64193027&amp;piPK=64187937&amp;menuPK=64154159&amp;searchMenuPK=64258546&amp;theSitePK=523679&amp;entityID=000012009_20040601150518"/>
    <hyperlink ref="E151" r:id="rId150" display="http://www-wds.worldbank.org/external/default/main?menuPK=64187510&amp;pagePK=64193027&amp;piPK=64187937&amp;menuPK=64154159&amp;searchMenuPK=64258546&amp;theSitePK=523679&amp;entityID=000094946_03070712233780"/>
    <hyperlink ref="E152" r:id="rId151" display="http://www-wds.worldbank.org/external/default/main?menuPK=64187510&amp;pagePK=64193027&amp;piPK=64187937&amp;menuPK=64154159&amp;searchMenuPK=64258546&amp;theSitePK=523679&amp;entityID=000094946_03070712233781"/>
    <hyperlink ref="E153" r:id="rId152" display="http://www-wds.worldbank.org/external/default/main?menuPK=64187510&amp;pagePK=64193027&amp;piPK=64187937&amp;menuPK=64154159&amp;searchMenuPK=64258546&amp;theSitePK=523679&amp;entityID=000011823_20050831123850"/>
    <hyperlink ref="E154" r:id="rId153" display="http://www-wds.worldbank.org/external/default/main?menuPK=64187510&amp;pagePK=64193027&amp;piPK=64187937&amp;menuPK=64154159&amp;searchMenuPK=64258546&amp;theSitePK=523679&amp;entityID=000020953_20100812112417"/>
    <hyperlink ref="E155" r:id="rId154" display="http://www-wds.worldbank.org/external/default/main?menuPK=64187510&amp;pagePK=64193027&amp;piPK=64187937&amp;menuPK=64154159&amp;searchMenuPK=64258546&amp;theSitePK=523679&amp;entityID=000020953_20100325140942"/>
    <hyperlink ref="E156" r:id="rId155" display="http://www-wds.worldbank.org/external/default/main?menuPK=64187510&amp;pagePK=64193027&amp;piPK=64187937&amp;menuPK=64154159&amp;searchMenuPK=64258546&amp;theSitePK=523679&amp;entityID=000020953_20090327155222"/>
    <hyperlink ref="E157" r:id="rId156" display="http://www-wds.worldbank.org/external/default/main?menuPK=64187510&amp;pagePK=64193027&amp;piPK=64187937&amp;menuPK=64154159&amp;searchMenuPK=64258546&amp;theSitePK=523679&amp;entityID=000160016_20060530174423"/>
    <hyperlink ref="E158" r:id="rId157" display="http://www-wds.worldbank.org/external/default/main?menuPK=64187510&amp;pagePK=64193027&amp;piPK=64187937&amp;menuPK=64154159&amp;searchMenuPK=64258546&amp;theSitePK=523679&amp;entityID=000160016_20060530175058"/>
    <hyperlink ref="E159" r:id="rId158" display="http://www-wds.worldbank.org/external/default/main?menuPK=64187510&amp;pagePK=64193027&amp;piPK=64187937&amp;menuPK=64154159&amp;searchMenuPK=64258546&amp;theSitePK=523679&amp;entityID=000160016_20060927153442"/>
    <hyperlink ref="E160" r:id="rId159" display="http://www-wds.worldbank.org/external/default/main?menuPK=64187510&amp;pagePK=64193027&amp;piPK=64187937&amp;menuPK=64154159&amp;searchMenuPK=64258546&amp;theSitePK=523679&amp;entityID=000012009_20050225132439"/>
    <hyperlink ref="E161" r:id="rId160" display="http://www-wds.worldbank.org/external/default/main?menuPK=64187510&amp;pagePK=64193027&amp;piPK=64187937&amp;menuPK=64154159&amp;searchMenuPK=64258546&amp;theSitePK=523679&amp;entityID=000020953_20090813093659"/>
    <hyperlink ref="E162" r:id="rId161" display="http://www-wds.worldbank.org/external/default/main?menuPK=64187510&amp;pagePK=64193027&amp;piPK=64187937&amp;menuPK=64154159&amp;searchMenuPK=64258546&amp;theSitePK=523679&amp;entityID=000090341_20050223093007"/>
    <hyperlink ref="E163" r:id="rId162" display="http://www-wds.worldbank.org/external/default/main?menuPK=64187510&amp;pagePK=64193027&amp;piPK=64187937&amp;menuPK=64154159&amp;searchMenuPK=64258546&amp;theSitePK=523679&amp;entityID=000090341_20050210113026"/>
    <hyperlink ref="E164" r:id="rId163" display="http://www-wds.worldbank.org/external/default/main?menuPK=64187510&amp;pagePK=64193027&amp;piPK=64187937&amp;menuPK=64154159&amp;searchMenuPK=64258546&amp;theSitePK=523679&amp;entityID=000012009_20031106113056"/>
    <hyperlink ref="E165" r:id="rId164" display="http://www-wds.worldbank.org/external/default/main?menuPK=64187510&amp;pagePK=64193027&amp;piPK=64187937&amp;menuPK=64154159&amp;searchMenuPK=64258546&amp;theSitePK=523679&amp;entityID=000333038_20110216215720"/>
    <hyperlink ref="E166" r:id="rId165" display="http://www-wds.worldbank.org/external/default/main?menuPK=64187510&amp;pagePK=64193027&amp;piPK=64187937&amp;menuPK=64154159&amp;searchMenuPK=64258546&amp;theSitePK=523679&amp;entityID=000333037_20100715011238"/>
    <hyperlink ref="E167" r:id="rId166" display="http://www-wds.worldbank.org/external/default/main?menuPK=64187510&amp;pagePK=64193027&amp;piPK=64187937&amp;menuPK=64154159&amp;searchMenuPK=64258546&amp;theSitePK=523679&amp;entityID=000334955_20100621043936"/>
    <hyperlink ref="E168" r:id="rId167" display="http://www-wds.worldbank.org/external/default/main?menuPK=64187510&amp;pagePK=64193027&amp;piPK=64187937&amp;menuPK=64154159&amp;searchMenuPK=64258546&amp;theSitePK=523679&amp;entityID=000334955_20100401025822"/>
    <hyperlink ref="E169" r:id="rId168" display="http://www-wds.worldbank.org/external/default/main?menuPK=64187510&amp;pagePK=64193027&amp;piPK=64187937&amp;menuPK=64154159&amp;searchMenuPK=64258546&amp;theSitePK=523679&amp;entityID=000334955_20100401030052"/>
    <hyperlink ref="E170" r:id="rId169" display="http://www-wds.worldbank.org/external/default/main?menuPK=64187510&amp;pagePK=64193027&amp;piPK=64187937&amp;menuPK=64154159&amp;searchMenuPK=64258546&amp;theSitePK=523679&amp;entityID=000334955_20091120052738"/>
    <hyperlink ref="E171" r:id="rId170" display="http://www-wds.worldbank.org/external/default/main?menuPK=64187510&amp;pagePK=64193027&amp;piPK=64187937&amp;menuPK=64154159&amp;searchMenuPK=64258546&amp;theSitePK=523679&amp;entityID=000020953_20091009131024"/>
    <hyperlink ref="E172" r:id="rId171" display="http://www-wds.worldbank.org/external/default/main?menuPK=64187510&amp;pagePK=64193027&amp;piPK=64187937&amp;menuPK=64154159&amp;searchMenuPK=64258546&amp;theSitePK=523679&amp;entityID=000333038_20090729052855"/>
    <hyperlink ref="E173" r:id="rId172" display="http://www-wds.worldbank.org/external/default/main?menuPK=64187510&amp;pagePK=64193027&amp;piPK=64187937&amp;menuPK=64154159&amp;searchMenuPK=64258546&amp;theSitePK=523679&amp;entityID=000333037_20090729021825"/>
    <hyperlink ref="E174" r:id="rId173" display="http://www-wds.worldbank.org/external/default/main?menuPK=64187510&amp;pagePK=64193027&amp;piPK=64187937&amp;menuPK=64154159&amp;searchMenuPK=64258546&amp;theSitePK=523679&amp;entityID=000333037_20090729015808"/>
    <hyperlink ref="E175" r:id="rId174" display="http://www-wds.worldbank.org/external/default/main?menuPK=64187510&amp;pagePK=64193027&amp;piPK=64187937&amp;menuPK=64154159&amp;searchMenuPK=64258546&amp;theSitePK=523679&amp;entityID=000333037_20090729021247"/>
    <hyperlink ref="E176" r:id="rId175" display="http://www-wds.worldbank.org/external/default/main?menuPK=64187510&amp;pagePK=64193027&amp;piPK=64187937&amp;menuPK=64154159&amp;searchMenuPK=64258546&amp;theSitePK=523679&amp;entityID=000334955_20090805044034"/>
    <hyperlink ref="E177" r:id="rId176" display="http://www-wds.worldbank.org/external/default/main?menuPK=64187510&amp;pagePK=64193027&amp;piPK=64187937&amp;menuPK=64154159&amp;searchMenuPK=64258546&amp;theSitePK=523679&amp;entityID=000334955_20090710044448"/>
    <hyperlink ref="E178" r:id="rId177" display="http://www-wds.worldbank.org/external/default/main?menuPK=64187510&amp;pagePK=64193027&amp;piPK=64187937&amp;menuPK=64154159&amp;searchMenuPK=64258546&amp;theSitePK=523679&amp;entityID=000334955_20090710044808"/>
    <hyperlink ref="E179" r:id="rId178" display="http://www-wds.worldbank.org/external/default/main?menuPK=64187510&amp;pagePK=64193027&amp;piPK=64187937&amp;menuPK=64154159&amp;searchMenuPK=64258546&amp;theSitePK=523679&amp;entityID=000334955_20090410080151"/>
    <hyperlink ref="E180" r:id="rId179" display="http://www-wds.worldbank.org/external/default/main?menuPK=64187510&amp;pagePK=64193027&amp;piPK=64187937&amp;menuPK=64154159&amp;searchMenuPK=64258546&amp;theSitePK=523679&amp;entityID=000334955_20090424011143"/>
    <hyperlink ref="E181" r:id="rId180" display="http://www-wds.worldbank.org/external/default/main?menuPK=64187510&amp;pagePK=64193027&amp;piPK=64187937&amp;menuPK=64154159&amp;searchMenuPK=64258546&amp;theSitePK=523679&amp;entityID=000020439_20100125112515"/>
    <hyperlink ref="E182" r:id="rId181" display="http://www-wds.worldbank.org/external/default/main?menuPK=64187510&amp;pagePK=64193027&amp;piPK=64187937&amp;menuPK=64154159&amp;searchMenuPK=64258546&amp;theSitePK=523679&amp;entityID=000334955_20081218043512"/>
    <hyperlink ref="E183" r:id="rId182" display="http://www-wds.worldbank.org/external/default/main?menuPK=64187510&amp;pagePK=64193027&amp;piPK=64187937&amp;menuPK=64154159&amp;searchMenuPK=64258546&amp;theSitePK=523679&amp;entityID=000020439_20080110162550"/>
    <hyperlink ref="E184" r:id="rId183" display="http://www-wds.worldbank.org/external/default/main?menuPK=64187510&amp;pagePK=64193027&amp;piPK=64187937&amp;menuPK=64154159&amp;searchMenuPK=64258546&amp;theSitePK=523679&amp;entityID=000334955_20090302011615"/>
    <hyperlink ref="E185" r:id="rId184" display="http://www-wds.worldbank.org/external/default/main?menuPK=64187510&amp;pagePK=64193027&amp;piPK=64187937&amp;menuPK=64154159&amp;searchMenuPK=64258546&amp;theSitePK=523679&amp;entityID=000334955_20080925045403"/>
    <hyperlink ref="E186" r:id="rId185" display="http://www-wds.worldbank.org/external/default/main?menuPK=64187510&amp;pagePK=64193027&amp;piPK=64187937&amp;menuPK=64154159&amp;searchMenuPK=64258546&amp;theSitePK=523679&amp;entityID=000333038_20080929004715"/>
    <hyperlink ref="E187" r:id="rId186" display="http://www-wds.worldbank.org/external/default/main?menuPK=64187510&amp;pagePK=64193027&amp;piPK=64187937&amp;menuPK=64154159&amp;searchMenuPK=64258546&amp;theSitePK=523679&amp;entityID=000334955_20100114021722"/>
    <hyperlink ref="E188" r:id="rId187" display="http://www-wds.worldbank.org/external/default/main?menuPK=64187510&amp;pagePK=64193027&amp;piPK=64187937&amp;menuPK=64154159&amp;searchMenuPK=64258546&amp;theSitePK=523679&amp;entityID=000334955_20100114022113"/>
    <hyperlink ref="E189" r:id="rId188" display="http://www-wds.worldbank.org/external/default/main?menuPK=64187510&amp;pagePK=64193027&amp;piPK=64187937&amp;menuPK=64154159&amp;searchMenuPK=64258546&amp;theSitePK=523679&amp;entityID=000334955_20081031033158"/>
    <hyperlink ref="E190" r:id="rId189" display="http://www-wds.worldbank.org/external/default/main?menuPK=64187510&amp;pagePK=64193027&amp;piPK=64187937&amp;menuPK=64154159&amp;searchMenuPK=64258546&amp;theSitePK=523679&amp;entityID=000334955_20090302011310"/>
    <hyperlink ref="E191" r:id="rId190" display="http://www-wds.worldbank.org/external/default/main?menuPK=64187510&amp;pagePK=64193027&amp;piPK=64187937&amp;menuPK=64154159&amp;searchMenuPK=64258546&amp;theSitePK=523679&amp;entityID=000334955_20081031034022"/>
    <hyperlink ref="E192" r:id="rId191" display="http://www-wds.worldbank.org/external/default/main?menuPK=64187510&amp;pagePK=64193027&amp;piPK=64187937&amp;menuPK=64154159&amp;searchMenuPK=64258546&amp;theSitePK=523679&amp;entityID=000334955_20080808074215"/>
    <hyperlink ref="E193" r:id="rId192" display="http://www-wds.worldbank.org/external/default/main?menuPK=64187510&amp;pagePK=64193027&amp;piPK=64187937&amp;menuPK=64154159&amp;searchMenuPK=64258546&amp;theSitePK=523679&amp;entityID=000334955_20080424060754"/>
    <hyperlink ref="E194" r:id="rId193" display="http://www-wds.worldbank.org/external/default/main?menuPK=64187510&amp;pagePK=64193027&amp;piPK=64187937&amp;menuPK=64154159&amp;searchMenuPK=64258546&amp;theSitePK=523679&amp;entityID=000333037_20080617025512"/>
    <hyperlink ref="E195" r:id="rId194" display="http://www-wds.worldbank.org/external/default/main?menuPK=64187510&amp;pagePK=64193027&amp;piPK=64187937&amp;menuPK=64154159&amp;searchMenuPK=64258546&amp;theSitePK=523679&amp;entityID=000334955_20081218042614"/>
    <hyperlink ref="E196" r:id="rId195" display="http://www-wds.worldbank.org/external/default/main?menuPK=64187510&amp;pagePK=64193027&amp;piPK=64187937&amp;menuPK=64154159&amp;searchMenuPK=64258546&amp;theSitePK=523679&amp;entityID=000020439_20080110161618"/>
    <hyperlink ref="E197" r:id="rId196" display="http://www-wds.worldbank.org/external/default/main?menuPK=64187510&amp;pagePK=64193027&amp;piPK=64187937&amp;menuPK=64154159&amp;searchMenuPK=64258546&amp;theSitePK=523679&amp;entityID=000011823_20080117152124"/>
    <hyperlink ref="E198" r:id="rId197" display="http://www-wds.worldbank.org/external/default/main?menuPK=64187510&amp;pagePK=64193027&amp;piPK=64187937&amp;menuPK=64154159&amp;searchMenuPK=64258546&amp;theSitePK=523679&amp;entityID=000020439_20070912142606"/>
    <hyperlink ref="E199" r:id="rId198" display="http://www-wds.worldbank.org/external/default/main?menuPK=64187510&amp;pagePK=64193027&amp;piPK=64187937&amp;menuPK=64154159&amp;searchMenuPK=64258546&amp;theSitePK=523679&amp;entityID=000020953_20071107105300"/>
    <hyperlink ref="E200" r:id="rId199" display="http://www-wds.worldbank.org/external/default/main?menuPK=64187510&amp;pagePK=64193027&amp;piPK=64187937&amp;menuPK=64154159&amp;searchMenuPK=64258546&amp;theSitePK=523679&amp;entityID=000020439_20070926102729"/>
    <hyperlink ref="E201" r:id="rId200" display="http://www-wds.worldbank.org/external/default/main?menuPK=64187510&amp;pagePK=64193027&amp;piPK=64187937&amp;menuPK=64154159&amp;searchMenuPK=64258546&amp;theSitePK=523679&amp;entityID=000333037_20080618005435"/>
    <hyperlink ref="E202" r:id="rId201" display="http://www-wds.worldbank.org/external/default/main?menuPK=64187510&amp;pagePK=64193027&amp;piPK=64187937&amp;menuPK=64154159&amp;searchMenuPK=64258546&amp;theSitePK=523679&amp;entityID=000160016_20080425122639"/>
    <hyperlink ref="E203" r:id="rId202" display="http://www-wds.worldbank.org/external/default/main?menuPK=64187510&amp;pagePK=64193027&amp;piPK=64187937&amp;menuPK=64154159&amp;searchMenuPK=64258546&amp;theSitePK=523679&amp;entityID=000160016_20080425113648"/>
    <hyperlink ref="E204" r:id="rId203" display="http://www-wds.worldbank.org/external/default/main?menuPK=64187510&amp;pagePK=64193027&amp;piPK=64187937&amp;menuPK=64154159&amp;searchMenuPK=64258546&amp;theSitePK=523679&amp;entityID=000090341_20070426132201"/>
    <hyperlink ref="E205" r:id="rId204" display="http://www-wds.worldbank.org/external/default/main?menuPK=64187510&amp;pagePK=64193027&amp;piPK=64187937&amp;menuPK=64154159&amp;searchMenuPK=64258546&amp;theSitePK=523679&amp;entityID=000334955_20081007040135"/>
    <hyperlink ref="E206" r:id="rId205" display="http://www-wds.worldbank.org/external/default/main?menuPK=64187510&amp;pagePK=64193027&amp;piPK=64187937&amp;menuPK=64154159&amp;searchMenuPK=64258546&amp;theSitePK=523679&amp;entityID=000334955_20081007041526"/>
    <hyperlink ref="E207" r:id="rId206" display="http://www-wds.worldbank.org/external/default/main?menuPK=64187510&amp;pagePK=64193027&amp;piPK=64187937&amp;menuPK=64154159&amp;searchMenuPK=64258546&amp;theSitePK=523679&amp;entityID=000160016_20060327173144"/>
    <hyperlink ref="E208" r:id="rId207" display="http://www-wds.worldbank.org/external/default/main?menuPK=64187510&amp;pagePK=64193027&amp;piPK=64187937&amp;menuPK=64154159&amp;searchMenuPK=64258546&amp;theSitePK=523679&amp;entityID=000012009_20060421124347"/>
    <hyperlink ref="E209" r:id="rId208" display="http://www-wds.worldbank.org/external/default/main?menuPK=64187510&amp;pagePK=64193027&amp;piPK=64187937&amp;menuPK=64154159&amp;searchMenuPK=64258546&amp;theSitePK=523679&amp;entityID=000012009_20051025140240"/>
    <hyperlink ref="E210" r:id="rId209" display="http://www-wds.worldbank.org/external/default/main?menuPK=64187510&amp;pagePK=64193027&amp;piPK=64187937&amp;menuPK=64154159&amp;searchMenuPK=64258546&amp;theSitePK=523679&amp;entityID=000090341_20050413083243"/>
    <hyperlink ref="E211" r:id="rId210" display="http://www-wds.worldbank.org/external/default/main?menuPK=64187510&amp;pagePK=64193027&amp;piPK=64187937&amp;menuPK=64154159&amp;searchMenuPK=64258546&amp;theSitePK=523679&amp;entityID=000090341_20050309103611"/>
    <hyperlink ref="E212" r:id="rId211" display="http://www-wds.worldbank.org/external/default/main?menuPK=64187510&amp;pagePK=64193027&amp;piPK=64187937&amp;menuPK=64154159&amp;searchMenuPK=64258546&amp;theSitePK=523679&amp;entityID=000090341_20050309150451"/>
    <hyperlink ref="E213" r:id="rId212" display="http://www-wds.worldbank.org/external/default/main?menuPK=64187510&amp;pagePK=64193027&amp;piPK=64187937&amp;menuPK=64154159&amp;searchMenuPK=64258546&amp;theSitePK=523679&amp;entityID=000090341_20050309151507"/>
    <hyperlink ref="E214" r:id="rId213" display="http://www-wds.worldbank.org/external/default/main?menuPK=64187510&amp;pagePK=64193027&amp;piPK=64187937&amp;menuPK=64154159&amp;searchMenuPK=64258546&amp;theSitePK=523679&amp;entityID=000090341_20050309152009"/>
    <hyperlink ref="E215" r:id="rId214" display="http://www-wds.worldbank.org/external/default/main?menuPK=64187510&amp;pagePK=64193027&amp;piPK=64187937&amp;menuPK=64154159&amp;searchMenuPK=64258546&amp;theSitePK=523679&amp;entityID=000090341_20050309152452"/>
    <hyperlink ref="E216" r:id="rId215" display="http://www-wds.worldbank.org/external/default/main?menuPK=64187510&amp;pagePK=64193027&amp;piPK=64187937&amp;menuPK=64154159&amp;searchMenuPK=64258546&amp;theSitePK=523679&amp;entityID=000090341_20050309152939"/>
    <hyperlink ref="E217" r:id="rId216" display="http://www-wds.worldbank.org/external/default/main?menuPK=64187510&amp;pagePK=64193027&amp;piPK=64187937&amp;menuPK=64154159&amp;searchMenuPK=64258546&amp;theSitePK=523679&amp;entityID=000090341_20050309153439"/>
    <hyperlink ref="E218" r:id="rId217" display="http://www-wds.worldbank.org/external/default/main?menuPK=64187510&amp;pagePK=64193027&amp;piPK=64187937&amp;menuPK=64154159&amp;searchMenuPK=64258546&amp;theSitePK=523679&amp;entityID=000012009_20040927100746"/>
    <hyperlink ref="E219" r:id="rId218" display="http://www-wds.worldbank.org/external/default/main?menuPK=64187510&amp;pagePK=64193027&amp;piPK=64187937&amp;menuPK=64154159&amp;searchMenuPK=64258546&amp;theSitePK=523679&amp;entityID=000090341_20050303111000"/>
    <hyperlink ref="E220" r:id="rId219" display="http://www-wds.worldbank.org/external/default/main?menuPK=64187510&amp;pagePK=64193027&amp;piPK=64187937&amp;menuPK=64154159&amp;searchMenuPK=64258546&amp;theSitePK=523679&amp;entityID=000090341_20050303111334"/>
    <hyperlink ref="E221" r:id="rId220" display="http://www-wds.worldbank.org/external/default/main?menuPK=64187510&amp;pagePK=64193027&amp;piPK=64187937&amp;menuPK=64154159&amp;searchMenuPK=64258546&amp;theSitePK=523679&amp;entityID=000094946_03041604045530"/>
    <hyperlink ref="E222" r:id="rId221" display="http://www-wds.worldbank.org/external/default/main?menuPK=64187510&amp;pagePK=64193027&amp;piPK=64187937&amp;menuPK=64154159&amp;searchMenuPK=64258546&amp;theSitePK=523679&amp;entityID=000094946_0205090408376"/>
    <hyperlink ref="E223" r:id="rId222" display="http://www-wds.worldbank.org/external/default/main?menuPK=64187510&amp;pagePK=64193027&amp;piPK=64187937&amp;menuPK=64154159&amp;searchMenuPK=64258546&amp;theSitePK=523679&amp;entityID=000094946_02053004422014"/>
    <hyperlink ref="E224" r:id="rId223" display="http://www-wds.worldbank.org/external/default/main?menuPK=64187510&amp;pagePK=64193027&amp;piPK=64187937&amp;menuPK=64154159&amp;searchMenuPK=64258546&amp;theSitePK=523679&amp;entityID=000020953_20110209092038"/>
    <hyperlink ref="E225" r:id="rId224" display="http://www-wds.worldbank.org/external/default/main?menuPK=64187510&amp;pagePK=64193027&amp;piPK=64187937&amp;menuPK=64154159&amp;searchMenuPK=64258546&amp;theSitePK=523679&amp;entityID=000020953_20100421140105"/>
    <hyperlink ref="E226" r:id="rId225" display="http://www-wds.worldbank.org/external/default/main?menuPK=64187510&amp;pagePK=64193027&amp;piPK=64187937&amp;menuPK=64154159&amp;searchMenuPK=64258546&amp;theSitePK=523679&amp;entityID=000334955_20090721033846"/>
    <hyperlink ref="E227" r:id="rId226" display="http://www-wds.worldbank.org/external/default/main?menuPK=64187510&amp;pagePK=64193027&amp;piPK=64187937&amp;menuPK=64154159&amp;searchMenuPK=64258546&amp;theSitePK=523679&amp;entityID=000020953_20090109145022"/>
    <hyperlink ref="E228" r:id="rId227" display="http://www-wds.worldbank.org/external/default/main?menuPK=64187510&amp;pagePK=64193027&amp;piPK=64187937&amp;menuPK=64154159&amp;searchMenuPK=64258546&amp;theSitePK=523679&amp;entityID=000333038_20081031020456"/>
    <hyperlink ref="E229" r:id="rId228" display="http://www-wds.worldbank.org/external/default/main?menuPK=64187510&amp;pagePK=64193027&amp;piPK=64187937&amp;menuPK=64154159&amp;searchMenuPK=64258546&amp;theSitePK=523679&amp;entityID=000020953_20081003090038"/>
    <hyperlink ref="E230" r:id="rId229" display="http://www-wds.worldbank.org/external/default/main?menuPK=64187510&amp;pagePK=64193027&amp;piPK=64187937&amp;menuPK=64154159&amp;searchMenuPK=64258546&amp;theSitePK=523679&amp;entityID=000011823_20071226180403"/>
    <hyperlink ref="E231" r:id="rId230" display="http://www-wds.worldbank.org/external/default/main?menuPK=64187510&amp;pagePK=64193027&amp;piPK=64187937&amp;menuPK=64154159&amp;searchMenuPK=64258546&amp;theSitePK=523679&amp;entityID=000011823_20071227162815"/>
    <hyperlink ref="E232" r:id="rId231" display="http://www-wds.worldbank.org/external/default/main?menuPK=64187510&amp;pagePK=64193027&amp;piPK=64187937&amp;menuPK=64154159&amp;searchMenuPK=64258546&amp;theSitePK=523679&amp;entityID=000011823_20070914163720"/>
    <hyperlink ref="E233" r:id="rId232" display="http://www-wds.worldbank.org/external/default/main?menuPK=64187510&amp;pagePK=64193027&amp;piPK=64187937&amp;menuPK=64154159&amp;searchMenuPK=64258546&amp;theSitePK=523679&amp;entityID=000020953_20070514141700"/>
    <hyperlink ref="E234" r:id="rId233" display="http://www-wds.worldbank.org/external/default/main?menuPK=64187510&amp;pagePK=64193027&amp;piPK=64187937&amp;menuPK=64154159&amp;searchMenuPK=64258546&amp;theSitePK=523679&amp;entityID=000011823_20070418164958"/>
    <hyperlink ref="E235" r:id="rId234" display="http://www-wds.worldbank.org/external/default/main?menuPK=64187510&amp;pagePK=64193027&amp;piPK=64187937&amp;menuPK=64154159&amp;searchMenuPK=64258546&amp;theSitePK=523679&amp;entityID=000090341_20070320101248"/>
    <hyperlink ref="E236" r:id="rId235" display="http://www-wds.worldbank.org/external/default/main?menuPK=64187510&amp;pagePK=64193027&amp;piPK=64187937&amp;menuPK=64154159&amp;searchMenuPK=64258546&amp;theSitePK=523679&amp;entityID=000011823_20070206172233"/>
    <hyperlink ref="E237" r:id="rId236" display="http://www-wds.worldbank.org/external/default/main?menuPK=64187510&amp;pagePK=64193027&amp;piPK=64187937&amp;menuPK=64154159&amp;searchMenuPK=64258546&amp;theSitePK=523679&amp;entityID=000020953_20070125160554"/>
    <hyperlink ref="E238" r:id="rId237" display="http://www-wds.worldbank.org/external/default/main?menuPK=64187510&amp;pagePK=64193027&amp;piPK=64187937&amp;menuPK=64154159&amp;searchMenuPK=64258546&amp;theSitePK=523679&amp;entityID=000090341_20061129142536"/>
    <hyperlink ref="E239" r:id="rId238" display="http://www-wds.worldbank.org/external/default/main?menuPK=64187510&amp;pagePK=64193027&amp;piPK=64187937&amp;menuPK=64154159&amp;searchMenuPK=64258546&amp;theSitePK=523679&amp;entityID=000160016_20060224181759"/>
    <hyperlink ref="E240" r:id="rId239" display="http://www-wds.worldbank.org/external/default/main?menuPK=64187510&amp;pagePK=64193027&amp;piPK=64187937&amp;menuPK=64154159&amp;searchMenuPK=64258546&amp;theSitePK=523679&amp;entityID=000160016_20080403164540"/>
    <hyperlink ref="E241" r:id="rId240" display="http://www-wds.worldbank.org/external/default/main?menuPK=64187510&amp;pagePK=64193027&amp;piPK=64187937&amp;menuPK=64154159&amp;searchMenuPK=64258546&amp;theSitePK=523679&amp;entityID=000011823_20050701115751"/>
    <hyperlink ref="E242" r:id="rId241" display="http://www-wds.worldbank.org/external/default/main?menuPK=64187510&amp;pagePK=64193027&amp;piPK=64187937&amp;menuPK=64154159&amp;searchMenuPK=64258546&amp;theSitePK=523679&amp;entityID=000012009_20050617160444"/>
    <hyperlink ref="E243" r:id="rId242" display="http://www-wds.worldbank.org/external/default/main?menuPK=64187510&amp;pagePK=64193027&amp;piPK=64187937&amp;menuPK=64154159&amp;searchMenuPK=64258546&amp;theSitePK=523679&amp;entityID=000012009_20040430143627"/>
    <hyperlink ref="E244" r:id="rId243" display="http://www-wds.worldbank.org/external/default/main?menuPK=64187510&amp;pagePK=64193027&amp;piPK=64187937&amp;menuPK=64154159&amp;searchMenuPK=64258546&amp;theSitePK=523679&amp;entityID=000094946_02101604302235"/>
    <hyperlink ref="E245" r:id="rId244" display="http://www-wds.worldbank.org/external/default/main?menuPK=64187510&amp;pagePK=64193027&amp;piPK=64187937&amp;menuPK=64154159&amp;searchMenuPK=64258546&amp;theSitePK=523679&amp;entityID=000020953_20101202140410"/>
    <hyperlink ref="E246" r:id="rId245" display="http://www-wds.worldbank.org/external/default/main?menuPK=64187510&amp;pagePK=64193027&amp;piPK=64187937&amp;menuPK=64154159&amp;searchMenuPK=64258546&amp;theSitePK=523679&amp;entityID=000020953_20090527101146"/>
    <hyperlink ref="E247" r:id="rId246" display="http://www-wds.worldbank.org/external/default/main?menuPK=64187510&amp;pagePK=64193027&amp;piPK=64187937&amp;menuPK=64154159&amp;searchMenuPK=64258546&amp;theSitePK=523679&amp;entityID=000020953_20081114133130"/>
    <hyperlink ref="E248" r:id="rId247" display="http://www-wds.worldbank.org/external/default/main?menuPK=64187510&amp;pagePK=64193027&amp;piPK=64187937&amp;menuPK=64154159&amp;searchMenuPK=64258546&amp;theSitePK=523679&amp;entityID=000020953_20080617112846"/>
    <hyperlink ref="E249" r:id="rId248" display="http://www-wds.worldbank.org/external/default/main?menuPK=64187510&amp;pagePK=64193027&amp;piPK=64187937&amp;menuPK=64154159&amp;searchMenuPK=64258546&amp;theSitePK=523679&amp;entityID=000020953_20071009141319"/>
    <hyperlink ref="E250" r:id="rId249" display="http://www-wds.worldbank.org/external/default/main?menuPK=64187510&amp;pagePK=64193027&amp;piPK=64187937&amp;menuPK=64154159&amp;searchMenuPK=64258546&amp;theSitePK=523679&amp;entityID=000011823_20071108165614"/>
    <hyperlink ref="E251" r:id="rId250" display="http://www-wds.worldbank.org/external/default/main?menuPK=64187510&amp;pagePK=64193027&amp;piPK=64187937&amp;menuPK=64154159&amp;searchMenuPK=64258546&amp;theSitePK=523679&amp;entityID=000020953_20100201112335"/>
    <hyperlink ref="E252" r:id="rId251" display="http://www-wds.worldbank.org/external/default/main?menuPK=64187510&amp;pagePK=64193027&amp;piPK=64187937&amp;menuPK=64154159&amp;searchMenuPK=64258546&amp;theSitePK=523679&amp;entityID=000333037_20090525054532"/>
    <hyperlink ref="E253" r:id="rId252" display="http://www-wds.worldbank.org/external/default/main?menuPK=64187510&amp;pagePK=64193027&amp;piPK=64187937&amp;menuPK=64154159&amp;searchMenuPK=64258546&amp;theSitePK=523679&amp;entityID=000020953_20090320114603"/>
    <hyperlink ref="E254" r:id="rId253" display="http://www-wds.worldbank.org/external/default/main?menuPK=64187510&amp;pagePK=64193027&amp;piPK=64187937&amp;menuPK=64154159&amp;searchMenuPK=64258546&amp;theSitePK=523679&amp;entityID=000020953_20080317120526"/>
    <hyperlink ref="E255" r:id="rId254" display="http://www-wds.worldbank.org/external/default/main?menuPK=64187510&amp;pagePK=64193027&amp;piPK=64187937&amp;menuPK=64154159&amp;searchMenuPK=64258546&amp;theSitePK=523679&amp;entityID=000020953_20080317140359"/>
    <hyperlink ref="E256" r:id="rId255" display="http://www-wds.worldbank.org/external/default/main?menuPK=64187510&amp;pagePK=64193027&amp;piPK=64187937&amp;menuPK=64154159&amp;searchMenuPK=64258546&amp;theSitePK=523679&amp;entityID=000020953_20080317143348"/>
    <hyperlink ref="E257" r:id="rId256" display="http://www-wds.worldbank.org/external/default/main?menuPK=64187510&amp;pagePK=64193027&amp;piPK=64187937&amp;menuPK=64154159&amp;searchMenuPK=64258546&amp;theSitePK=523679&amp;entityID=000334955_20080724073742"/>
    <hyperlink ref="E258" r:id="rId257" display="http://www-wds.worldbank.org/external/default/main?menuPK=64187510&amp;pagePK=64193027&amp;piPK=64187937&amp;menuPK=64154159&amp;searchMenuPK=64258546&amp;theSitePK=523679&amp;entityID=000012009_20060308133035"/>
    <hyperlink ref="E259" r:id="rId258" display="http://www-wds.worldbank.org/external/default/main?menuPK=64187510&amp;pagePK=64193027&amp;piPK=64187937&amp;menuPK=64154159&amp;searchMenuPK=64258546&amp;theSitePK=523679&amp;entityID=000012009_20060308131607"/>
    <hyperlink ref="E260" r:id="rId259" display="http://www-wds.worldbank.org/external/default/main?menuPK=64187510&amp;pagePK=64193027&amp;piPK=64187937&amp;menuPK=64154159&amp;searchMenuPK=64258546&amp;theSitePK=523679&amp;entityID=000012009_20040311132659"/>
    <hyperlink ref="E261" r:id="rId260" display="http://www-wds.worldbank.org/external/default/main?menuPK=64187510&amp;pagePK=64193027&amp;piPK=64187937&amp;menuPK=64154159&amp;searchMenuPK=64258546&amp;theSitePK=523679&amp;entityID=000012009_20050616132427"/>
    <hyperlink ref="E262" r:id="rId261" display="http://www-wds.worldbank.org/external/default/main?menuPK=64187510&amp;pagePK=64193027&amp;piPK=64187937&amp;menuPK=64154159&amp;searchMenuPK=64258546&amp;theSitePK=523679&amp;entityID=000012009_20050616132122"/>
    <hyperlink ref="E263" r:id="rId262" display="http://www-wds.worldbank.org/external/default/main?menuPK=64187510&amp;pagePK=64193027&amp;piPK=64187937&amp;menuPK=64154159&amp;searchMenuPK=64258546&amp;theSitePK=523679&amp;entityID=000012009_20050616131625"/>
    <hyperlink ref="E264" r:id="rId263" display="http://www-wds.worldbank.org/external/default/main?menuPK=64187510&amp;pagePK=64193027&amp;piPK=64187937&amp;menuPK=64154159&amp;searchMenuPK=64258546&amp;theSitePK=523679&amp;entityID=000333038_20080310061901"/>
    <hyperlink ref="E265" r:id="rId264" display="http://www-wds.worldbank.org/external/default/main?menuPK=64187510&amp;pagePK=64193027&amp;piPK=64187937&amp;menuPK=64154159&amp;searchMenuPK=64258546&amp;theSitePK=523679&amp;entityID=000020953_20080807101930"/>
    <hyperlink ref="E266" r:id="rId265" display="http://www-wds.worldbank.org/external/default/main?menuPK=64187510&amp;pagePK=64193027&amp;piPK=64187937&amp;menuPK=64154159&amp;searchMenuPK=64258546&amp;theSitePK=523679&amp;entityID=000011823_20070720153116"/>
    <hyperlink ref="E267" r:id="rId266" display="http://www-wds.worldbank.org/external/default/main?menuPK=64187510&amp;pagePK=64193027&amp;piPK=64187937&amp;menuPK=64154159&amp;searchMenuPK=64258546&amp;theSitePK=523679&amp;entityID=000011823_20061017165053"/>
    <hyperlink ref="E268" r:id="rId267" display="http://www-wds.worldbank.org/external/default/main?menuPK=64187510&amp;pagePK=64193027&amp;piPK=64187937&amp;menuPK=64154159&amp;searchMenuPK=64258546&amp;theSitePK=523679&amp;entityID=000160016_20060407114748"/>
    <hyperlink ref="E269" r:id="rId268" display="http://www-wds.worldbank.org/external/default/main?menuPK=64187510&amp;pagePK=64193027&amp;piPK=64187937&amp;menuPK=64154159&amp;searchMenuPK=64258546&amp;theSitePK=523679&amp;entityID=000012009_20051028134643"/>
    <hyperlink ref="E270" r:id="rId269" display="http://www-wds.worldbank.org/external/default/main?menuPK=64187510&amp;pagePK=64193027&amp;piPK=64187937&amp;menuPK=64154159&amp;searchMenuPK=64258546&amp;theSitePK=523679&amp;entityID=000090341_20040506102902"/>
    <hyperlink ref="E271" r:id="rId270" display="http://www-wds.worldbank.org/external/default/main?menuPK=64187510&amp;pagePK=64193027&amp;piPK=64187937&amp;menuPK=64154159&amp;searchMenuPK=64258546&amp;theSitePK=523679&amp;entityID=000094946_03041704054756"/>
    <hyperlink ref="E272" r:id="rId271" display="http://www-wds.worldbank.org/external/default/main?menuPK=64187510&amp;pagePK=64193027&amp;piPK=64187937&amp;menuPK=64154159&amp;searchMenuPK=64258546&amp;theSitePK=523679&amp;entityID=000094946_03060404014229"/>
    <hyperlink ref="E273" r:id="rId272" display="http://www-wds.worldbank.org/external/default/main?menuPK=64187510&amp;pagePK=64193027&amp;piPK=64187937&amp;menuPK=64154159&amp;searchMenuPK=64258546&amp;theSitePK=523679&amp;entityID=000020953_20100507123118"/>
    <hyperlink ref="E274" r:id="rId273" display="http://www-wds.worldbank.org/external/default/main?menuPK=64187510&amp;pagePK=64193027&amp;piPK=64187937&amp;menuPK=64154159&amp;searchMenuPK=64258546&amp;theSitePK=523679&amp;entityID=000090341_20050824153517"/>
    <hyperlink ref="E275" r:id="rId274" display="http://www-wds.worldbank.org/external/default/main?menuPK=64187510&amp;pagePK=64193027&amp;piPK=64187937&amp;menuPK=64154159&amp;searchMenuPK=64258546&amp;theSitePK=523679&amp;entityID=000012009_20050112153828"/>
    <hyperlink ref="E276" r:id="rId275" display="http://www-wds.worldbank.org/external/default/main?menuPK=64187510&amp;pagePK=64193027&amp;piPK=64187937&amp;menuPK=64154159&amp;searchMenuPK=64258546&amp;theSitePK=523679&amp;entityID=000160016_20050915154644"/>
    <hyperlink ref="E277" r:id="rId276" display="http://www-wds.worldbank.org/external/default/main?menuPK=64187510&amp;pagePK=64193027&amp;piPK=64187937&amp;menuPK=64154159&amp;searchMenuPK=64258546&amp;theSitePK=523679&amp;entityID=000160016_20050915153516"/>
    <hyperlink ref="E278" r:id="rId277" display="http://www-wds.worldbank.org/external/default/main?menuPK=64187510&amp;pagePK=64193027&amp;piPK=64187937&amp;menuPK=64154159&amp;searchMenuPK=64258546&amp;theSitePK=523679&amp;entityID=000020953_20101124135816"/>
    <hyperlink ref="E279" r:id="rId278" display="http://www-wds.worldbank.org/external/default/main?menuPK=64187510&amp;pagePK=64193027&amp;piPK=64187937&amp;menuPK=64154159&amp;searchMenuPK=64258546&amp;theSitePK=523679&amp;entityID=000020953_20101124140653"/>
    <hyperlink ref="E280" r:id="rId279" display="http://www-wds.worldbank.org/external/default/main?menuPK=64187510&amp;pagePK=64193027&amp;piPK=64187937&amp;menuPK=64154159&amp;searchMenuPK=64258546&amp;theSitePK=523679&amp;entityID=000020953_20090806155739"/>
    <hyperlink ref="E281" r:id="rId280" display="http://www-wds.worldbank.org/external/default/main?menuPK=64187510&amp;pagePK=64193027&amp;piPK=64187937&amp;menuPK=64154159&amp;searchMenuPK=64258546&amp;theSitePK=523679&amp;entityID=000090341_20061207111247"/>
    <hyperlink ref="E282" r:id="rId281" display="http://www-wds.worldbank.org/external/default/main?menuPK=64187510&amp;pagePK=64193027&amp;piPK=64187937&amp;menuPK=64154159&amp;searchMenuPK=64258546&amp;theSitePK=523679&amp;entityID=000090341_20070319093933"/>
    <hyperlink ref="E283" r:id="rId282" display="http://www-wds.worldbank.org/external/default/main?menuPK=64187510&amp;pagePK=64193027&amp;piPK=64187937&amp;menuPK=64154159&amp;searchMenuPK=64258546&amp;theSitePK=523679&amp;entityID=000090341_20070319094322"/>
    <hyperlink ref="E284" r:id="rId283" display="http://www-wds.worldbank.org/external/default/main?menuPK=64187510&amp;pagePK=64193027&amp;piPK=64187937&amp;menuPK=64154159&amp;searchMenuPK=64258546&amp;theSitePK=523679&amp;entityID=000160016_20060821094209"/>
    <hyperlink ref="E285" r:id="rId284" display="http://www-wds.worldbank.org/external/default/main?menuPK=64187510&amp;pagePK=64193027&amp;piPK=64187937&amp;menuPK=64154159&amp;searchMenuPK=64258546&amp;theSitePK=523679&amp;entityID=000160016_20051227114719"/>
    <hyperlink ref="E286" r:id="rId285" display="http://www-wds.worldbank.org/external/default/main?menuPK=64187510&amp;pagePK=64193027&amp;piPK=64187937&amp;menuPK=64154159&amp;searchMenuPK=64258546&amp;theSitePK=523679&amp;entityID=000011823_20060202123248"/>
    <hyperlink ref="E287" r:id="rId286" display="http://www-wds.worldbank.org/external/default/main?menuPK=64187510&amp;pagePK=64193027&amp;piPK=64187937&amp;menuPK=64154159&amp;searchMenuPK=64258546&amp;theSitePK=523679&amp;entityID=000012009_20051201115216"/>
    <hyperlink ref="E288" r:id="rId287" display="http://www-wds.worldbank.org/external/default/main?menuPK=64187510&amp;pagePK=64193027&amp;piPK=64187937&amp;menuPK=64154159&amp;searchMenuPK=64258546&amp;theSitePK=523679&amp;entityID=000094946_03100304224842"/>
    <hyperlink ref="E289" r:id="rId288" display="http://www-wds.worldbank.org/external/default/main?menuPK=64187510&amp;pagePK=64193027&amp;piPK=64187937&amp;menuPK=64154159&amp;searchMenuPK=64258546&amp;theSitePK=523679&amp;entityID=000094946_03100304224741"/>
    <hyperlink ref="E290" r:id="rId289" display="http://www-wds.worldbank.org/external/default/main?menuPK=64187510&amp;pagePK=64193027&amp;piPK=64187937&amp;menuPK=64154159&amp;searchMenuPK=64258546&amp;theSitePK=523679&amp;entityID=000011823_20050610105408"/>
    <hyperlink ref="E291" r:id="rId290" display="http://www-wds.worldbank.org/external/default/main?menuPK=64187510&amp;pagePK=64193027&amp;piPK=64187937&amp;menuPK=64154159&amp;searchMenuPK=64258546&amp;theSitePK=523679&amp;entityID=000012009_20041006102054"/>
    <hyperlink ref="E292" r:id="rId291" display="http://www-wds.worldbank.org/external/default/main?menuPK=64187510&amp;pagePK=64193027&amp;piPK=64187937&amp;menuPK=64154159&amp;searchMenuPK=64258546&amp;theSitePK=523679&amp;entityID=000090341_20040303100543"/>
    <hyperlink ref="E293" r:id="rId292" display="http://www-wds.worldbank.org/external/default/main?menuPK=64187510&amp;pagePK=64193027&amp;piPK=64187937&amp;menuPK=64154159&amp;searchMenuPK=64258546&amp;theSitePK=523679&amp;entityID=000020953_20110203155043"/>
    <hyperlink ref="E294" r:id="rId293" display="http://www-wds.worldbank.org/external/default/main?menuPK=64187510&amp;pagePK=64193027&amp;piPK=64187937&amp;menuPK=64154159&amp;searchMenuPK=64258546&amp;theSitePK=523679&amp;entityID=000334955_20100517081312"/>
    <hyperlink ref="E295" r:id="rId294" display="http://www-wds.worldbank.org/external/default/main?menuPK=64187510&amp;pagePK=64193027&amp;piPK=64187937&amp;menuPK=64154159&amp;searchMenuPK=64258546&amp;theSitePK=523679&amp;entityID=000334955_20090608061928"/>
    <hyperlink ref="E296" r:id="rId295" display="http://www-wds.worldbank.org/external/default/main?menuPK=64187510&amp;pagePK=64193027&amp;piPK=64187937&amp;menuPK=64154159&amp;searchMenuPK=64258546&amp;theSitePK=523679&amp;entityID=000333037_20090514051714"/>
    <hyperlink ref="E297" r:id="rId296" display="http://www-wds.worldbank.org/external/default/main?menuPK=64187510&amp;pagePK=64193027&amp;piPK=64187937&amp;menuPK=64154159&amp;searchMenuPK=64258546&amp;theSitePK=523679&amp;entityID=000333038_20090319010156"/>
    <hyperlink ref="E298" r:id="rId297" display="http://www-wds.worldbank.org/external/default/main?menuPK=64187510&amp;pagePK=64193027&amp;piPK=64187937&amp;menuPK=64154159&amp;searchMenuPK=64258546&amp;theSitePK=523679&amp;entityID=000011823_20080501163225"/>
    <hyperlink ref="E299" r:id="rId298" display="http://www-wds.worldbank.org/external/default/main?menuPK=64187510&amp;pagePK=64193027&amp;piPK=64187937&amp;menuPK=64154159&amp;searchMenuPK=64258546&amp;theSitePK=523679&amp;entityID=000011823_20080501165350"/>
    <hyperlink ref="E300" r:id="rId299" display="http://www-wds.worldbank.org/external/default/main?menuPK=64187510&amp;pagePK=64193027&amp;piPK=64187937&amp;menuPK=64154159&amp;searchMenuPK=64258546&amp;theSitePK=523679&amp;entityID=000011823_20080501161827"/>
    <hyperlink ref="E301" r:id="rId300" display="http://www-wds.worldbank.org/external/default/main?menuPK=64187510&amp;pagePK=64193027&amp;piPK=64187937&amp;menuPK=64154159&amp;searchMenuPK=64258546&amp;theSitePK=523679&amp;entityID=000333037_20090525235142"/>
    <hyperlink ref="E302" r:id="rId301" display="http://www-wds.worldbank.org/external/default/main?menuPK=64187510&amp;pagePK=64193027&amp;piPK=64187937&amp;menuPK=64154159&amp;searchMenuPK=64258546&amp;theSitePK=523679&amp;entityID=000160016_20080922154842"/>
    <hyperlink ref="E303" r:id="rId302" display="http://www-wds.worldbank.org/external/default/main?menuPK=64187510&amp;pagePK=64193027&amp;piPK=64187937&amp;menuPK=64154159&amp;searchMenuPK=64258546&amp;theSitePK=523679&amp;entityID=000020439_20070814143048"/>
    <hyperlink ref="E304" r:id="rId303" display="http://www-wds.worldbank.org/external/default/main?menuPK=64187510&amp;pagePK=64193027&amp;piPK=64187937&amp;menuPK=64154159&amp;searchMenuPK=64258546&amp;theSitePK=523679&amp;entityID=000020953_20070518120941"/>
    <hyperlink ref="E305" r:id="rId304" display="http://www-wds.worldbank.org/external/default/main?menuPK=64187510&amp;pagePK=64193027&amp;piPK=64187937&amp;menuPK=64154159&amp;searchMenuPK=64258546&amp;theSitePK=523679&amp;entityID=000011823_20070725175352"/>
    <hyperlink ref="E306" r:id="rId305" display="http://www-wds.worldbank.org/external/default/main?menuPK=64187510&amp;pagePK=64193027&amp;piPK=64187937&amp;menuPK=64154159&amp;searchMenuPK=64258546&amp;theSitePK=523679&amp;entityID=000011823_20080501164125"/>
    <hyperlink ref="E307" r:id="rId306" display="http://www-wds.worldbank.org/external/default/main?menuPK=64187510&amp;pagePK=64193027&amp;piPK=64187937&amp;menuPK=64154159&amp;searchMenuPK=64258546&amp;theSitePK=523679&amp;entityID=000090341_20061208093604"/>
    <hyperlink ref="E308" r:id="rId307" display="http://www-wds.worldbank.org/external/default/main?menuPK=64187510&amp;pagePK=64193027&amp;piPK=64187937&amp;menuPK=64154159&amp;searchMenuPK=64258546&amp;theSitePK=523679&amp;entityID=000090341_20060711094011"/>
    <hyperlink ref="E309" r:id="rId308" display="http://www-wds.worldbank.org/external/default/main?menuPK=64187510&amp;pagePK=64193027&amp;piPK=64187937&amp;menuPK=64154159&amp;searchMenuPK=64258546&amp;theSitePK=523679&amp;entityID=000011823_20050523172856"/>
    <hyperlink ref="E310" r:id="rId309" display="http://www-wds.worldbank.org/external/default/main?menuPK=64187510&amp;pagePK=64193027&amp;piPK=64187937&amp;menuPK=64154159&amp;searchMenuPK=64258546&amp;theSitePK=523679&amp;entityID=000011823_20050531114319"/>
    <hyperlink ref="E311" r:id="rId310" display="http://www-wds.worldbank.org/external/default/main?menuPK=64187510&amp;pagePK=64193027&amp;piPK=64187937&amp;menuPK=64154159&amp;searchMenuPK=64258546&amp;theSitePK=523679&amp;entityID=000011823_20050414162346"/>
    <hyperlink ref="E312" r:id="rId311" display="http://www-wds.worldbank.org/external/default/main?menuPK=64187510&amp;pagePK=64193027&amp;piPK=64187937&amp;menuPK=64154159&amp;searchMenuPK=64258546&amp;theSitePK=523679&amp;entityID=000012009_20040202155809"/>
    <hyperlink ref="E313" r:id="rId312" display="http://www-wds.worldbank.org/external/default/main?menuPK=64187510&amp;pagePK=64193027&amp;piPK=64187937&amp;menuPK=64154159&amp;searchMenuPK=64258546&amp;theSitePK=523679&amp;entityID=000012009_20040204135909"/>
    <hyperlink ref="E314" r:id="rId313" display="http://www-wds.worldbank.org/external/default/main?menuPK=64187510&amp;pagePK=64193027&amp;piPK=64187937&amp;menuPK=64154159&amp;searchMenuPK=64258546&amp;theSitePK=523679&amp;entityID=000094946_03082304104390"/>
    <hyperlink ref="E315" r:id="rId314" display="http://www-wds.worldbank.org/external/default/main?menuPK=64187510&amp;pagePK=64193027&amp;piPK=64187937&amp;menuPK=64154159&amp;searchMenuPK=64258546&amp;theSitePK=523679&amp;entityID=000094946_02051004110033"/>
    <hyperlink ref="E316" r:id="rId315" display="http://www-wds.worldbank.org/external/default/main?menuPK=64187510&amp;pagePK=64193027&amp;piPK=64187937&amp;menuPK=64154159&amp;searchMenuPK=64258546&amp;theSitePK=523679&amp;entityID=000356161_20110223031520"/>
    <hyperlink ref="E317" r:id="rId316" display="http://www-wds.worldbank.org/external/default/main?menuPK=64187510&amp;pagePK=64193027&amp;piPK=64187937&amp;menuPK=64154159&amp;searchMenuPK=64258546&amp;theSitePK=523679&amp;entityID=000333037_20110211003604"/>
    <hyperlink ref="E318" r:id="rId317" display="http://www-wds.worldbank.org/external/default/main?menuPK=64187510&amp;pagePK=64193027&amp;piPK=64187937&amp;menuPK=64154159&amp;searchMenuPK=64258546&amp;theSitePK=523679&amp;entityID=000334955_20101110031330"/>
    <hyperlink ref="E319" r:id="rId318" display="http://www-wds.worldbank.org/external/default/main?menuPK=64187510&amp;pagePK=64193027&amp;piPK=64187937&amp;menuPK=64154159&amp;searchMenuPK=64258546&amp;theSitePK=523679&amp;entityID=000356161_20101123014113"/>
    <hyperlink ref="E320" r:id="rId319" display="http://www-wds.worldbank.org/external/default/main?menuPK=64187510&amp;pagePK=64193027&amp;piPK=64187937&amp;menuPK=64154159&amp;searchMenuPK=64258546&amp;theSitePK=523679&amp;entityID=000334955_20091230025306"/>
    <hyperlink ref="E321" r:id="rId320" display="http://www-wds.worldbank.org/external/default/main?menuPK=64187510&amp;pagePK=64193027&amp;piPK=64187937&amp;menuPK=64154159&amp;searchMenuPK=64258546&amp;theSitePK=523679&amp;entityID=000334955_20091202021744"/>
    <hyperlink ref="E322" r:id="rId321" display="http://www-wds.worldbank.org/external/default/main?menuPK=64187510&amp;pagePK=64193027&amp;piPK=64187937&amp;menuPK=64154159&amp;searchMenuPK=64258546&amp;theSitePK=523679&amp;entityID=000334955_20090727031225"/>
    <hyperlink ref="E323" r:id="rId322" display="http://www-wds.worldbank.org/external/default/main?menuPK=64187510&amp;pagePK=64193027&amp;piPK=64187937&amp;menuPK=64154159&amp;searchMenuPK=64258546&amp;theSitePK=523679&amp;entityID=000333037_20090727022041"/>
    <hyperlink ref="E324" r:id="rId323" display="http://www-wds.worldbank.org/external/default/main?menuPK=64187510&amp;pagePK=64193027&amp;piPK=64187937&amp;menuPK=64154159&amp;searchMenuPK=64258546&amp;theSitePK=523679&amp;entityID=000334955_20090622090407"/>
    <hyperlink ref="E325" r:id="rId324" display="http://www-wds.worldbank.org/external/default/main?menuPK=64187510&amp;pagePK=64193027&amp;piPK=64187937&amp;menuPK=64154159&amp;searchMenuPK=64258546&amp;theSitePK=523679&amp;entityID=000333038_20090331025650"/>
    <hyperlink ref="E326" r:id="rId325" display="http://www-wds.worldbank.org/external/default/main?menuPK=64187510&amp;pagePK=64193027&amp;piPK=64187937&amp;menuPK=64154159&amp;searchMenuPK=64258546&amp;theSitePK=523679&amp;entityID=000333038_20090331030339"/>
    <hyperlink ref="E327" r:id="rId326" display="http://www-wds.worldbank.org/external/default/main?menuPK=64187510&amp;pagePK=64193027&amp;piPK=64187937&amp;menuPK=64154159&amp;searchMenuPK=64258546&amp;theSitePK=523679&amp;entityID=000333038_20090331030940"/>
    <hyperlink ref="E328" r:id="rId327" display="http://www-wds.worldbank.org/external/default/main?menuPK=64187510&amp;pagePK=64193027&amp;piPK=64187937&amp;menuPK=64154159&amp;searchMenuPK=64258546&amp;theSitePK=523679&amp;entityID=000333038_20090331031650"/>
    <hyperlink ref="E329" r:id="rId328" display="http://www-wds.worldbank.org/external/default/main?menuPK=64187510&amp;pagePK=64193027&amp;piPK=64187937&amp;menuPK=64154159&amp;searchMenuPK=64258546&amp;theSitePK=523679&amp;entityID=000333038_20090331032731"/>
    <hyperlink ref="E330" r:id="rId329" display="http://www-wds.worldbank.org/external/default/main?menuPK=64187510&amp;pagePK=64193027&amp;piPK=64187937&amp;menuPK=64154159&amp;searchMenuPK=64258546&amp;theSitePK=523679&amp;entityID=000333038_20090331033219"/>
    <hyperlink ref="E331" r:id="rId330" display="http://www-wds.worldbank.org/external/default/main?menuPK=64187510&amp;pagePK=64193027&amp;piPK=64187937&amp;menuPK=64154159&amp;searchMenuPK=64258546&amp;theSitePK=523679&amp;entityID=000333038_20090331034003"/>
    <hyperlink ref="E332" r:id="rId331" display="http://www-wds.worldbank.org/external/default/main?menuPK=64187510&amp;pagePK=64193027&amp;piPK=64187937&amp;menuPK=64154159&amp;searchMenuPK=64258546&amp;theSitePK=523679&amp;entityID=000334955_20090115033218"/>
    <hyperlink ref="E333" r:id="rId332" display="http://www-wds.worldbank.org/external/default/main?menuPK=64187510&amp;pagePK=64193027&amp;piPK=64187937&amp;menuPK=64154159&amp;searchMenuPK=64258546&amp;theSitePK=523679&amp;entityID=000334955_20090115033644"/>
    <hyperlink ref="E334" r:id="rId333" display="http://www-wds.worldbank.org/external/default/main?menuPK=64187510&amp;pagePK=64193027&amp;piPK=64187937&amp;menuPK=64154159&amp;searchMenuPK=64258546&amp;theSitePK=523679&amp;entityID=000334955_20081216030848"/>
    <hyperlink ref="E335" r:id="rId334" display="http://www-wds.worldbank.org/external/default/main?menuPK=64187510&amp;pagePK=64193027&amp;piPK=64187937&amp;menuPK=64154159&amp;searchMenuPK=64258546&amp;theSitePK=523679&amp;entityID=000334955_20081216031343"/>
    <hyperlink ref="E336" r:id="rId335" display="http://www-wds.worldbank.org/external/default/main?menuPK=64187510&amp;pagePK=64193027&amp;piPK=64187937&amp;menuPK=64154159&amp;searchMenuPK=64258546&amp;theSitePK=523679&amp;entityID=000334955_20081216031722"/>
    <hyperlink ref="E337" r:id="rId336" display="http://www-wds.worldbank.org/external/default/main?menuPK=64187510&amp;pagePK=64193027&amp;piPK=64187937&amp;menuPK=64154159&amp;searchMenuPK=64258546&amp;theSitePK=523679&amp;entityID=000334955_20090331052353"/>
    <hyperlink ref="E338" r:id="rId337" display="http://www-wds.worldbank.org/external/default/main?menuPK=64187510&amp;pagePK=64193027&amp;piPK=64187937&amp;menuPK=64154159&amp;searchMenuPK=64258546&amp;theSitePK=523679&amp;entityID=000334955_20080623045909"/>
    <hyperlink ref="E339" r:id="rId338" display="http://www-wds.worldbank.org/external/default/main?menuPK=64187510&amp;pagePK=64193027&amp;piPK=64187937&amp;menuPK=64154159&amp;searchMenuPK=64258546&amp;theSitePK=523679&amp;entityID=000333037_20080212035115"/>
    <hyperlink ref="E340" r:id="rId339" display="http://www-wds.worldbank.org/external/default/main?menuPK=64187510&amp;pagePK=64193027&amp;piPK=64187937&amp;menuPK=64154159&amp;searchMenuPK=64258546&amp;theSitePK=523679&amp;entityID=000020953_20080303094334"/>
    <hyperlink ref="E341" r:id="rId340" display="http://www-wds.worldbank.org/external/default/main?menuPK=64187510&amp;pagePK=64193027&amp;piPK=64187937&amp;menuPK=64154159&amp;searchMenuPK=64258546&amp;theSitePK=523679&amp;entityID=000334955_20081119044319"/>
    <hyperlink ref="E342" r:id="rId341" display="http://www-wds.worldbank.org/external/default/main?menuPK=64187510&amp;pagePK=64193027&amp;piPK=64187937&amp;menuPK=64154159&amp;searchMenuPK=64258546&amp;theSitePK=523679&amp;entityID=000334955_20081119044648"/>
    <hyperlink ref="E343" r:id="rId342" display="http://www-wds.worldbank.org/external/default/main?menuPK=64187510&amp;pagePK=64193027&amp;piPK=64187937&amp;menuPK=64154159&amp;searchMenuPK=64258546&amp;theSitePK=523679&amp;entityID=000011823_20071221122240"/>
    <hyperlink ref="E344" r:id="rId343" display="http://www-wds.worldbank.org/external/default/main?menuPK=64187510&amp;pagePK=64193027&amp;piPK=64187937&amp;menuPK=64154159&amp;searchMenuPK=64258546&amp;theSitePK=523679&amp;entityID=000020953_20070925154914"/>
    <hyperlink ref="E345" r:id="rId344" display="http://www-wds.worldbank.org/external/default/main?menuPK=64187510&amp;pagePK=64193027&amp;piPK=64187937&amp;menuPK=64154159&amp;searchMenuPK=64258546&amp;theSitePK=523679&amp;entityID=000160016_20080416125425"/>
    <hyperlink ref="E346" r:id="rId345" display="http://www-wds.worldbank.org/external/default/main?menuPK=64187510&amp;pagePK=64193027&amp;piPK=64187937&amp;menuPK=64154159&amp;searchMenuPK=64258546&amp;theSitePK=523679&amp;entityID=000020439_20070517152015"/>
    <hyperlink ref="E347" r:id="rId346" display="http://www-wds.worldbank.org/external/default/main?menuPK=64187510&amp;pagePK=64193027&amp;piPK=64187937&amp;menuPK=64154159&amp;searchMenuPK=64258546&amp;theSitePK=523679&amp;entityID=000020439_20070314112809"/>
    <hyperlink ref="E348" r:id="rId347" display="http://www-wds.worldbank.org/external/default/main?menuPK=64187510&amp;pagePK=64193027&amp;piPK=64187937&amp;menuPK=64154159&amp;searchMenuPK=64258546&amp;theSitePK=523679&amp;entityID=000333038_20080310053054"/>
    <hyperlink ref="E349" r:id="rId348" display="http://www-wds.worldbank.org/external/default/main?menuPK=64187510&amp;pagePK=64193027&amp;piPK=64187937&amp;menuPK=64154159&amp;searchMenuPK=64258546&amp;theSitePK=523679&amp;entityID=000020953_20061117141000"/>
    <hyperlink ref="E350" r:id="rId349" display="http://www-wds.worldbank.org/external/default/main?menuPK=64187510&amp;pagePK=64193027&amp;piPK=64187937&amp;menuPK=64154159&amp;searchMenuPK=64258546&amp;theSitePK=523679&amp;entityID=000011823_20050510172009"/>
    <hyperlink ref="E351" r:id="rId350" display="http://www-wds.worldbank.org/external/default/main?menuPK=64187510&amp;pagePK=64193027&amp;piPK=64187937&amp;menuPK=64154159&amp;searchMenuPK=64258546&amp;theSitePK=523679&amp;entityID=000011823_20050602113106"/>
    <hyperlink ref="E352" r:id="rId351" display="http://www-wds.worldbank.org/external/default/main?menuPK=64187510&amp;pagePK=64193027&amp;piPK=64187937&amp;menuPK=64154159&amp;searchMenuPK=64258546&amp;theSitePK=523679&amp;entityID=000012009_20050415130550"/>
    <hyperlink ref="E353" r:id="rId352" display="http://www-wds.worldbank.org/external/default/main?menuPK=64187510&amp;pagePK=64193027&amp;piPK=64187937&amp;menuPK=64154159&amp;searchMenuPK=64258546&amp;theSitePK=523679&amp;entityID=000090341_20050419093703"/>
    <hyperlink ref="E354" r:id="rId353" display="http://www-wds.worldbank.org/external/default/main?menuPK=64187510&amp;pagePK=64193027&amp;piPK=64187937&amp;menuPK=64154159&amp;searchMenuPK=64258546&amp;theSitePK=523679&amp;entityID=000090341_20050228085912"/>
    <hyperlink ref="E355" r:id="rId354" display="http://www-wds.worldbank.org/external/default/main?menuPK=64187510&amp;pagePK=64193027&amp;piPK=64187937&amp;menuPK=64154159&amp;searchMenuPK=64258546&amp;theSitePK=523679&amp;entityID=000012009_20040329154325"/>
    <hyperlink ref="E356" r:id="rId355" display="http://www-wds.worldbank.org/external/default/main?menuPK=64187510&amp;pagePK=64193027&amp;piPK=64187937&amp;menuPK=64154159&amp;searchMenuPK=64258546&amp;theSitePK=523679&amp;entityID=000012009_20040212124746"/>
    <hyperlink ref="E357" r:id="rId356" display="http://www-wds.worldbank.org/external/default/main?menuPK=64187510&amp;pagePK=64193027&amp;piPK=64187937&amp;menuPK=64154159&amp;searchMenuPK=64258546&amp;theSitePK=523679&amp;entityID=000094946_03092504154270"/>
    <hyperlink ref="E358" r:id="rId357" display="http://www-wds.worldbank.org/external/default/main?menuPK=64187510&amp;pagePK=64193027&amp;piPK=64187937&amp;menuPK=64154159&amp;searchMenuPK=64258546&amp;theSitePK=523679&amp;entityID=000094946_03092504154371"/>
    <hyperlink ref="E359" r:id="rId358" display="http://www-wds.worldbank.org/external/default/main?menuPK=64187510&amp;pagePK=64193027&amp;piPK=64187937&amp;menuPK=64154159&amp;searchMenuPK=64258546&amp;theSitePK=523679&amp;entityID=000094946_03051504172878"/>
    <hyperlink ref="E360" r:id="rId359" display="http://www-wds.worldbank.org/external/default/main?menuPK=64187510&amp;pagePK=64193027&amp;piPK=64187937&amp;menuPK=64154159&amp;searchMenuPK=64258546&amp;theSitePK=523679&amp;entityID=000094946_03051504172879"/>
    <hyperlink ref="E361" r:id="rId360" display="http://www-wds.worldbank.org/external/default/main?menuPK=64187510&amp;pagePK=64193027&amp;piPK=64187937&amp;menuPK=64154159&amp;searchMenuPK=64258546&amp;theSitePK=523679&amp;entityID=000094946_03052004071312"/>
    <hyperlink ref="E362" r:id="rId361" display="http://www-wds.worldbank.org/external/default/main?menuPK=64187510&amp;pagePK=64193027&amp;piPK=64187937&amp;menuPK=64154159&amp;searchMenuPK=64258546&amp;theSitePK=523679&amp;entityID=000094946_0305200407139"/>
    <hyperlink ref="E363" r:id="rId362" display="http://www-wds.worldbank.org/external/default/main?menuPK=64187510&amp;pagePK=64193027&amp;piPK=64187937&amp;menuPK=64154159&amp;searchMenuPK=64258546&amp;theSitePK=523679&amp;entityID=000094946_02122404053764"/>
    <hyperlink ref="E364" r:id="rId363" display="http://www-wds.worldbank.org/external/default/main?menuPK=64187510&amp;pagePK=64193027&amp;piPK=64187937&amp;menuPK=64154159&amp;searchMenuPK=64258546&amp;theSitePK=523679&amp;entityID=000094946_02100104011656"/>
    <hyperlink ref="E365" r:id="rId364" display="http://www-wds.worldbank.org/external/default/main?menuPK=64187510&amp;pagePK=64193027&amp;piPK=64187937&amp;menuPK=64154159&amp;searchMenuPK=64258546&amp;theSitePK=523679&amp;entityID=000094946_02071004093971"/>
    <hyperlink ref="E366" r:id="rId365" display="http://www-wds.worldbank.org/external/default/main?menuPK=64187510&amp;pagePK=64193027&amp;piPK=64187937&amp;menuPK=64154159&amp;searchMenuPK=64258546&amp;theSitePK=523679&amp;entityID=000094946_02050404111941"/>
    <hyperlink ref="E367" r:id="rId366" display="http://www-wds.worldbank.org/external/default/main?menuPK=64187510&amp;pagePK=64193027&amp;piPK=64187937&amp;menuPK=64154159&amp;searchMenuPK=64258546&amp;theSitePK=523679&amp;entityID=000094946_02050404112043"/>
    <hyperlink ref="E368" r:id="rId367" display="http://www-wds.worldbank.org/external/default/main?menuPK=64187510&amp;pagePK=64193027&amp;piPK=64187937&amp;menuPK=64154159&amp;searchMenuPK=64258546&amp;theSitePK=523679&amp;entityID=000094946_02050404111636"/>
    <hyperlink ref="E369" r:id="rId368" display="http://www-wds.worldbank.org/external/default/main?menuPK=64187510&amp;pagePK=64193027&amp;piPK=64187937&amp;menuPK=64154159&amp;searchMenuPK=64258546&amp;theSitePK=523679&amp;entityID=000333038_20101216235235"/>
    <hyperlink ref="E370" r:id="rId369" display="http://www-wds.worldbank.org/external/default/main?menuPK=64187510&amp;pagePK=64193027&amp;piPK=64187937&amp;menuPK=64154159&amp;searchMenuPK=64258546&amp;theSitePK=523679&amp;entityID=000334955_20101001023652"/>
    <hyperlink ref="E371" r:id="rId370" display="http://www-wds.worldbank.org/external/default/main?menuPK=64187510&amp;pagePK=64193027&amp;piPK=64187937&amp;menuPK=64154159&amp;searchMenuPK=64258546&amp;theSitePK=523679&amp;entityID=000333037_20100726021329"/>
    <hyperlink ref="E372" r:id="rId371" display="http://www-wds.worldbank.org/external/default/main?menuPK=64187510&amp;pagePK=64193027&amp;piPK=64187937&amp;menuPK=64154159&amp;searchMenuPK=64258546&amp;theSitePK=523679&amp;entityID=000334955_20100715042949"/>
    <hyperlink ref="E373" r:id="rId372" display="http://www-wds.worldbank.org/external/default/main?menuPK=64187510&amp;pagePK=64193027&amp;piPK=64187937&amp;menuPK=64154159&amp;searchMenuPK=64258546&amp;theSitePK=523679&amp;entityID=000334955_20100310011851"/>
    <hyperlink ref="E374" r:id="rId373" display="http://www-wds.worldbank.org/external/default/main?menuPK=64187510&amp;pagePK=64193027&amp;piPK=64187937&amp;menuPK=64154159&amp;searchMenuPK=64258546&amp;theSitePK=523679&amp;entityID=000334955_20100302045653"/>
    <hyperlink ref="E375" r:id="rId374" display="http://www-wds.worldbank.org/external/default/main?menuPK=64187510&amp;pagePK=64193027&amp;piPK=64187937&amp;menuPK=64154159&amp;searchMenuPK=64258546&amp;theSitePK=523679&amp;entityID=000333037_20090603012313"/>
    <hyperlink ref="E376" r:id="rId375" display="http://www-wds.worldbank.org/external/default/main?menuPK=64187510&amp;pagePK=64193027&amp;piPK=64187937&amp;menuPK=64154159&amp;searchMenuPK=64258546&amp;theSitePK=523679&amp;entityID=000333037_20090603013132"/>
    <hyperlink ref="E377" r:id="rId376" display="http://www-wds.worldbank.org/external/default/main?menuPK=64187510&amp;pagePK=64193027&amp;piPK=64187937&amp;menuPK=64154159&amp;searchMenuPK=64258546&amp;theSitePK=523679&amp;entityID=000333038_20081223032048"/>
    <hyperlink ref="E378" r:id="rId377" display="http://www-wds.worldbank.org/external/default/main?menuPK=64187510&amp;pagePK=64193027&amp;piPK=64187937&amp;menuPK=64154159&amp;searchMenuPK=64258546&amp;theSitePK=523679&amp;entityID=000333037_20080422020734"/>
    <hyperlink ref="E379" r:id="rId378" display="http://www-wds.worldbank.org/external/default/main?menuPK=64187510&amp;pagePK=64193027&amp;piPK=64187937&amp;menuPK=64154159&amp;searchMenuPK=64258546&amp;theSitePK=523679&amp;entityID=000334955_20090717023819"/>
    <hyperlink ref="E380" r:id="rId379" display="http://www-wds.worldbank.org/external/default/main?menuPK=64187510&amp;pagePK=64193027&amp;piPK=64187937&amp;menuPK=64154159&amp;searchMenuPK=64258546&amp;theSitePK=523679&amp;entityID=000333037_20080313063348"/>
    <hyperlink ref="E381" r:id="rId380" display="http://www-wds.worldbank.org/external/default/main?menuPK=64187510&amp;pagePK=64193027&amp;piPK=64187937&amp;menuPK=64154159&amp;searchMenuPK=64258546&amp;theSitePK=523679&amp;entityID=000011823_20070504154816"/>
    <hyperlink ref="E382" r:id="rId381" display="http://www-wds.worldbank.org/external/default/main?menuPK=64187510&amp;pagePK=64193027&amp;piPK=64187937&amp;menuPK=64154159&amp;searchMenuPK=64258546&amp;theSitePK=523679&amp;entityID=000090341_20070305105255"/>
    <hyperlink ref="E383" r:id="rId382" display="http://www-wds.worldbank.org/external/default/main?menuPK=64187510&amp;pagePK=64193027&amp;piPK=64187937&amp;menuPK=64154159&amp;searchMenuPK=64258546&amp;theSitePK=523679&amp;entityID=000090341_20070403153524"/>
    <hyperlink ref="E384" r:id="rId383" display="http://www-wds.worldbank.org/external/default/main?menuPK=64187510&amp;pagePK=64193027&amp;piPK=64187937&amp;menuPK=64154159&amp;searchMenuPK=64258546&amp;theSitePK=523679&amp;entityID=000090341_20070403153904"/>
    <hyperlink ref="E385" r:id="rId384" display="http://www-wds.worldbank.org/external/default/main?menuPK=64187510&amp;pagePK=64193027&amp;piPK=64187937&amp;menuPK=64154159&amp;searchMenuPK=64258546&amp;theSitePK=523679&amp;entityID=000012009_20060315155628"/>
    <hyperlink ref="E386" r:id="rId385" display="http://www-wds.worldbank.org/external/default/main?menuPK=64187510&amp;pagePK=64193027&amp;piPK=64187937&amp;menuPK=64154159&amp;searchMenuPK=64258546&amp;theSitePK=523679&amp;entityID=000090341_20040430095947"/>
    <hyperlink ref="E387" r:id="rId386" display="http://www-wds.worldbank.org/external/default/main?menuPK=64187510&amp;pagePK=64193027&amp;piPK=64187937&amp;menuPK=64154159&amp;searchMenuPK=64258546&amp;theSitePK=523679&amp;entityID=000012009_20040331114143"/>
    <hyperlink ref="E388" r:id="rId387" display="http://www-wds.worldbank.org/external/default/main?menuPK=64187510&amp;pagePK=64193027&amp;piPK=64187937&amp;menuPK=64154159&amp;searchMenuPK=64258546&amp;theSitePK=523679&amp;entityID=000112742_20040713153659"/>
    <hyperlink ref="E389" r:id="rId388" display="http://www-wds.worldbank.org/external/default/main?menuPK=64187510&amp;pagePK=64193027&amp;piPK=64187937&amp;menuPK=64154159&amp;searchMenuPK=64258546&amp;theSitePK=523679&amp;entityID=000012009_20040806112048"/>
    <hyperlink ref="E390" r:id="rId389" display="http://www-wds.worldbank.org/external/default/main?menuPK=64187510&amp;pagePK=64193027&amp;piPK=64187937&amp;menuPK=64154159&amp;searchMenuPK=64258546&amp;theSitePK=523679&amp;entityID=000012009_20040806112337"/>
    <hyperlink ref="E391" r:id="rId390" display="http://www-wds.worldbank.org/external/default/main?menuPK=64187510&amp;pagePK=64193027&amp;piPK=64187937&amp;menuPK=64154159&amp;searchMenuPK=64258546&amp;theSitePK=523679&amp;entityID=000094946_03042404092230"/>
    <hyperlink ref="E392" r:id="rId391" display="http://www-wds.worldbank.org/external/default/main?menuPK=64187510&amp;pagePK=64193027&amp;piPK=64187937&amp;menuPK=64154159&amp;searchMenuPK=64258546&amp;theSitePK=523679&amp;entityID=000094946_03051404055825"/>
    <hyperlink ref="E393" r:id="rId392" display="http://www-wds.worldbank.org/external/default/main?menuPK=64187510&amp;pagePK=64193027&amp;piPK=64187937&amp;menuPK=64154159&amp;searchMenuPK=64258546&amp;theSitePK=523679&amp;entityID=000094946_03020404013312"/>
    <hyperlink ref="E394" r:id="rId393" display="http://www-wds.worldbank.org/external/default/main?menuPK=64187510&amp;pagePK=64193027&amp;piPK=64187937&amp;menuPK=64154159&amp;searchMenuPK=64258546&amp;theSitePK=523679&amp;entityID=000094946_0205140421386"/>
    <hyperlink ref="E395" r:id="rId394" display="http://www-wds.worldbank.org/external/default/main?menuPK=64187510&amp;pagePK=64193027&amp;piPK=64187937&amp;menuPK=64154159&amp;searchMenuPK=64258546&amp;theSitePK=523679&amp;entityID=000356161_20101102033457"/>
    <hyperlink ref="E396" r:id="rId395" display="http://www-wds.worldbank.org/external/default/main?menuPK=64187510&amp;pagePK=64193027&amp;piPK=64187937&amp;menuPK=64154159&amp;searchMenuPK=64258546&amp;theSitePK=523679&amp;entityID=000333038_20100611023851"/>
    <hyperlink ref="E397" r:id="rId396" display="http://www-wds.worldbank.org/external/default/main?menuPK=64187510&amp;pagePK=64193027&amp;piPK=64187937&amp;menuPK=64154159&amp;searchMenuPK=64258546&amp;theSitePK=523679&amp;entityID=000334955_20100128015413"/>
    <hyperlink ref="E398" r:id="rId397" display="http://www-wds.worldbank.org/external/default/main?menuPK=64187510&amp;pagePK=64193027&amp;piPK=64187937&amp;menuPK=64154159&amp;searchMenuPK=64258546&amp;theSitePK=523679&amp;entityID=000334955_20100519042958"/>
    <hyperlink ref="E399" r:id="rId398" display="http://www-wds.worldbank.org/external/default/main?menuPK=64187510&amp;pagePK=64193027&amp;piPK=64187937&amp;menuPK=64154159&amp;searchMenuPK=64258546&amp;theSitePK=523679&amp;entityID=000334955_20091231050226"/>
    <hyperlink ref="E400" r:id="rId399" display="http://www-wds.worldbank.org/external/default/main?menuPK=64187510&amp;pagePK=64193027&amp;piPK=64187937&amp;menuPK=64154159&amp;searchMenuPK=64258546&amp;theSitePK=523679&amp;entityID=000333037_20090925005405"/>
    <hyperlink ref="E401" r:id="rId400" display="http://www-wds.worldbank.org/external/default/main?menuPK=64187510&amp;pagePK=64193027&amp;piPK=64187937&amp;menuPK=64154159&amp;searchMenuPK=64258546&amp;theSitePK=523679&amp;entityID=000334955_20090820062223"/>
    <hyperlink ref="E402" r:id="rId401" display="http://www-wds.worldbank.org/external/default/main?menuPK=64187510&amp;pagePK=64193027&amp;piPK=64187937&amp;menuPK=64154159&amp;searchMenuPK=64258546&amp;theSitePK=523679&amp;entityID=000333038_20090630014245"/>
    <hyperlink ref="E403" r:id="rId402" display="http://www-wds.worldbank.org/external/default/main?menuPK=64187510&amp;pagePK=64193027&amp;piPK=64187937&amp;menuPK=64154159&amp;searchMenuPK=64258546&amp;theSitePK=523679&amp;entityID=000020439_20071031095355"/>
    <hyperlink ref="E404" r:id="rId403" display="http://www-wds.worldbank.org/external/default/main?menuPK=64187510&amp;pagePK=64193027&amp;piPK=64187937&amp;menuPK=64154159&amp;searchMenuPK=64258546&amp;theSitePK=523679&amp;entityID=000011823_20071017131514"/>
    <hyperlink ref="E405" r:id="rId404" display="http://www-wds.worldbank.org/external/default/main?menuPK=64187510&amp;pagePK=64193027&amp;piPK=64187937&amp;menuPK=64154159&amp;searchMenuPK=64258546&amp;theSitePK=523679&amp;entityID=000090341_20070125150126"/>
    <hyperlink ref="E406" r:id="rId405" display="http://www-wds.worldbank.org/external/default/main?menuPK=64187510&amp;pagePK=64193027&amp;piPK=64187937&amp;menuPK=64154159&amp;searchMenuPK=64258546&amp;theSitePK=523679&amp;entityID=000011823_20070126130759"/>
    <hyperlink ref="E407" r:id="rId406" display="http://www-wds.worldbank.org/external/default/main?menuPK=64187510&amp;pagePK=64193027&amp;piPK=64187937&amp;menuPK=64154159&amp;searchMenuPK=64258546&amp;theSitePK=523679&amp;entityID=000090341_20070711141709"/>
    <hyperlink ref="E408" r:id="rId407" display="http://www-wds.worldbank.org/external/default/main?menuPK=64187510&amp;pagePK=64193027&amp;piPK=64187937&amp;menuPK=64154159&amp;searchMenuPK=64258546&amp;theSitePK=523679&amp;entityID=000333037_20110124030142"/>
    <hyperlink ref="E409" r:id="rId408" display="http://www-wds.worldbank.org/external/default/main?menuPK=64187510&amp;pagePK=64193027&amp;piPK=64187937&amp;menuPK=64154159&amp;searchMenuPK=64258546&amp;theSitePK=523679&amp;entityID=000333037_20110124030553"/>
    <hyperlink ref="E410" r:id="rId409" display="http://www-wds.worldbank.org/external/default/main?menuPK=64187510&amp;pagePK=64193027&amp;piPK=64187937&amp;menuPK=64154159&amp;searchMenuPK=64258546&amp;theSitePK=523679&amp;entityID=000371432_20110107144941"/>
    <hyperlink ref="E411" r:id="rId410" display="http://www-wds.worldbank.org/external/default/main?menuPK=64187510&amp;pagePK=64193027&amp;piPK=64187937&amp;menuPK=64154159&amp;searchMenuPK=64258546&amp;theSitePK=523679&amp;entityID=000371432_20110107145742"/>
    <hyperlink ref="E412" r:id="rId411" display="http://www-wds.worldbank.org/external/default/main?menuPK=64187510&amp;pagePK=64193027&amp;piPK=64187937&amp;menuPK=64154159&amp;searchMenuPK=64258546&amp;theSitePK=523679&amp;entityID=000334955_20101111020025"/>
    <hyperlink ref="E413" r:id="rId412" display="http://www-wds.worldbank.org/external/default/main?menuPK=64187510&amp;pagePK=64193027&amp;piPK=64187937&amp;menuPK=64154159&amp;searchMenuPK=64258546&amp;theSitePK=523679&amp;entityID=000334955_20091203021325"/>
    <hyperlink ref="E414" r:id="rId413" display="http://www-wds.worldbank.org/external/default/main?menuPK=64187510&amp;pagePK=64193027&amp;piPK=64187937&amp;menuPK=64154159&amp;searchMenuPK=64258546&amp;theSitePK=523679&amp;entityID=000334955_20090925030156"/>
    <hyperlink ref="E415" r:id="rId414" display="http://www-wds.worldbank.org/external/default/main?menuPK=64187510&amp;pagePK=64193027&amp;piPK=64187937&amp;menuPK=64154159&amp;searchMenuPK=64258546&amp;theSitePK=523679&amp;entityID=000333038_20090320051726"/>
    <hyperlink ref="E416" r:id="rId415" display="http://www-wds.worldbank.org/external/default/main?menuPK=64187510&amp;pagePK=64193027&amp;piPK=64187937&amp;menuPK=64154159&amp;searchMenuPK=64258546&amp;theSitePK=523679&amp;entityID=000333038_20090320051310"/>
    <hyperlink ref="E417" r:id="rId416" display="http://www-wds.worldbank.org/external/default/main?menuPK=64187510&amp;pagePK=64193027&amp;piPK=64187937&amp;menuPK=64154159&amp;searchMenuPK=64258546&amp;theSitePK=523679&amp;entityID=000333038_20090320052051"/>
    <hyperlink ref="E418" r:id="rId417" display="http://www-wds.worldbank.org/external/default/main?menuPK=64187510&amp;pagePK=64193027&amp;piPK=64187937&amp;menuPK=64154159&amp;searchMenuPK=64258546&amp;theSitePK=523679&amp;entityID=000333037_20081016025958"/>
    <hyperlink ref="E419" r:id="rId418" display="http://www-wds.worldbank.org/external/default/main?menuPK=64187510&amp;pagePK=64193027&amp;piPK=64187937&amp;menuPK=64154159&amp;searchMenuPK=64258546&amp;theSitePK=523679&amp;entityID=000333038_20080307074212"/>
    <hyperlink ref="E420" r:id="rId419" display="http://www-wds.worldbank.org/external/default/main?menuPK=64187510&amp;pagePK=64193027&amp;piPK=64187937&amp;menuPK=64154159&amp;searchMenuPK=64258546&amp;theSitePK=523679&amp;entityID=000020953_20070213114605"/>
    <hyperlink ref="E421" r:id="rId420" display="http://www-wds.worldbank.org/external/default/main?menuPK=64187510&amp;pagePK=64193027&amp;piPK=64187937&amp;menuPK=64154159&amp;searchMenuPK=64258546&amp;theSitePK=523679&amp;entityID=000160016_20050913150309"/>
    <hyperlink ref="E422" r:id="rId421" display="http://www-wds.worldbank.org/external/default/main?menuPK=64187510&amp;pagePK=64193027&amp;piPK=64187937&amp;menuPK=64154159&amp;searchMenuPK=64258546&amp;theSitePK=523679&amp;entityID=000012009_20050408101945"/>
    <hyperlink ref="E423" r:id="rId422" display="http://www-wds.worldbank.org/external/default/main?menuPK=64187510&amp;pagePK=64193027&amp;piPK=64187937&amp;menuPK=64154159&amp;searchMenuPK=64258546&amp;theSitePK=523679&amp;entityID=000112742_20050318103903"/>
    <hyperlink ref="E424" r:id="rId423" display="http://www-wds.worldbank.org/external/default/main?menuPK=64187510&amp;pagePK=64193027&amp;piPK=64187937&amp;menuPK=64154159&amp;searchMenuPK=64258546&amp;theSitePK=523679&amp;entityID=000112742_20050318114013"/>
    <hyperlink ref="E425" r:id="rId424" display="http://www-wds.worldbank.org/external/default/main?menuPK=64187510&amp;pagePK=64193027&amp;piPK=64187937&amp;menuPK=64154159&amp;searchMenuPK=64258546&amp;theSitePK=523679&amp;entityID=000112742_20050318164929"/>
    <hyperlink ref="E426" r:id="rId425" display="http://www-wds.worldbank.org/external/default/main?menuPK=64187510&amp;pagePK=64193027&amp;piPK=64187937&amp;menuPK=64154159&amp;searchMenuPK=64258546&amp;theSitePK=523679&amp;entityID=000112742_20050321095239"/>
    <hyperlink ref="E427" r:id="rId426" display="http://www-wds.worldbank.org/external/default/main?menuPK=64187510&amp;pagePK=64193027&amp;piPK=64187937&amp;menuPK=64154159&amp;searchMenuPK=64258546&amp;theSitePK=523679&amp;entityID=000112742_20050321115146"/>
    <hyperlink ref="E428" r:id="rId427" display="http://www-wds.worldbank.org/external/default/main?menuPK=64187510&amp;pagePK=64193027&amp;piPK=64187937&amp;menuPK=64154159&amp;searchMenuPK=64258546&amp;theSitePK=523679&amp;entityID=000112742_20050318105638"/>
    <hyperlink ref="E429" r:id="rId428" display="http://www-wds.worldbank.org/external/default/main?menuPK=64187510&amp;pagePK=64193027&amp;piPK=64187937&amp;menuPK=64154159&amp;searchMenuPK=64258546&amp;theSitePK=523679&amp;entityID=000112742_20050318121648"/>
    <hyperlink ref="E430" r:id="rId429" display="http://www-wds.worldbank.org/external/default/main?menuPK=64187510&amp;pagePK=64193027&amp;piPK=64187937&amp;menuPK=64154159&amp;searchMenuPK=64258546&amp;theSitePK=523679&amp;entityID=000112742_20050318173640"/>
    <hyperlink ref="E431" r:id="rId430" display="http://www-wds.worldbank.org/external/default/main?menuPK=64187510&amp;pagePK=64193027&amp;piPK=64187937&amp;menuPK=64154159&amp;searchMenuPK=64258546&amp;theSitePK=523679&amp;entityID=000112742_20050321103016"/>
    <hyperlink ref="E432" r:id="rId431" display="http://www-wds.worldbank.org/external/default/main?menuPK=64187510&amp;pagePK=64193027&amp;piPK=64187937&amp;menuPK=64154159&amp;searchMenuPK=64258546&amp;theSitePK=523679&amp;entityID=000112742_20050321115512"/>
    <hyperlink ref="E433" r:id="rId432" display="http://www-wds.worldbank.org/external/default/main?menuPK=64187510&amp;pagePK=64193027&amp;piPK=64187937&amp;menuPK=64154159&amp;searchMenuPK=64258546&amp;theSitePK=523679&amp;entityID=000112742_20041214173500"/>
    <hyperlink ref="E434" r:id="rId433" display="http://www-wds.worldbank.org/external/default/main?menuPK=64187510&amp;pagePK=64193027&amp;piPK=64187937&amp;menuPK=64154159&amp;searchMenuPK=64258546&amp;theSitePK=523679&amp;entityID=000112742_20041214171846"/>
    <hyperlink ref="E435" r:id="rId434" display="http://www-wds.worldbank.org/external/default/main?menuPK=64187510&amp;pagePK=64193027&amp;piPK=64187937&amp;menuPK=64154159&amp;searchMenuPK=64258546&amp;theSitePK=523679&amp;entityID=000112742_20041214171327"/>
    <hyperlink ref="E436" r:id="rId435" display="http://www-wds.worldbank.org/external/default/main?menuPK=64187510&amp;pagePK=64193027&amp;piPK=64187937&amp;menuPK=64154159&amp;searchMenuPK=64258546&amp;theSitePK=523679&amp;entityID=000112742_20041214170629"/>
    <hyperlink ref="E437" r:id="rId436" display="http://www-wds.worldbank.org/external/default/main?menuPK=64187510&amp;pagePK=64193027&amp;piPK=64187937&amp;menuPK=64154159&amp;searchMenuPK=64258546&amp;theSitePK=523679&amp;entityID=000112742_20041214175347"/>
    <hyperlink ref="E438" r:id="rId437" display="http://www-wds.worldbank.org/external/default/main?menuPK=64187510&amp;pagePK=64193027&amp;piPK=64187937&amp;menuPK=64154159&amp;searchMenuPK=64258546&amp;theSitePK=523679&amp;entityID=000112742_20041214180118"/>
    <hyperlink ref="E439" r:id="rId438" display="http://www-wds.worldbank.org/external/default/main?menuPK=64187510&amp;pagePK=64193027&amp;piPK=64187937&amp;menuPK=64154159&amp;searchMenuPK=64258546&amp;theSitePK=523679&amp;entityID=000112742_20041214180834"/>
    <hyperlink ref="E440" r:id="rId439" display="http://www-wds.worldbank.org/external/default/main?menuPK=64187510&amp;pagePK=64193027&amp;piPK=64187937&amp;menuPK=64154159&amp;searchMenuPK=64258546&amp;theSitePK=523679&amp;entityID=000112742_20041221172722"/>
    <hyperlink ref="E441" r:id="rId440" display="http://www-wds.worldbank.org/external/default/main?menuPK=64187510&amp;pagePK=64193027&amp;piPK=64187937&amp;menuPK=64154159&amp;searchMenuPK=64258546&amp;theSitePK=523679&amp;entityID=000009486_20040813140427"/>
    <hyperlink ref="E442" r:id="rId441" display="http://www-wds.worldbank.org/external/default/main?menuPK=64187510&amp;pagePK=64193027&amp;piPK=64187937&amp;menuPK=64154159&amp;searchMenuPK=64258546&amp;theSitePK=523679&amp;entityID=000012009_20040708155130"/>
    <hyperlink ref="E443" r:id="rId442" display="http://www-wds.worldbank.org/external/default/main?menuPK=64187510&amp;pagePK=64193027&amp;piPK=64187937&amp;menuPK=64154159&amp;searchMenuPK=64258546&amp;theSitePK=523679&amp;entityID=000094946_03070304043562"/>
    <hyperlink ref="E444" r:id="rId443" display="http://www-wds.worldbank.org/external/default/main?menuPK=64187510&amp;pagePK=64193027&amp;piPK=64187937&amp;menuPK=64154159&amp;searchMenuPK=64258546&amp;theSitePK=523679&amp;entityID=000094946_03080704035552"/>
    <hyperlink ref="E445" r:id="rId444" display="http://www-wds.worldbank.org/external/default/main?menuPK=64187510&amp;pagePK=64193027&amp;piPK=64187937&amp;menuPK=64154159&amp;searchMenuPK=64258546&amp;theSitePK=523679&amp;entityID=000094946_02050804102360"/>
    <hyperlink ref="E446" r:id="rId445" display="http://www-wds.worldbank.org/external/default/main?menuPK=64187510&amp;pagePK=64193027&amp;piPK=64187937&amp;menuPK=64154159&amp;searchMenuPK=64258546&amp;theSitePK=523679&amp;entityID=000094946_02121104124741"/>
    <hyperlink ref="E447" r:id="rId446" display="http://www-wds.worldbank.org/external/default/main?menuPK=64187510&amp;pagePK=64193027&amp;piPK=64187937&amp;menuPK=64154159&amp;searchMenuPK=64258546&amp;theSitePK=523679&amp;entityID=000333037_20101011013542"/>
    <hyperlink ref="E448" r:id="rId447" display="http://www-wds.worldbank.org/external/default/main?menuPK=64187510&amp;pagePK=64193027&amp;piPK=64187937&amp;menuPK=64154159&amp;searchMenuPK=64258546&amp;theSitePK=523679&amp;entityID=000012009_20040315134438"/>
    <hyperlink ref="E449" r:id="rId448" display="http://www-wds.worldbank.org/external/default/main?menuPK=64187510&amp;pagePK=64193027&amp;piPK=64187937&amp;menuPK=64154159&amp;searchMenuPK=64258546&amp;theSitePK=523679&amp;entityID=000333037_20100906022835"/>
    <hyperlink ref="E450" r:id="rId449" display="http://www-wds.worldbank.org/external/default/main?menuPK=64187510&amp;pagePK=64193027&amp;piPK=64187937&amp;menuPK=64154159&amp;searchMenuPK=64258546&amp;theSitePK=523679&amp;entityID=000333037_20100906024351"/>
    <hyperlink ref="E451" r:id="rId450" display="http://www-wds.worldbank.org/external/default/main?menuPK=64187510&amp;pagePK=64193027&amp;piPK=64187937&amp;menuPK=64154159&amp;searchMenuPK=64258546&amp;theSitePK=523679&amp;entityID=000020953_20100709114116"/>
    <hyperlink ref="E452" r:id="rId451" display="http://www-wds.worldbank.org/external/default/main?menuPK=64187510&amp;pagePK=64193027&amp;piPK=64187937&amp;menuPK=64154159&amp;searchMenuPK=64258546&amp;theSitePK=523679&amp;entityID=000020953_20100709132615"/>
    <hyperlink ref="E453" r:id="rId452" display="http://www-wds.worldbank.org/external/default/main?menuPK=64187510&amp;pagePK=64193027&amp;piPK=64187937&amp;menuPK=64154159&amp;searchMenuPK=64258546&amp;theSitePK=523679&amp;entityID=000020953_20100709134019"/>
    <hyperlink ref="E454" r:id="rId453" display="http://www-wds.worldbank.org/external/default/main?menuPK=64187510&amp;pagePK=64193027&amp;piPK=64187937&amp;menuPK=64154159&amp;searchMenuPK=64258546&amp;theSitePK=523679&amp;entityID=000020953_20100709135137"/>
    <hyperlink ref="E455" r:id="rId454" display="http://www-wds.worldbank.org/external/default/main?menuPK=64187510&amp;pagePK=64193027&amp;piPK=64187937&amp;menuPK=64154159&amp;searchMenuPK=64258546&amp;theSitePK=523679&amp;entityID=000020953_20100709150550"/>
    <hyperlink ref="E456" r:id="rId455" display="http://www-wds.worldbank.org/external/default/main?menuPK=64187510&amp;pagePK=64193027&amp;piPK=64187937&amp;menuPK=64154159&amp;searchMenuPK=64258546&amp;theSitePK=523679&amp;entityID=000020953_20100709151544"/>
    <hyperlink ref="E457" r:id="rId456" display="http://www-wds.worldbank.org/external/default/main?menuPK=64187510&amp;pagePK=64193027&amp;piPK=64187937&amp;menuPK=64154159&amp;searchMenuPK=64258546&amp;theSitePK=523679&amp;entityID=000020953_20100709141542"/>
    <hyperlink ref="E458" r:id="rId457" display="http://www-wds.worldbank.org/external/default/main?menuPK=64187510&amp;pagePK=64193027&amp;piPK=64187937&amp;menuPK=64154159&amp;searchMenuPK=64258546&amp;theSitePK=523679&amp;entityID=000020953_20100709143316"/>
    <hyperlink ref="E459" r:id="rId458" display="http://www-wds.worldbank.org/external/default/main?menuPK=64187510&amp;pagePK=64193027&amp;piPK=64187937&amp;menuPK=64154159&amp;searchMenuPK=64258546&amp;theSitePK=523679&amp;entityID=000020953_20100709144803"/>
    <hyperlink ref="E460" r:id="rId459" display="http://www-wds.worldbank.org/external/default/main?menuPK=64187510&amp;pagePK=64193027&amp;piPK=64187937&amp;menuPK=64154159&amp;searchMenuPK=64258546&amp;theSitePK=523679&amp;entityID=000020953_20100225153806"/>
    <hyperlink ref="E461" r:id="rId460" display="http://www-wds.worldbank.org/external/default/main?menuPK=64187510&amp;pagePK=64193027&amp;piPK=64187937&amp;menuPK=64154159&amp;searchMenuPK=64258546&amp;theSitePK=523679&amp;entityID=000020953_20100226150943"/>
    <hyperlink ref="E462" r:id="rId461" display="http://www-wds.worldbank.org/external/default/main?menuPK=64187510&amp;pagePK=64193027&amp;piPK=64187937&amp;menuPK=64154159&amp;searchMenuPK=64258546&amp;theSitePK=523679&amp;entityID=000334955_20100129024313"/>
    <hyperlink ref="E463" r:id="rId462" display="http://www-wds.worldbank.org/external/default/main?menuPK=64187510&amp;pagePK=64193027&amp;piPK=64187937&amp;menuPK=64154159&amp;searchMenuPK=64258546&amp;theSitePK=523679&amp;entityID=000020953_20091229144206"/>
    <hyperlink ref="E464" r:id="rId463" display="http://www-wds.worldbank.org/external/default/main?menuPK=64187510&amp;pagePK=64193027&amp;piPK=64187937&amp;menuPK=64154159&amp;searchMenuPK=64258546&amp;theSitePK=523679&amp;entityID=000020953_20101029142608"/>
    <hyperlink ref="E465" r:id="rId464" display="http://www-wds.worldbank.org/external/default/main?menuPK=64187510&amp;pagePK=64193027&amp;piPK=64187937&amp;menuPK=64154159&amp;searchMenuPK=64258546&amp;theSitePK=523679&amp;entityID=000020953_20081113155915"/>
    <hyperlink ref="E466" r:id="rId465" display="http://www-wds.worldbank.org/external/default/main?menuPK=64187510&amp;pagePK=64193027&amp;piPK=64187937&amp;menuPK=64154159&amp;searchMenuPK=64258546&amp;theSitePK=523679&amp;entityID=000020953_20080828143825"/>
    <hyperlink ref="E467" r:id="rId466" display="http://www-wds.worldbank.org/external/default/main?menuPK=64187510&amp;pagePK=64193027&amp;piPK=64187937&amp;menuPK=64154159&amp;searchMenuPK=64258546&amp;theSitePK=523679&amp;entityID=000020953_20080731100549"/>
    <hyperlink ref="E468" r:id="rId467" display="http://www-wds.worldbank.org/external/default/main?menuPK=64187510&amp;pagePK=64193027&amp;piPK=64187937&amp;menuPK=64154159&amp;searchMenuPK=64258546&amp;theSitePK=523679&amp;entityID=000020953_20080731101754"/>
    <hyperlink ref="E469" r:id="rId468" display="http://www-wds.worldbank.org/external/default/main?menuPK=64187510&amp;pagePK=64193027&amp;piPK=64187937&amp;menuPK=64154159&amp;searchMenuPK=64258546&amp;theSitePK=523679&amp;entityID=000334955_20080612040411"/>
    <hyperlink ref="E470" r:id="rId469" display="http://www-wds.worldbank.org/external/default/main?menuPK=64187510&amp;pagePK=64193027&amp;piPK=64187937&amp;menuPK=64154159&amp;searchMenuPK=64258546&amp;theSitePK=523679&amp;entityID=000090341_20060815144046"/>
    <hyperlink ref="E471" r:id="rId470" display="http://www-wds.worldbank.org/external/default/main?menuPK=64187510&amp;pagePK=64193027&amp;piPK=64187937&amp;menuPK=64154159&amp;searchMenuPK=64258546&amp;theSitePK=523679&amp;entityID=000090341_20060601111851"/>
    <hyperlink ref="E472" r:id="rId471" display="http://www-wds.worldbank.org/external/default/main?menuPK=64187510&amp;pagePK=64193027&amp;piPK=64187937&amp;menuPK=64154159&amp;searchMenuPK=64258546&amp;theSitePK=523679&amp;entityID=000090341_20060227102640"/>
    <hyperlink ref="E473" r:id="rId472" display="http://www-wds.worldbank.org/external/default/main?menuPK=64187510&amp;pagePK=64193027&amp;piPK=64187937&amp;menuPK=64154159&amp;searchMenuPK=64258546&amp;theSitePK=523679&amp;entityID=000012009_20051219135356"/>
    <hyperlink ref="E474" r:id="rId473" display="http://www-wds.worldbank.org/external/default/main?menuPK=64187510&amp;pagePK=64193027&amp;piPK=64187937&amp;menuPK=64154159&amp;searchMenuPK=64258546&amp;theSitePK=523679&amp;entityID=000012009_20051216133230"/>
    <hyperlink ref="E475" r:id="rId474" display="http://www-wds.worldbank.org/external/default/main?menuPK=64187510&amp;pagePK=64193027&amp;piPK=64187937&amp;menuPK=64154159&amp;searchMenuPK=64258546&amp;theSitePK=523679&amp;entityID=000160016_20051018110252"/>
    <hyperlink ref="E476" r:id="rId475" display="http://www-wds.worldbank.org/external/default/main?menuPK=64187510&amp;pagePK=64193027&amp;piPK=64187937&amp;menuPK=64154159&amp;searchMenuPK=64258546&amp;theSitePK=523679&amp;entityID=000012009_20050623143729"/>
    <hyperlink ref="E477" r:id="rId476" display="http://www-wds.worldbank.org/external/default/main?menuPK=64187510&amp;pagePK=64193027&amp;piPK=64187937&amp;menuPK=64154159&amp;searchMenuPK=64258546&amp;theSitePK=523679&amp;entityID=000011823_20050603105247"/>
    <hyperlink ref="E478" r:id="rId477" display="http://www-wds.worldbank.org/external/default/main?menuPK=64187510&amp;pagePK=64193027&amp;piPK=64187937&amp;menuPK=64154159&amp;searchMenuPK=64258546&amp;theSitePK=523679&amp;entityID=000012009_20041015133407"/>
    <hyperlink ref="E479" r:id="rId478" display="http://www-wds.worldbank.org/external/default/main?menuPK=64187510&amp;pagePK=64193027&amp;piPK=64187937&amp;menuPK=64154159&amp;searchMenuPK=64258546&amp;theSitePK=523679&amp;entityID=000012009_20040621140533"/>
    <hyperlink ref="E480" r:id="rId479" display="http://www-wds.worldbank.org/external/default/main?menuPK=64187510&amp;pagePK=64193027&amp;piPK=64187937&amp;menuPK=64154159&amp;searchMenuPK=64258546&amp;theSitePK=523679&amp;entityID=000090341_20040408143626"/>
    <hyperlink ref="E481" r:id="rId480" display="http://www-wds.worldbank.org/external/default/main?menuPK=64187510&amp;pagePK=64193027&amp;piPK=64187937&amp;menuPK=64154159&amp;searchMenuPK=64258546&amp;theSitePK=523679&amp;entityID=000090341_20040506094548"/>
    <hyperlink ref="E482" r:id="rId481" display="http://www-wds.worldbank.org/external/default/main?menuPK=64187510&amp;pagePK=64193027&amp;piPK=64187937&amp;menuPK=64154159&amp;searchMenuPK=64258546&amp;theSitePK=523679&amp;entityID=000090341_20040408133424"/>
    <hyperlink ref="E483" r:id="rId482" display="http://www-wds.worldbank.org/external/default/main?menuPK=64187510&amp;pagePK=64193027&amp;piPK=64187937&amp;menuPK=64154159&amp;searchMenuPK=64258546&amp;theSitePK=523679&amp;entityID=000094946_02052904095878"/>
    <hyperlink ref="E484" r:id="rId483" display="http://www-wds.worldbank.org/external/default/main?menuPK=64187510&amp;pagePK=64193027&amp;piPK=64187937&amp;menuPK=64154159&amp;searchMenuPK=64258546&amp;theSitePK=523679&amp;entityID=000094946_02050404112042"/>
    <hyperlink ref="E485" r:id="rId484" display="http://www-wds.worldbank.org/external/default/main?menuPK=64187510&amp;pagePK=64193027&amp;piPK=64187937&amp;menuPK=64154159&amp;searchMenuPK=64258546&amp;theSitePK=523679&amp;entityID=000334955_20090313034311"/>
    <hyperlink ref="E486" r:id="rId485" display="http://www-wds.worldbank.org/external/default/main?menuPK=64187510&amp;pagePK=64193027&amp;piPK=64187937&amp;menuPK=64154159&amp;searchMenuPK=64258546&amp;theSitePK=523679&amp;entityID=000334955_20080424070317"/>
    <hyperlink ref="E487" r:id="rId486" display="http://www-wds.worldbank.org/external/default/main?menuPK=64187510&amp;pagePK=64193027&amp;piPK=64187937&amp;menuPK=64154159&amp;searchMenuPK=64258546&amp;theSitePK=523679&amp;entityID=000090341_20070313161559"/>
    <hyperlink ref="E488" r:id="rId487" display="http://www-wds.worldbank.org/external/default/main?menuPK=64187510&amp;pagePK=64193027&amp;piPK=64187937&amp;menuPK=64154159&amp;searchMenuPK=64258546&amp;theSitePK=523679&amp;entityID=000094946_02050404111838"/>
    <hyperlink ref="E489" r:id="rId488" display="http://www-wds.worldbank.org/external/default/main?menuPK=64187510&amp;pagePK=64193027&amp;piPK=64187937&amp;menuPK=64154159&amp;searchMenuPK=64258546&amp;theSitePK=523679&amp;entityID=000094946_02050404111839"/>
    <hyperlink ref="E490" r:id="rId489" display="http://www-wds.worldbank.org/external/default/main?menuPK=64187510&amp;pagePK=64193027&amp;piPK=64187937&amp;menuPK=64154159&amp;searchMenuPK=64258546&amp;theSitePK=523679&amp;entityID=000090341_20040211112633"/>
    <hyperlink ref="E491" r:id="rId490" display="http://www-wds.worldbank.org/external/default/main?menuPK=64187510&amp;pagePK=64193027&amp;piPK=64187937&amp;menuPK=64154159&amp;searchMenuPK=64258546&amp;theSitePK=523679&amp;entityID=000356161_20110221030847"/>
    <hyperlink ref="E492" r:id="rId491" display="http://www-wds.worldbank.org/external/default/main?menuPK=64187510&amp;pagePK=64193027&amp;piPK=64187937&amp;menuPK=64154159&amp;searchMenuPK=64258546&amp;theSitePK=523679&amp;entityID=000334955_20101101040327"/>
    <hyperlink ref="E493" r:id="rId492" display="http://www-wds.worldbank.org/external/default/main?menuPK=64187510&amp;pagePK=64193027&amp;piPK=64187937&amp;menuPK=64154159&amp;searchMenuPK=64258546&amp;theSitePK=523679&amp;entityID=000334955_20100219015834"/>
    <hyperlink ref="E494" r:id="rId493" display="http://www-wds.worldbank.org/external/default/main?menuPK=64187510&amp;pagePK=64193027&amp;piPK=64187937&amp;menuPK=64154159&amp;searchMenuPK=64258546&amp;theSitePK=523679&amp;entityID=000334955_20091015021023"/>
    <hyperlink ref="E495" r:id="rId494" display="http://www-wds.worldbank.org/external/default/main?menuPK=64187510&amp;pagePK=64193027&amp;piPK=64187937&amp;menuPK=64154159&amp;searchMenuPK=64258546&amp;theSitePK=523679&amp;entityID=000333037_20090506012956"/>
    <hyperlink ref="E496" r:id="rId495" display="http://www-wds.worldbank.org/external/default/main?menuPK=64187510&amp;pagePK=64193027&amp;piPK=64187937&amp;menuPK=64154159&amp;searchMenuPK=64258546&amp;theSitePK=523679&amp;entityID=000020953_20071001104026"/>
    <hyperlink ref="E497" r:id="rId496" display="http://www-wds.worldbank.org/external/default/main?menuPK=64187510&amp;pagePK=64193027&amp;piPK=64187937&amp;menuPK=64154159&amp;searchMenuPK=64258546&amp;theSitePK=523679&amp;entityID=000011823_20071004170600"/>
    <hyperlink ref="E498" r:id="rId497" display="http://www-wds.worldbank.org/external/default/main?menuPK=64187510&amp;pagePK=64193027&amp;piPK=64187937&amp;menuPK=64154159&amp;searchMenuPK=64258546&amp;theSitePK=523679&amp;entityID=000020439_20070926094043"/>
    <hyperlink ref="E499" r:id="rId498" display="http://www-wds.worldbank.org/external/default/main?menuPK=64187510&amp;pagePK=64193027&amp;piPK=64187937&amp;menuPK=64154159&amp;searchMenuPK=64258546&amp;theSitePK=523679&amp;entityID=000020439_20070926094501"/>
    <hyperlink ref="E500" r:id="rId499" display="http://www-wds.worldbank.org/external/default/main?menuPK=64187510&amp;pagePK=64193027&amp;piPK=64187937&amp;menuPK=64154159&amp;searchMenuPK=64258546&amp;theSitePK=523679&amp;entityID=000334955_20101025030940"/>
    <hyperlink ref="E501" r:id="rId500" display="http://www-wds.worldbank.org/external/default/main?menuPK=64187510&amp;pagePK=64193027&amp;piPK=64187937&amp;menuPK=64154159&amp;searchMenuPK=64258546&amp;theSitePK=523679&amp;entityID=000334955_20101025031236"/>
    <hyperlink ref="E502" r:id="rId501" display="http://www-wds.worldbank.org/external/default/main?menuPK=64187510&amp;pagePK=64193027&amp;piPK=64187937&amp;menuPK=64154159&amp;searchMenuPK=64258546&amp;theSitePK=523679&amp;entityID=000012009_20050315134241"/>
    <hyperlink ref="E503" r:id="rId502" display="http://www-wds.worldbank.org/external/default/main?menuPK=64187510&amp;pagePK=64193027&amp;piPK=64187937&amp;menuPK=64154159&amp;searchMenuPK=64258546&amp;theSitePK=523679&amp;entityID=000090341_20050325101211"/>
    <hyperlink ref="E504" r:id="rId503" display="http://www-wds.worldbank.org/external/default/main?menuPK=64187510&amp;pagePK=64193027&amp;piPK=64187937&amp;menuPK=64154159&amp;searchMenuPK=64258546&amp;theSitePK=523679&amp;entityID=000160016_20031118183611"/>
    <hyperlink ref="E505" r:id="rId504" display="http://www-wds.worldbank.org/external/default/main?menuPK=64187510&amp;pagePK=64193027&amp;piPK=64187937&amp;menuPK=64154159&amp;searchMenuPK=64258546&amp;theSitePK=523679&amp;entityID=000020953_20110302142151"/>
    <hyperlink ref="E506" r:id="rId505" display="http://www-wds.worldbank.org/external/default/main?menuPK=64187510&amp;pagePK=64193027&amp;piPK=64187937&amp;menuPK=64154159&amp;searchMenuPK=64258546&amp;theSitePK=523679&amp;entityID=000020953_20110302142717"/>
    <hyperlink ref="E507" r:id="rId506" display="http://www-wds.worldbank.org/external/default/main?menuPK=64187510&amp;pagePK=64193027&amp;piPK=64187937&amp;menuPK=64154159&amp;searchMenuPK=64258546&amp;theSitePK=523679&amp;entityID=000020953_20101215133410"/>
    <hyperlink ref="E508" r:id="rId507" display="http://www-wds.worldbank.org/external/default/main?menuPK=64187510&amp;pagePK=64193027&amp;piPK=64187937&amp;menuPK=64154159&amp;searchMenuPK=64258546&amp;theSitePK=523679&amp;entityID=000020953_20100730144850"/>
    <hyperlink ref="E509" r:id="rId508" display="http://www-wds.worldbank.org/external/default/main?menuPK=64187510&amp;pagePK=64193027&amp;piPK=64187937&amp;menuPK=64154159&amp;searchMenuPK=64258546&amp;theSitePK=523679&amp;entityID=000020953_20091209145149"/>
    <hyperlink ref="E510" r:id="rId509" display="http://www-wds.worldbank.org/external/default/main?menuPK=64187510&amp;pagePK=64193027&amp;piPK=64187937&amp;menuPK=64154159&amp;searchMenuPK=64258546&amp;theSitePK=523679&amp;entityID=000020953_20091118134721"/>
    <hyperlink ref="E511" r:id="rId510" display="http://www-wds.worldbank.org/external/default/main?menuPK=64187510&amp;pagePK=64193027&amp;piPK=64187937&amp;menuPK=64154159&amp;searchMenuPK=64258546&amp;theSitePK=523679&amp;entityID=000020953_20091118111202"/>
    <hyperlink ref="E512" r:id="rId511" display="http://www-wds.worldbank.org/external/default/main?menuPK=64187510&amp;pagePK=64193027&amp;piPK=64187937&amp;menuPK=64154159&amp;searchMenuPK=64258546&amp;theSitePK=523679&amp;entityID=000020953_20091118112002"/>
    <hyperlink ref="E513" r:id="rId512" display="http://www-wds.worldbank.org/external/default/main?menuPK=64187510&amp;pagePK=64193027&amp;piPK=64187937&amp;menuPK=64154159&amp;searchMenuPK=64258546&amp;theSitePK=523679&amp;entityID=000020953_20091118112618"/>
    <hyperlink ref="E514" r:id="rId513" display="http://www-wds.worldbank.org/external/default/main?menuPK=64187510&amp;pagePK=64193027&amp;piPK=64187937&amp;menuPK=64154159&amp;searchMenuPK=64258546&amp;theSitePK=523679&amp;entityID=000020953_20091118131705"/>
    <hyperlink ref="E515" r:id="rId514" display="http://www-wds.worldbank.org/external/default/main?menuPK=64187510&amp;pagePK=64193027&amp;piPK=64187937&amp;menuPK=64154159&amp;searchMenuPK=64258546&amp;theSitePK=523679&amp;entityID=000020953_20091118133742"/>
    <hyperlink ref="E516" r:id="rId515" display="http://www-wds.worldbank.org/external/default/main?menuPK=64187510&amp;pagePK=64193027&amp;piPK=64187937&amp;menuPK=64154159&amp;searchMenuPK=64258546&amp;theSitePK=523679&amp;entityID=000334955_20080430024944"/>
    <hyperlink ref="E517" r:id="rId516" display="http://www-wds.worldbank.org/external/default/main?menuPK=64187510&amp;pagePK=64193027&amp;piPK=64187937&amp;menuPK=64154159&amp;searchMenuPK=64258546&amp;theSitePK=523679&amp;entityID=000020953_20080428102605"/>
    <hyperlink ref="E518" r:id="rId517" display="http://www-wds.worldbank.org/external/default/main?menuPK=64187510&amp;pagePK=64193027&amp;piPK=64187937&amp;menuPK=64154159&amp;searchMenuPK=64258546&amp;theSitePK=523679&amp;entityID=000012009_20051007152105"/>
    <hyperlink ref="E519" r:id="rId518" display="http://www-wds.worldbank.org/external/default/main?menuPK=64187510&amp;pagePK=64193027&amp;piPK=64187937&amp;menuPK=64154159&amp;searchMenuPK=64258546&amp;theSitePK=523679&amp;entityID=000090341_20050303100829"/>
    <hyperlink ref="E520" r:id="rId519" display="http://www-wds.worldbank.org/external/default/main?menuPK=64187510&amp;pagePK=64193027&amp;piPK=64187937&amp;menuPK=64154159&amp;searchMenuPK=64258546&amp;theSitePK=523679&amp;entityID=000012009_20031105150158"/>
    <hyperlink ref="E521" r:id="rId520" display="http://www-wds.worldbank.org/external/default/main?menuPK=64187510&amp;pagePK=64193027&amp;piPK=64187937&amp;menuPK=64154159&amp;searchMenuPK=64258546&amp;theSitePK=523679&amp;entityID=000094946_03070104022941"/>
    <hyperlink ref="E522" r:id="rId521" display="http://www-wds.worldbank.org/external/default/main?menuPK=64187510&amp;pagePK=64193027&amp;piPK=64187937&amp;menuPK=64154159&amp;searchMenuPK=64258546&amp;theSitePK=523679&amp;entityID=000094946_02050404111940"/>
    <hyperlink ref="E523" r:id="rId522" display="http://www-wds.worldbank.org/external/default/main?menuPK=64187510&amp;pagePK=64193027&amp;piPK=64187937&amp;menuPK=64154159&amp;searchMenuPK=64258546&amp;theSitePK=523679&amp;entityID=000020953_20100305111323"/>
    <hyperlink ref="E524" r:id="rId523" display="http://www-wds.worldbank.org/external/default/main?menuPK=64187510&amp;pagePK=64193027&amp;piPK=64187937&amp;menuPK=64154159&amp;searchMenuPK=64258546&amp;theSitePK=523679&amp;entityID=000020953_20100121152947"/>
    <hyperlink ref="E525" r:id="rId524" display="http://www-wds.worldbank.org/external/default/main?menuPK=64187510&amp;pagePK=64193027&amp;piPK=64187937&amp;menuPK=64154159&amp;searchMenuPK=64258546&amp;theSitePK=523679&amp;entityID=000334955_20080602073126"/>
    <hyperlink ref="E526" r:id="rId525" display="http://www-wds.worldbank.org/external/default/main?menuPK=64187510&amp;pagePK=64193027&amp;piPK=64187937&amp;menuPK=64154159&amp;searchMenuPK=64258546&amp;theSitePK=523679&amp;entityID=000333038_20080526022420"/>
    <hyperlink ref="E527" r:id="rId526" display="http://www-wds.worldbank.org/external/default/main?menuPK=64187510&amp;pagePK=64193027&amp;piPK=64187937&amp;menuPK=64154159&amp;searchMenuPK=64258546&amp;theSitePK=523679&amp;entityID=000011823_20070525134027"/>
    <hyperlink ref="E528" r:id="rId527" display="http://www-wds.worldbank.org/external/default/main?menuPK=64187510&amp;pagePK=64193027&amp;piPK=64187937&amp;menuPK=64154159&amp;searchMenuPK=64258546&amp;theSitePK=523679&amp;entityID=000090341_20070330103638"/>
    <hyperlink ref="E529" r:id="rId528" display="http://www-wds.worldbank.org/external/default/main?menuPK=64187510&amp;pagePK=64193027&amp;piPK=64187937&amp;menuPK=64154159&amp;searchMenuPK=64258546&amp;theSitePK=523679&amp;entityID=000020953_20070131160415"/>
    <hyperlink ref="E530" r:id="rId529" display="http://www-wds.worldbank.org/external/default/main?menuPK=64187510&amp;pagePK=64193027&amp;piPK=64187937&amp;menuPK=64154159&amp;searchMenuPK=64258546&amp;theSitePK=523679&amp;entityID=000160016_20080415165938"/>
    <hyperlink ref="E531" r:id="rId530" display="http://www-wds.worldbank.org/external/default/main?menuPK=64187510&amp;pagePK=64193027&amp;piPK=64187937&amp;menuPK=64154159&amp;searchMenuPK=64258546&amp;theSitePK=523679&amp;entityID=000012009_20060414143410"/>
    <hyperlink ref="E532" r:id="rId531" display="http://www-wds.worldbank.org/external/default/main?menuPK=64187510&amp;pagePK=64193027&amp;piPK=64187937&amp;menuPK=64154159&amp;searchMenuPK=64258546&amp;theSitePK=523679&amp;entityID=000333037_20110307025947"/>
    <hyperlink ref="E533" r:id="rId532" display="http://www-wds.worldbank.org/external/default/main?menuPK=64187510&amp;pagePK=64193027&amp;piPK=64187937&amp;menuPK=64154159&amp;searchMenuPK=64258546&amp;theSitePK=523679&amp;entityID=000334955_20100517070120"/>
    <hyperlink ref="E534" r:id="rId533" display="http://www-wds.worldbank.org/external/default/main?menuPK=64187510&amp;pagePK=64193027&amp;piPK=64187937&amp;menuPK=64154159&amp;searchMenuPK=64258546&amp;theSitePK=523679&amp;entityID=000334955_20100517070659"/>
    <hyperlink ref="E535" r:id="rId534" display="http://www-wds.worldbank.org/external/default/main?menuPK=64187510&amp;pagePK=64193027&amp;piPK=64187937&amp;menuPK=64154159&amp;searchMenuPK=64258546&amp;theSitePK=523679&amp;entityID=000334955_20100412045019"/>
    <hyperlink ref="E536" r:id="rId535" display="http://www-wds.worldbank.org/external/default/main?menuPK=64187510&amp;pagePK=64193027&amp;piPK=64187937&amp;menuPK=64154159&amp;searchMenuPK=64258546&amp;theSitePK=523679&amp;entityID=000011823_20070601124711"/>
    <hyperlink ref="E537" r:id="rId536" display="http://www-wds.worldbank.org/external/default/main?menuPK=64187510&amp;pagePK=64193027&amp;piPK=64187937&amp;menuPK=64154159&amp;searchMenuPK=64258546&amp;theSitePK=523679&amp;entityID=000020953_20100811153547"/>
    <hyperlink ref="E538" r:id="rId537" display="http://www-wds.worldbank.org/external/default/main?menuPK=64187510&amp;pagePK=64193027&amp;piPK=64187937&amp;menuPK=64154159&amp;searchMenuPK=64258546&amp;theSitePK=523679&amp;entityID=000020953_20100811154554"/>
    <hyperlink ref="E539" r:id="rId538" display="http://www-wds.worldbank.org/external/default/main?menuPK=64187510&amp;pagePK=64193027&amp;piPK=64187937&amp;menuPK=64154159&amp;searchMenuPK=64258546&amp;theSitePK=523679&amp;entityID=000333038_20090203224754"/>
    <hyperlink ref="E540" r:id="rId539" display="http://www-wds.worldbank.org/external/default/main?menuPK=64187510&amp;pagePK=64193027&amp;piPK=64187937&amp;menuPK=64154159&amp;searchMenuPK=64258546&amp;theSitePK=523679&amp;entityID=000333038_20080423032952"/>
    <hyperlink ref="E541" r:id="rId540" display="http://www-wds.worldbank.org/external/default/main?menuPK=64187510&amp;pagePK=64193027&amp;piPK=64187937&amp;menuPK=64154159&amp;searchMenuPK=64258546&amp;theSitePK=523679&amp;entityID=000020953_20080213144450"/>
    <hyperlink ref="E542" r:id="rId541" display="http://www-wds.worldbank.org/external/default/main?menuPK=64187510&amp;pagePK=64193027&amp;piPK=64187937&amp;menuPK=64154159&amp;searchMenuPK=64258546&amp;theSitePK=523679&amp;entityID=000020439_20071214161415"/>
    <hyperlink ref="E543" r:id="rId542" display="http://www-wds.worldbank.org/external/default/main?menuPK=64187510&amp;pagePK=64193027&amp;piPK=64187937&amp;menuPK=64154159&amp;searchMenuPK=64258546&amp;theSitePK=523679&amp;entityID=000020439_20071214162417"/>
    <hyperlink ref="E544" r:id="rId543" display="http://www-wds.worldbank.org/external/default/main?menuPK=64187510&amp;pagePK=64193027&amp;piPK=64187937&amp;menuPK=64154159&amp;searchMenuPK=64258546&amp;theSitePK=523679&amp;entityID=000333038_20080423035107"/>
    <hyperlink ref="E545" r:id="rId544" display="http://www-wds.worldbank.org/external/default/main?menuPK=64187510&amp;pagePK=64193027&amp;piPK=64187937&amp;menuPK=64154159&amp;searchMenuPK=64258546&amp;theSitePK=523679&amp;entityID=000333038_20100518232811"/>
    <hyperlink ref="E546" r:id="rId545" display="http://www-wds.worldbank.org/external/default/main?menuPK=64187510&amp;pagePK=64193027&amp;piPK=64187937&amp;menuPK=64154159&amp;searchMenuPK=64258546&amp;theSitePK=523679&amp;entityID=000011823_20060822120446"/>
    <hyperlink ref="E547" r:id="rId546" display="http://www-wds.worldbank.org/external/default/main?menuPK=64187510&amp;pagePK=64193027&amp;piPK=64187937&amp;menuPK=64154159&amp;searchMenuPK=64258546&amp;theSitePK=523679&amp;entityID=000160016_20080409154941"/>
    <hyperlink ref="E548" r:id="rId547" display="http://www-wds.worldbank.org/external/default/main?menuPK=64187510&amp;pagePK=64193027&amp;piPK=64187937&amp;menuPK=64154159&amp;searchMenuPK=64258546&amp;theSitePK=523679&amp;entityID=000310607_20070125144646"/>
    <hyperlink ref="E549" r:id="rId548" display="http://www-wds.worldbank.org/external/default/main?menuPK=64187510&amp;pagePK=64193027&amp;piPK=64187937&amp;menuPK=64154159&amp;searchMenuPK=64258546&amp;theSitePK=523679&amp;entityID=000012009_20050225112157"/>
    <hyperlink ref="E550" r:id="rId549" display="http://www-wds.worldbank.org/external/default/main?menuPK=64187510&amp;pagePK=64193027&amp;piPK=64187937&amp;menuPK=64154159&amp;searchMenuPK=64258546&amp;theSitePK=523679&amp;entityID=000020953_20110128151542"/>
    <hyperlink ref="E551" r:id="rId550" display="http://www-wds.worldbank.org/external/default/main?menuPK=64187510&amp;pagePK=64193027&amp;piPK=64187937&amp;menuPK=64154159&amp;searchMenuPK=64258546&amp;theSitePK=523679&amp;entityID=000334955_20101119020542"/>
    <hyperlink ref="E552" r:id="rId551" display="http://www-wds.worldbank.org/external/default/main?menuPK=64187510&amp;pagePK=64193027&amp;piPK=64187937&amp;menuPK=64154159&amp;searchMenuPK=64258546&amp;theSitePK=523679&amp;entityID=000020953_20100115101958"/>
    <hyperlink ref="E553" r:id="rId552" display="http://www-wds.worldbank.org/external/default/main?menuPK=64187510&amp;pagePK=64193027&amp;piPK=64187937&amp;menuPK=64154159&amp;searchMenuPK=64258546&amp;theSitePK=523679&amp;entityID=000020953_20100115102851"/>
    <hyperlink ref="E554" r:id="rId553" display="http://www-wds.worldbank.org/external/default/main?menuPK=64187510&amp;pagePK=64193027&amp;piPK=64187937&amp;menuPK=64154159&amp;searchMenuPK=64258546&amp;theSitePK=523679&amp;entityID=000333038_20091203230418"/>
    <hyperlink ref="E555" r:id="rId554" display="http://www-wds.worldbank.org/external/default/main?menuPK=64187510&amp;pagePK=64193027&amp;piPK=64187937&amp;menuPK=64154159&amp;searchMenuPK=64258546&amp;theSitePK=523679&amp;entityID=000333038_20091202221813"/>
    <hyperlink ref="E556" r:id="rId555" display="http://www-wds.worldbank.org/external/default/main?menuPK=64187510&amp;pagePK=64193027&amp;piPK=64187937&amp;menuPK=64154159&amp;searchMenuPK=64258546&amp;theSitePK=523679&amp;entityID=000333037_20091110000521"/>
    <hyperlink ref="E557" r:id="rId556" display="http://www-wds.worldbank.org/external/default/main?menuPK=64187510&amp;pagePK=64193027&amp;piPK=64187937&amp;menuPK=64154159&amp;searchMenuPK=64258546&amp;theSitePK=523679&amp;entityID=000020953_20090430111244"/>
    <hyperlink ref="E558" r:id="rId557" display="http://www-wds.worldbank.org/external/default/main?menuPK=64187510&amp;pagePK=64193027&amp;piPK=64187937&amp;menuPK=64154159&amp;searchMenuPK=64258546&amp;theSitePK=523679&amp;entityID=000020953_20090212144617"/>
    <hyperlink ref="E559" r:id="rId558" display="http://www-wds.worldbank.org/external/default/main?menuPK=64187510&amp;pagePK=64193027&amp;piPK=64187937&amp;menuPK=64154159&amp;searchMenuPK=64258546&amp;theSitePK=523679&amp;entityID=000020953_20090212143123"/>
    <hyperlink ref="E560" r:id="rId559" display="http://www-wds.worldbank.org/external/default/main?menuPK=64187510&amp;pagePK=64193027&amp;piPK=64187937&amp;menuPK=64154159&amp;searchMenuPK=64258546&amp;theSitePK=523679&amp;entityID=000333038_20081114010950"/>
    <hyperlink ref="E561" r:id="rId560" display="http://www-wds.worldbank.org/external/default/main?menuPK=64187510&amp;pagePK=64193027&amp;piPK=64187937&amp;menuPK=64154159&amp;searchMenuPK=64258546&amp;theSitePK=523679&amp;entityID=000020953_20080604150956"/>
    <hyperlink ref="E562" r:id="rId561" display="http://www-wds.worldbank.org/external/default/main?menuPK=64187510&amp;pagePK=64193027&amp;piPK=64187937&amp;menuPK=64154159&amp;searchMenuPK=64258546&amp;theSitePK=523679&amp;entityID=000090341_20070611085547"/>
    <hyperlink ref="E563" r:id="rId562" display="http://www-wds.worldbank.org/external/default/main?menuPK=64187510&amp;pagePK=64193027&amp;piPK=64187937&amp;menuPK=64154159&amp;searchMenuPK=64258546&amp;theSitePK=523679&amp;entityID=000020953_20081218150959"/>
    <hyperlink ref="E564" r:id="rId563" display="http://www-wds.worldbank.org/external/default/main?menuPK=64187510&amp;pagePK=64193027&amp;piPK=64187937&amp;menuPK=64154159&amp;searchMenuPK=64258546&amp;theSitePK=523679&amp;entityID=000011823_20060823112351"/>
    <hyperlink ref="E565" r:id="rId564" display="http://www-wds.worldbank.org/external/default/main?menuPK=64187510&amp;pagePK=64193027&amp;piPK=64187937&amp;menuPK=64154159&amp;searchMenuPK=64258546&amp;theSitePK=523679&amp;entityID=000090341_20061208104231"/>
    <hyperlink ref="E566" r:id="rId565" display="http://www-wds.worldbank.org/external/default/main?menuPK=64187510&amp;pagePK=64193027&amp;piPK=64187937&amp;menuPK=64154159&amp;searchMenuPK=64258546&amp;theSitePK=523679&amp;entityID=000011823_20060810163521"/>
    <hyperlink ref="E567" r:id="rId566" display="http://www-wds.worldbank.org/external/default/main?menuPK=64187510&amp;pagePK=64193027&amp;piPK=64187937&amp;menuPK=64154159&amp;searchMenuPK=64258546&amp;theSitePK=523679&amp;entityID=000012009_20050422140349"/>
    <hyperlink ref="E568" r:id="rId567" display="http://www-wds.worldbank.org/external/default/main?menuPK=64187510&amp;pagePK=64193027&amp;piPK=64187937&amp;menuPK=64154159&amp;searchMenuPK=64258546&amp;theSitePK=523679&amp;entityID=000012009_20050408130211"/>
    <hyperlink ref="E569" r:id="rId568" display="http://www-wds.worldbank.org/external/default/main?menuPK=64187510&amp;pagePK=64193027&amp;piPK=64187937&amp;menuPK=64154159&amp;searchMenuPK=64258546&amp;theSitePK=523679&amp;entityID=000094946_02110704155577"/>
    <hyperlink ref="E570" r:id="rId569" display="http://www-wds.worldbank.org/external/default/main?menuPK=64187510&amp;pagePK=64193027&amp;piPK=64187937&amp;menuPK=64154159&amp;searchMenuPK=64258546&amp;theSitePK=523679&amp;entityID=000094946_02061304435133"/>
    <hyperlink ref="E571" r:id="rId570" display="http://www-wds.worldbank.org/external/default/main?menuPK=64187510&amp;pagePK=64193027&amp;piPK=64187937&amp;menuPK=64154159&amp;searchMenuPK=64258546&amp;theSitePK=523679&amp;entityID=000334955_20100420040819"/>
    <hyperlink ref="E572" r:id="rId571" display="http://www-wds.worldbank.org/external/default/main?menuPK=64187510&amp;pagePK=64193027&amp;piPK=64187937&amp;menuPK=64154159&amp;searchMenuPK=64258546&amp;theSitePK=523679&amp;entityID=000334955_20100308013828"/>
    <hyperlink ref="E573" r:id="rId572" display="http://www-wds.worldbank.org/external/default/main?menuPK=64187510&amp;pagePK=64193027&amp;piPK=64187937&amp;menuPK=64154159&amp;searchMenuPK=64258546&amp;theSitePK=523679&amp;entityID=000334955_20100218022257"/>
    <hyperlink ref="E574" r:id="rId573" display="http://www-wds.worldbank.org/external/default/main?menuPK=64187510&amp;pagePK=64193027&amp;piPK=64187937&amp;menuPK=64154159&amp;searchMenuPK=64258546&amp;theSitePK=523679&amp;entityID=000334955_20091112010821"/>
    <hyperlink ref="E575" r:id="rId574" display="http://www-wds.worldbank.org/external/default/main?menuPK=64187510&amp;pagePK=64193027&amp;piPK=64187937&amp;menuPK=64154159&amp;searchMenuPK=64258546&amp;theSitePK=523679&amp;entityID=000333037_20090925002614"/>
    <hyperlink ref="E576" r:id="rId575" display="http://www-wds.worldbank.org/external/default/main?menuPK=64187510&amp;pagePK=64193027&amp;piPK=64187937&amp;menuPK=64154159&amp;searchMenuPK=64258546&amp;theSitePK=523679&amp;entityID=000333038_20090324015115"/>
    <hyperlink ref="E577" r:id="rId576" display="http://www-wds.worldbank.org/external/default/main?menuPK=64187510&amp;pagePK=64193027&amp;piPK=64187937&amp;menuPK=64154159&amp;searchMenuPK=64258546&amp;theSitePK=523679&amp;entityID=000334955_20090210040015"/>
    <hyperlink ref="E578" r:id="rId577" display="http://www-wds.worldbank.org/external/default/main?menuPK=64187510&amp;pagePK=64193027&amp;piPK=64187937&amp;menuPK=64154159&amp;searchMenuPK=64258546&amp;theSitePK=523679&amp;entityID=000333038_20090325010913"/>
    <hyperlink ref="E579" r:id="rId578" display="http://www-wds.worldbank.org/external/default/main?menuPK=64187510&amp;pagePK=64193027&amp;piPK=64187937&amp;menuPK=64154159&amp;searchMenuPK=64258546&amp;theSitePK=523679&amp;entityID=000020953_20070524154340"/>
    <hyperlink ref="E580" r:id="rId579" display="http://www-wds.worldbank.org/external/default/main?menuPK=64187510&amp;pagePK=64193027&amp;piPK=64187937&amp;menuPK=64154159&amp;searchMenuPK=64258546&amp;theSitePK=523679&amp;entityID=000090341_20070125151017"/>
    <hyperlink ref="E581" r:id="rId580" display="http://www-wds.worldbank.org/external/default/main?menuPK=64187510&amp;pagePK=64193027&amp;piPK=64187937&amp;menuPK=64154159&amp;searchMenuPK=64258546&amp;theSitePK=523679&amp;entityID=000334955_20080919075328"/>
    <hyperlink ref="E582" r:id="rId581" display="http://www-wds.worldbank.org/external/default/main?menuPK=64187510&amp;pagePK=64193027&amp;piPK=64187937&amp;menuPK=64154159&amp;searchMenuPK=64258546&amp;theSitePK=523679&amp;entityID=000020953_20061215155417"/>
    <hyperlink ref="E583" r:id="rId582" display="http://www-wds.worldbank.org/external/default/main?menuPK=64187510&amp;pagePK=64193027&amp;piPK=64187937&amp;menuPK=64154159&amp;searchMenuPK=64258546&amp;theSitePK=523679&amp;entityID=000090341_20060831113954"/>
    <hyperlink ref="E584" r:id="rId583" display="http://www-wds.worldbank.org/external/default/main?menuPK=64187510&amp;pagePK=64193027&amp;piPK=64187937&amp;menuPK=64154159&amp;searchMenuPK=64258546&amp;theSitePK=523679&amp;entityID=000160016_20060329175456"/>
    <hyperlink ref="E585" r:id="rId584" display="http://www-wds.worldbank.org/external/default/main?menuPK=64187510&amp;pagePK=64193027&amp;piPK=64187937&amp;menuPK=64154159&amp;searchMenuPK=64258546&amp;theSitePK=523679&amp;entityID=000160016_20080416114052"/>
    <hyperlink ref="E586" r:id="rId585" display="http://www-wds.worldbank.org/external/default/main?menuPK=64187510&amp;pagePK=64193027&amp;piPK=64187937&amp;menuPK=64154159&amp;searchMenuPK=64258546&amp;theSitePK=523679&amp;entityID=000012009_20051209135800"/>
    <hyperlink ref="E587" r:id="rId586" display="http://www-wds.worldbank.org/external/default/main?menuPK=64187510&amp;pagePK=64193027&amp;piPK=64187937&amp;menuPK=64154159&amp;searchMenuPK=64258546&amp;theSitePK=523679&amp;entityID=000090341_20051209092911"/>
    <hyperlink ref="E588" r:id="rId587" display="http://www-wds.worldbank.org/external/default/main?menuPK=64187510&amp;pagePK=64193027&amp;piPK=64187937&amp;menuPK=64154159&amp;searchMenuPK=64258546&amp;theSitePK=523679&amp;entityID=000090341_20051208140716"/>
    <hyperlink ref="E589" r:id="rId588" display="http://www-wds.worldbank.org/external/default/main?menuPK=64187510&amp;pagePK=64193027&amp;piPK=64187937&amp;menuPK=64154159&amp;searchMenuPK=64258546&amp;theSitePK=523679&amp;entityID=000011823_20071025112809"/>
    <hyperlink ref="E590" r:id="rId589" display="http://www-wds.worldbank.org/external/default/main?menuPK=64187510&amp;pagePK=64193027&amp;piPK=64187937&amp;menuPK=64154159&amp;searchMenuPK=64258546&amp;theSitePK=523679&amp;entityID=000160016_20050106121336"/>
    <hyperlink ref="E591" r:id="rId590" display="http://www-wds.worldbank.org/external/default/main?menuPK=64187510&amp;pagePK=64193027&amp;piPK=64187937&amp;menuPK=64154159&amp;searchMenuPK=64258546&amp;theSitePK=523679&amp;entityID=000160016_20050106121645"/>
    <hyperlink ref="E592" r:id="rId591" display="http://www-wds.worldbank.org/external/default/main?menuPK=64187510&amp;pagePK=64193027&amp;piPK=64187937&amp;menuPK=64154159&amp;searchMenuPK=64258546&amp;theSitePK=523679&amp;entityID=000090341_20050210140819"/>
    <hyperlink ref="E593" r:id="rId592" display="http://www-wds.worldbank.org/external/default/main?menuPK=64187510&amp;pagePK=64193027&amp;piPK=64187937&amp;menuPK=64154159&amp;searchMenuPK=64258546&amp;theSitePK=523679&amp;entityID=000090341_20040315141123"/>
    <hyperlink ref="E594" r:id="rId593" display="http://www-wds.worldbank.org/external/default/main?menuPK=64187510&amp;pagePK=64193027&amp;piPK=64187937&amp;menuPK=64154159&amp;searchMenuPK=64258546&amp;theSitePK=523679&amp;entityID=000094946_03080704035551"/>
    <hyperlink ref="E595" r:id="rId594" display="http://www-wds.worldbank.org/external/default/main?menuPK=64187510&amp;pagePK=64193027&amp;piPK=64187937&amp;menuPK=64154159&amp;searchMenuPK=64258546&amp;theSitePK=523679&amp;entityID=000094946_02082304130138"/>
    <hyperlink ref="E596" r:id="rId595" display="http://www-wds.worldbank.org/external/default/main?menuPK=64187510&amp;pagePK=64193027&amp;piPK=64187937&amp;menuPK=64154159&amp;searchMenuPK=64258546&amp;theSitePK=523679&amp;entityID=000094946_02080904120472"/>
    <hyperlink ref="E597" r:id="rId596" display="http://www-wds.worldbank.org/external/default/main?menuPK=64187510&amp;pagePK=64193027&amp;piPK=64187937&amp;menuPK=64154159&amp;searchMenuPK=64258546&amp;theSitePK=523679&amp;entityID=000094946_0205090408375"/>
    <hyperlink ref="E598" r:id="rId597" display="http://www-wds.worldbank.org/external/default/main?menuPK=64187510&amp;pagePK=64193027&amp;piPK=64187937&amp;menuPK=64154159&amp;searchMenuPK=64258546&amp;theSitePK=523679&amp;entityID=000333038_20110223013703"/>
    <hyperlink ref="E599" r:id="rId598" display="http://www-wds.worldbank.org/external/default/main?menuPK=64187510&amp;pagePK=64193027&amp;piPK=64187937&amp;menuPK=64154159&amp;searchMenuPK=64258546&amp;theSitePK=523679&amp;entityID=000334955_20110208023011"/>
    <hyperlink ref="E600" r:id="rId599" display="http://www-wds.worldbank.org/external/default/main?menuPK=64187510&amp;pagePK=64193027&amp;piPK=64187937&amp;menuPK=64154159&amp;searchMenuPK=64258546&amp;theSitePK=523679&amp;entityID=000334955_20110207020842"/>
    <hyperlink ref="E601" r:id="rId600" display="http://www-wds.worldbank.org/external/default/main?menuPK=64187510&amp;pagePK=64193027&amp;piPK=64187937&amp;menuPK=64154159&amp;searchMenuPK=64258546&amp;theSitePK=523679&amp;entityID=000334955_20091109025742"/>
    <hyperlink ref="E602" r:id="rId601" display="http://www-wds.worldbank.org/external/default/main?menuPK=64187510&amp;pagePK=64193027&amp;piPK=64187937&amp;menuPK=64154159&amp;searchMenuPK=64258546&amp;theSitePK=523679&amp;entityID=000334955_20080522051715"/>
    <hyperlink ref="E603" r:id="rId602" display="http://www-wds.worldbank.org/external/default/main?menuPK=64187510&amp;pagePK=64193027&amp;piPK=64187937&amp;menuPK=64154159&amp;searchMenuPK=64258546&amp;theSitePK=523679&amp;entityID=000334955_20090624035209"/>
    <hyperlink ref="E604" r:id="rId603" display="http://www-wds.worldbank.org/external/default/main?menuPK=64187510&amp;pagePK=64193027&amp;piPK=64187937&amp;menuPK=64154159&amp;searchMenuPK=64258546&amp;theSitePK=523679&amp;entityID=000020953_20090227115111"/>
    <hyperlink ref="E605" r:id="rId604" display="http://www-wds.worldbank.org/external/default/main?menuPK=64187510&amp;pagePK=64193027&amp;piPK=64187937&amp;menuPK=64154159&amp;searchMenuPK=64258546&amp;theSitePK=523679&amp;entityID=000356161_20110117051612"/>
    <hyperlink ref="E606" r:id="rId605" display="http://www-wds.worldbank.org/external/default/main?menuPK=64187510&amp;pagePK=64193027&amp;piPK=64187937&amp;menuPK=64154159&amp;searchMenuPK=64258546&amp;theSitePK=523679&amp;entityID=000333038_20100921022356"/>
    <hyperlink ref="E607" r:id="rId606" display="http://www-wds.worldbank.org/external/default/main?menuPK=64187510&amp;pagePK=64193027&amp;piPK=64187937&amp;menuPK=64154159&amp;searchMenuPK=64258546&amp;theSitePK=523679&amp;entityID=000333038_20110302004413"/>
    <hyperlink ref="E608" r:id="rId607" display="http://www-wds.worldbank.org/external/default/main?menuPK=64187510&amp;pagePK=64193027&amp;piPK=64187937&amp;menuPK=64154159&amp;searchMenuPK=64258546&amp;theSitePK=523679&amp;entityID=000333038_20110302004806"/>
    <hyperlink ref="E609" r:id="rId608" display="http://www-wds.worldbank.org/external/default/main?menuPK=64187510&amp;pagePK=64193027&amp;piPK=64187937&amp;menuPK=64154159&amp;searchMenuPK=64258546&amp;theSitePK=523679&amp;entityID=000333038_20110302003712"/>
    <hyperlink ref="E610" r:id="rId609" display="http://www-wds.worldbank.org/external/default/main?menuPK=64187510&amp;pagePK=64193027&amp;piPK=64187937&amp;menuPK=64154159&amp;searchMenuPK=64258546&amp;theSitePK=523679&amp;entityID=000334955_20100519044634"/>
    <hyperlink ref="E611" r:id="rId610" display="http://www-wds.worldbank.org/external/default/main?menuPK=64187510&amp;pagePK=64193027&amp;piPK=64187937&amp;menuPK=64154159&amp;searchMenuPK=64258546&amp;theSitePK=523679&amp;entityID=000334955_20100521051936"/>
    <hyperlink ref="E612" r:id="rId611" display="http://www-wds.worldbank.org/external/default/main?menuPK=64187510&amp;pagePK=64193027&amp;piPK=64187937&amp;menuPK=64154159&amp;searchMenuPK=64258546&amp;theSitePK=523679&amp;entityID=000334955_20100503033831"/>
    <hyperlink ref="E613" r:id="rId612" display="http://www-wds.worldbank.org/external/default/main?menuPK=64187510&amp;pagePK=64193027&amp;piPK=64187937&amp;menuPK=64154159&amp;searchMenuPK=64258546&amp;theSitePK=523679&amp;entityID=000334955_20100118025738"/>
    <hyperlink ref="E614" r:id="rId613" display="http://www-wds.worldbank.org/external/default/main?menuPK=64187510&amp;pagePK=64193027&amp;piPK=64187937&amp;menuPK=64154159&amp;searchMenuPK=64258546&amp;theSitePK=523679&amp;entityID=000333038_20091211003915"/>
    <hyperlink ref="E615" r:id="rId614" display="http://www-wds.worldbank.org/external/default/main?menuPK=64187510&amp;pagePK=64193027&amp;piPK=64187937&amp;menuPK=64154159&amp;searchMenuPK=64258546&amp;theSitePK=523679&amp;entityID=000333038_20091211005625"/>
    <hyperlink ref="E616" r:id="rId615" display="http://www-wds.worldbank.org/external/default/main?menuPK=64187510&amp;pagePK=64193027&amp;piPK=64187937&amp;menuPK=64154159&amp;searchMenuPK=64258546&amp;theSitePK=523679&amp;entityID=000333038_20091211011004"/>
    <hyperlink ref="E617" r:id="rId616" display="http://www-wds.worldbank.org/external/default/main?menuPK=64187510&amp;pagePK=64193027&amp;piPK=64187937&amp;menuPK=64154159&amp;searchMenuPK=64258546&amp;theSitePK=523679&amp;entityID=000334955_20091120060951"/>
    <hyperlink ref="E618" r:id="rId617" display="http://www-wds.worldbank.org/external/default/main?menuPK=64187510&amp;pagePK=64193027&amp;piPK=64187937&amp;menuPK=64154159&amp;searchMenuPK=64258546&amp;theSitePK=523679&amp;entityID=000333038_20091214230643"/>
    <hyperlink ref="E619" r:id="rId618" display="http://www-wds.worldbank.org/external/default/main?menuPK=64187510&amp;pagePK=64193027&amp;piPK=64187937&amp;menuPK=64154159&amp;searchMenuPK=64258546&amp;theSitePK=523679&amp;entityID=000333038_20090331054737"/>
    <hyperlink ref="E620" r:id="rId619" display="http://www-wds.worldbank.org/external/default/main?menuPK=64187510&amp;pagePK=64193027&amp;piPK=64187937&amp;menuPK=64154159&amp;searchMenuPK=64258546&amp;theSitePK=523679&amp;entityID=000333038_20090402000849"/>
    <hyperlink ref="E621" r:id="rId620" display="http://www-wds.worldbank.org/external/default/main?menuPK=64187510&amp;pagePK=64193027&amp;piPK=64187937&amp;menuPK=64154159&amp;searchMenuPK=64258546&amp;theSitePK=523679&amp;entityID=000333038_20090504021654"/>
    <hyperlink ref="E622" r:id="rId621" display="http://www-wds.worldbank.org/external/default/main?menuPK=64187510&amp;pagePK=64193027&amp;piPK=64187937&amp;menuPK=64154159&amp;searchMenuPK=64258546&amp;theSitePK=523679&amp;entityID=000333038_20090327002432"/>
    <hyperlink ref="E623" r:id="rId622" display="http://www-wds.worldbank.org/external/default/main?menuPK=64187510&amp;pagePK=64193027&amp;piPK=64187937&amp;menuPK=64154159&amp;searchMenuPK=64258546&amp;theSitePK=523679&amp;entityID=000333038_20090511041826"/>
    <hyperlink ref="E624" r:id="rId623" display="http://www-wds.worldbank.org/external/default/main?menuPK=64187510&amp;pagePK=64193027&amp;piPK=64187937&amp;menuPK=64154159&amp;searchMenuPK=64258546&amp;theSitePK=523679&amp;entityID=000333038_20090511043743"/>
    <hyperlink ref="E625" r:id="rId624" display="http://www-wds.worldbank.org/external/default/main?menuPK=64187510&amp;pagePK=64193027&amp;piPK=64187937&amp;menuPK=64154159&amp;searchMenuPK=64258546&amp;theSitePK=523679&amp;entityID=000333038_20090511045315"/>
    <hyperlink ref="E626" r:id="rId625" display="http://www-wds.worldbank.org/external/default/main?menuPK=64187510&amp;pagePK=64193027&amp;piPK=64187937&amp;menuPK=64154159&amp;searchMenuPK=64258546&amp;theSitePK=523679&amp;entityID=000334955_20090324045357"/>
    <hyperlink ref="E627" r:id="rId626" display="http://www-wds.worldbank.org/external/default/main?menuPK=64187510&amp;pagePK=64193027&amp;piPK=64187937&amp;menuPK=64154159&amp;searchMenuPK=64258546&amp;theSitePK=523679&amp;entityID=000334955_20090225083452"/>
    <hyperlink ref="E628" r:id="rId627" display="http://www-wds.worldbank.org/external/default/main?menuPK=64187510&amp;pagePK=64193027&amp;piPK=64187937&amp;menuPK=64154159&amp;searchMenuPK=64258546&amp;theSitePK=523679&amp;entityID=000334955_20090225083138"/>
    <hyperlink ref="E629" r:id="rId628" display="http://www-wds.worldbank.org/external/default/main?menuPK=64187510&amp;pagePK=64193027&amp;piPK=64187937&amp;menuPK=64154159&amp;searchMenuPK=64258546&amp;theSitePK=523679&amp;entityID=000334955_20090324050009"/>
    <hyperlink ref="E630" r:id="rId629" display="http://www-wds.worldbank.org/external/default/main?menuPK=64187510&amp;pagePK=64193027&amp;piPK=64187937&amp;menuPK=64154159&amp;searchMenuPK=64258546&amp;theSitePK=523679&amp;entityID=000334955_20091120061518"/>
    <hyperlink ref="E631" r:id="rId630" display="http://www-wds.worldbank.org/external/default/main?menuPK=64187510&amp;pagePK=64193027&amp;piPK=64187937&amp;menuPK=64154159&amp;searchMenuPK=64258546&amp;theSitePK=523679&amp;entityID=000334955_20091120062026"/>
    <hyperlink ref="E632" r:id="rId631" display="http://www-wds.worldbank.org/external/default/main?menuPK=64187510&amp;pagePK=64193027&amp;piPK=64187937&amp;menuPK=64154159&amp;searchMenuPK=64258546&amp;theSitePK=523679&amp;entityID=000333038_20081208052604"/>
    <hyperlink ref="E633" r:id="rId632" display="http://www-wds.worldbank.org/external/default/main?menuPK=64187510&amp;pagePK=64193027&amp;piPK=64187937&amp;menuPK=64154159&amp;searchMenuPK=64258546&amp;theSitePK=523679&amp;entityID=000334955_20090324045719"/>
    <hyperlink ref="E634" r:id="rId633" display="http://www-wds.worldbank.org/external/default/main?menuPK=64187510&amp;pagePK=64193027&amp;piPK=64187937&amp;menuPK=64154159&amp;searchMenuPK=64258546&amp;theSitePK=523679&amp;entityID=000333037_20090115000909"/>
    <hyperlink ref="E635" r:id="rId634" display="http://www-wds.worldbank.org/external/default/main?menuPK=64187510&amp;pagePK=64193027&amp;piPK=64187937&amp;menuPK=64154159&amp;searchMenuPK=64258546&amp;theSitePK=523679&amp;entityID=000333037_20090115001815"/>
    <hyperlink ref="E636" r:id="rId635" display="http://www-wds.worldbank.org/external/default/main?menuPK=64187510&amp;pagePK=64193027&amp;piPK=64187937&amp;menuPK=64154159&amp;searchMenuPK=64258546&amp;theSitePK=523679&amp;entityID=000333037_20090114234907"/>
    <hyperlink ref="E637" r:id="rId636" display="http://www-wds.worldbank.org/external/default/main?menuPK=64187510&amp;pagePK=64193027&amp;piPK=64187937&amp;menuPK=64154159&amp;searchMenuPK=64258546&amp;theSitePK=523679&amp;entityID=000333037_20090114235500"/>
    <hyperlink ref="E638" r:id="rId637" display="http://www-wds.worldbank.org/external/default/main?menuPK=64187510&amp;pagePK=64193027&amp;piPK=64187937&amp;menuPK=64154159&amp;searchMenuPK=64258546&amp;theSitePK=523679&amp;entityID=000333037_20090115000022"/>
    <hyperlink ref="E639" r:id="rId638" display="http://www-wds.worldbank.org/external/default/main?menuPK=64187510&amp;pagePK=64193027&amp;piPK=64187937&amp;menuPK=64154159&amp;searchMenuPK=64258546&amp;theSitePK=523679&amp;entityID=000333037_20080716002007"/>
    <hyperlink ref="E640" r:id="rId639" display="http://www-wds.worldbank.org/external/default/main?menuPK=64187510&amp;pagePK=64193027&amp;piPK=64187937&amp;menuPK=64154159&amp;searchMenuPK=64258546&amp;theSitePK=523679&amp;entityID=000333037_20090115234011"/>
    <hyperlink ref="E641" r:id="rId640" display="http://www-wds.worldbank.org/external/default/main?menuPK=64187510&amp;pagePK=64193027&amp;piPK=64187937&amp;menuPK=64154159&amp;searchMenuPK=64258546&amp;theSitePK=523679&amp;entityID=000333037_20081003014840"/>
    <hyperlink ref="E642" r:id="rId641" display="http://www-wds.worldbank.org/external/default/main?menuPK=64187510&amp;pagePK=64193027&amp;piPK=64187937&amp;menuPK=64154159&amp;searchMenuPK=64258546&amp;theSitePK=523679&amp;entityID=000333037_20080305050231"/>
    <hyperlink ref="E643" r:id="rId642" display="http://www-wds.worldbank.org/external/default/main?menuPK=64187510&amp;pagePK=64193027&amp;piPK=64187937&amp;menuPK=64154159&amp;searchMenuPK=64258546&amp;theSitePK=523679&amp;entityID=000333037_20080124052712"/>
    <hyperlink ref="E644" r:id="rId643" display="http://www-wds.worldbank.org/external/default/main?menuPK=64187510&amp;pagePK=64193027&amp;piPK=64187937&amp;menuPK=64154159&amp;searchMenuPK=64258546&amp;theSitePK=523679&amp;entityID=000333037_20080618010644"/>
    <hyperlink ref="E645" r:id="rId644" display="http://www-wds.worldbank.org/external/default/main?menuPK=64187510&amp;pagePK=64193027&amp;piPK=64187937&amp;menuPK=64154159&amp;searchMenuPK=64258546&amp;theSitePK=523679&amp;entityID=000333037_20080618012605"/>
    <hyperlink ref="E646" r:id="rId645" display="http://www-wds.worldbank.org/external/default/main?menuPK=64187510&amp;pagePK=64193027&amp;piPK=64187937&amp;menuPK=64154159&amp;searchMenuPK=64258546&amp;theSitePK=523679&amp;entityID=000011823_20071214194514"/>
    <hyperlink ref="E647" r:id="rId646" display="http://www-wds.worldbank.org/external/default/main?menuPK=64187510&amp;pagePK=64193027&amp;piPK=64187937&amp;menuPK=64154159&amp;searchMenuPK=64258546&amp;theSitePK=523679&amp;entityID=000333037_20081003015622"/>
    <hyperlink ref="E648" r:id="rId647" display="http://www-wds.worldbank.org/external/default/main?menuPK=64187510&amp;pagePK=64193027&amp;piPK=64187937&amp;menuPK=64154159&amp;searchMenuPK=64258546&amp;theSitePK=523679&amp;entityID=000011823_20071214192836"/>
    <hyperlink ref="E649" r:id="rId648" display="http://www-wds.worldbank.org/external/default/main?menuPK=64187510&amp;pagePK=64193027&amp;piPK=64187937&amp;menuPK=64154159&amp;searchMenuPK=64258546&amp;theSitePK=523679&amp;entityID=000011823_20071214193208"/>
    <hyperlink ref="E650" r:id="rId649" display="http://www-wds.worldbank.org/external/default/main?menuPK=64187510&amp;pagePK=64193027&amp;piPK=64187937&amp;menuPK=64154159&amp;searchMenuPK=64258546&amp;theSitePK=523679&amp;entityID=000011823_20071214194131"/>
    <hyperlink ref="E651" r:id="rId650" display="http://www-wds.worldbank.org/external/default/main?menuPK=64187510&amp;pagePK=64193027&amp;piPK=64187937&amp;menuPK=64154159&amp;searchMenuPK=64258546&amp;theSitePK=523679&amp;entityID=000011823_20071214194927"/>
    <hyperlink ref="E652" r:id="rId651" display="http://www-wds.worldbank.org/external/default/main?menuPK=64187510&amp;pagePK=64193027&amp;piPK=64187937&amp;menuPK=64154159&amp;searchMenuPK=64258546&amp;theSitePK=523679&amp;entityID=000011823_20071214195336"/>
    <hyperlink ref="E653" r:id="rId652" display="http://www-wds.worldbank.org/external/default/main?menuPK=64187510&amp;pagePK=64193027&amp;piPK=64187937&amp;menuPK=64154159&amp;searchMenuPK=64258546&amp;theSitePK=523679&amp;entityID=000011823_20071220160950"/>
    <hyperlink ref="E654" r:id="rId653" display="http://www-wds.worldbank.org/external/default/main?menuPK=64187510&amp;pagePK=64193027&amp;piPK=64187937&amp;menuPK=64154159&amp;searchMenuPK=64258546&amp;theSitePK=523679&amp;entityID=000020439_20071029134512"/>
    <hyperlink ref="E655" r:id="rId654" display="http://www-wds.worldbank.org/external/default/main?menuPK=64187510&amp;pagePK=64193027&amp;piPK=64187937&amp;menuPK=64154159&amp;searchMenuPK=64258546&amp;theSitePK=523679&amp;entityID=000011823_20071214195938"/>
    <hyperlink ref="E656" r:id="rId655" display="http://www-wds.worldbank.org/external/default/main?menuPK=64187510&amp;pagePK=64193027&amp;piPK=64187937&amp;menuPK=64154159&amp;searchMenuPK=64258546&amp;theSitePK=523679&amp;entityID=000011823_20070810165735"/>
    <hyperlink ref="E657" r:id="rId656" display="http://www-wds.worldbank.org/external/default/main?menuPK=64187510&amp;pagePK=64193027&amp;piPK=64187937&amp;menuPK=64154159&amp;searchMenuPK=64258546&amp;theSitePK=523679&amp;entityID=000020953_20070319152143"/>
    <hyperlink ref="E658" r:id="rId657" display="http://www-wds.worldbank.org/external/default/main?menuPK=64187510&amp;pagePK=64193027&amp;piPK=64187937&amp;menuPK=64154159&amp;searchMenuPK=64258546&amp;theSitePK=523679&amp;entityID=000020953_20070319153918"/>
    <hyperlink ref="E659" r:id="rId658" display="http://www-wds.worldbank.org/external/default/main?menuPK=64187510&amp;pagePK=64193027&amp;piPK=64187937&amp;menuPK=64154159&amp;searchMenuPK=64258546&amp;theSitePK=523679&amp;entityID=000090341_20070405095054"/>
    <hyperlink ref="E660" r:id="rId659" display="http://www-wds.worldbank.org/external/default/main?menuPK=64187510&amp;pagePK=64193027&amp;piPK=64187937&amp;menuPK=64154159&amp;searchMenuPK=64258546&amp;theSitePK=523679&amp;entityID=000011823_20070216153734"/>
    <hyperlink ref="E661" r:id="rId660" display="http://www-wds.worldbank.org/external/default/main?menuPK=64187510&amp;pagePK=64193027&amp;piPK=64187937&amp;menuPK=64154159&amp;searchMenuPK=64258546&amp;theSitePK=523679&amp;entityID=000011823_20070627112912"/>
    <hyperlink ref="E662" r:id="rId661" display="http://www-wds.worldbank.org/external/default/main?menuPK=64187510&amp;pagePK=64193027&amp;piPK=64187937&amp;menuPK=64154159&amp;searchMenuPK=64258546&amp;theSitePK=523679&amp;entityID=000160016_20060925142526"/>
    <hyperlink ref="E663" r:id="rId662" display="http://www-wds.worldbank.org/external/default/main?menuPK=64187510&amp;pagePK=64193027&amp;piPK=64187937&amp;menuPK=64154159&amp;searchMenuPK=64258546&amp;theSitePK=523679&amp;entityID=000011823_20060814123133"/>
    <hyperlink ref="E664" r:id="rId663" display="http://www-wds.worldbank.org/external/default/main?menuPK=64187510&amp;pagePK=64193027&amp;piPK=64187937&amp;menuPK=64154159&amp;searchMenuPK=64258546&amp;theSitePK=523679&amp;entityID=000090341_20060118090451"/>
    <hyperlink ref="E665" r:id="rId664" display="http://www-wds.worldbank.org/external/default/main?menuPK=64187510&amp;pagePK=64193027&amp;piPK=64187937&amp;menuPK=64154159&amp;searchMenuPK=64258546&amp;theSitePK=523679&amp;entityID=000011823_20070620113130"/>
    <hyperlink ref="E666" r:id="rId665" display="http://www-wds.worldbank.org/external/default/main?menuPK=64187510&amp;pagePK=64193027&amp;piPK=64187937&amp;menuPK=64154159&amp;searchMenuPK=64258546&amp;theSitePK=523679&amp;entityID=000011823_20051110153307"/>
    <hyperlink ref="E667" r:id="rId666" display="http://www-wds.worldbank.org/external/default/main?menuPK=64187510&amp;pagePK=64193027&amp;piPK=64187937&amp;menuPK=64154159&amp;searchMenuPK=64258546&amp;theSitePK=523679&amp;entityID=000012009_20050802140944"/>
    <hyperlink ref="E668" r:id="rId667" display="http://www-wds.worldbank.org/external/default/main?menuPK=64187510&amp;pagePK=64193027&amp;piPK=64187937&amp;menuPK=64154159&amp;searchMenuPK=64258546&amp;theSitePK=523679&amp;entityID=000160016_20050629095510"/>
    <hyperlink ref="E669" r:id="rId668" display="http://www-wds.worldbank.org/external/default/main?menuPK=64187510&amp;pagePK=64193027&amp;piPK=64187937&amp;menuPK=64154159&amp;searchMenuPK=64258546&amp;theSitePK=523679&amp;entityID=000012009_20050922151704"/>
    <hyperlink ref="E670" r:id="rId669" display="http://www-wds.worldbank.org/external/default/main?menuPK=64187510&amp;pagePK=64193027&amp;piPK=64187937&amp;menuPK=64154159&amp;searchMenuPK=64258546&amp;theSitePK=523679&amp;entityID=000012009_20050922152236"/>
    <hyperlink ref="E671" r:id="rId670" display="http://www-wds.worldbank.org/external/default/main?menuPK=64187510&amp;pagePK=64193027&amp;piPK=64187937&amp;menuPK=64154159&amp;searchMenuPK=64258546&amp;theSitePK=523679&amp;entityID=000012009_20050922152735"/>
    <hyperlink ref="E672" r:id="rId671" display="http://www-wds.worldbank.org/external/default/main?menuPK=64187510&amp;pagePK=64193027&amp;piPK=64187937&amp;menuPK=64154159&amp;searchMenuPK=64258546&amp;theSitePK=523679&amp;entityID=000011823_20050720161203"/>
    <hyperlink ref="E673" r:id="rId672" display="http://www-wds.worldbank.org/external/default/main?menuPK=64187510&amp;pagePK=64193027&amp;piPK=64187937&amp;menuPK=64154159&amp;searchMenuPK=64258546&amp;theSitePK=523679&amp;entityID=000012009_20050622145526"/>
    <hyperlink ref="E674" r:id="rId673" display="http://www-wds.worldbank.org/external/default/main?menuPK=64187510&amp;pagePK=64193027&amp;piPK=64187937&amp;menuPK=64154159&amp;searchMenuPK=64258546&amp;theSitePK=523679&amp;entityID=000012009_20050616135914"/>
    <hyperlink ref="E675" r:id="rId674" display="http://www-wds.worldbank.org/external/default/main?menuPK=64187510&amp;pagePK=64193027&amp;piPK=64187937&amp;menuPK=64154159&amp;searchMenuPK=64258546&amp;theSitePK=523679&amp;entityID=000012009_20050712132949"/>
    <hyperlink ref="E676" r:id="rId675" display="http://www-wds.worldbank.org/external/default/main?menuPK=64187510&amp;pagePK=64193027&amp;piPK=64187937&amp;menuPK=64154159&amp;searchMenuPK=64258546&amp;theSitePK=523679&amp;entityID=000012009_20051028121411"/>
    <hyperlink ref="E677" r:id="rId676" display="http://www-wds.worldbank.org/external/default/main?menuPK=64187510&amp;pagePK=64193027&amp;piPK=64187937&amp;menuPK=64154159&amp;searchMenuPK=64258546&amp;theSitePK=523679&amp;entityID=000012009_20051028121837"/>
    <hyperlink ref="E678" r:id="rId677" display="http://www-wds.worldbank.org/external/default/main?menuPK=64187510&amp;pagePK=64193027&amp;piPK=64187937&amp;menuPK=64154159&amp;searchMenuPK=64258546&amp;theSitePK=523679&amp;entityID=000334955_20091221040748"/>
    <hyperlink ref="E679" r:id="rId678" display="http://www-wds.worldbank.org/external/default/main?menuPK=64187510&amp;pagePK=64193027&amp;piPK=64187937&amp;menuPK=64154159&amp;searchMenuPK=64258546&amp;theSitePK=523679&amp;entityID=000160016_20041220170533"/>
    <hyperlink ref="E680" r:id="rId679" display="http://www-wds.worldbank.org/external/default/main?menuPK=64187510&amp;pagePK=64193027&amp;piPK=64187937&amp;menuPK=64154159&amp;searchMenuPK=64258546&amp;theSitePK=523679&amp;entityID=000160016_20041208171853"/>
    <hyperlink ref="E681" r:id="rId680" display="http://www-wds.worldbank.org/external/default/main?menuPK=64187510&amp;pagePK=64193027&amp;piPK=64187937&amp;menuPK=64154159&amp;searchMenuPK=64258546&amp;theSitePK=523679&amp;entityID=000012009_20050802145335"/>
    <hyperlink ref="E682" r:id="rId681" display="http://www-wds.worldbank.org/external/default/main?menuPK=64187510&amp;pagePK=64193027&amp;piPK=64187937&amp;menuPK=64154159&amp;searchMenuPK=64258546&amp;theSitePK=523679&amp;entityID=000333037_20101110232451"/>
    <hyperlink ref="E683" r:id="rId682" display="http://www-wds.worldbank.org/external/default/main?menuPK=64187510&amp;pagePK=64193027&amp;piPK=64187937&amp;menuPK=64154159&amp;searchMenuPK=64258546&amp;theSitePK=523679&amp;entityID=000160016_20040617121110"/>
    <hyperlink ref="E684" r:id="rId683" display="http://www-wds.worldbank.org/external/default/main?menuPK=64187510&amp;pagePK=64193027&amp;piPK=64187937&amp;menuPK=64154159&amp;searchMenuPK=64258546&amp;theSitePK=523679&amp;entityID=000160016_20040617121357"/>
    <hyperlink ref="E685" r:id="rId684" display="http://www-wds.worldbank.org/external/default/main?menuPK=64187510&amp;pagePK=64193027&amp;piPK=64187937&amp;menuPK=64154159&amp;searchMenuPK=64258546&amp;theSitePK=523679&amp;entityID=000160016_20040617122020"/>
    <hyperlink ref="E686" r:id="rId685" display="http://www-wds.worldbank.org/external/default/main?menuPK=64187510&amp;pagePK=64193027&amp;piPK=64187937&amp;menuPK=64154159&amp;searchMenuPK=64258546&amp;theSitePK=523679&amp;entityID=000333038_20090320014910"/>
    <hyperlink ref="E687" r:id="rId686" display="http://www-wds.worldbank.org/external/default/main?menuPK=64187510&amp;pagePK=64193027&amp;piPK=64187937&amp;menuPK=64154159&amp;searchMenuPK=64258546&amp;theSitePK=523679&amp;entityID=000160016_20040617122329"/>
    <hyperlink ref="E688" r:id="rId687" display="http://www-wds.worldbank.org/external/default/main?menuPK=64187510&amp;pagePK=64193027&amp;piPK=64187937&amp;menuPK=64154159&amp;searchMenuPK=64258546&amp;theSitePK=523679&amp;entityID=000012009_20031007171957"/>
    <hyperlink ref="E689" r:id="rId688" display="http://www-wds.worldbank.org/external/default/main?menuPK=64187510&amp;pagePK=64193027&amp;piPK=64187937&amp;menuPK=64154159&amp;searchMenuPK=64258546&amp;theSitePK=523679&amp;entityID=000012009_20031007172226"/>
    <hyperlink ref="E690" r:id="rId689" display="http://www-wds.worldbank.org/external/default/main?menuPK=64187510&amp;pagePK=64193027&amp;piPK=64187937&amp;menuPK=64154159&amp;searchMenuPK=64258546&amp;theSitePK=523679&amp;entityID=000356161_20100915020737"/>
    <hyperlink ref="E691" r:id="rId690" display="http://www-wds.worldbank.org/external/default/main?menuPK=64187510&amp;pagePK=64193027&amp;piPK=64187937&amp;menuPK=64154159&amp;searchMenuPK=64258546&amp;theSitePK=523679&amp;entityID=000160016_20031006180602"/>
    <hyperlink ref="E692" r:id="rId691" display="http://www-wds.worldbank.org/external/default/main?menuPK=64187510&amp;pagePK=64193027&amp;piPK=64187937&amp;menuPK=64154159&amp;searchMenuPK=64258546&amp;theSitePK=523679&amp;entityID=000012009_20030825145250"/>
    <hyperlink ref="E693" r:id="rId692" display="http://www-wds.worldbank.org/external/default/main?menuPK=64187510&amp;pagePK=64193027&amp;piPK=64187937&amp;menuPK=64154159&amp;searchMenuPK=64258546&amp;theSitePK=523679&amp;entityID=000094946_03013104014262"/>
    <hyperlink ref="E694" r:id="rId693" display="http://www-wds.worldbank.org/external/default/main?menuPK=64187510&amp;pagePK=64193027&amp;piPK=64187937&amp;menuPK=64154159&amp;searchMenuPK=64258546&amp;theSitePK=523679&amp;entityID=000333038_20080214044927"/>
    <hyperlink ref="E695" r:id="rId694" display="http://www-wds.worldbank.org/external/default/main?menuPK=64187510&amp;pagePK=64193027&amp;piPK=64187937&amp;menuPK=64154159&amp;searchMenuPK=64258546&amp;theSitePK=523679&amp;entityID=000020953_200705161440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Bank IP Plans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Dennis</dc:creator>
  <cp:lastModifiedBy>Aaron Dennis</cp:lastModifiedBy>
  <dcterms:created xsi:type="dcterms:W3CDTF">2015-07-24T14:29:57Z</dcterms:created>
  <dcterms:modified xsi:type="dcterms:W3CDTF">2015-07-24T14:33:43Z</dcterms:modified>
</cp:coreProperties>
</file>