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600" windowHeight="8192" windowWidth="16384" xWindow="0" yWindow="0"/>
  </bookViews>
  <sheets>
    <sheet name="BIODATA" sheetId="1" state="visible" r:id="rId2"/>
    <sheet name="EDU _ TRAINING" sheetId="2" state="visible" r:id="rId3"/>
    <sheet name="EXPERTISE" sheetId="3" state="visible" r:id="rId4"/>
    <sheet name="EMPLOYMENT" sheetId="4" state="visible" r:id="rId5"/>
    <sheet name="PROJECT" sheetId="5" state="visible" r:id="rId6"/>
    <sheet name="PUBLICATIONS" sheetId="6" state="visible" r:id="rId7"/>
    <sheet name=".country-calc, CCCS" sheetId="7" state="visible" r:id="rId8"/>
    <sheet name=".theme-calc, CCCS" sheetId="8" state="visible" r:id="rId9"/>
    <sheet name=".sector-calc, CCCS" sheetId="9" state="visible" r:id="rId10"/>
    <sheet name=".theme-calc, IFC" sheetId="10" state="visible" r:id="rId11"/>
    <sheet name=".sector-calc, IFC" sheetId="11" state="visible" r:id="rId12"/>
    <sheet name="Z" sheetId="12" state="visible" r:id="rId13"/>
  </sheets>
  <calcPr iterateCount="100" refMode="A1" iterate="false" iterateDelta="0.0001"/>
</workbook>
</file>

<file path=xl/sharedStrings.xml><?xml version="1.0" encoding="utf-8"?>
<sst xmlns="http://schemas.openxmlformats.org/spreadsheetml/2006/main" count="3020" uniqueCount="1860">
  <si>
    <t>Given First Name</t>
  </si>
  <si>
    <t>Michael</t>
  </si>
  <si>
    <t>Given Middle Name</t>
  </si>
  <si>
    <t>Boboh</t>
  </si>
  <si>
    <t>Surname</t>
  </si>
  <si>
    <t>Vabi</t>
  </si>
  <si>
    <t>Alternate Names Used</t>
  </si>
  <si>
    <t>Mailing Address</t>
  </si>
  <si>
    <t>City</t>
  </si>
  <si>
    <t>Bamunka (Ndop)</t>
  </si>
  <si>
    <t>State/Province</t>
  </si>
  <si>
    <t>Northwest Province</t>
  </si>
  <si>
    <t>ZIP/Postal Code</t>
  </si>
  <si>
    <t>Telephone</t>
  </si>
  <si>
    <t>+ 237 77713593</t>
  </si>
  <si>
    <t>+ 237 77477025</t>
  </si>
  <si>
    <t>Fax</t>
  </si>
  <si>
    <t>Email</t>
  </si>
  <si>
    <t>michaelboboh@gmail.com</t>
  </si>
  <si>
    <t>Citizenship</t>
  </si>
  <si>
    <t>Cameroon</t>
  </si>
  <si>
    <t>Country of Birth</t>
  </si>
  <si>
    <t>Date of Birth (mm/dd/yyyy)</t>
  </si>
  <si>
    <t>Sex</t>
  </si>
  <si>
    <t>Male</t>
  </si>
  <si>
    <t>Marital Status</t>
  </si>
  <si>
    <t>Married</t>
  </si>
  <si>
    <t>Education (School)</t>
  </si>
  <si>
    <t>Other Training</t>
  </si>
  <si>
    <t>Membership in Professional Organizations</t>
  </si>
  <si>
    <t>Languages</t>
  </si>
  <si>
    <t>Location</t>
  </si>
  <si>
    <t>Years</t>
  </si>
  <si>
    <t>Degree</t>
  </si>
  <si>
    <t>Major(s)</t>
  </si>
  <si>
    <t>Minors</t>
  </si>
  <si>
    <t>Institution</t>
  </si>
  <si>
    <t>Year(s)</t>
  </si>
  <si>
    <t>Topic</t>
  </si>
  <si>
    <t>Group</t>
  </si>
  <si>
    <t>Year</t>
  </si>
  <si>
    <t>Role</t>
  </si>
  <si>
    <t>Language/Dialect</t>
  </si>
  <si>
    <t>Reading</t>
  </si>
  <si>
    <t>Speaking</t>
  </si>
  <si>
    <t>Writing</t>
  </si>
  <si>
    <t>University of Ibadan; Ibadan, Nigeria</t>
  </si>
  <si>
    <t>1988 ‑ 1991</t>
  </si>
  <si>
    <t>Ph.D.</t>
  </si>
  <si>
    <t>Rural Sociology</t>
  </si>
  <si>
    <t>British Red Cross, BirdLife International</t>
  </si>
  <si>
    <t>Basic First Aid</t>
  </si>
  <si>
    <t>English</t>
  </si>
  <si>
    <t>1987 ‑ 1988</t>
  </si>
  <si>
    <t>M.Sc.</t>
  </si>
  <si>
    <t>Rural Sociology and Agricultural
Extension</t>
  </si>
  <si>
    <t>BirdLife International</t>
  </si>
  <si>
    <t>Financial Management for Projects/ Programme Managers</t>
  </si>
  <si>
    <t>French</t>
  </si>
  <si>
    <t>University of Yaounde, Yaoundé, Cameroon</t>
  </si>
  <si>
    <t>1980 ‑ 1983 </t>
  </si>
  <si>
    <t>B. Sc.</t>
  </si>
  <si>
    <t>Economics</t>
  </si>
  <si>
    <t>World Wide Fund for Nature (WWF)</t>
  </si>
  <si>
    <t>Training of Trainers in Participatory Approaches and Methods</t>
  </si>
  <si>
    <t>Staff Motivation and Leadership </t>
  </si>
  <si>
    <t>Overseas Development Group</t>
  </si>
  <si>
    <t>Gender and Development;Stakeholder Analysis</t>
  </si>
  <si>
    <t>SNV</t>
  </si>
  <si>
    <t>Strategic Environmental Analysis and Planning</t>
  </si>
  <si>
    <t>GTZ</t>
  </si>
  <si>
    <t>Project Cycle Management (PCM) and the Logframe</t>
  </si>
  <si>
    <t>Central African Regional Programme for the Environment</t>
  </si>
  <si>
    <t>Large-scale Participatory Mapping</t>
  </si>
  <si>
    <t>World Wide Fund for Nature</t>
  </si>
  <si>
    <t>Monitoring and Evaluation of Conservation Projects</t>
  </si>
  <si>
    <t>Applied Statistics Research Unit, University of Kent at Canterbury</t>
  </si>
  <si>
    <t>Sample Surveys in Developing Countries and Basic Computing</t>
  </si>
  <si>
    <t>Centre pour l’Environnement et le Développement au Cameroun</t>
  </si>
  <si>
    <t>Participatory Rural Appraisal (PRA/MARP)</t>
  </si>
  <si>
    <t>1991 - 1993</t>
  </si>
  <si>
    <t>Techniques of Participatory Planning based on the Logical Framework</t>
  </si>
  <si>
    <t>Agro-forestry Network for Tropical Africa (AFNETA)</t>
  </si>
  <si>
    <t>Methods and Processes of Alley Farming</t>
  </si>
  <si>
    <t>Consultant-provided values:</t>
  </si>
  <si>
    <t>Country Experience</t>
  </si>
  <si>
    <t>Regional Experience</t>
  </si>
  <si>
    <t>Sector Experience - GENERAL</t>
  </si>
  <si>
    <t>Sub-Sector Experience - GENERAL</t>
  </si>
  <si>
    <t>Thematic Experience - GENERAL</t>
  </si>
  <si>
    <t>Sub-theme Topic- GENERAL</t>
  </si>
  <si>
    <t>Sector Experience - IFC</t>
  </si>
  <si>
    <t>Thematic Experience - IFC</t>
  </si>
  <si>
    <t>Sub-theme Topic- IFC</t>
  </si>
  <si>
    <t>Central Africa</t>
  </si>
  <si>
    <t>Agriculture, Fishing, &amp; Forestry / Natural Resources</t>
  </si>
  <si>
    <t>Agriculture Production, Agro-Processing, and Agro-Business</t>
  </si>
  <si>
    <t>Environment and Natural Resources</t>
  </si>
  <si>
    <t>Climate Change</t>
  </si>
  <si>
    <t>Annual Crop Production</t>
  </si>
  <si>
    <t>PS1: Assessment and Management of Environmental and Social Risks and Impacts</t>
  </si>
  <si>
    <t>Community Engagement</t>
  </si>
  <si>
    <t>Democratic Republic of Congo</t>
  </si>
  <si>
    <t>Environment and Biodiversity</t>
  </si>
  <si>
    <t>Financial Management</t>
  </si>
  <si>
    <t>Corporate Governance</t>
  </si>
  <si>
    <t>Forest Harvesting Operations</t>
  </si>
  <si>
    <t>Gender Development</t>
  </si>
  <si>
    <t>Republic of Congo</t>
  </si>
  <si>
    <t>Forestry</t>
  </si>
  <si>
    <t>Social Protection</t>
  </si>
  <si>
    <t>Gender Equity in Empowerment and Rights</t>
  </si>
  <si>
    <t>Social Impact Assessment and Socio-economic baseline study</t>
  </si>
  <si>
    <t>Equatorial Guinea</t>
  </si>
  <si>
    <t>Financial Institutions</t>
  </si>
  <si>
    <t>Private Equity and Investment Funds</t>
  </si>
  <si>
    <t>Nutrition and Food Security</t>
  </si>
  <si>
    <t>PS7: Indigenous Peoples</t>
  </si>
  <si>
    <t>Indigenous Peoples and Ethnic Minorities</t>
  </si>
  <si>
    <t>Burundi</t>
  </si>
  <si>
    <t>Southeast Africa</t>
  </si>
  <si>
    <t>Poverty Reduction Strategy</t>
  </si>
  <si>
    <t>Vulnerable Groups</t>
  </si>
  <si>
    <t>Dates</t>
  </si>
  <si>
    <t>Employer</t>
  </si>
  <si>
    <t>Position</t>
  </si>
  <si>
    <t>Duties and Accomplishments</t>
  </si>
  <si>
    <t>Reference(s)</t>
  </si>
  <si>
    <t>2008, Apr – current</t>
  </si>
  <si>
    <t>Independent Consultant</t>
  </si>
  <si>
    <t>Central Africa (Regional)</t>
  </si>
  <si>
    <t>n/a</t>
  </si>
  <si>
    <t>Work includes project scoping studies, project/program evaluations, training of trainers in participatory approaches/methods, facilitation of consultation processes (workshops, seminars, team building exercises), development of management support systems, and development of dissemination/fund raising support materials including policy briefs</t>
  </si>
  <si>
    <t>2009, May – current</t>
  </si>
  <si>
    <t>SNV – Netherlands Development Organisation</t>
  </si>
  <si>
    <t>Cameroon;
D.R. Congo</t>
  </si>
  <si>
    <t>Retainer Consultant for SNV Cameroon and DR Congo;
Leader of the West and Central African Forestry Knowledge Network;
Associate Advisor (Consultant) on the SNV-PcW Consortium on the Congo Basin Forest Fund (CBFF) hosted by the African Development Bank</t>
  </si>
  <si>
    <t>2012, Jul – August</t>
  </si>
  <si>
    <t>USAID Central African Regional Program for the Environment</t>
  </si>
  <si>
    <t>Consultant</t>
  </si>
  <si>
    <t>Analysis of Gender and Minority Groups in the context of on-going discussions on Climate Change and REDD Processes in Central Africa</t>
  </si>
  <si>
    <t>2007, Oct – Dec</t>
  </si>
  <si>
    <t>International Labour Organization (ILO)</t>
  </si>
  <si>
    <t>Socio-Economic Development Consultant</t>
  </si>
  <si>
    <t>-        Served as special reviewer of ILO’s Africa-wide survey report, “Promotion of Indigenous Peoples Rights Through Implementation of the Principles of ILO Convention N° 169 and the African Charter on Human and People’s Rights: Examining constitutional, legislative and administrative provisions concerning indigenous peoples of Africa.”
-        Management of the project “Poverty Reduction in Communities Vulnerable to Child Trafficking through the Promotion of Decent Work in Cameroon: Reference Framework for Development Interventions Targeting Fulani (Mbororo) Communities in the Northwest Region.”[ILO-RAM Program commissioned study]</t>
  </si>
  <si>
    <t>2005, Mar – 2008, Mar</t>
  </si>
  <si>
    <t>International Institute of Tropical Agriculture (IITA) /
IITA-CARE Cameroon Food for Progress</t>
  </si>
  <si>
    <t>Cameroon: East and Adamawa Provinces</t>
  </si>
  <si>
    <t>Socio-Economist and Team Leader: Agricultural Production Component</t>
  </si>
  <si>
    <t>· Technical planning, implementation and reporting to IITA and project donors 
· Annual budgeting and financial reporting to IITA and program donors 
· Design/planning phase of the Food for Progress 2004 Poverty focused Rural Development Programme on behalf of IITA; 
· Assessment of technology adoption and impacts pathways
Managing and nurturing relations with IITA partners of the Program
· Identifying, supervising and managing component staff/consultants
· Designing/implementing technology transfer approaches and methods
· Initiating, implementing and supervising component monitoring and evaluation (Audits, Mid-Term Review and Final Evaluations)
· Developing funding options beyond program life-span</t>
  </si>
  <si>
    <t>2003, Jan – 2004, May</t>
  </si>
  <si>
    <t>Cameroon: Kilum-Ijim and Bamenda Highlands;
United Kingdon: Cambridge</t>
  </si>
  <si>
    <t>Project Manager and Chief Technical Advisor</t>
  </si>
  <si>
    <t>· Technical planning, implementation and reporting to donors and BirdLife
International;
· Annual budgeting and financial reporting to donors and implementation partners;
· Management of both Project recruited staff and Government of Cameroon staff put at the disposal of the projects;
· Ensuring functional relations with government and implementation partners of BirdLife International in supporting the development of a Conservation Trust Fund: The Cameroon Mountains Conservation Trust Fund (CAMCOF) through participation in Board Meetings and execution of thematic tasks;
· Initiating, implementing and supervising project/programme monitoring and evaluation (Audits, Tripartite Review and Steering Committees)
· In-country fund raising (in-country donors, government of Cameroon, etc.</t>
  </si>
  <si>
    <t>2001, Sept – 2002, Dec</t>
  </si>
  <si>
    <t>DFID &amp; Ministry of Environment and Forestry (MINEF), Cameroon;
[Project Implemented by UK Based Consultancy Firm- FFR Fountain for Renewable Resources]</t>
  </si>
  <si>
    <t>Social Development Advisor: Community Forestry Development Project</t>
  </si>
  <si>
    <t>· Identifying and ensuring appropriate amendments in Cameroon’s natural resource management legislation in order to promote effective community management of timber, wildlife and non-timber forest products; 
· Conceptual support in the design and development of an approach to pool together best practice in the community forest process in Cameroon;
· Conception and supervision of studies on the costs and benefits of community forests
· Conception and implementation of baseline studies on the impacts of community forests on community livelihoods;
· Conception and implementation of capacity development programs focusing on Participatory Rural Appraisal (PRA); 
· Support in the development of strategic and operational planning for the project and Community Forest Unit (CFU) of the Ministry of the Environment and Forestry (MINEF).</t>
  </si>
  <si>
    <t>2001, Jul  –  2001, Sept</t>
  </si>
  <si>
    <t>World Wide Fund for Nature (WWF), Central African Regional Program</t>
  </si>
  <si>
    <t>Community Conservation Advisor</t>
  </si>
  <si>
    <t> Overall responsibility for the social science component of the programme including baseline studies
· Promotion of community-based conservation initiatives within the program area of intervention 
· Institutional and Capacity Development of Cameroon NGOs and their Networks
· Development of partnership among conservation/development institutions within the region for the development of consistent protected area system within the region 
· Contributions to the development of concept notes for submission to donors </t>
  </si>
  <si>
    <t>1998, Jul – 2001, Jun</t>
  </si>
  <si>
    <t>World Wide Fund for Nature (WWF), Cameroon Program Office</t>
  </si>
  <si>
    <t>Project Manager</t>
  </si>
  <si>
    <t>· Management and Implementation of the Institutional Strengthening and
Capacity Building Project (jointly funded by DFID and WWF-United Kingdom)
· Institutional and Capacity Development of Cameroon Environmental/biodiversity conservation NGOs and their Networks
· Implementation of a Small-Grants Scheme in support of biodiversity conservation/social development
· Contributions to the Development of funding Proposals for the WWF-Cameroon Programme
· Contributions to the Implementation of Mid-term Review/Evaluation of WWF-Cameroon Projects
· All former responsibilities and duties of the Social Science Support
Officer as outlined below.</t>
  </si>
  <si>
    <t>1996, Aug – 1998, June</t>
  </si>
  <si>
    <t>Social Science Support Officer</t>
  </si>
  <si>
    <t>· Developing and integrating human related issues into biodiversity conservation
· Development and implementation of participatory approaches and
methodologies for natural resource management
· Development and implementation of strategies for the involvement of local communities in the management of protected areas
· Conception and implementation of thematic economic, anthropological/sociological studies 
· Capacity building and institutional development of Cameroon environmental and biodiversity conservation NGOs, CBOs and related action groups
· Assistance to WWF-CPO projects (field and Yaounde office) in the development of Logframes and annual work plans using participatory planning methods
· Networking and information exchange among Cameroon environmental and biodiversity conservation NGOs, CBOs and related action groups and partners
· Development of dissemination and training materials</t>
  </si>
  <si>
    <t>Date Range</t>
  </si>
  <si>
    <t>Assignment or Project Name</t>
  </si>
  <si>
    <t>Loan/TA/Grant No</t>
  </si>
  <si>
    <t>Main Project Features</t>
  </si>
  <si>
    <t>Country</t>
  </si>
  <si>
    <t>ISO 3166-1 alpha-3</t>
  </si>
  <si>
    <t>Region</t>
  </si>
  <si>
    <t>Locality</t>
  </si>
  <si>
    <t>Services On/Off-site</t>
  </si>
  <si>
    <t>Expertise</t>
  </si>
  <si>
    <t>Sponsor / End Client</t>
  </si>
  <si>
    <t>Contracted Through / Direct Client</t>
  </si>
  <si>
    <t>Beneficiary Client</t>
  </si>
  <si>
    <t>Contract No.</t>
  </si>
  <si>
    <t>Person-months</t>
  </si>
  <si>
    <t>Continuous/ Intermittant</t>
  </si>
  <si>
    <t>Activities Performed</t>
  </si>
  <si>
    <t>References</t>
  </si>
  <si>
    <t>Thematic Issues -GENERAL</t>
  </si>
  <si>
    <t>Sub-Themes -GENERAL</t>
  </si>
  <si>
    <t>Sector -GENERAL</t>
  </si>
  <si>
    <t>Sub-sector -GENERAL</t>
  </si>
  <si>
    <t>Thematic Issues -IFC</t>
  </si>
  <si>
    <t>Sub-Themes -IFC</t>
  </si>
  <si>
    <t>Sector -IFC</t>
  </si>
  <si>
    <t>Congo Basin Forest Fund (CBFF)</t>
  </si>
  <si>
    <t>Cameroon, Republic of Congo, Burundi, Equatorial Guinea and 
Democratic Republic of Congo</t>
  </si>
  <si>
    <t>CMR, COG, BDI, GNQ, COD</t>
  </si>
  <si>
    <t>Onsite:
Offsite:</t>
  </si>
  <si>
    <t>Associate Advisor (Consultant)</t>
  </si>
  <si>
    <t>African Development Bank</t>
  </si>
  <si>
    <t>SNV-PcW Consortium</t>
  </si>
  <si>
    <t>- Part of the team that developed the SNV-PwC Consortium for the CBFF implementation
- Member of Supervision/Mid Term Review of CBFF funded projects in Cameroon, Republic of Congo (Brazzaville), Burundi, Equatorial Guinea and Democratic Republic of Congo
- REDD+ Scooping Study for the Congo Basin focusing on Cameroon and DR Congo</t>
  </si>
  <si>
    <t>West and Central African Forestry Knowledge Network</t>
  </si>
  <si>
    <t>CMR</t>
  </si>
  <si>
    <t>Network Leader</t>
  </si>
  <si>
    <t>2012, Jul – Aug</t>
  </si>
  <si>
    <t>USAID</t>
  </si>
  <si>
    <t>-        Analysis of Gender and Minority Groups in the context of on-going discussions on Climate Change and REDD Processes in Central Africa</t>
  </si>
  <si>
    <t>Special ILO Publication: Promotion of Indigenous Peoples Rights Through Implementation of the Principles of ILO Convention N° 169 and the African Charter on Human and People’s Rights: Examining constitutional, legislative and administrative provisions concerning indigenous peoples of Africa.</t>
  </si>
  <si>
    <t>Poverty Reduction in Communities Vulnerable to Child Trafficking through the Promotion of Decent Work in Cameroon: Reference Framework for Development Interventions Targeting Fulani (Mbororo) Communities in the Northwest Region.</t>
  </si>
  <si>
    <t>ILO-RAM Program</t>
  </si>
  <si>
    <t>Food for Progress [Agricultural Production Component]</t>
  </si>
  <si>
    <t>Socio-economist and Team Leader: Agricultural Production Component</t>
  </si>
  <si>
    <t>USDA;
International Institute of Tropical Agriculture (IITA);
Care Cameroon;</t>
  </si>
  <si>
    <t>Care Cameroon</t>
  </si>
  <si>
    <t>Jan, 2003 – 2004, May</t>
  </si>
  <si>
    <t>Kilum-Ijim Forest Project (KIFP)</t>
  </si>
  <si>
    <t>Programme Manager-Chief Technical Advisor</t>
  </si>
  <si>
    <t>Bird Life International</t>
  </si>
  <si>
    <t>Bamenda Highlands Forest Project (BHFP)</t>
  </si>
  <si>
    <t>Community Forestry Development Project (CFDP)</t>
  </si>
  <si>
    <t>Social Development Advisor</t>
  </si>
  <si>
    <t>DFID</t>
  </si>
  <si>
    <t>Fountain for Renewable Resources</t>
  </si>
  <si>
    <t>· Technical planning, implementation and reporting to donors and BirdLife
International;
· Annual budgeting and financial reporting to donors and implementation partners;
· Management of both Project recruited staff and Government of Cameroon staff put at the disposal of the projects;
· Ensuring functional relations with government and implementation partners of BirdLife International in supporting the development of a Conservation Trust Fund: The Cameroon Mountains Conservation Trust Fund (CAMCOF) through participation in Board Meetings and execution of thematic tasks;
· Initiating, implementing and supervising project/programme monitoring and evaluation (Audits, Tripartite Review and Steering Committees)
· In-country fund raising (in-country donors, government of Cameroon, etc.</t>
  </si>
  <si>
    <t>Date</t>
  </si>
  <si>
    <t>Type</t>
  </si>
  <si>
    <t>Editors/Authors</t>
  </si>
  <si>
    <t>Title</t>
  </si>
  <si>
    <t>Distribution</t>
  </si>
  <si>
    <t>ID#</t>
  </si>
  <si>
    <t>Journal Articles</t>
  </si>
  <si>
    <t>Nchiwan, N. E., Chouka, F., Vabi, M.B., Reichmuth, C. and Adler, C</t>
  </si>
  <si>
    <t>Toxicity of four local botanical powders to Sitophilus zeamais and influence of drying regime and particle size on insecticidal efficacy.</t>
  </si>
  <si>
    <t>In press</t>
  </si>
  <si>
    <t>Mbile, P. Vabi, M.B., Meboka, M. Okon, D., Arrey-Mbo, J. and Ebong, E.</t>
  </si>
  <si>
    <t>Linking management and livelihoods in environmental conservation: Case of the Korup National Park, Cameroon.</t>
  </si>
  <si>
    <t>Journal of Environmental Management. Volume 76 (1 -3).</t>
  </si>
  <si>
    <t>Vabi, M.B.</t>
  </si>
  <si>
    <t>Standing up to the Challenges of Participatory Rural Appraisal in Cameroon</t>
  </si>
  <si>
    <t>Rural Development Forestry Network Paper Series No. 34. PP 20-44.</t>
  </si>
  <si>
    <t>Kamini, A Mbanya, J.N., Nfi, A., Vabi, M.B., Yonkeu, S. Pingpoh, D. and Moussa. C.</t>
  </si>
  <si>
    <t>Some Aspects of the Peri-urban Dairy System in Cameroon.</t>
  </si>
  <si>
    <t>International Journal of Dairy Technology. The Society of Dairy Technology. Oxford; UK. Pp 63 - 67</t>
  </si>
  <si>
    <t>VABI, M.B.</t>
  </si>
  <si>
    <t>Eliciting Community Knowledge about Uses of Trees through Participatory Rural Appraisal Methods: Examples from Cameroon and Central African Republic.</t>
  </si>
  <si>
    <t>Rural Development Forestry Network Paper Series No. 19e. PP 30-36</t>
  </si>
  <si>
    <t>TAMBI, E.N. and VABI, M.B.</t>
  </si>
  <si>
    <t>An Analysis of Factors Influencing Dairy Market Involvement in Bamenda, Northwest Province; Cameroon.</t>
  </si>
  <si>
    <t>International Journal of AgriBusiness. Vol. 10 (4) pp 293-304</t>
  </si>
  <si>
    <t>VABI, B. M.</t>
  </si>
  <si>
    <t>Fulani Settlement and Modes of Adjustment in the Northwest Province of Cameroon.</t>
  </si>
  <si>
    <t>Pastoral Development Network Paper Series No. 35d.  Overseas Development Institute; London.</t>
  </si>
  <si>
    <t>VABI, M.B, TAMBI, E. N. and PONE, K.D.</t>
  </si>
  <si>
    <t>Linking Animal Research to Extension Through Training for On‑farm Research.</t>
  </si>
  <si>
    <t>Journal of West African Farming Systems Research Vol. 2 (2) pp</t>
  </si>
  <si>
    <t>VABI. M.B. and WILLIAMS, C.E.</t>
  </si>
  <si>
    <t>Factors Determining Technology Adoption Behaviour of Ruminant Livestock Farmers of Kwara State, Nigeria</t>
  </si>
  <si>
    <t>Journal of Rural Development, Ibadan, Nigeria. Vol. 4 (1). pp 8‑15</t>
  </si>
  <si>
    <t>Price and Income Elasticities of Demand for Beef, Chicken and Fish in Bamenda: Implications for Increasing Consumption in the Northwest Province of Cameroon</t>
  </si>
  <si>
    <t>International Journal of Agribusiness. Vol. 11 (1).</t>
  </si>
  <si>
    <t>VABI, M.B. and TAMBI, E. N.</t>
  </si>
  <si>
    <t>Consumption Patterns of Dairy Products in Bamenda Urban Town</t>
  </si>
  <si>
    <t>Journal of International Food and Agribusiness Marketing Vol. 7 (2) pp 65-78</t>
  </si>
  <si>
    <t>GOLDMAN, M., VABI, M.B. and MBAH, D.A.</t>
  </si>
  <si>
    <t>Semi‑intensive Commercial Dairy Production in the Adamawa Province of Cameroon: A case study.</t>
  </si>
  <si>
    <t>Science and Technology Review. Yaounde, Cameroon Vol. 1 (4) pp 71‑77</t>
  </si>
  <si>
    <t>DEFUNCT</t>
  </si>
  <si>
    <t>DOESN'T EXIST [confirmed]</t>
  </si>
  <si>
    <t>potentially problematic
[TO RESOLVE]</t>
  </si>
  <si>
    <t>Contry Name - INFORMAL
[short name]</t>
  </si>
  <si>
    <t>ISO English country names [FORMAL]</t>
  </si>
  <si>
    <t>FIPS Cntry
[USA Federal Information Processing Standard]</t>
  </si>
  <si>
    <t>ISO numeric code</t>
  </si>
  <si>
    <t>ISO 3166-1 
(alpha-3)</t>
  </si>
  <si>
    <t>ISO 3166-2 
(alpha-2)</t>
  </si>
  <si>
    <t>Notes</t>
  </si>
  <si>
    <t>Associate project totals</t>
  </si>
  <si>
    <t>Afghanistan</t>
  </si>
  <si>
    <t>AF</t>
  </si>
  <si>
    <t>004</t>
  </si>
  <si>
    <t>AFG</t>
  </si>
  <si>
    <t>Åland Islands</t>
  </si>
  <si>
    <t>248</t>
  </si>
  <si>
    <t>ALA</t>
  </si>
  <si>
    <t>AX</t>
  </si>
  <si>
    <t>Albania</t>
  </si>
  <si>
    <t>AL</t>
  </si>
  <si>
    <t>008</t>
  </si>
  <si>
    <t>ALB</t>
  </si>
  <si>
    <t>Algeria</t>
  </si>
  <si>
    <t>AG</t>
  </si>
  <si>
    <t>012</t>
  </si>
  <si>
    <t>DZA</t>
  </si>
  <si>
    <t>DZ</t>
  </si>
  <si>
    <t>American Samoa</t>
  </si>
  <si>
    <t>AQ</t>
  </si>
  <si>
    <t>016</t>
  </si>
  <si>
    <t>ASM</t>
  </si>
  <si>
    <t>AS</t>
  </si>
  <si>
    <t>Andorra</t>
  </si>
  <si>
    <t>AN</t>
  </si>
  <si>
    <t>020</t>
  </si>
  <si>
    <t>AND</t>
  </si>
  <si>
    <t>AD</t>
  </si>
  <si>
    <t>Angola</t>
  </si>
  <si>
    <t>AO</t>
  </si>
  <si>
    <t>024</t>
  </si>
  <si>
    <t>AGO</t>
  </si>
  <si>
    <t>Anguilla</t>
  </si>
  <si>
    <t>AV</t>
  </si>
  <si>
    <t>660</t>
  </si>
  <si>
    <t>AIA</t>
  </si>
  <si>
    <t>AI</t>
  </si>
  <si>
    <t>Antarctica</t>
  </si>
  <si>
    <t>AY</t>
  </si>
  <si>
    <t>010</t>
  </si>
  <si>
    <t>ATA</t>
  </si>
  <si>
    <t>Antigua &amp; Barbuda</t>
  </si>
  <si>
    <t>Antigua and Barbuda</t>
  </si>
  <si>
    <t>AC</t>
  </si>
  <si>
    <t>028</t>
  </si>
  <si>
    <t>ATG</t>
  </si>
  <si>
    <t>Argentina</t>
  </si>
  <si>
    <t>AR</t>
  </si>
  <si>
    <t>032</t>
  </si>
  <si>
    <t>ARG</t>
  </si>
  <si>
    <t>Armenia</t>
  </si>
  <si>
    <t>AM</t>
  </si>
  <si>
    <t>051</t>
  </si>
  <si>
    <t>ARM</t>
  </si>
  <si>
    <t>Aruba</t>
  </si>
  <si>
    <t>AA</t>
  </si>
  <si>
    <t>533</t>
  </si>
  <si>
    <t>ABW</t>
  </si>
  <si>
    <t>AW</t>
  </si>
  <si>
    <t>Australia</t>
  </si>
  <si>
    <t>036</t>
  </si>
  <si>
    <t>AUS</t>
  </si>
  <si>
    <t>AU</t>
  </si>
  <si>
    <t>Austria</t>
  </si>
  <si>
    <t>040</t>
  </si>
  <si>
    <t>AUT</t>
  </si>
  <si>
    <t>AT</t>
  </si>
  <si>
    <t>Azerbaijan</t>
  </si>
  <si>
    <t>AJ</t>
  </si>
  <si>
    <t>031</t>
  </si>
  <si>
    <t>AZE</t>
  </si>
  <si>
    <t>AZ</t>
  </si>
  <si>
    <t>Bahrain</t>
  </si>
  <si>
    <t>BA</t>
  </si>
  <si>
    <t>048</t>
  </si>
  <si>
    <t>BHR</t>
  </si>
  <si>
    <t>BH</t>
  </si>
  <si>
    <t>Baker Island</t>
  </si>
  <si>
    <t>FQ</t>
  </si>
  <si>
    <t>UM-81</t>
  </si>
  <si>
    <t>United States Minor Outlying Islands</t>
  </si>
  <si>
    <t>Bangladesh</t>
  </si>
  <si>
    <t>BG</t>
  </si>
  <si>
    <t>050</t>
  </si>
  <si>
    <t>BGD</t>
  </si>
  <si>
    <t>BD</t>
  </si>
  <si>
    <t>Barbados</t>
  </si>
  <si>
    <t>BB</t>
  </si>
  <si>
    <t>052</t>
  </si>
  <si>
    <t>BRB</t>
  </si>
  <si>
    <t>Belarus</t>
  </si>
  <si>
    <t>BO</t>
  </si>
  <si>
    <t>112</t>
  </si>
  <si>
    <t>BLR</t>
  </si>
  <si>
    <t>BY</t>
  </si>
  <si>
    <t>Belgium</t>
  </si>
  <si>
    <t>BE</t>
  </si>
  <si>
    <t>056</t>
  </si>
  <si>
    <t>BEL</t>
  </si>
  <si>
    <t>Belize</t>
  </si>
  <si>
    <t>084</t>
  </si>
  <si>
    <t>BLZ</t>
  </si>
  <si>
    <t>BZ</t>
  </si>
  <si>
    <t>Benin</t>
  </si>
  <si>
    <t>BN</t>
  </si>
  <si>
    <t>204</t>
  </si>
  <si>
    <t>BEN</t>
  </si>
  <si>
    <t>BJ</t>
  </si>
  <si>
    <t>Bermuda</t>
  </si>
  <si>
    <t>060</t>
  </si>
  <si>
    <t>BMU</t>
  </si>
  <si>
    <t>BM</t>
  </si>
  <si>
    <t>Bhutan</t>
  </si>
  <si>
    <t>BT</t>
  </si>
  <si>
    <t>064</t>
  </si>
  <si>
    <t>BTN</t>
  </si>
  <si>
    <t>Bolivia</t>
  </si>
  <si>
    <t>Bolivia, Plurinational State of</t>
  </si>
  <si>
    <t>BL</t>
  </si>
  <si>
    <t>068</t>
  </si>
  <si>
    <t>BOL</t>
  </si>
  <si>
    <t>Bonaire, Sint Eustatius and Saba</t>
  </si>
  <si>
    <t>535</t>
  </si>
  <si>
    <t>BES</t>
  </si>
  <si>
    <t>BQ</t>
  </si>
  <si>
    <t>Bosnia &amp; Herzegovina</t>
  </si>
  <si>
    <t>Bosnia and Herzegovina</t>
  </si>
  <si>
    <t>BK</t>
  </si>
  <si>
    <t>070</t>
  </si>
  <si>
    <t>BIH</t>
  </si>
  <si>
    <t>Botswana</t>
  </si>
  <si>
    <t>BC</t>
  </si>
  <si>
    <t>072</t>
  </si>
  <si>
    <t>BWA</t>
  </si>
  <si>
    <t>BW</t>
  </si>
  <si>
    <t>Bouvet I.</t>
  </si>
  <si>
    <t>Bouvet Island</t>
  </si>
  <si>
    <t>BV</t>
  </si>
  <si>
    <t>074</t>
  </si>
  <si>
    <t>BVT</t>
  </si>
  <si>
    <t>Brazil</t>
  </si>
  <si>
    <t>BR</t>
  </si>
  <si>
    <t>076</t>
  </si>
  <si>
    <t>BRA</t>
  </si>
  <si>
    <t>British Indian Ocean Territory</t>
  </si>
  <si>
    <t>IO</t>
  </si>
  <si>
    <t>086</t>
  </si>
  <si>
    <t>IOT</t>
  </si>
  <si>
    <t>Brunei</t>
  </si>
  <si>
    <t>Brunei Darussalam</t>
  </si>
  <si>
    <t>BX</t>
  </si>
  <si>
    <t>096</t>
  </si>
  <si>
    <t>BRN</t>
  </si>
  <si>
    <t>Bulgaria</t>
  </si>
  <si>
    <t>BU</t>
  </si>
  <si>
    <t>100</t>
  </si>
  <si>
    <t>BGR</t>
  </si>
  <si>
    <t>Burkina Faso</t>
  </si>
  <si>
    <t>UV</t>
  </si>
  <si>
    <t>854</t>
  </si>
  <si>
    <t>BFA</t>
  </si>
  <si>
    <t>BF</t>
  </si>
  <si>
    <t>108</t>
  </si>
  <si>
    <t>BDI</t>
  </si>
  <si>
    <t>BI</t>
  </si>
  <si>
    <t>Cambodia</t>
  </si>
  <si>
    <t>CB</t>
  </si>
  <si>
    <t>116</t>
  </si>
  <si>
    <t>KHM</t>
  </si>
  <si>
    <t>KH</t>
  </si>
  <si>
    <t>CM</t>
  </si>
  <si>
    <t>120</t>
  </si>
  <si>
    <t>Canada</t>
  </si>
  <si>
    <t>CA</t>
  </si>
  <si>
    <t>124</t>
  </si>
  <si>
    <t>CAN</t>
  </si>
  <si>
    <t>Cape Verde</t>
  </si>
  <si>
    <t>CV</t>
  </si>
  <si>
    <t>132</t>
  </si>
  <si>
    <t>CPV</t>
  </si>
  <si>
    <t>Cayman Is.</t>
  </si>
  <si>
    <t>Cayman Islands</t>
  </si>
  <si>
    <t>CJ</t>
  </si>
  <si>
    <t>136</t>
  </si>
  <si>
    <t>CYM</t>
  </si>
  <si>
    <t>KY</t>
  </si>
  <si>
    <t>Central African Republic</t>
  </si>
  <si>
    <t>CT</t>
  </si>
  <si>
    <t>140</t>
  </si>
  <si>
    <t>CAF</t>
  </si>
  <si>
    <t>CF</t>
  </si>
  <si>
    <t>Chad</t>
  </si>
  <si>
    <t>CD</t>
  </si>
  <si>
    <t>148</t>
  </si>
  <si>
    <t>TCD</t>
  </si>
  <si>
    <t>TD</t>
  </si>
  <si>
    <t>Chile</t>
  </si>
  <si>
    <t>CI</t>
  </si>
  <si>
    <t>152</t>
  </si>
  <si>
    <t>CHL</t>
  </si>
  <si>
    <t>CL</t>
  </si>
  <si>
    <t>China</t>
  </si>
  <si>
    <t>CH</t>
  </si>
  <si>
    <t>156</t>
  </si>
  <si>
    <t>CHN</t>
  </si>
  <si>
    <t>CN</t>
  </si>
  <si>
    <t>Christmas I.</t>
  </si>
  <si>
    <t>Christmas Island</t>
  </si>
  <si>
    <t>KT</t>
  </si>
  <si>
    <t>162</t>
  </si>
  <si>
    <t>CXR</t>
  </si>
  <si>
    <t>CX</t>
  </si>
  <si>
    <t>Cocos Is.</t>
  </si>
  <si>
    <t>Cocos (Keeling) Islands</t>
  </si>
  <si>
    <t>CK</t>
  </si>
  <si>
    <t>166</t>
  </si>
  <si>
    <t>CCK</t>
  </si>
  <si>
    <t>CC</t>
  </si>
  <si>
    <t>Colombia</t>
  </si>
  <si>
    <t>CO</t>
  </si>
  <si>
    <t>170</t>
  </si>
  <si>
    <t>COL</t>
  </si>
  <si>
    <t>Comoros</t>
  </si>
  <si>
    <t>174</t>
  </si>
  <si>
    <t>COM</t>
  </si>
  <si>
    <t>KM</t>
  </si>
  <si>
    <t>Congo</t>
  </si>
  <si>
    <t>178</t>
  </si>
  <si>
    <t>COG</t>
  </si>
  <si>
    <t>CG</t>
  </si>
  <si>
    <t>Congo, DRC</t>
  </si>
  <si>
    <t>Congo, the Democratic Republic of the</t>
  </si>
  <si>
    <t>180</t>
  </si>
  <si>
    <t>COD</t>
  </si>
  <si>
    <t>Cook Is.</t>
  </si>
  <si>
    <t>Cook Islands</t>
  </si>
  <si>
    <t>CW</t>
  </si>
  <si>
    <t>184</t>
  </si>
  <si>
    <t>COK</t>
  </si>
  <si>
    <t>Costa Rica</t>
  </si>
  <si>
    <t>CS</t>
  </si>
  <si>
    <t>188</t>
  </si>
  <si>
    <t>CRI</t>
  </si>
  <si>
    <t>CR</t>
  </si>
  <si>
    <t>Cote d'Ivory</t>
  </si>
  <si>
    <t>Côte d'Ivoire</t>
  </si>
  <si>
    <t>IV</t>
  </si>
  <si>
    <t>384</t>
  </si>
  <si>
    <t>CIV</t>
  </si>
  <si>
    <t>Croatia</t>
  </si>
  <si>
    <t>HR</t>
  </si>
  <si>
    <t>191</t>
  </si>
  <si>
    <t>HRV</t>
  </si>
  <si>
    <t>Cuba</t>
  </si>
  <si>
    <t>CU</t>
  </si>
  <si>
    <t>192</t>
  </si>
  <si>
    <t>CUB</t>
  </si>
  <si>
    <t>Curaçao</t>
  </si>
  <si>
    <t>UC</t>
  </si>
  <si>
    <t>531</t>
  </si>
  <si>
    <t>CUW</t>
  </si>
  <si>
    <t>Cyprus</t>
  </si>
  <si>
    <t>CY</t>
  </si>
  <si>
    <t>196</t>
  </si>
  <si>
    <t>CYP</t>
  </si>
  <si>
    <t>Czech Republic</t>
  </si>
  <si>
    <t>EZ</t>
  </si>
  <si>
    <t>203</t>
  </si>
  <si>
    <t>CZE</t>
  </si>
  <si>
    <t>CZ</t>
  </si>
  <si>
    <t>Denmark</t>
  </si>
  <si>
    <t>DA</t>
  </si>
  <si>
    <t>208</t>
  </si>
  <si>
    <t>DNK</t>
  </si>
  <si>
    <t>DK</t>
  </si>
  <si>
    <t>Djibouti</t>
  </si>
  <si>
    <t>DJ</t>
  </si>
  <si>
    <t>262</t>
  </si>
  <si>
    <t>DJI</t>
  </si>
  <si>
    <t>Dominica</t>
  </si>
  <si>
    <t>DO</t>
  </si>
  <si>
    <t>212</t>
  </si>
  <si>
    <t>DMA</t>
  </si>
  <si>
    <t>DM</t>
  </si>
  <si>
    <t>Dominican Republic</t>
  </si>
  <si>
    <t>DR</t>
  </si>
  <si>
    <t>214</t>
  </si>
  <si>
    <t>DOM</t>
  </si>
  <si>
    <t>Ecuador</t>
  </si>
  <si>
    <t>EC</t>
  </si>
  <si>
    <t>218</t>
  </si>
  <si>
    <t>ECU</t>
  </si>
  <si>
    <t>Egypt</t>
  </si>
  <si>
    <t>EG</t>
  </si>
  <si>
    <t>818</t>
  </si>
  <si>
    <t>EGY</t>
  </si>
  <si>
    <t>El Salvador</t>
  </si>
  <si>
    <t>ES</t>
  </si>
  <si>
    <t>222</t>
  </si>
  <si>
    <t>SLV</t>
  </si>
  <si>
    <t>SV</t>
  </si>
  <si>
    <t>EK</t>
  </si>
  <si>
    <t>226</t>
  </si>
  <si>
    <t>GNQ</t>
  </si>
  <si>
    <t>GQ</t>
  </si>
  <si>
    <t>Eritrea</t>
  </si>
  <si>
    <t>ER</t>
  </si>
  <si>
    <t>232</t>
  </si>
  <si>
    <t>ERI</t>
  </si>
  <si>
    <t>Estonia</t>
  </si>
  <si>
    <t>EN</t>
  </si>
  <si>
    <t>233</t>
  </si>
  <si>
    <t>EST</t>
  </si>
  <si>
    <t>EE</t>
  </si>
  <si>
    <t>Ethiopia</t>
  </si>
  <si>
    <t>ET</t>
  </si>
  <si>
    <t>231</t>
  </si>
  <si>
    <t>ETH</t>
  </si>
  <si>
    <t>Falkland Is.</t>
  </si>
  <si>
    <t>Falkland Islands (Malvinas)</t>
  </si>
  <si>
    <t>FK</t>
  </si>
  <si>
    <t>238</t>
  </si>
  <si>
    <t>FLK</t>
  </si>
  <si>
    <t>Faroe Is.</t>
  </si>
  <si>
    <t>Faroe Islands</t>
  </si>
  <si>
    <t>FO</t>
  </si>
  <si>
    <t>234</t>
  </si>
  <si>
    <t>FRO</t>
  </si>
  <si>
    <t>Fiji</t>
  </si>
  <si>
    <t>FJ</t>
  </si>
  <si>
    <t>242</t>
  </si>
  <si>
    <t>FJI</t>
  </si>
  <si>
    <t>Finland</t>
  </si>
  <si>
    <t>FI</t>
  </si>
  <si>
    <t>246</t>
  </si>
  <si>
    <t>FIN</t>
  </si>
  <si>
    <t>France</t>
  </si>
  <si>
    <t>FR</t>
  </si>
  <si>
    <t>250</t>
  </si>
  <si>
    <t>FRA</t>
  </si>
  <si>
    <t>French Guiana</t>
  </si>
  <si>
    <t>FG</t>
  </si>
  <si>
    <t>254</t>
  </si>
  <si>
    <t>GUF</t>
  </si>
  <si>
    <t>GF</t>
  </si>
  <si>
    <t>French Polynesia</t>
  </si>
  <si>
    <t>FP</t>
  </si>
  <si>
    <t>258</t>
  </si>
  <si>
    <t>PYF</t>
  </si>
  <si>
    <t>PF</t>
  </si>
  <si>
    <t>French Southern &amp; Antarctic Lands</t>
  </si>
  <si>
    <t>French Southern Territories</t>
  </si>
  <si>
    <t>FS</t>
  </si>
  <si>
    <t>260</t>
  </si>
  <si>
    <t>ATF</t>
  </si>
  <si>
    <t>TF</t>
  </si>
  <si>
    <t>Known both as 'French Southern &amp; Antarctic Lands' and 'French Southern Territories'</t>
  </si>
  <si>
    <t>Gabon</t>
  </si>
  <si>
    <t>GB</t>
  </si>
  <si>
    <t>266</t>
  </si>
  <si>
    <t>GAB</t>
  </si>
  <si>
    <t>GA</t>
  </si>
  <si>
    <t>Gambia</t>
  </si>
  <si>
    <t>270</t>
  </si>
  <si>
    <t>GMB</t>
  </si>
  <si>
    <t>GM</t>
  </si>
  <si>
    <t>Gambia, The</t>
  </si>
  <si>
    <t>Gaza Strip</t>
  </si>
  <si>
    <t>Palestinian Territory, Occupied;</t>
  </si>
  <si>
    <t>GZ</t>
  </si>
  <si>
    <t>274</t>
  </si>
  <si>
    <t>PS-GZA</t>
  </si>
  <si>
    <t>Georgia</t>
  </si>
  <si>
    <t>GG</t>
  </si>
  <si>
    <t>268</t>
  </si>
  <si>
    <t>GEO</t>
  </si>
  <si>
    <t>GE</t>
  </si>
  <si>
    <t>Germany</t>
  </si>
  <si>
    <t>276</t>
  </si>
  <si>
    <t>DEU</t>
  </si>
  <si>
    <t>DE</t>
  </si>
  <si>
    <t>Ghana</t>
  </si>
  <si>
    <t>GH</t>
  </si>
  <si>
    <t>288</t>
  </si>
  <si>
    <t>GHA</t>
  </si>
  <si>
    <t>Gibraltar</t>
  </si>
  <si>
    <t>GI</t>
  </si>
  <si>
    <t>292</t>
  </si>
  <si>
    <t>GIB</t>
  </si>
  <si>
    <t>Glorioso Is.</t>
  </si>
  <si>
    <t>Glorioso Islands</t>
  </si>
  <si>
    <t>GO</t>
  </si>
  <si>
    <t>Part of French Southern Territories</t>
  </si>
  <si>
    <t>Greece</t>
  </si>
  <si>
    <t>GR</t>
  </si>
  <si>
    <t>300</t>
  </si>
  <si>
    <t>GRC</t>
  </si>
  <si>
    <t>Greenland</t>
  </si>
  <si>
    <t>GL</t>
  </si>
  <si>
    <t>304</t>
  </si>
  <si>
    <t>GRL</t>
  </si>
  <si>
    <t>Grenada</t>
  </si>
  <si>
    <t>GJ</t>
  </si>
  <si>
    <t>308</t>
  </si>
  <si>
    <t>GRD</t>
  </si>
  <si>
    <t>GD</t>
  </si>
  <si>
    <t>Guadeloupe</t>
  </si>
  <si>
    <t>GP</t>
  </si>
  <si>
    <t>312</t>
  </si>
  <si>
    <t>GLP</t>
  </si>
  <si>
    <t>Guam</t>
  </si>
  <si>
    <t>316</t>
  </si>
  <si>
    <t>GUM</t>
  </si>
  <si>
    <t>GU</t>
  </si>
  <si>
    <t>Guatemala</t>
  </si>
  <si>
    <t>GT</t>
  </si>
  <si>
    <t>320</t>
  </si>
  <si>
    <t>GTM</t>
  </si>
  <si>
    <t>Guernsey</t>
  </si>
  <si>
    <t>GK</t>
  </si>
  <si>
    <t>831</t>
  </si>
  <si>
    <t>GGY</t>
  </si>
  <si>
    <t>Guinea</t>
  </si>
  <si>
    <t>GV</t>
  </si>
  <si>
    <t>324</t>
  </si>
  <si>
    <t>GIN</t>
  </si>
  <si>
    <t>GN</t>
  </si>
  <si>
    <t>Guinea-Bissau</t>
  </si>
  <si>
    <t>PU</t>
  </si>
  <si>
    <t>624</t>
  </si>
  <si>
    <t>GNB</t>
  </si>
  <si>
    <t>GW</t>
  </si>
  <si>
    <t>Guyana</t>
  </si>
  <si>
    <t>GY</t>
  </si>
  <si>
    <t>328</t>
  </si>
  <si>
    <t>GUY</t>
  </si>
  <si>
    <t>Haiti</t>
  </si>
  <si>
    <t>HA</t>
  </si>
  <si>
    <t>332</t>
  </si>
  <si>
    <t>HTI</t>
  </si>
  <si>
    <t>HT</t>
  </si>
  <si>
    <t>Heard I. &amp; McDonald Is.</t>
  </si>
  <si>
    <t>Heard Island and McDonald Islands</t>
  </si>
  <si>
    <t>HM</t>
  </si>
  <si>
    <t>334</t>
  </si>
  <si>
    <t>HMD</t>
  </si>
  <si>
    <t>Honduras</t>
  </si>
  <si>
    <t>HO</t>
  </si>
  <si>
    <t>340</t>
  </si>
  <si>
    <t>HND</t>
  </si>
  <si>
    <t>HN</t>
  </si>
  <si>
    <t>Howland I.</t>
  </si>
  <si>
    <t>Howland Island</t>
  </si>
  <si>
    <t>HQ</t>
  </si>
  <si>
    <t>UM-84</t>
  </si>
  <si>
    <t>Hungary</t>
  </si>
  <si>
    <t>HU</t>
  </si>
  <si>
    <t>348</t>
  </si>
  <si>
    <t>HUN</t>
  </si>
  <si>
    <t>Iceland</t>
  </si>
  <si>
    <t>IC</t>
  </si>
  <si>
    <t>352</t>
  </si>
  <si>
    <t>ISL</t>
  </si>
  <si>
    <t>IS</t>
  </si>
  <si>
    <t>India</t>
  </si>
  <si>
    <t>IN</t>
  </si>
  <si>
    <t>356</t>
  </si>
  <si>
    <t>IND</t>
  </si>
  <si>
    <t>Indonesia</t>
  </si>
  <si>
    <t>Republic of Indonesia</t>
  </si>
  <si>
    <t>ID</t>
  </si>
  <si>
    <t>360</t>
  </si>
  <si>
    <t>IDN</t>
  </si>
  <si>
    <t>Iran</t>
  </si>
  <si>
    <t>Iran, Islamic Republic of</t>
  </si>
  <si>
    <t>IR</t>
  </si>
  <si>
    <t>364</t>
  </si>
  <si>
    <t>IRN</t>
  </si>
  <si>
    <t>Iraq</t>
  </si>
  <si>
    <t>IZ</t>
  </si>
  <si>
    <t>368</t>
  </si>
  <si>
    <t>IRQ</t>
  </si>
  <si>
    <t>IQ</t>
  </si>
  <si>
    <t>Ireland</t>
  </si>
  <si>
    <t>EI</t>
  </si>
  <si>
    <t>372</t>
  </si>
  <si>
    <t>IRL</t>
  </si>
  <si>
    <t>IE</t>
  </si>
  <si>
    <t>Isle of Man</t>
  </si>
  <si>
    <t>IM</t>
  </si>
  <si>
    <t>833</t>
  </si>
  <si>
    <t>IMN</t>
  </si>
  <si>
    <t>Israel</t>
  </si>
  <si>
    <t>376</t>
  </si>
  <si>
    <t>ISR</t>
  </si>
  <si>
    <t>IL</t>
  </si>
  <si>
    <t>Italy</t>
  </si>
  <si>
    <t>IT</t>
  </si>
  <si>
    <t>380</t>
  </si>
  <si>
    <t>ITA</t>
  </si>
  <si>
    <t>Jamaica</t>
  </si>
  <si>
    <t>JM</t>
  </si>
  <si>
    <t>388</t>
  </si>
  <si>
    <t>JAM</t>
  </si>
  <si>
    <t>Jan Mayen</t>
  </si>
  <si>
    <t>JU</t>
  </si>
  <si>
    <t>744</t>
  </si>
  <si>
    <t>SJM</t>
  </si>
  <si>
    <t>SJ</t>
  </si>
  <si>
    <t>In ISO, Jan Mayen is grouped with Svalbard.</t>
  </si>
  <si>
    <t>Japan</t>
  </si>
  <si>
    <t>JA</t>
  </si>
  <si>
    <t>392</t>
  </si>
  <si>
    <t>JPN</t>
  </si>
  <si>
    <t>JP</t>
  </si>
  <si>
    <t>Jarvis I.</t>
  </si>
  <si>
    <t>Jarvis Island</t>
  </si>
  <si>
    <t>DQ</t>
  </si>
  <si>
    <t>UM-86</t>
  </si>
  <si>
    <t>Jersey</t>
  </si>
  <si>
    <t>JE</t>
  </si>
  <si>
    <t>832</t>
  </si>
  <si>
    <t>JEY</t>
  </si>
  <si>
    <t>Johnston Atoll</t>
  </si>
  <si>
    <t>Johnston Island</t>
  </si>
  <si>
    <t>JQ</t>
  </si>
  <si>
    <t>396</t>
  </si>
  <si>
    <t>UM-67</t>
  </si>
  <si>
    <t>Jordan</t>
  </si>
  <si>
    <t>JO</t>
  </si>
  <si>
    <t>400</t>
  </si>
  <si>
    <t>JOR</t>
  </si>
  <si>
    <t>Juan De Nova I.</t>
  </si>
  <si>
    <t>Kazakhstan</t>
  </si>
  <si>
    <t>KZ</t>
  </si>
  <si>
    <t>398</t>
  </si>
  <si>
    <t>KAZ</t>
  </si>
  <si>
    <t>Kenya</t>
  </si>
  <si>
    <t>KE</t>
  </si>
  <si>
    <t>404</t>
  </si>
  <si>
    <t>KEN</t>
  </si>
  <si>
    <t>Kingman Reef</t>
  </si>
  <si>
    <t>KQ</t>
  </si>
  <si>
    <t>UM-89</t>
  </si>
  <si>
    <t>Kiribati</t>
  </si>
  <si>
    <t>KR</t>
  </si>
  <si>
    <t>296</t>
  </si>
  <si>
    <t>KIR</t>
  </si>
  <si>
    <t>KI</t>
  </si>
  <si>
    <t>Korea, North</t>
  </si>
  <si>
    <t>Korea, Democratic People's Republic of</t>
  </si>
  <si>
    <t>KN</t>
  </si>
  <si>
    <t>408</t>
  </si>
  <si>
    <t>PRK</t>
  </si>
  <si>
    <t>KP</t>
  </si>
  <si>
    <t>Korea, South</t>
  </si>
  <si>
    <t>Korea, Republic of</t>
  </si>
  <si>
    <t>KS</t>
  </si>
  <si>
    <t>410</t>
  </si>
  <si>
    <t>KOR</t>
  </si>
  <si>
    <t>Kuwait</t>
  </si>
  <si>
    <t>KU</t>
  </si>
  <si>
    <t>414</t>
  </si>
  <si>
    <t>KWT</t>
  </si>
  <si>
    <t>KW</t>
  </si>
  <si>
    <t>Kyrgyzstan</t>
  </si>
  <si>
    <t>KG</t>
  </si>
  <si>
    <t>417</t>
  </si>
  <si>
    <t>KGZ</t>
  </si>
  <si>
    <t>Laos</t>
  </si>
  <si>
    <t>Lao People's Democratic Republic</t>
  </si>
  <si>
    <t>LA</t>
  </si>
  <si>
    <t>418</t>
  </si>
  <si>
    <t>LAO</t>
  </si>
  <si>
    <t>Latvia</t>
  </si>
  <si>
    <t>LG</t>
  </si>
  <si>
    <t>428</t>
  </si>
  <si>
    <t>LVA</t>
  </si>
  <si>
    <t>LV</t>
  </si>
  <si>
    <t>Lebanon</t>
  </si>
  <si>
    <t>LE</t>
  </si>
  <si>
    <t>422</t>
  </si>
  <si>
    <t>LBN</t>
  </si>
  <si>
    <t>LB</t>
  </si>
  <si>
    <t>Lesotho</t>
  </si>
  <si>
    <t>LT</t>
  </si>
  <si>
    <t>426</t>
  </si>
  <si>
    <t>LSO</t>
  </si>
  <si>
    <t>LS</t>
  </si>
  <si>
    <t>Liberia</t>
  </si>
  <si>
    <t>LI</t>
  </si>
  <si>
    <t>430</t>
  </si>
  <si>
    <t>LBR</t>
  </si>
  <si>
    <t>LR</t>
  </si>
  <si>
    <t>Libya</t>
  </si>
  <si>
    <t>Libyan Arab Jamahiriya</t>
  </si>
  <si>
    <t>LY</t>
  </si>
  <si>
    <t>434</t>
  </si>
  <si>
    <t>LBY</t>
  </si>
  <si>
    <t>Liechtenstein</t>
  </si>
  <si>
    <t>438</t>
  </si>
  <si>
    <t>LIE</t>
  </si>
  <si>
    <t>Lithuania</t>
  </si>
  <si>
    <t>LH</t>
  </si>
  <si>
    <t>440</t>
  </si>
  <si>
    <t>LTU</t>
  </si>
  <si>
    <t>Luxembourg</t>
  </si>
  <si>
    <t>LU</t>
  </si>
  <si>
    <t>442</t>
  </si>
  <si>
    <t>LUX</t>
  </si>
  <si>
    <t>Macao</t>
  </si>
  <si>
    <t>MC</t>
  </si>
  <si>
    <t>446</t>
  </si>
  <si>
    <t>MAC</t>
  </si>
  <si>
    <t>MO</t>
  </si>
  <si>
    <t>Macedonia</t>
  </si>
  <si>
    <t>Macedonia, the former Yugoslav Republic of</t>
  </si>
  <si>
    <t>MK</t>
  </si>
  <si>
    <t>807</t>
  </si>
  <si>
    <t>MKD</t>
  </si>
  <si>
    <t>Madagascar</t>
  </si>
  <si>
    <t>MA</t>
  </si>
  <si>
    <t>450</t>
  </si>
  <si>
    <t>MDG</t>
  </si>
  <si>
    <t>MG</t>
  </si>
  <si>
    <t>Malawi</t>
  </si>
  <si>
    <t>MI</t>
  </si>
  <si>
    <t>454</t>
  </si>
  <si>
    <t>MWI</t>
  </si>
  <si>
    <t>MW</t>
  </si>
  <si>
    <t>Malaysia</t>
  </si>
  <si>
    <t>MY</t>
  </si>
  <si>
    <t>458</t>
  </si>
  <si>
    <t>MYS</t>
  </si>
  <si>
    <t>Maldives</t>
  </si>
  <si>
    <t>MV</t>
  </si>
  <si>
    <t>462</t>
  </si>
  <si>
    <t>MDV</t>
  </si>
  <si>
    <t>Mali</t>
  </si>
  <si>
    <t>ML</t>
  </si>
  <si>
    <t>466</t>
  </si>
  <si>
    <t>MLI</t>
  </si>
  <si>
    <t>Malta</t>
  </si>
  <si>
    <t>MT</t>
  </si>
  <si>
    <t>470</t>
  </si>
  <si>
    <t>MLT</t>
  </si>
  <si>
    <t>Marshall Is.</t>
  </si>
  <si>
    <t>Marshall Islands</t>
  </si>
  <si>
    <t>RM</t>
  </si>
  <si>
    <t>584</t>
  </si>
  <si>
    <t>MHL</t>
  </si>
  <si>
    <t>MH</t>
  </si>
  <si>
    <t>Martinique</t>
  </si>
  <si>
    <t>MB</t>
  </si>
  <si>
    <t>474</t>
  </si>
  <si>
    <t>MTQ</t>
  </si>
  <si>
    <t>MQ</t>
  </si>
  <si>
    <t>Mauritania</t>
  </si>
  <si>
    <t>MR</t>
  </si>
  <si>
    <t>478</t>
  </si>
  <si>
    <t>MRT</t>
  </si>
  <si>
    <t>Mauritius</t>
  </si>
  <si>
    <t>MP</t>
  </si>
  <si>
    <t>480</t>
  </si>
  <si>
    <t>MUS</t>
  </si>
  <si>
    <t>MU</t>
  </si>
  <si>
    <t>Mayotte</t>
  </si>
  <si>
    <t>MF</t>
  </si>
  <si>
    <t>175</t>
  </si>
  <si>
    <t>MYT</t>
  </si>
  <si>
    <t>YT</t>
  </si>
  <si>
    <t>Mexico</t>
  </si>
  <si>
    <t>MX</t>
  </si>
  <si>
    <t>484</t>
  </si>
  <si>
    <t>MEX</t>
  </si>
  <si>
    <t>Micronesia</t>
  </si>
  <si>
    <t>Micronesia, Federated States of</t>
  </si>
  <si>
    <t>FM</t>
  </si>
  <si>
    <t>583</t>
  </si>
  <si>
    <t>FSM</t>
  </si>
  <si>
    <t>Midway Is.</t>
  </si>
  <si>
    <t>Midway Islands</t>
  </si>
  <si>
    <t>488</t>
  </si>
  <si>
    <t>UM-71</t>
  </si>
  <si>
    <t>Moldova</t>
  </si>
  <si>
    <t>Moldova, Republic of</t>
  </si>
  <si>
    <t>MD</t>
  </si>
  <si>
    <t>498</t>
  </si>
  <si>
    <t>MDA</t>
  </si>
  <si>
    <t>Monaco</t>
  </si>
  <si>
    <t>MN</t>
  </si>
  <si>
    <t>492</t>
  </si>
  <si>
    <t>MCO</t>
  </si>
  <si>
    <t>Mongolia</t>
  </si>
  <si>
    <t>496</t>
  </si>
  <si>
    <t>MNG</t>
  </si>
  <si>
    <t>Montenegro</t>
  </si>
  <si>
    <t>MJ</t>
  </si>
  <si>
    <t>499</t>
  </si>
  <si>
    <t>MNE</t>
  </si>
  <si>
    <t>ME</t>
  </si>
  <si>
    <t>Montserrat</t>
  </si>
  <si>
    <t>500</t>
  </si>
  <si>
    <t>MSR</t>
  </si>
  <si>
    <t>MS</t>
  </si>
  <si>
    <t>Morocco</t>
  </si>
  <si>
    <t>504</t>
  </si>
  <si>
    <t>MAR</t>
  </si>
  <si>
    <t>Mozambique</t>
  </si>
  <si>
    <t>MZ</t>
  </si>
  <si>
    <t>508</t>
  </si>
  <si>
    <t>MOZ</t>
  </si>
  <si>
    <t>Myanmar</t>
  </si>
  <si>
    <t>104</t>
  </si>
  <si>
    <t>MMR</t>
  </si>
  <si>
    <t>MM</t>
  </si>
  <si>
    <t>FIPS uses the name Burma instead of Myanmar.</t>
  </si>
  <si>
    <t>Namibia</t>
  </si>
  <si>
    <t>WA</t>
  </si>
  <si>
    <t>516</t>
  </si>
  <si>
    <t>NAM</t>
  </si>
  <si>
    <t>NA</t>
  </si>
  <si>
    <t>Nauru</t>
  </si>
  <si>
    <t>NR</t>
  </si>
  <si>
    <t>520</t>
  </si>
  <si>
    <t>NRU</t>
  </si>
  <si>
    <t>Navassa Island</t>
  </si>
  <si>
    <t>UM-76</t>
  </si>
  <si>
    <t>Nepal</t>
  </si>
  <si>
    <t>NP</t>
  </si>
  <si>
    <t>524</t>
  </si>
  <si>
    <t>NPL</t>
  </si>
  <si>
    <t>Netherlands</t>
  </si>
  <si>
    <t>NL</t>
  </si>
  <si>
    <t>528</t>
  </si>
  <si>
    <t>NLD</t>
  </si>
  <si>
    <t>Netherlands Antilles - DEFUNCT</t>
  </si>
  <si>
    <t>Netherlands Antilles</t>
  </si>
  <si>
    <t>NT</t>
  </si>
  <si>
    <t>530</t>
  </si>
  <si>
    <t>ANT</t>
  </si>
  <si>
    <t>Divided ownership: Curaçao and Sint Maarten (Dutch) and three territories belonging to Holland</t>
  </si>
  <si>
    <t>New Caledonia</t>
  </si>
  <si>
    <t>NC</t>
  </si>
  <si>
    <t>540</t>
  </si>
  <si>
    <t>NCL</t>
  </si>
  <si>
    <t>New Zealand</t>
  </si>
  <si>
    <t>NZ</t>
  </si>
  <si>
    <t>554</t>
  </si>
  <si>
    <t>NZL</t>
  </si>
  <si>
    <t>Nicaragua</t>
  </si>
  <si>
    <t>NU</t>
  </si>
  <si>
    <t>558</t>
  </si>
  <si>
    <t>NIC</t>
  </si>
  <si>
    <t>NI</t>
  </si>
  <si>
    <t>Niger</t>
  </si>
  <si>
    <t>NG</t>
  </si>
  <si>
    <t>562</t>
  </si>
  <si>
    <t>NER</t>
  </si>
  <si>
    <t>NE</t>
  </si>
  <si>
    <t>Nigeria</t>
  </si>
  <si>
    <t>566</t>
  </si>
  <si>
    <t>Niue</t>
  </si>
  <si>
    <t>570</t>
  </si>
  <si>
    <t>NIU</t>
  </si>
  <si>
    <t>Norfolk I.</t>
  </si>
  <si>
    <t>Norfolk Island</t>
  </si>
  <si>
    <t>NF</t>
  </si>
  <si>
    <t>574</t>
  </si>
  <si>
    <t>NFK</t>
  </si>
  <si>
    <t>Northern Mariana Is.</t>
  </si>
  <si>
    <t>Northern Mariana Islands</t>
  </si>
  <si>
    <t>CQ</t>
  </si>
  <si>
    <t>580</t>
  </si>
  <si>
    <t>MNP</t>
  </si>
  <si>
    <t>Norway</t>
  </si>
  <si>
    <t>NO</t>
  </si>
  <si>
    <t>578</t>
  </si>
  <si>
    <t>NOR</t>
  </si>
  <si>
    <t>Oman</t>
  </si>
  <si>
    <t>512</t>
  </si>
  <si>
    <t>OMN</t>
  </si>
  <si>
    <t>OM</t>
  </si>
  <si>
    <t>Pakistan</t>
  </si>
  <si>
    <t>PK</t>
  </si>
  <si>
    <t>586</t>
  </si>
  <si>
    <t>PAK</t>
  </si>
  <si>
    <t>Palau</t>
  </si>
  <si>
    <t>PS</t>
  </si>
  <si>
    <t>585</t>
  </si>
  <si>
    <t>PLW</t>
  </si>
  <si>
    <t>PW</t>
  </si>
  <si>
    <t>Palestine, State of</t>
  </si>
  <si>
    <t>275</t>
  </si>
  <si>
    <t>PSE</t>
  </si>
  <si>
    <t>'Palestine, Occupied Territories' replaced in ISO index as 'Palestine, State Of'; it has no FIPS (probably because the US doesn't recognize the Palestinian state)</t>
  </si>
  <si>
    <t>Palmyra Atoll</t>
  </si>
  <si>
    <t>LQ</t>
  </si>
  <si>
    <t>UM-95</t>
  </si>
  <si>
    <t>Panama</t>
  </si>
  <si>
    <t>PM</t>
  </si>
  <si>
    <t>591</t>
  </si>
  <si>
    <t>PAN</t>
  </si>
  <si>
    <t>PA</t>
  </si>
  <si>
    <t>Papua New Guinea</t>
  </si>
  <si>
    <t>PP</t>
  </si>
  <si>
    <t>598</t>
  </si>
  <si>
    <t>PNG</t>
  </si>
  <si>
    <t>PG</t>
  </si>
  <si>
    <t>Paracel Is.</t>
  </si>
  <si>
    <t>Paracel Islands</t>
  </si>
  <si>
    <t>Paraguay</t>
  </si>
  <si>
    <t>600</t>
  </si>
  <si>
    <t>PRY</t>
  </si>
  <si>
    <t>PY</t>
  </si>
  <si>
    <t>Peru</t>
  </si>
  <si>
    <t>PE</t>
  </si>
  <si>
    <t>604</t>
  </si>
  <si>
    <t>PER</t>
  </si>
  <si>
    <t>Philippines</t>
  </si>
  <si>
    <t>Republic of the Philippines</t>
  </si>
  <si>
    <t>RP</t>
  </si>
  <si>
    <t>608</t>
  </si>
  <si>
    <t>PHL</t>
  </si>
  <si>
    <t>PH</t>
  </si>
  <si>
    <t>Pitcairn Is.</t>
  </si>
  <si>
    <t>Pitcairn</t>
  </si>
  <si>
    <t>PC</t>
  </si>
  <si>
    <t>612</t>
  </si>
  <si>
    <t>PCN</t>
  </si>
  <si>
    <t>PN</t>
  </si>
  <si>
    <t>Poland</t>
  </si>
  <si>
    <t>PL</t>
  </si>
  <si>
    <t>616</t>
  </si>
  <si>
    <t>POL</t>
  </si>
  <si>
    <t>Portugal</t>
  </si>
  <si>
    <t>PO</t>
  </si>
  <si>
    <t>620</t>
  </si>
  <si>
    <t>PRT</t>
  </si>
  <si>
    <t>PT</t>
  </si>
  <si>
    <t>Puerto Rico</t>
  </si>
  <si>
    <t>RQ</t>
  </si>
  <si>
    <t>630</t>
  </si>
  <si>
    <t>PRI</t>
  </si>
  <si>
    <t>PR</t>
  </si>
  <si>
    <t>Qatar</t>
  </si>
  <si>
    <t>QA</t>
  </si>
  <si>
    <t>634</t>
  </si>
  <si>
    <t>QAT</t>
  </si>
  <si>
    <t>Réunion</t>
  </si>
  <si>
    <t>RE</t>
  </si>
  <si>
    <t>638</t>
  </si>
  <si>
    <t>REU</t>
  </si>
  <si>
    <t>Romania</t>
  </si>
  <si>
    <t>RO</t>
  </si>
  <si>
    <t>642</t>
  </si>
  <si>
    <t>ROU</t>
  </si>
  <si>
    <t>Russia</t>
  </si>
  <si>
    <t>Russian Federation</t>
  </si>
  <si>
    <t>RS</t>
  </si>
  <si>
    <t>643</t>
  </si>
  <si>
    <t>RUS</t>
  </si>
  <si>
    <t>RU</t>
  </si>
  <si>
    <t>Rwanda</t>
  </si>
  <si>
    <t>RW</t>
  </si>
  <si>
    <t>646</t>
  </si>
  <si>
    <t>RWA</t>
  </si>
  <si>
    <t>Saint Barthélemy</t>
  </si>
  <si>
    <t>TB</t>
  </si>
  <si>
    <t>652</t>
  </si>
  <si>
    <t>BLM</t>
  </si>
  <si>
    <t>Saint Martin (French part)</t>
  </si>
  <si>
    <t>RN</t>
  </si>
  <si>
    <t>663</t>
  </si>
  <si>
    <t>MAF</t>
  </si>
  <si>
    <t>Samoa</t>
  </si>
  <si>
    <t>WS</t>
  </si>
  <si>
    <t>882</t>
  </si>
  <si>
    <t>WSM</t>
  </si>
  <si>
    <t>San Marino</t>
  </si>
  <si>
    <t>SM</t>
  </si>
  <si>
    <t>674</t>
  </si>
  <si>
    <t>SMR</t>
  </si>
  <si>
    <t>Sao Tome &amp; Principe</t>
  </si>
  <si>
    <t>Sao Tome and Principe</t>
  </si>
  <si>
    <t>TP</t>
  </si>
  <si>
    <t>678</t>
  </si>
  <si>
    <t>STP</t>
  </si>
  <si>
    <t>ST</t>
  </si>
  <si>
    <t>Saudi Arabia</t>
  </si>
  <si>
    <t>SA</t>
  </si>
  <si>
    <t>682</t>
  </si>
  <si>
    <t>SAU</t>
  </si>
  <si>
    <t>Senegal</t>
  </si>
  <si>
    <t>SG</t>
  </si>
  <si>
    <t>686</t>
  </si>
  <si>
    <t>SEN</t>
  </si>
  <si>
    <t>SN</t>
  </si>
  <si>
    <t>Serbia</t>
  </si>
  <si>
    <t>SR</t>
  </si>
  <si>
    <t>688</t>
  </si>
  <si>
    <t>SRB</t>
  </si>
  <si>
    <t>Seychelles</t>
  </si>
  <si>
    <t>SE</t>
  </si>
  <si>
    <t>690</t>
  </si>
  <si>
    <t>SYC</t>
  </si>
  <si>
    <t>SC</t>
  </si>
  <si>
    <t>Sierra Leone</t>
  </si>
  <si>
    <t>SL</t>
  </si>
  <si>
    <t>694</t>
  </si>
  <si>
    <t>SLE</t>
  </si>
  <si>
    <t>Singapore</t>
  </si>
  <si>
    <t>702</t>
  </si>
  <si>
    <t>SGP</t>
  </si>
  <si>
    <t>Sint Maarten (Dutch part)</t>
  </si>
  <si>
    <t>NN</t>
  </si>
  <si>
    <t>534</t>
  </si>
  <si>
    <t>SXM</t>
  </si>
  <si>
    <t>SX</t>
  </si>
  <si>
    <t>Slovakia</t>
  </si>
  <si>
    <t>LO</t>
  </si>
  <si>
    <t>703</t>
  </si>
  <si>
    <t>SVK</t>
  </si>
  <si>
    <t>SK</t>
  </si>
  <si>
    <t>Slovenia</t>
  </si>
  <si>
    <t>SI</t>
  </si>
  <si>
    <t>705</t>
  </si>
  <si>
    <t>SVN</t>
  </si>
  <si>
    <t>Solomon Is.</t>
  </si>
  <si>
    <t>Solomon Islands</t>
  </si>
  <si>
    <t>BP</t>
  </si>
  <si>
    <t>90</t>
  </si>
  <si>
    <t>SLB</t>
  </si>
  <si>
    <t>SB</t>
  </si>
  <si>
    <t>Somalia</t>
  </si>
  <si>
    <t>SO</t>
  </si>
  <si>
    <t>706</t>
  </si>
  <si>
    <t>SOM</t>
  </si>
  <si>
    <t>South Africa</t>
  </si>
  <si>
    <t>SF</t>
  </si>
  <si>
    <t>710</t>
  </si>
  <si>
    <t>ZAF</t>
  </si>
  <si>
    <t>ZA</t>
  </si>
  <si>
    <t>South Georgia &amp; the South Sandwich Is.</t>
  </si>
  <si>
    <t>South Georgia and the South Sandwich Islands</t>
  </si>
  <si>
    <t>239</t>
  </si>
  <si>
    <t>SGS</t>
  </si>
  <si>
    <t>GS</t>
  </si>
  <si>
    <t>South Sudan</t>
  </si>
  <si>
    <t>OD</t>
  </si>
  <si>
    <t>728</t>
  </si>
  <si>
    <t>SSD</t>
  </si>
  <si>
    <t>SS</t>
  </si>
  <si>
    <t>Spain</t>
  </si>
  <si>
    <t>SP</t>
  </si>
  <si>
    <t>724</t>
  </si>
  <si>
    <t>ESP</t>
  </si>
  <si>
    <t>Spratly Is.</t>
  </si>
  <si>
    <t>XS</t>
  </si>
  <si>
    <t>Sri Lanka</t>
  </si>
  <si>
    <t>CE</t>
  </si>
  <si>
    <t>144</t>
  </si>
  <si>
    <t>LKA</t>
  </si>
  <si>
    <t>LK</t>
  </si>
  <si>
    <t>St. Helena</t>
  </si>
  <si>
    <t>Saint Helena, Ascension and Tristan da Cunha</t>
  </si>
  <si>
    <t>SH</t>
  </si>
  <si>
    <t>654</t>
  </si>
  <si>
    <t>SHN</t>
  </si>
  <si>
    <t>St. Kitts &amp; Nevis</t>
  </si>
  <si>
    <t>Saint Kitts and Nevis</t>
  </si>
  <si>
    <t>659</t>
  </si>
  <si>
    <t>KNA</t>
  </si>
  <si>
    <t>St. Lucia</t>
  </si>
  <si>
    <t>Saint Lucia</t>
  </si>
  <si>
    <t>662</t>
  </si>
  <si>
    <t>LCA</t>
  </si>
  <si>
    <t>LC</t>
  </si>
  <si>
    <t>St. Pierre &amp; Miquelon</t>
  </si>
  <si>
    <t>Saint Pierre and Miquelon</t>
  </si>
  <si>
    <t>666</t>
  </si>
  <si>
    <t>SPM</t>
  </si>
  <si>
    <t>St. Vincent &amp; the Grenadines</t>
  </si>
  <si>
    <t>Saint Vincent and the Grenadines</t>
  </si>
  <si>
    <t>VC</t>
  </si>
  <si>
    <t>670</t>
  </si>
  <si>
    <t>VCT</t>
  </si>
  <si>
    <t>Sudan</t>
  </si>
  <si>
    <t>SU</t>
  </si>
  <si>
    <t>729</t>
  </si>
  <si>
    <t>SDN</t>
  </si>
  <si>
    <t>SD</t>
  </si>
  <si>
    <t>Suriname</t>
  </si>
  <si>
    <t>NS</t>
  </si>
  <si>
    <t>740</t>
  </si>
  <si>
    <t>SUR</t>
  </si>
  <si>
    <t>Svalbard</t>
  </si>
  <si>
    <t>Svalbard and Jan Mayen</t>
  </si>
  <si>
    <t>In ISO, Svalbard is grouped with Jan Mayen.</t>
  </si>
  <si>
    <t>Swaziland</t>
  </si>
  <si>
    <t>WZ</t>
  </si>
  <si>
    <t>748</t>
  </si>
  <si>
    <t>SWZ</t>
  </si>
  <si>
    <t>SZ</t>
  </si>
  <si>
    <t>Sweden</t>
  </si>
  <si>
    <t>SW</t>
  </si>
  <si>
    <t>752</t>
  </si>
  <si>
    <t>SWE</t>
  </si>
  <si>
    <t>Switzerland</t>
  </si>
  <si>
    <t>756</t>
  </si>
  <si>
    <t>CHE</t>
  </si>
  <si>
    <t>Syria</t>
  </si>
  <si>
    <t>Syrian Arab Republic</t>
  </si>
  <si>
    <t>SY</t>
  </si>
  <si>
    <t>760</t>
  </si>
  <si>
    <t>SYR</t>
  </si>
  <si>
    <t>Taiwan</t>
  </si>
  <si>
    <t>Taiwan, Province of China</t>
  </si>
  <si>
    <t>TW</t>
  </si>
  <si>
    <t>158</t>
  </si>
  <si>
    <t>TWN</t>
  </si>
  <si>
    <t>Tajikistan</t>
  </si>
  <si>
    <t>TI</t>
  </si>
  <si>
    <t>762</t>
  </si>
  <si>
    <t>TJK</t>
  </si>
  <si>
    <t>TJ</t>
  </si>
  <si>
    <t>Tanzania</t>
  </si>
  <si>
    <t>Tanzania, United Republic of</t>
  </si>
  <si>
    <t>TZ</t>
  </si>
  <si>
    <t>834</t>
  </si>
  <si>
    <t>TZA</t>
  </si>
  <si>
    <t>Thailand</t>
  </si>
  <si>
    <t>TH</t>
  </si>
  <si>
    <t>764</t>
  </si>
  <si>
    <t>THA</t>
  </si>
  <si>
    <t>The Bahamas</t>
  </si>
  <si>
    <t>Bahamas</t>
  </si>
  <si>
    <t>044</t>
  </si>
  <si>
    <t>BHS</t>
  </si>
  <si>
    <t>BS</t>
  </si>
  <si>
    <t>Timor, East</t>
  </si>
  <si>
    <t>Timor-Leste</t>
  </si>
  <si>
    <t>TT</t>
  </si>
  <si>
    <t>626</t>
  </si>
  <si>
    <t>TLS</t>
  </si>
  <si>
    <t>TL</t>
  </si>
  <si>
    <t>Togo</t>
  </si>
  <si>
    <t>TO</t>
  </si>
  <si>
    <t>768</t>
  </si>
  <si>
    <t>TGO</t>
  </si>
  <si>
    <t>TG</t>
  </si>
  <si>
    <t>Tokelau</t>
  </si>
  <si>
    <t>772</t>
  </si>
  <si>
    <t>TKL</t>
  </si>
  <si>
    <t>TK</t>
  </si>
  <si>
    <t>Tonga</t>
  </si>
  <si>
    <t>TN</t>
  </si>
  <si>
    <t>776</t>
  </si>
  <si>
    <t>TON</t>
  </si>
  <si>
    <t>Trinidad &amp; Tobago</t>
  </si>
  <si>
    <t>Trinidad and Tobago</t>
  </si>
  <si>
    <t>780</t>
  </si>
  <si>
    <t>TTO</t>
  </si>
  <si>
    <t>Tunisia</t>
  </si>
  <si>
    <t>TS</t>
  </si>
  <si>
    <t>788</t>
  </si>
  <si>
    <t>TUN</t>
  </si>
  <si>
    <t>Turkey</t>
  </si>
  <si>
    <t>TU</t>
  </si>
  <si>
    <t>792</t>
  </si>
  <si>
    <t>TUR</t>
  </si>
  <si>
    <t>TR</t>
  </si>
  <si>
    <t>Turkmenistan</t>
  </si>
  <si>
    <t>TX</t>
  </si>
  <si>
    <t>795</t>
  </si>
  <si>
    <t>TKM</t>
  </si>
  <si>
    <t>TM</t>
  </si>
  <si>
    <t>Turks &amp; Caicos Is.</t>
  </si>
  <si>
    <t>Turks and Caicos Islands</t>
  </si>
  <si>
    <t>796</t>
  </si>
  <si>
    <t>TCA</t>
  </si>
  <si>
    <t>TC</t>
  </si>
  <si>
    <t>Tuvalu</t>
  </si>
  <si>
    <t>TV</t>
  </si>
  <si>
    <t>798</t>
  </si>
  <si>
    <t>TUV</t>
  </si>
  <si>
    <t>Uganda</t>
  </si>
  <si>
    <t>UG</t>
  </si>
  <si>
    <t>800</t>
  </si>
  <si>
    <t>UGA</t>
  </si>
  <si>
    <t>Ukraine</t>
  </si>
  <si>
    <t>UP</t>
  </si>
  <si>
    <t>804</t>
  </si>
  <si>
    <t>UKR</t>
  </si>
  <si>
    <t>UA</t>
  </si>
  <si>
    <t>United Arab Emirates</t>
  </si>
  <si>
    <t>AE</t>
  </si>
  <si>
    <t>784</t>
  </si>
  <si>
    <t>ARE</t>
  </si>
  <si>
    <t>United Kingdom</t>
  </si>
  <si>
    <t>UK</t>
  </si>
  <si>
    <t>826</t>
  </si>
  <si>
    <t>GBR</t>
  </si>
  <si>
    <t>United States</t>
  </si>
  <si>
    <t>US</t>
  </si>
  <si>
    <t>840</t>
  </si>
  <si>
    <t>USA</t>
  </si>
  <si>
    <t>UM</t>
  </si>
  <si>
    <t>581</t>
  </si>
  <si>
    <t>UMI</t>
  </si>
  <si>
    <t>Uruguay</t>
  </si>
  <si>
    <t>UY</t>
  </si>
  <si>
    <t>858</t>
  </si>
  <si>
    <t>URY</t>
  </si>
  <si>
    <t>Uzbekistan</t>
  </si>
  <si>
    <t>UZ</t>
  </si>
  <si>
    <t>860</t>
  </si>
  <si>
    <t>UZB</t>
  </si>
  <si>
    <t>Vanuatu</t>
  </si>
  <si>
    <t>NH</t>
  </si>
  <si>
    <t>548</t>
  </si>
  <si>
    <t>VUT</t>
  </si>
  <si>
    <t>VU</t>
  </si>
  <si>
    <t>Vatican City</t>
  </si>
  <si>
    <t>Holy See (Vatican City State)</t>
  </si>
  <si>
    <t>VT</t>
  </si>
  <si>
    <t>336</t>
  </si>
  <si>
    <t>VAT</t>
  </si>
  <si>
    <t>VA</t>
  </si>
  <si>
    <t>Venezuela</t>
  </si>
  <si>
    <t>Venezuela, Bolivarian Republic of</t>
  </si>
  <si>
    <t>VE</t>
  </si>
  <si>
    <t>862</t>
  </si>
  <si>
    <t>VEN</t>
  </si>
  <si>
    <t>Vietnam</t>
  </si>
  <si>
    <t>Viet Nam</t>
  </si>
  <si>
    <t>VM</t>
  </si>
  <si>
    <t>704</t>
  </si>
  <si>
    <t>VNM</t>
  </si>
  <si>
    <t>VN</t>
  </si>
  <si>
    <t>Virgin Islands, British</t>
  </si>
  <si>
    <t>VI</t>
  </si>
  <si>
    <t>092</t>
  </si>
  <si>
    <t>VGB</t>
  </si>
  <si>
    <t>VG</t>
  </si>
  <si>
    <t>Virgin Islands, U.S.</t>
  </si>
  <si>
    <t>VQ</t>
  </si>
  <si>
    <t>850</t>
  </si>
  <si>
    <t>VIR</t>
  </si>
  <si>
    <t>Wake I.</t>
  </si>
  <si>
    <t>Wake Island</t>
  </si>
  <si>
    <t>WQ</t>
  </si>
  <si>
    <t>872</t>
  </si>
  <si>
    <t>UM-79</t>
  </si>
  <si>
    <t>Wallis &amp; Futuna</t>
  </si>
  <si>
    <t>Wallis and Futuna</t>
  </si>
  <si>
    <t>WF</t>
  </si>
  <si>
    <t>876</t>
  </si>
  <si>
    <t>WLF</t>
  </si>
  <si>
    <t>West Bank</t>
  </si>
  <si>
    <t>WE</t>
  </si>
  <si>
    <t>Western Sahara</t>
  </si>
  <si>
    <t>WI</t>
  </si>
  <si>
    <t>732</t>
  </si>
  <si>
    <t>ESH</t>
  </si>
  <si>
    <t>EH</t>
  </si>
  <si>
    <t>Yemen</t>
  </si>
  <si>
    <t>YM</t>
  </si>
  <si>
    <t>887</t>
  </si>
  <si>
    <t>YEM</t>
  </si>
  <si>
    <t>YE</t>
  </si>
  <si>
    <t>Zambia</t>
  </si>
  <si>
    <t>894</t>
  </si>
  <si>
    <t>ZMB</t>
  </si>
  <si>
    <t>ZM</t>
  </si>
  <si>
    <t>Zimbabwe</t>
  </si>
  <si>
    <t>ZI</t>
  </si>
  <si>
    <t>716</t>
  </si>
  <si>
    <t>ZWE</t>
  </si>
  <si>
    <t>ZW</t>
  </si>
  <si>
    <t>Themes - Consolidated</t>
  </si>
  <si>
    <t>EXPERTISE</t>
  </si>
  <si>
    <t>PROJECT</t>
  </si>
  <si>
    <t>Themes</t>
  </si>
  <si>
    <t>Sub-Themes</t>
  </si>
  <si>
    <t>Theme Count, EXPERTISE</t>
  </si>
  <si>
    <t>Sub-Theme Count, EXPERTISE</t>
  </si>
  <si>
    <t>Theme Count, PROJECT</t>
  </si>
  <si>
    <t>Sub-Theme Count, PROJECT</t>
  </si>
  <si>
    <t>Capacity-Building</t>
  </si>
  <si>
    <t>Client Relations, Network, and Partnership Development</t>
  </si>
  <si>
    <t>Corporate Social Responsibility</t>
  </si>
  <si>
    <t>Skills-Sharings</t>
  </si>
  <si>
    <t>-</t>
  </si>
  <si>
    <t>Economic Growth</t>
  </si>
  <si>
    <t>Civic Engagement</t>
  </si>
  <si>
    <t>Conflict Prevention and Post-Conflict Reconstruction</t>
  </si>
  <si>
    <t>Gender Equity Initiatives -regional</t>
  </si>
  <si>
    <t>Governance</t>
  </si>
  <si>
    <t>Social Development</t>
  </si>
  <si>
    <t>Health and Human Welfare</t>
  </si>
  <si>
    <t>Stakeholder Participation</t>
  </si>
  <si>
    <t>Rural Development</t>
  </si>
  <si>
    <t>Analysis of Economic Growth</t>
  </si>
  <si>
    <t>Social Investment</t>
  </si>
  <si>
    <t>Economic Statistics, Modeling and Forecasting</t>
  </si>
  <si>
    <t>Fostering Physical Infrastructure Development</t>
  </si>
  <si>
    <t>Trade and Integration</t>
  </si>
  <si>
    <t>Information and Communication Technology</t>
  </si>
  <si>
    <t>Urban Development</t>
  </si>
  <si>
    <t>Infrastructure Services for Private-Sector Development</t>
  </si>
  <si>
    <t>Micro, Small and Medium Enterprise Support</t>
  </si>
  <si>
    <t>Other Economic Management</t>
  </si>
  <si>
    <t>Private Sector Development</t>
  </si>
  <si>
    <t>Promoting Economic Efficiency and Enabling Markets</t>
  </si>
  <si>
    <t>Promoting Macroeconomic Stability</t>
  </si>
  <si>
    <t>State-Owned Enterprise Restructuring and Privatization</t>
  </si>
  <si>
    <t>Biodiversity</t>
  </si>
  <si>
    <t>Environmental Policies and Legislation</t>
  </si>
  <si>
    <t>Global and Regional Trans-Boundary Environmental Concerns and Issues</t>
  </si>
  <si>
    <t>Land Administration and Management</t>
  </si>
  <si>
    <t>Natural Resources Conservation</t>
  </si>
  <si>
    <t>Other Environment and Natural Resources Management</t>
  </si>
  <si>
    <t>Pollution Management and Environmental Health</t>
  </si>
  <si>
    <t>Urban Environmental Improvement</t>
  </si>
  <si>
    <t>Water Resource Management</t>
  </si>
  <si>
    <t>Anti-Money Laundering and Combating the Financing of Terrorism</t>
  </si>
  <si>
    <t>Debt Management and Fiscal Sustainability</t>
  </si>
  <si>
    <t>e-Services</t>
  </si>
  <si>
    <t>Financial Consumer Protection and Financial Literacy</t>
  </si>
  <si>
    <t>Macroeconomic Management</t>
  </si>
  <si>
    <t>Other Financial and Private-Sector Development</t>
  </si>
  <si>
    <t>Other Financial Sector Development</t>
  </si>
  <si>
    <t>Regulation and Competition Policy</t>
  </si>
  <si>
    <t>Access to Law and Justice</t>
  </si>
  <si>
    <t>Accountability/Transparency</t>
  </si>
  <si>
    <t>Administrative and Civil Service Reform</t>
  </si>
  <si>
    <t>Anti-Corruption</t>
  </si>
  <si>
    <t>Civil Society Participation</t>
  </si>
  <si>
    <t>Decentralization</t>
  </si>
  <si>
    <t>e-Government</t>
  </si>
  <si>
    <t>Financial and Economic Governance</t>
  </si>
  <si>
    <t>Human Rights</t>
  </si>
  <si>
    <t>Judicial and Other Dispute Resolution Mechanisms</t>
  </si>
  <si>
    <t>Legal Institutions for a Market Economy</t>
  </si>
  <si>
    <t>Legal Reform</t>
  </si>
  <si>
    <t>Legal Services</t>
  </si>
  <si>
    <t>Managing for Development Results</t>
  </si>
  <si>
    <t>Other Rule of Law</t>
  </si>
  <si>
    <t>Personal and Property Rights</t>
  </si>
  <si>
    <t>Policy/Institutional/Legal/Regulatory Reforms</t>
  </si>
  <si>
    <t>Private Sector Investment</t>
  </si>
  <si>
    <t>Privatization -general</t>
  </si>
  <si>
    <t>Public Expenditure, Financial Management and Procurement</t>
  </si>
  <si>
    <t>Public Governance</t>
  </si>
  <si>
    <t>Public Sector Governance</t>
  </si>
  <si>
    <t>Public-Private Partnerships</t>
  </si>
  <si>
    <t>Tax Policy and Administration</t>
  </si>
  <si>
    <t>Child Health</t>
  </si>
  <si>
    <t>Education for All</t>
  </si>
  <si>
    <t>Education for the Knowledge Economy</t>
  </si>
  <si>
    <t>Health System Performance</t>
  </si>
  <si>
    <t>HIV/AIDS</t>
  </si>
  <si>
    <t>Injuries and Non-Communicable Diseases</t>
  </si>
  <si>
    <t>Malaria</t>
  </si>
  <si>
    <t>Other Communicable Diseases</t>
  </si>
  <si>
    <t>Other Human Development</t>
  </si>
  <si>
    <t>Population and Reproductive Health</t>
  </si>
  <si>
    <t>Tuberculosis</t>
  </si>
  <si>
    <t>Global Food Crisis Response</t>
  </si>
  <si>
    <t>Other Rural Development</t>
  </si>
  <si>
    <t>Rural Markets</t>
  </si>
  <si>
    <t>Rural Non-Farm Income Generation</t>
  </si>
  <si>
    <t>Rural Policies and Institutions</t>
  </si>
  <si>
    <t>Rural Services and Infrastructure</t>
  </si>
  <si>
    <t>Communication Infrastructure</t>
  </si>
  <si>
    <t>Improving Labor Markets</t>
  </si>
  <si>
    <t>Local Business Investment</t>
  </si>
  <si>
    <t>Cultural Heritage</t>
  </si>
  <si>
    <t>Gender -general</t>
  </si>
  <si>
    <t>Gender Equity in Capabilities</t>
  </si>
  <si>
    <t>Gender Equity in Opportunities</t>
  </si>
  <si>
    <t>Indigenous Peoples</t>
  </si>
  <si>
    <t>Involuntary Resettlement</t>
  </si>
  <si>
    <t>Natural Disaster Management</t>
  </si>
  <si>
    <t>Poverty Analysis</t>
  </si>
  <si>
    <t>Poverty Monitoring</t>
  </si>
  <si>
    <t>Risk Assessment</t>
  </si>
  <si>
    <t>Social Analysis and Monitoring</t>
  </si>
  <si>
    <t>Social Inclusion</t>
  </si>
  <si>
    <t>Social Protection and Risk Management</t>
  </si>
  <si>
    <t>Social Risk Mitigation</t>
  </si>
  <si>
    <t>Social Safety Nets</t>
  </si>
  <si>
    <t>Vulnerability Assessment</t>
  </si>
  <si>
    <t>Vulnerability Monitoring</t>
  </si>
  <si>
    <t>Cross-Border Infrastructure</t>
  </si>
  <si>
    <t>Export Development and Competitiveness</t>
  </si>
  <si>
    <t>International Financial Architecture</t>
  </si>
  <si>
    <t>International Financial Institutional Trade Networks and Systems</t>
  </si>
  <si>
    <t>International Financial Standards and Systems</t>
  </si>
  <si>
    <t>Money and Finance</t>
  </si>
  <si>
    <t>Other Trade and Integration</t>
  </si>
  <si>
    <t>Regional Integration</t>
  </si>
  <si>
    <t>Regional Public Goods</t>
  </si>
  <si>
    <t>Technology Diffusion</t>
  </si>
  <si>
    <t>Trade and Investments</t>
  </si>
  <si>
    <t>Trade Facilitation and Market Access</t>
  </si>
  <si>
    <t>City-Wide Infrastructure</t>
  </si>
  <si>
    <t>Housing Construction for the Poor</t>
  </si>
  <si>
    <t>Housing Policy for the Poor</t>
  </si>
  <si>
    <t>Municipal Finance</t>
  </si>
  <si>
    <t>Municipal Governance and Institution Building</t>
  </si>
  <si>
    <t>Service Delivery</t>
  </si>
  <si>
    <t>Urban Development -regional</t>
  </si>
  <si>
    <t>Urban Economic Development</t>
  </si>
  <si>
    <t>Urban Planning</t>
  </si>
  <si>
    <t>Urban Services</t>
  </si>
  <si>
    <t>Sectors</t>
  </si>
  <si>
    <t>Sub-Sectors</t>
  </si>
  <si>
    <t>Sector Count, EXPERTISE</t>
  </si>
  <si>
    <t>Sub-Sector Count, EXPERTISE</t>
  </si>
  <si>
    <t>Sector Count, PROJECT</t>
  </si>
  <si>
    <t>Sub-Sector Count, PROJECT</t>
  </si>
  <si>
    <t>Agricultural Extension and Research</t>
  </si>
  <si>
    <t>Agriculture Sector Development</t>
  </si>
  <si>
    <t>Animal Production</t>
  </si>
  <si>
    <t>Aquaculture</t>
  </si>
  <si>
    <t>Crops</t>
  </si>
  <si>
    <t>Dairy</t>
  </si>
  <si>
    <t>Fats and Oils</t>
  </si>
  <si>
    <t>Fishery</t>
  </si>
  <si>
    <t>Forests</t>
  </si>
  <si>
    <t>Fruits &amp; Vegetables</t>
  </si>
  <si>
    <t>Grains</t>
  </si>
  <si>
    <t>Irrigation and Drainage</t>
  </si>
  <si>
    <t>Livestock</t>
  </si>
  <si>
    <t>Mineral Resources</t>
  </si>
  <si>
    <t>Processed Food &amp; Beverages</t>
  </si>
  <si>
    <t>Sugar</t>
  </si>
  <si>
    <t>Economic Management</t>
  </si>
  <si>
    <t>Public Finance and Expenditure Management</t>
  </si>
  <si>
    <t>Education</t>
  </si>
  <si>
    <t>Adult Literacy</t>
  </si>
  <si>
    <t>Basic Education</t>
  </si>
  <si>
    <t>Education Sector Development</t>
  </si>
  <si>
    <t>General Education Sector</t>
  </si>
  <si>
    <t>Non-Formal Education</t>
  </si>
  <si>
    <t>Early Education</t>
  </si>
  <si>
    <t>Primary Education</t>
  </si>
  <si>
    <t>Secondary Education</t>
  </si>
  <si>
    <t>Senior Secondary General Education</t>
  </si>
  <si>
    <t>Technical Education</t>
  </si>
  <si>
    <t>Tertiary Education</t>
  </si>
  <si>
    <t>Vocational Training and Skills Development</t>
  </si>
  <si>
    <t>Energy</t>
  </si>
  <si>
    <t>Conventional Energy Generation</t>
  </si>
  <si>
    <t>Energy Efficiency in Heat and Power</t>
  </si>
  <si>
    <t>Energy Sector Development</t>
  </si>
  <si>
    <t>General Energy Sector</t>
  </si>
  <si>
    <t>Hydropower</t>
  </si>
  <si>
    <t>Renewable Energy</t>
  </si>
  <si>
    <t>Thermal Power Generation</t>
  </si>
  <si>
    <t>Energy Transmission and Distribution</t>
  </si>
  <si>
    <t>Electrical Systems</t>
  </si>
  <si>
    <t>Extractive Industries</t>
  </si>
  <si>
    <t>Coal</t>
  </si>
  <si>
    <t>Mining</t>
  </si>
  <si>
    <t>Oil and Gas</t>
  </si>
  <si>
    <t>Other Extractive Industries</t>
  </si>
  <si>
    <t>Finance</t>
  </si>
  <si>
    <t>Banking</t>
  </si>
  <si>
    <t>Business and Other Services</t>
  </si>
  <si>
    <t>Capital Markets and Funds</t>
  </si>
  <si>
    <t>Credit Reporting and Secured Transactions</t>
  </si>
  <si>
    <t>Finance Sector Development and Reform</t>
  </si>
  <si>
    <t>General Finance Sector</t>
  </si>
  <si>
    <t>Housing Finance</t>
  </si>
  <si>
    <t>Microfinance</t>
  </si>
  <si>
    <t>Non-Compulsory Health Finance</t>
  </si>
  <si>
    <t>Non-Compulsory Pensions and Insurance</t>
  </si>
  <si>
    <t>Other Non-Bank Financial Intermediaries</t>
  </si>
  <si>
    <t>Payments, Settlements, and Remittance Systems</t>
  </si>
  <si>
    <t>Pensions, Insurance, Social Security and Contractual Savings</t>
  </si>
  <si>
    <t>SME Finance</t>
  </si>
  <si>
    <t>Financial Infrastructure</t>
  </si>
  <si>
    <t>Private Equity Funds</t>
  </si>
  <si>
    <t>Retail Finance</t>
  </si>
  <si>
    <t>Risk Management</t>
  </si>
  <si>
    <t>Sustainability and Climate Business</t>
  </si>
  <si>
    <t>Trade and Supply Chain</t>
  </si>
  <si>
    <t>Health and Nutrition</t>
  </si>
  <si>
    <t>Early Childhood Development</t>
  </si>
  <si>
    <t>Healthcare</t>
  </si>
  <si>
    <t>Integrated Programs for Health- and Social-Services</t>
  </si>
  <si>
    <t>Health Programs &amp; Services</t>
  </si>
  <si>
    <t>Social Programs &amp; Services</t>
  </si>
  <si>
    <t>Nutrition</t>
  </si>
  <si>
    <t>Industry, Manufacturing and Trade</t>
  </si>
  <si>
    <t>Agro-Industry, Marketing, and Trade</t>
  </si>
  <si>
    <t>Energy Efficient Machinery</t>
  </si>
  <si>
    <t>Construction -general</t>
  </si>
  <si>
    <t>Industry and Trade</t>
  </si>
  <si>
    <t>Housing Construction</t>
  </si>
  <si>
    <t>Industry -general</t>
  </si>
  <si>
    <t>Domestic and International Trade</t>
  </si>
  <si>
    <t>(Petro-) Chemicals and Fertilizers</t>
  </si>
  <si>
    <t>Property</t>
  </si>
  <si>
    <t>Retail -general</t>
  </si>
  <si>
    <t>Small- and Medium-Scale Enterprises</t>
  </si>
  <si>
    <t>Tourism</t>
  </si>
  <si>
    <t>Trade -general</t>
  </si>
  <si>
    <t>Infrastructure</t>
  </si>
  <si>
    <t>IFC InfraVentures</t>
  </si>
  <si>
    <t>Power Infrastructure</t>
  </si>
  <si>
    <t>Renewables</t>
  </si>
  <si>
    <t>Subnational Finance</t>
  </si>
  <si>
    <t>Transportation Infrastructure</t>
  </si>
  <si>
    <t>Water Infrastructure</t>
  </si>
  <si>
    <t>Integrated</t>
  </si>
  <si>
    <t>Integrated Sub-Sector</t>
  </si>
  <si>
    <t>Multisector</t>
  </si>
  <si>
    <t>Not Listed</t>
  </si>
  <si>
    <t>Other</t>
  </si>
  <si>
    <t>Other Sub-Sector</t>
  </si>
  <si>
    <t>Public Administration, Law, and Justice</t>
  </si>
  <si>
    <t>Central Government Administration</t>
  </si>
  <si>
    <t>Compulsory Pension and Unemployment Insurance</t>
  </si>
  <si>
    <t>General Public Administration Sector</t>
  </si>
  <si>
    <t>Government and Civil Society</t>
  </si>
  <si>
    <t>Law and Judiciary</t>
  </si>
  <si>
    <t>National Government Administration</t>
  </si>
  <si>
    <t>Public Administration - Agriculture, Fishing and Forestry</t>
  </si>
  <si>
    <t>Public Administration - Education</t>
  </si>
  <si>
    <t>Public Administration - Energy and Natural Resource Extraction</t>
  </si>
  <si>
    <t>Public Administration - Financial Sector</t>
  </si>
  <si>
    <t>Public Administration - Health Services</t>
  </si>
  <si>
    <t>Public Administration - Trade</t>
  </si>
  <si>
    <t>Public Administration - Information and Communications</t>
  </si>
  <si>
    <t>Public Administration - Social Services</t>
  </si>
  <si>
    <t>Public Administration - Transportation</t>
  </si>
  <si>
    <t>Public Administration - Water, Sanitation and Flood Protection</t>
  </si>
  <si>
    <t>Sub-national Governance</t>
  </si>
  <si>
    <t>Support to NGOs</t>
  </si>
  <si>
    <t>Telecoms, Media &amp; Information Technology</t>
  </si>
  <si>
    <t>General Information and Communications Sector</t>
  </si>
  <si>
    <t>Information Technology</t>
  </si>
  <si>
    <t>Media &amp; Broadcast Information</t>
  </si>
  <si>
    <t>Postal Services</t>
  </si>
  <si>
    <t>Telecommunications</t>
  </si>
  <si>
    <t>Transport and Communication</t>
  </si>
  <si>
    <t>Aviation</t>
  </si>
  <si>
    <t>General Transportation Sector</t>
  </si>
  <si>
    <t>Multimodal Transport and Sector Development</t>
  </si>
  <si>
    <t>Ports, Waterways and Shipping</t>
  </si>
  <si>
    <t>Railways</t>
  </si>
  <si>
    <t>Roads and Highways</t>
  </si>
  <si>
    <t>Rural and Inter-Urban Transport Infrastructure</t>
  </si>
  <si>
    <t>Transport and Storage</t>
  </si>
  <si>
    <t>Urban Transport Systems</t>
  </si>
  <si>
    <t>Public Transit Services</t>
  </si>
  <si>
    <t>Water Supply, Sanitation, and Waste Management</t>
  </si>
  <si>
    <t>Flood Protection -general</t>
  </si>
  <si>
    <t>Integrated Water, Sanitation and Flood Management</t>
  </si>
  <si>
    <t>Water Management -Integrated</t>
  </si>
  <si>
    <t>Sanitation -general</t>
  </si>
  <si>
    <t>Solid Waste Management</t>
  </si>
  <si>
    <t>Wastewater Collection and Transportation</t>
  </si>
  <si>
    <t>Wastewater Treatment and Disposal</t>
  </si>
  <si>
    <t>Water Supply</t>
  </si>
  <si>
    <t>PS2: Labor and Working Conditions</t>
  </si>
  <si>
    <t>Contractor E&amp;S Management</t>
  </si>
  <si>
    <t>PS3: Resource Efficiency and Pollution Prevention</t>
  </si>
  <si>
    <t>E&amp;S Organizational Capacity Assessment</t>
  </si>
  <si>
    <t>PS4: Community Health, Safety, and Security</t>
  </si>
  <si>
    <t>E&amp;S Training Design</t>
  </si>
  <si>
    <t>PS5: Land Acquisition and Involuntary Resettlement</t>
  </si>
  <si>
    <t>E&amp;S Management System</t>
  </si>
  <si>
    <t>PS6: Biodiversity Conservation and Sustainable Management of Living Natural Resources</t>
  </si>
  <si>
    <t>Environmental and Social Impact Assessment</t>
  </si>
  <si>
    <t>Food Safety and HACCP</t>
  </si>
  <si>
    <t>PS8: Cultural Heritage</t>
  </si>
  <si>
    <t>Human Rights Assessment</t>
  </si>
  <si>
    <t>Organic Food Certification</t>
  </si>
  <si>
    <t>Stakeholder Engagement and Grievance Mechanisms</t>
  </si>
  <si>
    <t>Supply Chain E&amp;S Assessment</t>
  </si>
  <si>
    <t>Assessment of migrant worker related issues</t>
  </si>
  <si>
    <t>Child and Forced Labor Assessment</t>
  </si>
  <si>
    <t>Labor and Working Conditions</t>
  </si>
  <si>
    <t>Labor Audits based on ILO Conventions</t>
  </si>
  <si>
    <t>Occupational Health and Safety</t>
  </si>
  <si>
    <t>Retrenchment Audit</t>
  </si>
  <si>
    <t>Supply Chain Labor Assessment</t>
  </si>
  <si>
    <t>Workers Organization and Greivance Mechanisms</t>
  </si>
  <si>
    <t>Air Emission Management</t>
  </si>
  <si>
    <t>Cleaner Production</t>
  </si>
  <si>
    <t>Energy Efficiency</t>
  </si>
  <si>
    <t>Green Building and Construction</t>
  </si>
  <si>
    <t>Greenhouse Gas Emission Audit</t>
  </si>
  <si>
    <t>Hazardous Material Management</t>
  </si>
  <si>
    <t>Urban and Regional Planning</t>
  </si>
  <si>
    <t>Wastewater Management</t>
  </si>
  <si>
    <t>Water Efficiency</t>
  </si>
  <si>
    <t>Buildings Structural Integrity</t>
  </si>
  <si>
    <t>Community Health and Safety</t>
  </si>
  <si>
    <t>Community Security</t>
  </si>
  <si>
    <t>Life and Fire Safety</t>
  </si>
  <si>
    <t>Infrastructure and Equipment Safety</t>
  </si>
  <si>
    <t>Community Benefit Sharing Schemes</t>
  </si>
  <si>
    <t>Land Acquisition and Resettlement</t>
  </si>
  <si>
    <t>Livelihood Restoration</t>
  </si>
  <si>
    <t>Biodiversity Assessment</t>
  </si>
  <si>
    <t>Biodiversity Offset Planning and Implementation</t>
  </si>
  <si>
    <t>Ecosystem Services Review</t>
  </si>
  <si>
    <t>Forestry Management</t>
  </si>
  <si>
    <t>Geographic Information System &amp; Land Use Planning</t>
  </si>
  <si>
    <t>Natural Resource Management</t>
  </si>
  <si>
    <t>Supply Chain Biodiversity Assessment</t>
  </si>
  <si>
    <t>Sustainable Forestry Certification (FSC, PEFC)</t>
  </si>
  <si>
    <t>Free Prior and Informed Consent (FPIC)</t>
  </si>
  <si>
    <t>Critical Cultural Heritage</t>
  </si>
  <si>
    <t>Cultural Heritage Assessment and Preservation</t>
  </si>
  <si>
    <t>Airlines</t>
  </si>
  <si>
    <t>Airports</t>
  </si>
  <si>
    <t>Base Metal Smelting and Refining</t>
  </si>
  <si>
    <t>Biomass Collection and Processing</t>
  </si>
  <si>
    <t>Board and Particle-based Products</t>
  </si>
  <si>
    <t>Breweries</t>
  </si>
  <si>
    <t>Cement and Lime Manufacturing</t>
  </si>
  <si>
    <t>Ceramic Tile and Sanitary Ware Manufacturing</t>
  </si>
  <si>
    <t>Coal Tar Distillation</t>
  </si>
  <si>
    <t>Coal Processing</t>
  </si>
  <si>
    <t>Construction Materials Extraction</t>
  </si>
  <si>
    <t>Crude Oil and Petroleum Product Terminals</t>
  </si>
  <si>
    <t>Dairy Processing</t>
  </si>
  <si>
    <t>Electric Power Transmission and Distribution</t>
  </si>
  <si>
    <t>Financial Intermediaries (e.g. Banks, PE Funds)</t>
  </si>
  <si>
    <t>Fish Processing</t>
  </si>
  <si>
    <t>Food and Beverage Processing</t>
  </si>
  <si>
    <t>Foundries</t>
  </si>
  <si>
    <t>Gas Distribution Systems</t>
  </si>
  <si>
    <t>Geothermal Power Generation</t>
  </si>
  <si>
    <t>Glass Manufacturing</t>
  </si>
  <si>
    <t>Health Care Facilities</t>
  </si>
  <si>
    <t>Integrated Steel Mills</t>
  </si>
  <si>
    <t>Large Volume Inorganic Compounds Manufacturing and Coal Tar Distillation</t>
  </si>
  <si>
    <t>Large Volume Petroleum based Organic Chemicals Manufacturing</t>
  </si>
  <si>
    <t>Liquefied Natural Gas (LNG) Facilities</t>
  </si>
  <si>
    <t>Mammalian Livestock Production</t>
  </si>
  <si>
    <t>Meat Processing</t>
  </si>
  <si>
    <t>Metal, Plastic, Rubber Products Manufacturing</t>
  </si>
  <si>
    <t>Natural Gas Processing</t>
  </si>
  <si>
    <t>Nitrogenous Fertilizer Manufacturing</t>
  </si>
  <si>
    <t>Offshore Oil and Gas Development</t>
  </si>
  <si>
    <t>Oleochemicals Manufacturing</t>
  </si>
  <si>
    <t>Onshore Oil and Gas Development</t>
  </si>
  <si>
    <t>Pesticides Formulation, Manufacturing and Packaging</t>
  </si>
  <si>
    <t>Petroleum Refining</t>
  </si>
  <si>
    <t>Petroleum based Polymers Manufacturing</t>
  </si>
  <si>
    <t>Pharmaceuticals and Biotechnology</t>
  </si>
  <si>
    <t>Phosphate Fertilizer Manufacturing</t>
  </si>
  <si>
    <t>Plantation Crop Production</t>
  </si>
  <si>
    <t>Ports, Harbors and Terminals</t>
  </si>
  <si>
    <t>Poultry Processing</t>
  </si>
  <si>
    <t>Poultry Production</t>
  </si>
  <si>
    <t>Printing</t>
  </si>
  <si>
    <t>Pulp and Paper Mills</t>
  </si>
  <si>
    <t>Retail Petroleum Networks</t>
  </si>
  <si>
    <t>Sawmilling and Wood-based Products</t>
  </si>
  <si>
    <t>Semiconductors and Electronics Manufacturing</t>
  </si>
  <si>
    <t>Shipping</t>
  </si>
  <si>
    <t>Solar Power</t>
  </si>
  <si>
    <t>Sugar Manufacturing</t>
  </si>
  <si>
    <t>Tanning and Leather Finishing</t>
  </si>
  <si>
    <t>Textiles Manufacturing</t>
  </si>
  <si>
    <t>Thermal Power</t>
  </si>
  <si>
    <t>Toll Roads</t>
  </si>
  <si>
    <t>Tourism and Hospitality Development</t>
  </si>
  <si>
    <t>Vegetable Oil Processing</t>
  </si>
  <si>
    <t>Waste Management Facilities</t>
  </si>
  <si>
    <t>Waste to Energy</t>
  </si>
  <si>
    <t>Water and Sanitation</t>
  </si>
  <si>
    <t>Wind Energy</t>
  </si>
  <si>
    <t>key: 0AoFJqNbvcLPmdFFqeHpWWnRjS3VLTEVfYml0aldvNUE</t>
  </si>
</sst>
</file>

<file path=xl/styles.xml><?xml version="1.0" encoding="utf-8"?>
<styleSheet xmlns="http://schemas.openxmlformats.org/spreadsheetml/2006/main">
  <numFmts count="3">
    <numFmt formatCode="GENERAL" numFmtId="164"/>
    <numFmt formatCode="@" numFmtId="165"/>
    <numFmt formatCode="GENERAL" numFmtId="166"/>
  </numFmts>
  <fonts count="13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3366"/>
      <name val="Arial"/>
      <family val="2"/>
      <charset val="1"/>
    </font>
    <font>
      <i val="true"/>
      <sz val="10"/>
      <color rgb="FF003366"/>
      <name val="Arial"/>
      <family val="2"/>
      <charset val="1"/>
    </font>
    <font>
      <sz val="10"/>
      <color rgb="FF003366"/>
      <name val="Arial"/>
      <family val="2"/>
      <charset val="1"/>
    </font>
    <font>
      <b val="true"/>
      <sz val="10"/>
      <color rgb="FF073763"/>
      <name val="Arial"/>
      <family val="2"/>
      <charset val="1"/>
    </font>
    <font>
      <sz val="10"/>
      <color rgb="FFD9D2E9"/>
      <name val="Arial"/>
      <family val="2"/>
      <charset val="1"/>
    </font>
    <font>
      <sz val="10"/>
      <color rgb="FF073763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F3F3F3"/>
      <name val="Arial"/>
      <family val="2"/>
      <charset val="1"/>
    </font>
    <font>
      <b val="true"/>
      <sz val="10"/>
      <color rgb="FFF3F3F3"/>
      <name val="Arial"/>
      <family val="2"/>
      <charset val="1"/>
    </font>
  </fonts>
  <fills count="20">
    <fill>
      <patternFill patternType="none"/>
    </fill>
    <fill>
      <patternFill patternType="gray125"/>
    </fill>
    <fill>
      <patternFill patternType="solid">
        <fgColor rgb="FFE1C7E1"/>
        <bgColor rgb="FFD9D2E9"/>
      </patternFill>
    </fill>
    <fill>
      <patternFill patternType="solid">
        <fgColor rgb="FFC2D1F0"/>
        <bgColor rgb="FFD9D2E9"/>
      </patternFill>
    </fill>
    <fill>
      <patternFill patternType="solid">
        <fgColor rgb="FFFCE5CD"/>
        <bgColor rgb="FFFFF2CC"/>
      </patternFill>
    </fill>
    <fill>
      <patternFill patternType="solid">
        <fgColor rgb="FFD9EAD3"/>
        <bgColor rgb="FFD0E0E3"/>
      </patternFill>
    </fill>
    <fill>
      <patternFill patternType="solid">
        <fgColor rgb="FFFFFFFF"/>
        <bgColor rgb="FFF3F3F3"/>
      </patternFill>
    </fill>
    <fill>
      <patternFill patternType="solid">
        <fgColor rgb="FFF9CB9C"/>
        <bgColor rgb="FFF4CCCC"/>
      </patternFill>
    </fill>
    <fill>
      <patternFill patternType="solid">
        <fgColor rgb="FFEA9999"/>
        <bgColor rgb="FFDD7E6B"/>
      </patternFill>
    </fill>
    <fill>
      <patternFill patternType="solid">
        <fgColor rgb="FFFFF2CC"/>
        <bgColor rgb="FFFCE5CD"/>
      </patternFill>
    </fill>
    <fill>
      <patternFill patternType="solid">
        <fgColor rgb="FFF4CCCC"/>
        <bgColor rgb="FFE1C7E1"/>
      </patternFill>
    </fill>
    <fill>
      <patternFill patternType="solid">
        <fgColor rgb="FFFFE599"/>
        <bgColor rgb="FFFCE5CD"/>
      </patternFill>
    </fill>
    <fill>
      <patternFill patternType="solid">
        <fgColor rgb="FFCCCCCC"/>
        <bgColor rgb="FFD9D2E9"/>
      </patternFill>
    </fill>
    <fill>
      <patternFill patternType="solid">
        <fgColor rgb="FF20124D"/>
        <bgColor rgb="FF000080"/>
      </patternFill>
    </fill>
    <fill>
      <patternFill patternType="solid">
        <fgColor rgb="FFDD7E6B"/>
        <bgColor rgb="FFEA9999"/>
      </patternFill>
    </fill>
    <fill>
      <patternFill patternType="solid">
        <fgColor rgb="FFD0E0E3"/>
        <bgColor rgb="FFD9D9D9"/>
      </patternFill>
    </fill>
    <fill>
      <patternFill patternType="solid">
        <fgColor rgb="FFD9D2E9"/>
        <bgColor rgb="FFD9D9D9"/>
      </patternFill>
    </fill>
    <fill>
      <patternFill patternType="solid">
        <fgColor rgb="FFD9D9D9"/>
        <bgColor rgb="FFD9D2E9"/>
      </patternFill>
    </fill>
    <fill>
      <patternFill patternType="solid">
        <fgColor rgb="FF434343"/>
        <bgColor rgb="FF333300"/>
      </patternFill>
    </fill>
    <fill>
      <patternFill patternType="solid">
        <fgColor rgb="FF073763"/>
        <bgColor rgb="FF003366"/>
      </patternFill>
    </fill>
  </fills>
  <borders count="4">
    <border diagonalDown="false" diagonalUp="false">
      <left/>
      <right/>
      <top/>
      <bottom/>
      <diagonal/>
    </border>
    <border diagonalDown="false" diagonalUp="false">
      <left style="thin"/>
      <right style="thin"/>
      <top/>
      <bottom/>
      <diagonal/>
    </border>
    <border diagonalDown="false" diagonalUp="false">
      <left style="thin"/>
      <right/>
      <top/>
      <bottom/>
      <diagonal/>
    </border>
    <border diagonalDown="false" diagonalUp="false">
      <left/>
      <right style="thin"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65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4" numFmtId="164" xfId="0">
      <alignment horizontal="left" indent="0" shrinkToFit="false" textRotation="0" vertical="bottom" wrapText="true"/>
      <protection hidden="false" locked="true"/>
    </xf>
    <xf applyAlignment="true" applyBorder="false" applyFont="true" applyProtection="false" borderId="0" fillId="0" fontId="0" numFmtId="164" xfId="0">
      <alignment horizontal="left" indent="0" shrinkToFit="false" textRotation="0" vertical="bottom" wrapText="true"/>
      <protection hidden="false" locked="true"/>
    </xf>
    <xf applyAlignment="true" applyBorder="true" applyFont="true" applyProtection="false" borderId="1" fillId="2" fontId="4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1" fillId="3" fontId="4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2" fillId="3" fontId="4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2" fillId="0" fontId="5" numFmtId="164" xfId="0">
      <alignment horizontal="general" indent="0" shrinkToFit="false" textRotation="0" vertical="bottom" wrapText="true"/>
      <protection hidden="false" locked="true"/>
    </xf>
    <xf applyAlignment="true" applyBorder="false" applyFont="true" applyProtection="false" borderId="0" fillId="0" fontId="5" numFmtId="164" xfId="0">
      <alignment horizontal="general" indent="0" shrinkToFit="false" textRotation="0" vertical="bottom" wrapText="true"/>
      <protection hidden="false" locked="true"/>
    </xf>
    <xf applyAlignment="true" applyBorder="true" applyFont="true" applyProtection="false" borderId="3" fillId="0" fontId="5" numFmtId="164" xfId="0">
      <alignment horizontal="general" indent="0" shrinkToFit="false" textRotation="0" vertical="bottom" wrapText="true"/>
      <protection hidden="false" locked="true"/>
    </xf>
    <xf applyAlignment="true" applyBorder="false" applyFont="true" applyProtection="false" borderId="0" fillId="0" fontId="5" numFmtId="164" xfId="0">
      <alignment horizontal="right" indent="0" shrinkToFit="false" textRotation="0" vertical="bottom" wrapText="true"/>
      <protection hidden="false" locked="true"/>
    </xf>
    <xf applyAlignment="true" applyBorder="true" applyFont="true" applyProtection="false" borderId="2" fillId="0" fontId="0" numFmtId="164" xfId="0">
      <alignment horizontal="general" indent="0" shrinkToFit="false" textRotation="0" vertical="bottom" wrapText="true"/>
      <protection hidden="false" locked="true"/>
    </xf>
    <xf applyAlignment="true" applyBorder="true" applyFont="false" applyProtection="false" borderId="3" fillId="0" fontId="0" numFmtId="164" xfId="0">
      <alignment horizontal="general" indent="0" shrinkToFit="false" textRotation="0" vertical="bottom" wrapText="true"/>
      <protection hidden="false" locked="true"/>
    </xf>
    <xf applyAlignment="true" applyBorder="false" applyFont="false" applyProtection="false" borderId="0" fillId="0" fontId="0" numFmtId="164" xfId="0">
      <alignment horizontal="right" indent="0" shrinkToFit="false" textRotation="0" vertical="bottom" wrapText="true"/>
      <protection hidden="false" locked="true"/>
    </xf>
    <xf applyAlignment="true" applyBorder="false" applyFont="true" applyProtection="false" borderId="0" fillId="0" fontId="0" numFmtId="164" xfId="0">
      <alignment horizontal="general" indent="0" shrinkToFit="false" textRotation="0" vertical="bottom" wrapText="true"/>
      <protection hidden="false" locked="true"/>
    </xf>
    <xf applyAlignment="true" applyBorder="true" applyFont="false" applyProtection="false" borderId="0" fillId="4" fontId="0" numFmtId="164" xfId="0">
      <alignment horizontal="general" indent="0" shrinkToFit="false" textRotation="0" vertical="top" wrapText="true"/>
      <protection hidden="false" locked="true"/>
    </xf>
    <xf applyAlignment="true" applyBorder="false" applyFont="true" applyProtection="false" borderId="0" fillId="5" fontId="0" numFmtId="164" xfId="0">
      <alignment horizontal="general" indent="0" shrinkToFit="false" textRotation="0" vertical="top" wrapText="true"/>
      <protection hidden="false" locked="true"/>
    </xf>
    <xf applyAlignment="true" applyBorder="false" applyFont="false" applyProtection="false" borderId="0" fillId="5" fontId="0" numFmtId="164" xfId="0">
      <alignment horizontal="general" indent="0" shrinkToFit="false" textRotation="0" vertical="bottom" wrapText="true"/>
      <protection hidden="false" locked="true"/>
    </xf>
    <xf applyAlignment="true" applyBorder="false" applyFont="true" applyProtection="false" borderId="0" fillId="6" fontId="6" numFmtId="164" xfId="0">
      <alignment horizontal="general" indent="0" shrinkToFit="false" textRotation="0" vertical="bottom" wrapText="true"/>
      <protection hidden="false" locked="true"/>
    </xf>
    <xf applyAlignment="true" applyBorder="false" applyFont="true" applyProtection="false" borderId="0" fillId="4" fontId="6" numFmtId="164" xfId="0">
      <alignment horizontal="general" indent="0" shrinkToFit="false" textRotation="0" vertical="bottom" wrapText="true"/>
      <protection hidden="false" locked="true"/>
    </xf>
    <xf applyAlignment="true" applyBorder="false" applyFont="true" applyProtection="false" borderId="0" fillId="5" fontId="6" numFmtId="164" xfId="0">
      <alignment horizontal="general" indent="0" shrinkToFit="false" textRotation="0" vertical="bottom" wrapText="true"/>
      <protection hidden="false" locked="true"/>
    </xf>
    <xf applyAlignment="false" applyBorder="false" applyFont="tru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5" fontId="0" numFmtId="164" xfId="0">
      <alignment horizontal="general" indent="0" shrinkToFit="false" textRotation="0" vertical="bottom" wrapText="true"/>
      <protection hidden="false" locked="true"/>
    </xf>
    <xf applyAlignment="true" applyBorder="false" applyFont="true" applyProtection="false" borderId="0" fillId="0" fontId="4" numFmtId="164" xfId="0">
      <alignment horizontal="center" indent="0" shrinkToFit="false" textRotation="0" vertical="center" wrapText="true"/>
      <protection hidden="false" locked="true"/>
    </xf>
    <xf applyAlignment="true" applyBorder="false" applyFont="true" applyProtection="false" borderId="0" fillId="0" fontId="4" numFmtId="164" xfId="0">
      <alignment horizontal="general" indent="0" shrinkToFit="false" textRotation="0" vertical="bottom" wrapText="true"/>
      <protection hidden="false" locked="true"/>
    </xf>
    <xf applyAlignment="true" applyBorder="false" applyFont="true" applyProtection="false" borderId="0" fillId="5" fontId="0" numFmtId="164" xfId="0">
      <alignment horizontal="left" indent="0" shrinkToFit="false" textRotation="0" vertical="top" wrapText="true"/>
      <protection hidden="false" locked="true"/>
    </xf>
    <xf applyAlignment="true" applyBorder="false" applyFont="true" applyProtection="false" borderId="0" fillId="7" fontId="0" numFmtId="164" xfId="0">
      <alignment horizontal="left" indent="0" shrinkToFit="false" textRotation="0" vertical="top" wrapText="true"/>
      <protection hidden="false" locked="true"/>
    </xf>
    <xf applyAlignment="true" applyBorder="false" applyFont="false" applyProtection="false" borderId="0" fillId="0" fontId="0" numFmtId="164" xfId="0">
      <alignment horizontal="left" indent="0" shrinkToFit="false" textRotation="0" vertical="top" wrapText="true"/>
      <protection hidden="false" locked="true"/>
    </xf>
    <xf applyAlignment="true" applyBorder="false" applyFont="true" applyProtection="false" borderId="0" fillId="4" fontId="0" numFmtId="164" xfId="0">
      <alignment horizontal="left" indent="0" shrinkToFit="false" textRotation="0" vertical="top" wrapText="true"/>
      <protection hidden="false" locked="true"/>
    </xf>
    <xf applyAlignment="true" applyBorder="false" applyFont="false" applyProtection="false" borderId="0" fillId="8" fontId="0" numFmtId="164" xfId="0">
      <alignment horizontal="left" indent="0" shrinkToFit="false" textRotation="0" vertical="top" wrapText="true"/>
      <protection hidden="false" locked="true"/>
    </xf>
    <xf applyAlignment="true" applyBorder="false" applyFont="true" applyProtection="false" borderId="0" fillId="0" fontId="7" numFmtId="164" xfId="0">
      <alignment horizontal="center" indent="0" shrinkToFit="false" textRotation="0" vertical="center" wrapText="true"/>
      <protection hidden="false" locked="true"/>
    </xf>
    <xf applyAlignment="true" applyBorder="false" applyFont="true" applyProtection="false" borderId="0" fillId="0" fontId="6" numFmtId="164" xfId="0">
      <alignment horizontal="center" indent="0" shrinkToFit="false" textRotation="0" vertical="center" wrapText="true"/>
      <protection hidden="false" locked="true"/>
    </xf>
    <xf applyAlignment="true" applyBorder="false" applyFont="true" applyProtection="false" borderId="0" fillId="6" fontId="0" numFmtId="164" xfId="0">
      <alignment horizontal="center" indent="0" shrinkToFit="false" textRotation="0" vertical="center" wrapText="true"/>
      <protection hidden="false" locked="true"/>
    </xf>
    <xf applyAlignment="true" applyBorder="false" applyFont="true" applyProtection="false" borderId="0" fillId="6" fontId="6" numFmtId="164" xfId="0">
      <alignment horizontal="center" indent="0" shrinkToFit="false" textRotation="0" vertical="center" wrapText="true"/>
      <protection hidden="false" locked="true"/>
    </xf>
    <xf applyAlignment="true" applyBorder="false" applyFont="true" applyProtection="false" borderId="0" fillId="4" fontId="6" numFmtId="164" xfId="0">
      <alignment horizontal="center" indent="0" shrinkToFit="false" textRotation="0" vertical="center" wrapText="true"/>
      <protection hidden="false" locked="true"/>
    </xf>
    <xf applyAlignment="true" applyBorder="false" applyFont="true" applyProtection="false" borderId="0" fillId="5" fontId="6" numFmtId="164" xfId="0">
      <alignment horizontal="center" indent="0" shrinkToFit="false" textRotation="0" vertical="center" wrapText="true"/>
      <protection hidden="false" locked="true"/>
    </xf>
    <xf applyAlignment="true" applyBorder="false" applyFont="true" applyProtection="false" borderId="0" fillId="0" fontId="0" numFmtId="164" xfId="0">
      <alignment horizontal="left" indent="0" shrinkToFit="false" textRotation="0" vertical="top" wrapText="true"/>
      <protection hidden="false" locked="true"/>
    </xf>
    <xf applyAlignment="true" applyBorder="false" applyFont="true" applyProtection="false" borderId="0" fillId="0" fontId="0" numFmtId="164" xfId="0">
      <alignment horizontal="general" indent="0" shrinkToFit="false" textRotation="0" vertical="top" wrapText="true"/>
      <protection hidden="false" locked="true"/>
    </xf>
    <xf applyAlignment="true" applyBorder="false" applyFont="true" applyProtection="false" borderId="0" fillId="6" fontId="0" numFmtId="164" xfId="0">
      <alignment horizontal="general" indent="0" shrinkToFit="false" textRotation="0" vertical="top" wrapText="true"/>
      <protection hidden="false" locked="true"/>
    </xf>
    <xf applyAlignment="true" applyBorder="false" applyFont="true" applyProtection="false" borderId="0" fillId="8" fontId="0" numFmtId="164" xfId="0">
      <alignment horizontal="general" indent="0" shrinkToFit="false" textRotation="0" vertical="top" wrapText="true"/>
      <protection hidden="false" locked="true"/>
    </xf>
    <xf applyAlignment="true" applyBorder="false" applyFont="true" applyProtection="false" borderId="0" fillId="9" fontId="0" numFmtId="164" xfId="0">
      <alignment horizontal="general" indent="0" shrinkToFit="false" textRotation="0" vertical="top" wrapText="true"/>
      <protection hidden="false" locked="true"/>
    </xf>
    <xf applyAlignment="true" applyBorder="false" applyFont="true" applyProtection="false" borderId="0" fillId="10" fontId="0" numFmtId="164" xfId="0">
      <alignment horizontal="general" indent="0" shrinkToFit="false" textRotation="0" vertical="top" wrapText="true"/>
      <protection hidden="false" locked="true"/>
    </xf>
    <xf applyAlignment="true" applyBorder="false" applyFont="true" applyProtection="false" borderId="0" fillId="11" fontId="0" numFmtId="164" xfId="0">
      <alignment horizontal="left" indent="0" shrinkToFit="false" textRotation="0" vertical="top" wrapText="true"/>
      <protection hidden="false" locked="true"/>
    </xf>
    <xf applyAlignment="true" applyBorder="false" applyFont="true" applyProtection="false" borderId="0" fillId="0" fontId="4" numFmtId="164" xfId="0">
      <alignment horizontal="center" indent="0" shrinkToFit="false" textRotation="0" vertical="bottom" wrapText="true"/>
      <protection hidden="false" locked="true"/>
    </xf>
    <xf applyAlignment="true" applyBorder="false" applyFont="true" applyProtection="false" borderId="0" fillId="12" fontId="0" numFmtId="164" xfId="0">
      <alignment horizontal="general" indent="0" shrinkToFit="false" textRotation="0" vertical="top" wrapText="true"/>
      <protection hidden="false" locked="true"/>
    </xf>
    <xf applyAlignment="true" applyBorder="false" applyFont="true" applyProtection="false" borderId="0" fillId="13" fontId="8" numFmtId="164" xfId="0">
      <alignment horizontal="left" indent="0" shrinkToFit="false" textRotation="0" vertical="top" wrapText="true"/>
      <protection hidden="false" locked="true"/>
    </xf>
    <xf applyAlignment="true" applyBorder="false" applyFont="true" applyProtection="false" borderId="0" fillId="13" fontId="8" numFmtId="165" xfId="0">
      <alignment horizontal="left" indent="0" shrinkToFit="false" textRotation="0" vertical="top" wrapText="true"/>
      <protection hidden="false" locked="true"/>
    </xf>
    <xf applyAlignment="true" applyBorder="false" applyFont="false" applyProtection="false" borderId="0" fillId="0" fontId="0" numFmtId="164" xfId="0">
      <alignment horizontal="general" indent="0" shrinkToFit="false" textRotation="0" vertical="top" wrapText="true"/>
      <protection hidden="false" locked="true"/>
    </xf>
    <xf applyAlignment="true" applyBorder="false" applyFont="true" applyProtection="false" borderId="0" fillId="14" fontId="9" numFmtId="164" xfId="0">
      <alignment horizontal="general" indent="0" shrinkToFit="false" textRotation="0" vertical="top" wrapText="true"/>
      <protection hidden="false" locked="true"/>
    </xf>
    <xf applyAlignment="true" applyBorder="false" applyFont="false" applyProtection="false" borderId="0" fillId="0" fontId="0" numFmtId="165" xfId="0">
      <alignment horizontal="general" indent="0" shrinkToFit="false" textRotation="0" vertical="top" wrapText="true"/>
      <protection hidden="false" locked="true"/>
    </xf>
    <xf applyAlignment="true" applyBorder="false" applyFont="true" applyProtection="false" borderId="0" fillId="15" fontId="10" numFmtId="164" xfId="0">
      <alignment horizontal="left" indent="0" shrinkToFit="false" textRotation="0" vertical="top" wrapText="true"/>
      <protection hidden="false" locked="true"/>
    </xf>
    <xf applyAlignment="true" applyBorder="false" applyFont="true" applyProtection="false" borderId="0" fillId="15" fontId="10" numFmtId="165" xfId="0">
      <alignment horizontal="left" indent="0" shrinkToFit="false" textRotation="0" vertical="top" wrapText="true"/>
      <protection hidden="false" locked="true"/>
    </xf>
    <xf applyAlignment="true" applyBorder="false" applyFont="true" applyProtection="false" borderId="0" fillId="5" fontId="10" numFmtId="164" xfId="0">
      <alignment horizontal="left" indent="0" shrinkToFit="false" textRotation="0" vertical="top" wrapText="true"/>
      <protection hidden="false" locked="true"/>
    </xf>
    <xf applyAlignment="true" applyBorder="false" applyFont="true" applyProtection="false" borderId="0" fillId="16" fontId="10" numFmtId="164" xfId="0">
      <alignment horizontal="general" indent="0" shrinkToFit="false" textRotation="0" vertical="top" wrapText="true"/>
      <protection hidden="false" locked="true"/>
    </xf>
    <xf applyAlignment="true" applyBorder="false" applyFont="true" applyProtection="false" borderId="0" fillId="0" fontId="0" numFmtId="165" xfId="0">
      <alignment horizontal="left" indent="0" shrinkToFit="false" textRotation="0" vertical="top" wrapText="true"/>
      <protection hidden="false" locked="true"/>
    </xf>
    <xf applyAlignment="true" applyBorder="false" applyFont="false" applyProtection="false" borderId="0" fillId="13" fontId="0" numFmtId="164" xfId="0">
      <alignment horizontal="left" indent="0" shrinkToFit="false" textRotation="0" vertical="top" wrapText="true"/>
      <protection hidden="false" locked="true"/>
    </xf>
    <xf applyAlignment="true" applyBorder="false" applyFont="true" applyProtection="false" borderId="0" fillId="6" fontId="0" numFmtId="164" xfId="0">
      <alignment horizontal="left" indent="0" shrinkToFit="false" textRotation="0" vertical="top" wrapText="true"/>
      <protection hidden="false" locked="true"/>
    </xf>
    <xf applyAlignment="true" applyBorder="false" applyFont="true" applyProtection="false" borderId="0" fillId="6" fontId="0" numFmtId="165" xfId="0">
      <alignment horizontal="left" indent="0" shrinkToFit="false" textRotation="0" vertical="top" wrapText="true"/>
      <protection hidden="false" locked="true"/>
    </xf>
    <xf applyAlignment="true" applyBorder="false" applyFont="false" applyProtection="false" borderId="0" fillId="14" fontId="0" numFmtId="164" xfId="0">
      <alignment horizontal="general" indent="0" shrinkToFit="false" textRotation="0" vertical="top" wrapText="true"/>
      <protection hidden="false" locked="true"/>
    </xf>
    <xf applyAlignment="true" applyBorder="false" applyFont="true" applyProtection="false" borderId="0" fillId="12" fontId="0" numFmtId="164" xfId="0">
      <alignment horizontal="left" indent="0" shrinkToFit="false" textRotation="0" vertical="top" wrapText="true"/>
      <protection hidden="false" locked="true"/>
    </xf>
    <xf applyAlignment="true" applyBorder="false" applyFont="true" applyProtection="false" borderId="0" fillId="12" fontId="0" numFmtId="165" xfId="0">
      <alignment horizontal="left" indent="0" shrinkToFit="false" textRotation="0" vertical="top" wrapText="true"/>
      <protection hidden="false" locked="true"/>
    </xf>
    <xf applyAlignment="true" applyBorder="false" applyFont="false" applyProtection="false" borderId="0" fillId="17" fontId="0" numFmtId="164" xfId="0">
      <alignment horizontal="general" indent="0" shrinkToFit="false" textRotation="0" vertical="top" wrapText="true"/>
      <protection hidden="false" locked="true"/>
    </xf>
    <xf applyAlignment="true" applyBorder="false" applyFont="false" applyProtection="false" borderId="0" fillId="0" fontId="0" numFmtId="164" xfId="0">
      <alignment horizontal="right" indent="0" shrinkToFit="false" textRotation="0" vertical="top" wrapText="true"/>
      <protection hidden="false" locked="true"/>
    </xf>
    <xf applyAlignment="true" applyBorder="false" applyFont="true" applyProtection="false" borderId="0" fillId="18" fontId="11" numFmtId="164" xfId="0">
      <alignment horizontal="general" indent="0" shrinkToFit="false" textRotation="0" vertical="top" wrapText="true"/>
      <protection hidden="false" locked="true"/>
    </xf>
    <xf applyAlignment="true" applyBorder="false" applyFont="true" applyProtection="false" borderId="0" fillId="19" fontId="12" numFmtId="164" xfId="0">
      <alignment horizontal="general" indent="0" shrinkToFit="false" textRotation="0" vertical="top" wrapText="true"/>
      <protection hidden="false" locked="true"/>
    </xf>
    <xf applyAlignment="false" applyBorder="false" applyFont="false" applyProtection="false" borderId="0" fillId="0" fontId="0" numFmtId="166" xfId="0">
      <alignment horizontal="general" indent="0" shrinkToFit="false" textRotation="0" vertical="bottom" wrapText="fals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FF000000"/>
      <rgbColor rgb="FFFFFFFF"/>
      <rgbColor rgb="FFFF0000"/>
      <rgbColor rgb="FF00FF00"/>
      <rgbColor rgb="FF0000FF"/>
      <rgbColor rgb="FFFCE5CD"/>
      <rgbColor rgb="FFFF00FF"/>
      <rgbColor rgb="FF00FFFF"/>
      <rgbColor rgb="FF800000"/>
      <rgbColor rgb="FF008000"/>
      <rgbColor rgb="FF20124D"/>
      <rgbColor rgb="FF808000"/>
      <rgbColor rgb="FF800080"/>
      <rgbColor rgb="FF008080"/>
      <rgbColor rgb="FFCCCCCC"/>
      <rgbColor rgb="FF808080"/>
      <rgbColor rgb="FFD9D9D9"/>
      <rgbColor rgb="FF993366"/>
      <rgbColor rgb="FFFFF2CC"/>
      <rgbColor rgb="FFF3F3F3"/>
      <rgbColor rgb="FF660066"/>
      <rgbColor rgb="FFDD7E6B"/>
      <rgbColor rgb="FF0066CC"/>
      <rgbColor rgb="FFC2D1F0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0E0E3"/>
      <rgbColor rgb="FFD9EAD3"/>
      <rgbColor rgb="FFFFE599"/>
      <rgbColor rgb="FFD9D2E9"/>
      <rgbColor rgb="FFEA9999"/>
      <rgbColor rgb="FFE1C7E1"/>
      <rgbColor rgb="FFF9CB9C"/>
      <rgbColor rgb="FF3366FF"/>
      <rgbColor rgb="FF33CCCC"/>
      <rgbColor rgb="FF99CC00"/>
      <rgbColor rgb="FFF4CCCC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073763"/>
      <rgbColor rgb="FF43434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7"/>
  <sheetViews>
    <sheetView colorId="64" defaultGridColor="true" rightToLeft="false" showFormulas="false" showGridLines="true" showOutlineSymbols="true" showRowColHeaders="true" showZeros="true" tabSelected="true" topLeftCell="A1" view="normal" windowProtection="true" workbookViewId="0" zoomScale="100" zoomScaleNormal="100" zoomScalePageLayoutView="100">
      <pane activePane="topRight" state="frozen" topLeftCell="B1" xSplit="1" ySplit="0"/>
      <selection activeCell="A1" activeCellId="0" pane="topLeft" sqref="A1"/>
      <selection activeCell="A2" activeCellId="0" pane="topRight" sqref="A2"/>
    </sheetView>
  </sheetViews>
  <sheetFormatPr defaultRowHeight="12.75"/>
  <cols>
    <col collapsed="false" hidden="false" max="1" min="1" style="0" width="27.4285714285714"/>
    <col collapsed="false" hidden="false" max="2" min="2" style="0" width="26.8622448979592"/>
    <col collapsed="false" hidden="false" max="3" min="3" style="0" width="22.5714285714286"/>
    <col collapsed="false" hidden="false" max="1025" min="4" style="0" width="17.1326530612245"/>
  </cols>
  <sheetData>
    <row collapsed="false" customFormat="false" customHeight="false" hidden="false" ht="12.65" outlineLevel="0" r="1">
      <c r="A1" s="1" t="s">
        <v>0</v>
      </c>
      <c r="B1" s="2" t="s">
        <v>1</v>
      </c>
      <c r="C1" s="2"/>
    </row>
    <row collapsed="false" customFormat="false" customHeight="false" hidden="false" ht="12.75" outlineLevel="0" r="2">
      <c r="A2" s="1" t="s">
        <v>2</v>
      </c>
      <c r="B2" s="2" t="s">
        <v>3</v>
      </c>
      <c r="C2" s="2"/>
    </row>
    <row collapsed="false" customFormat="false" customHeight="false" hidden="false" ht="12.75" outlineLevel="0" r="3">
      <c r="A3" s="1" t="s">
        <v>4</v>
      </c>
      <c r="B3" s="2" t="s">
        <v>5</v>
      </c>
      <c r="C3" s="2"/>
    </row>
    <row collapsed="false" customFormat="false" customHeight="false" hidden="false" ht="12.75" outlineLevel="0" r="4">
      <c r="A4" s="1" t="s">
        <v>6</v>
      </c>
      <c r="B4" s="2"/>
      <c r="C4" s="2"/>
    </row>
    <row collapsed="false" customFormat="false" customHeight="false" hidden="false" ht="12.75" outlineLevel="0" r="5">
      <c r="A5" s="1" t="s">
        <v>7</v>
      </c>
      <c r="B5" s="2"/>
      <c r="C5" s="2"/>
    </row>
    <row collapsed="false" customFormat="false" customHeight="false" hidden="false" ht="12.75" outlineLevel="0" r="6">
      <c r="A6" s="1" t="s">
        <v>8</v>
      </c>
      <c r="B6" s="2" t="s">
        <v>9</v>
      </c>
      <c r="C6" s="2"/>
    </row>
    <row collapsed="false" customFormat="false" customHeight="false" hidden="false" ht="12.75" outlineLevel="0" r="7">
      <c r="A7" s="1" t="s">
        <v>10</v>
      </c>
      <c r="B7" s="2" t="s">
        <v>11</v>
      </c>
      <c r="C7" s="2"/>
    </row>
    <row collapsed="false" customFormat="false" customHeight="false" hidden="false" ht="12.75" outlineLevel="0" r="8">
      <c r="A8" s="1" t="s">
        <v>12</v>
      </c>
      <c r="B8" s="2"/>
      <c r="C8" s="2"/>
    </row>
    <row collapsed="false" customFormat="false" customHeight="false" hidden="false" ht="12.75" outlineLevel="0" r="9">
      <c r="A9" s="1" t="str">
        <f aca="false">HYPERLINK("http://en.wikipedia.org/wiki/ISO_3166-1", "Country")</f>
        <v>Country</v>
      </c>
      <c r="B9" s="2"/>
      <c r="C9" s="2"/>
    </row>
    <row collapsed="false" customFormat="false" customHeight="false" hidden="false" ht="12.75" outlineLevel="0" r="10">
      <c r="A10" s="1" t="s">
        <v>13</v>
      </c>
      <c r="B10" s="2" t="s">
        <v>14</v>
      </c>
      <c r="C10" s="2" t="s">
        <v>15</v>
      </c>
    </row>
    <row collapsed="false" customFormat="false" customHeight="false" hidden="false" ht="12.75" outlineLevel="0" r="11">
      <c r="A11" s="1" t="s">
        <v>16</v>
      </c>
      <c r="B11" s="2"/>
      <c r="C11" s="2"/>
    </row>
    <row collapsed="false" customFormat="false" customHeight="false" hidden="false" ht="12.75" outlineLevel="0" r="12">
      <c r="A12" s="1" t="s">
        <v>17</v>
      </c>
      <c r="B12" s="2" t="s">
        <v>18</v>
      </c>
      <c r="C12" s="2"/>
    </row>
    <row collapsed="false" customFormat="false" customHeight="false" hidden="false" ht="12.75" outlineLevel="0" r="13">
      <c r="A13" s="1" t="s">
        <v>19</v>
      </c>
      <c r="B13" s="2" t="s">
        <v>20</v>
      </c>
      <c r="C13" s="2"/>
    </row>
    <row collapsed="false" customFormat="false" customHeight="false" hidden="false" ht="12.75" outlineLevel="0" r="14">
      <c r="A14" s="1" t="s">
        <v>21</v>
      </c>
      <c r="B14" s="2" t="s">
        <v>20</v>
      </c>
      <c r="C14" s="2"/>
    </row>
    <row collapsed="false" customFormat="false" customHeight="false" hidden="false" ht="12.75" outlineLevel="0" r="15">
      <c r="A15" s="1" t="s">
        <v>22</v>
      </c>
      <c r="B15" s="2"/>
      <c r="C15" s="2"/>
    </row>
    <row collapsed="false" customFormat="false" customHeight="false" hidden="false" ht="12.75" outlineLevel="0" r="16">
      <c r="A16" s="1" t="s">
        <v>23</v>
      </c>
      <c r="B16" s="2" t="s">
        <v>24</v>
      </c>
      <c r="C16" s="2"/>
    </row>
    <row collapsed="false" customFormat="false" customHeight="false" hidden="false" ht="12.75" outlineLevel="0" r="17">
      <c r="A17" s="1" t="s">
        <v>25</v>
      </c>
      <c r="B17" s="2" t="s">
        <v>26</v>
      </c>
      <c r="C17" s="2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53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sheetFormatPr defaultRowHeight="12.75"/>
  <cols>
    <col collapsed="false" hidden="false" max="3" min="1" style="0" width="17.1326530612245"/>
    <col collapsed="false" hidden="false" max="4" min="4" style="0" width="32.4234693877551"/>
    <col collapsed="false" hidden="false" max="5" min="5" style="0" width="47.2908163265306"/>
    <col collapsed="false" hidden="false" max="6" min="6" style="0" width="3.42857142857143"/>
    <col collapsed="false" hidden="false" max="7" min="7" style="0" width="3.86224489795918"/>
    <col collapsed="false" hidden="false" max="1025" min="8" style="0" width="17.1326530612245"/>
  </cols>
  <sheetData>
    <row collapsed="false" customFormat="false" customHeight="false" hidden="false" ht="12.75" outlineLevel="0" r="1">
      <c r="A1" s="62" t="s">
        <v>1457</v>
      </c>
      <c r="B1" s="62" t="s">
        <v>1458</v>
      </c>
      <c r="C1" s="62" t="s">
        <v>1459</v>
      </c>
      <c r="D1" s="63" t="s">
        <v>1460</v>
      </c>
      <c r="E1" s="63" t="s">
        <v>1461</v>
      </c>
      <c r="F1" s="63"/>
      <c r="G1" s="63"/>
      <c r="H1" s="63" t="s">
        <v>1462</v>
      </c>
      <c r="I1" s="63" t="s">
        <v>1463</v>
      </c>
      <c r="J1" s="63" t="s">
        <v>1464</v>
      </c>
      <c r="K1" s="63" t="s">
        <v>1465</v>
      </c>
      <c r="L1" s="46"/>
      <c r="M1" s="46"/>
      <c r="N1" s="46"/>
      <c r="O1" s="46"/>
      <c r="P1" s="46"/>
      <c r="Q1" s="46"/>
      <c r="R1" s="46"/>
      <c r="S1" s="46"/>
      <c r="T1" s="46"/>
    </row>
    <row collapsed="false" customFormat="false" customHeight="false" hidden="false" ht="12.75" outlineLevel="0" r="2">
      <c r="A2" s="46" t="s">
        <v>100</v>
      </c>
      <c r="B2" s="46" t="n">
        <f aca="false">H2</f>
        <v>1</v>
      </c>
      <c r="C2" s="46" t="n">
        <f aca="false">J2</f>
        <v>5</v>
      </c>
      <c r="D2" s="46" t="s">
        <v>100</v>
      </c>
      <c r="E2" s="46" t="s">
        <v>101</v>
      </c>
      <c r="F2" s="46" t="n">
        <v>1</v>
      </c>
      <c r="G2" s="46" t="n">
        <v>1</v>
      </c>
      <c r="H2" s="46" t="n">
        <f aca="false">COUNTIF(EXPERTISE!H4:H50,"*PS1: Assessment and Management of Environmental and Social Risks and Impacts*")</f>
        <v>1</v>
      </c>
      <c r="I2" s="46" t="n">
        <f aca="false">COUNTIF(EXPERTISE!I4:I50,"*Community Engagement*")</f>
        <v>1</v>
      </c>
      <c r="J2" s="46" t="n">
        <f aca="false">COUNTIF(PROJECT!X2:X100,"*PS1: Assessment and Management of Environmental and Social Risks and Impacts*")</f>
        <v>5</v>
      </c>
      <c r="K2" s="46" t="n">
        <f aca="false">COUNTIF(PROJECT!Y2:Y100,"*Community Engagement*")</f>
        <v>1</v>
      </c>
      <c r="L2" s="46"/>
      <c r="M2" s="46"/>
      <c r="N2" s="46"/>
      <c r="O2" s="46"/>
      <c r="P2" s="46"/>
      <c r="Q2" s="46"/>
      <c r="R2" s="46"/>
      <c r="S2" s="46"/>
      <c r="T2" s="46"/>
    </row>
    <row collapsed="false" customFormat="false" customHeight="false" hidden="false" ht="12.75" outlineLevel="0" r="3">
      <c r="A3" s="46" t="s">
        <v>1746</v>
      </c>
      <c r="B3" s="46" t="n">
        <f aca="false">H15</f>
        <v>0</v>
      </c>
      <c r="C3" s="46" t="n">
        <f aca="false">J15</f>
        <v>0</v>
      </c>
      <c r="D3" s="46" t="s">
        <v>100</v>
      </c>
      <c r="E3" s="46" t="s">
        <v>1747</v>
      </c>
      <c r="F3" s="46" t="n">
        <v>0</v>
      </c>
      <c r="G3" s="46" t="n">
        <v>1</v>
      </c>
      <c r="H3" s="46"/>
      <c r="I3" s="46" t="n">
        <f aca="false">COUNTIF(EXPERTISE!I4:I50,"*Contractor E&amp;S Management*")</f>
        <v>0</v>
      </c>
      <c r="J3" s="46"/>
      <c r="K3" s="46" t="n">
        <f aca="false">COUNTIF(PROJECT!Y2:Y100,"*Contractor E&amp;S Management*")</f>
        <v>0</v>
      </c>
      <c r="L3" s="46"/>
      <c r="M3" s="46"/>
      <c r="N3" s="46"/>
      <c r="O3" s="46"/>
      <c r="P3" s="46"/>
      <c r="Q3" s="46"/>
      <c r="R3" s="46"/>
      <c r="S3" s="46"/>
      <c r="T3" s="46"/>
    </row>
    <row collapsed="false" customFormat="false" customHeight="false" hidden="false" ht="12.75" outlineLevel="0" r="4">
      <c r="A4" s="46" t="s">
        <v>1748</v>
      </c>
      <c r="B4" s="46" t="n">
        <f aca="false">H23</f>
        <v>0</v>
      </c>
      <c r="C4" s="46" t="n">
        <f aca="false">J23</f>
        <v>0</v>
      </c>
      <c r="D4" s="46" t="s">
        <v>100</v>
      </c>
      <c r="E4" s="46" t="s">
        <v>1749</v>
      </c>
      <c r="F4" s="46" t="n">
        <v>0</v>
      </c>
      <c r="G4" s="46" t="n">
        <v>1</v>
      </c>
      <c r="H4" s="46"/>
      <c r="I4" s="46" t="n">
        <f aca="false">COUNTIF(EXPERTISE!I4:I50,"*E&amp;S Organizational Capacity Assessment*")</f>
        <v>0</v>
      </c>
      <c r="J4" s="46"/>
      <c r="K4" s="46" t="n">
        <f aca="false">COUNTIF(PROJECT!Y2:Y100,"*E&amp;S Organizational Capacity Assessment*")</f>
        <v>0</v>
      </c>
      <c r="L4" s="46"/>
      <c r="M4" s="46"/>
      <c r="N4" s="46"/>
      <c r="O4" s="46"/>
      <c r="P4" s="46"/>
      <c r="Q4" s="46"/>
      <c r="R4" s="46"/>
      <c r="S4" s="46"/>
      <c r="T4" s="46"/>
    </row>
    <row collapsed="false" customFormat="false" customHeight="false" hidden="false" ht="12.75" outlineLevel="0" r="5">
      <c r="A5" s="46" t="s">
        <v>1750</v>
      </c>
      <c r="B5" s="46" t="n">
        <f aca="false">H33</f>
        <v>0</v>
      </c>
      <c r="C5" s="46" t="n">
        <f aca="false">J33</f>
        <v>0</v>
      </c>
      <c r="D5" s="46" t="s">
        <v>100</v>
      </c>
      <c r="E5" s="46" t="s">
        <v>1751</v>
      </c>
      <c r="F5" s="46" t="n">
        <v>0</v>
      </c>
      <c r="G5" s="46" t="n">
        <v>1</v>
      </c>
      <c r="H5" s="46"/>
      <c r="I5" s="46" t="n">
        <f aca="false">COUNTIF(EXPERTISE!I4:I50,"*E&amp;S Training Design*")</f>
        <v>0</v>
      </c>
      <c r="J5" s="46"/>
      <c r="K5" s="46" t="n">
        <f aca="false">COUNTIF(PROJECT!Y2:Y100,"*E&amp;S Training Design*")</f>
        <v>0</v>
      </c>
      <c r="L5" s="46"/>
      <c r="M5" s="46"/>
      <c r="N5" s="46"/>
      <c r="O5" s="46"/>
      <c r="P5" s="46"/>
      <c r="Q5" s="46"/>
      <c r="R5" s="46"/>
      <c r="S5" s="46"/>
      <c r="T5" s="46"/>
    </row>
    <row collapsed="false" customFormat="false" customHeight="false" hidden="false" ht="12.75" outlineLevel="0" r="6">
      <c r="A6" s="46" t="s">
        <v>1752</v>
      </c>
      <c r="B6" s="46" t="n">
        <f aca="false">H38</f>
        <v>0</v>
      </c>
      <c r="C6" s="46" t="n">
        <f aca="false">J38</f>
        <v>0</v>
      </c>
      <c r="D6" s="46" t="s">
        <v>100</v>
      </c>
      <c r="E6" s="46" t="s">
        <v>1753</v>
      </c>
      <c r="F6" s="46" t="n">
        <v>0</v>
      </c>
      <c r="G6" s="46" t="n">
        <v>1</v>
      </c>
      <c r="H6" s="46"/>
      <c r="I6" s="46" t="n">
        <f aca="false">COUNTIF(EXPERTISE!I4:I50,"*E&amp;S Management System*")</f>
        <v>0</v>
      </c>
      <c r="J6" s="46"/>
      <c r="K6" s="46" t="n">
        <f aca="false">COUNTIF(PROJECT!Y2:Y100,"*E&amp;S Management System*")</f>
        <v>0</v>
      </c>
      <c r="L6" s="46"/>
      <c r="M6" s="46"/>
      <c r="N6" s="46"/>
      <c r="O6" s="46"/>
      <c r="P6" s="46"/>
      <c r="Q6" s="46"/>
      <c r="R6" s="46"/>
      <c r="S6" s="46"/>
      <c r="T6" s="46"/>
    </row>
    <row collapsed="false" customFormat="false" customHeight="false" hidden="false" ht="12.75" outlineLevel="0" r="7">
      <c r="A7" s="46" t="s">
        <v>1754</v>
      </c>
      <c r="B7" s="46" t="n">
        <f aca="false">H42</f>
        <v>0</v>
      </c>
      <c r="C7" s="46" t="n">
        <f aca="false">J42</f>
        <v>0</v>
      </c>
      <c r="D7" s="46" t="s">
        <v>100</v>
      </c>
      <c r="E7" s="46" t="s">
        <v>1755</v>
      </c>
      <c r="F7" s="46" t="n">
        <v>0</v>
      </c>
      <c r="G7" s="46" t="n">
        <v>1</v>
      </c>
      <c r="H7" s="46"/>
      <c r="I7" s="46" t="n">
        <f aca="false">COUNTIF(EXPERTISE!I4:I50,"*Environmental and Social Impact Assessment*")</f>
        <v>0</v>
      </c>
      <c r="J7" s="46"/>
      <c r="K7" s="46" t="n">
        <f aca="false">COUNTIF(PROJECT!Y2:Y100,"*Environmental and Social Impact Assessment*")</f>
        <v>0</v>
      </c>
      <c r="L7" s="46"/>
      <c r="M7" s="46"/>
      <c r="N7" s="46"/>
      <c r="O7" s="46"/>
      <c r="P7" s="46"/>
      <c r="Q7" s="46"/>
      <c r="R7" s="46"/>
      <c r="S7" s="46"/>
      <c r="T7" s="46"/>
    </row>
    <row collapsed="false" customFormat="false" customHeight="false" hidden="false" ht="12.75" outlineLevel="0" r="8">
      <c r="A8" s="46" t="s">
        <v>117</v>
      </c>
      <c r="B8" s="46" t="n">
        <f aca="false">H50</f>
        <v>1</v>
      </c>
      <c r="C8" s="46" t="n">
        <f aca="false">J50</f>
        <v>1</v>
      </c>
      <c r="D8" s="46" t="s">
        <v>100</v>
      </c>
      <c r="E8" s="46" t="s">
        <v>1756</v>
      </c>
      <c r="F8" s="46" t="n">
        <v>0</v>
      </c>
      <c r="G8" s="46" t="n">
        <v>1</v>
      </c>
      <c r="H8" s="46"/>
      <c r="I8" s="46" t="n">
        <f aca="false">COUNTIF(EXPERTISE!I4:I50,"*Food Safety and HACCP*")</f>
        <v>0</v>
      </c>
      <c r="J8" s="46"/>
      <c r="K8" s="46" t="n">
        <f aca="false">COUNTIF(PROJECT!Y2:Y100,"*Food Safety and HACCP*")</f>
        <v>0</v>
      </c>
      <c r="L8" s="46"/>
      <c r="M8" s="46"/>
      <c r="N8" s="46"/>
      <c r="O8" s="46"/>
      <c r="P8" s="46"/>
      <c r="Q8" s="46"/>
      <c r="R8" s="46"/>
      <c r="S8" s="46"/>
      <c r="T8" s="46"/>
    </row>
    <row collapsed="false" customFormat="false" customHeight="false" hidden="false" ht="12.75" outlineLevel="0" r="9">
      <c r="A9" s="46" t="s">
        <v>1757</v>
      </c>
      <c r="B9" s="46" t="n">
        <f aca="false">H52</f>
        <v>0</v>
      </c>
      <c r="C9" s="46" t="n">
        <f aca="false">J52</f>
        <v>0</v>
      </c>
      <c r="D9" s="46" t="s">
        <v>100</v>
      </c>
      <c r="E9" s="46" t="s">
        <v>107</v>
      </c>
      <c r="F9" s="46" t="n">
        <v>0</v>
      </c>
      <c r="G9" s="46" t="n">
        <v>1</v>
      </c>
      <c r="H9" s="46"/>
      <c r="I9" s="46" t="n">
        <f aca="false">COUNTIF(EXPERTISE!I4:I50,"*Gender Development*")</f>
        <v>1</v>
      </c>
      <c r="J9" s="46"/>
      <c r="K9" s="46" t="n">
        <f aca="false">COUNTIF(PROJECT!Y2:Y100,"*Gender Development*")</f>
        <v>1</v>
      </c>
      <c r="L9" s="46"/>
      <c r="M9" s="46"/>
      <c r="N9" s="46"/>
      <c r="O9" s="46"/>
      <c r="P9" s="46"/>
      <c r="Q9" s="46"/>
      <c r="R9" s="46"/>
      <c r="S9" s="46"/>
      <c r="T9" s="46"/>
    </row>
    <row collapsed="false" customFormat="false" customHeight="false" hidden="false" ht="12.75" outlineLevel="0" r="10">
      <c r="D10" s="46" t="s">
        <v>100</v>
      </c>
      <c r="E10" s="46" t="s">
        <v>1758</v>
      </c>
      <c r="F10" s="46" t="n">
        <v>0</v>
      </c>
      <c r="G10" s="46" t="n">
        <v>1</v>
      </c>
      <c r="H10" s="46"/>
      <c r="I10" s="46" t="n">
        <f aca="false">COUNTIF(EXPERTISE!I4:I50,"*Human Rights Assessment*")</f>
        <v>0</v>
      </c>
      <c r="J10" s="46"/>
      <c r="K10" s="46" t="n">
        <f aca="false">COUNTIF(PROJECT!Y2:Y100,"*Human Rights Assessment*")</f>
        <v>0</v>
      </c>
      <c r="L10" s="46"/>
      <c r="M10" s="46"/>
      <c r="N10" s="46"/>
      <c r="O10" s="46"/>
      <c r="P10" s="46"/>
      <c r="Q10" s="46"/>
      <c r="R10" s="46"/>
      <c r="S10" s="46"/>
      <c r="T10" s="46"/>
    </row>
    <row collapsed="false" customFormat="false" customHeight="false" hidden="false" ht="12.75" outlineLevel="0" r="11">
      <c r="D11" s="46" t="s">
        <v>100</v>
      </c>
      <c r="E11" s="46" t="s">
        <v>1759</v>
      </c>
      <c r="F11" s="46" t="n">
        <v>0</v>
      </c>
      <c r="G11" s="46" t="n">
        <v>1</v>
      </c>
      <c r="H11" s="46"/>
      <c r="I11" s="46" t="n">
        <f aca="false">COUNTIF(EXPERTISE!I4:I50,"*Organic Food Certification*")</f>
        <v>0</v>
      </c>
      <c r="J11" s="46"/>
      <c r="K11" s="46" t="n">
        <f aca="false">COUNTIF(PROJECT!Y2:Y100,"*Organic Food Certification*")</f>
        <v>0</v>
      </c>
      <c r="L11" s="46"/>
      <c r="M11" s="46"/>
      <c r="N11" s="46"/>
      <c r="O11" s="46"/>
      <c r="P11" s="46"/>
      <c r="Q11" s="46"/>
      <c r="R11" s="46"/>
      <c r="S11" s="46"/>
      <c r="T11" s="46"/>
    </row>
    <row collapsed="false" customFormat="false" customHeight="false" hidden="false" ht="12.75" outlineLevel="0" r="12">
      <c r="D12" s="46" t="s">
        <v>100</v>
      </c>
      <c r="E12" s="46" t="s">
        <v>112</v>
      </c>
      <c r="F12" s="46" t="n">
        <v>0</v>
      </c>
      <c r="G12" s="46" t="n">
        <v>1</v>
      </c>
      <c r="H12" s="46"/>
      <c r="I12" s="46" t="n">
        <f aca="false">COUNTIF(EXPERTISE!I4:I50,"*Social Impact Assessment and Socio-economic baseline study*")</f>
        <v>1</v>
      </c>
      <c r="J12" s="46"/>
      <c r="K12" s="46" t="n">
        <f aca="false">COUNTIF(PROJECT!Y2:Y100,"*Social Impact Assessment and Socio-economic baseline study*")</f>
        <v>3</v>
      </c>
      <c r="L12" s="46"/>
      <c r="M12" s="46"/>
      <c r="N12" s="46"/>
      <c r="O12" s="46"/>
      <c r="P12" s="46"/>
      <c r="Q12" s="46"/>
      <c r="R12" s="46"/>
      <c r="S12" s="46"/>
      <c r="T12" s="46"/>
    </row>
    <row collapsed="false" customFormat="false" customHeight="false" hidden="false" ht="12.75" outlineLevel="0" r="13">
      <c r="D13" s="46" t="s">
        <v>100</v>
      </c>
      <c r="E13" s="46" t="s">
        <v>1760</v>
      </c>
      <c r="F13" s="46" t="n">
        <v>0</v>
      </c>
      <c r="G13" s="46" t="n">
        <v>1</v>
      </c>
      <c r="H13" s="46"/>
      <c r="I13" s="46" t="n">
        <f aca="false">COUNTIF(EXPERTISE!I4:I50,"*Stakeholder Engagement and Grievance Mechanisms*")</f>
        <v>0</v>
      </c>
      <c r="J13" s="46"/>
      <c r="K13" s="46" t="n">
        <f aca="false">COUNTIF(PROJECT!Y2:Y100,"*Stakeholder Engagement and Grievance Mechanisms*")</f>
        <v>0</v>
      </c>
      <c r="L13" s="46"/>
      <c r="M13" s="46"/>
      <c r="N13" s="46"/>
      <c r="O13" s="46"/>
      <c r="P13" s="46"/>
      <c r="Q13" s="46"/>
      <c r="R13" s="46"/>
      <c r="S13" s="46"/>
      <c r="T13" s="46"/>
    </row>
    <row collapsed="false" customFormat="false" customHeight="false" hidden="false" ht="12.75" outlineLevel="0" r="14">
      <c r="D14" s="46" t="s">
        <v>100</v>
      </c>
      <c r="E14" s="46" t="s">
        <v>1761</v>
      </c>
      <c r="F14" s="46" t="n">
        <v>0</v>
      </c>
      <c r="G14" s="46" t="n">
        <v>1</v>
      </c>
      <c r="H14" s="46"/>
      <c r="I14" s="46" t="n">
        <f aca="false">COUNTIF(EXPERTISE!I4:I50,"*Supply Chain E&amp;S Assessment*")</f>
        <v>0</v>
      </c>
      <c r="J14" s="46"/>
      <c r="K14" s="46" t="n">
        <f aca="false">COUNTIF(PROJECT!Y2:Y100,"*Supply Chain E&amp;S Assessment*")</f>
        <v>0</v>
      </c>
      <c r="L14" s="46"/>
      <c r="M14" s="46"/>
      <c r="N14" s="46"/>
      <c r="O14" s="46"/>
      <c r="P14" s="46"/>
      <c r="Q14" s="46"/>
      <c r="R14" s="46"/>
      <c r="S14" s="46"/>
      <c r="T14" s="46"/>
    </row>
    <row collapsed="false" customFormat="false" customHeight="false" hidden="false" ht="12.75" outlineLevel="0" r="15">
      <c r="D15" s="46" t="s">
        <v>1746</v>
      </c>
      <c r="E15" s="46" t="s">
        <v>1762</v>
      </c>
      <c r="F15" s="46" t="n">
        <v>1</v>
      </c>
      <c r="G15" s="46" t="n">
        <v>1</v>
      </c>
      <c r="H15" s="46" t="n">
        <f aca="false">COUNTIF(EXPERTISE!H4:H50,"*PS2: Labor and Working Conditions*")</f>
        <v>0</v>
      </c>
      <c r="I15" s="46" t="n">
        <f aca="false">COUNTIF(EXPERTISE!I4:I50,"*Assessment of migrant worker related issues*")</f>
        <v>0</v>
      </c>
      <c r="J15" s="46" t="n">
        <f aca="false">COUNTIF(PROJECT!X2:X100,"*PS2: Labor and Working Conditions*")</f>
        <v>0</v>
      </c>
      <c r="K15" s="46" t="n">
        <f aca="false">COUNTIF(PROJECT!Y2:Y100,"*Assessment of migrant worker related issues*")</f>
        <v>0</v>
      </c>
      <c r="L15" s="46"/>
      <c r="M15" s="46"/>
      <c r="N15" s="46"/>
      <c r="O15" s="46"/>
      <c r="P15" s="46"/>
      <c r="Q15" s="46"/>
      <c r="R15" s="46"/>
      <c r="S15" s="46"/>
      <c r="T15" s="46"/>
    </row>
    <row collapsed="false" customFormat="false" customHeight="false" hidden="false" ht="12.75" outlineLevel="0" r="16">
      <c r="D16" s="46" t="s">
        <v>1746</v>
      </c>
      <c r="E16" s="46" t="s">
        <v>1763</v>
      </c>
      <c r="F16" s="46" t="n">
        <v>0</v>
      </c>
      <c r="G16" s="46" t="n">
        <v>1</v>
      </c>
      <c r="H16" s="46"/>
      <c r="I16" s="37" t="n">
        <f aca="false">COUNTIF(EXPERTISE!I4:I50,"*Child and Forced Labor Assessment*")</f>
        <v>0</v>
      </c>
      <c r="J16" s="46"/>
      <c r="K16" s="37" t="n">
        <f aca="false">COUNTIF(PROJECT!Y2:Y100,"*Child and Forced Labor Assessment*")</f>
        <v>0</v>
      </c>
      <c r="L16" s="46"/>
      <c r="M16" s="46"/>
      <c r="N16" s="46"/>
      <c r="O16" s="46"/>
      <c r="P16" s="46"/>
      <c r="Q16" s="46"/>
      <c r="R16" s="46"/>
      <c r="S16" s="46"/>
      <c r="T16" s="46"/>
    </row>
    <row collapsed="false" customFormat="false" customHeight="false" hidden="false" ht="12.75" outlineLevel="0" r="17">
      <c r="D17" s="46" t="s">
        <v>1746</v>
      </c>
      <c r="E17" s="46" t="s">
        <v>1764</v>
      </c>
      <c r="F17" s="46" t="n">
        <v>0</v>
      </c>
      <c r="G17" s="46" t="n">
        <v>1</v>
      </c>
      <c r="H17" s="46"/>
      <c r="I17" s="46" t="n">
        <f aca="false">COUNTIF(EXPERTISE!I4:I50,"*Labor and Working Conditions*")</f>
        <v>0</v>
      </c>
      <c r="J17" s="46"/>
      <c r="K17" s="46" t="n">
        <f aca="false">COUNTIF(PROJECT!Y2:Y100,"*Labor and Working Conditions*")</f>
        <v>0</v>
      </c>
      <c r="L17" s="46"/>
      <c r="M17" s="46"/>
      <c r="N17" s="46"/>
      <c r="O17" s="46"/>
      <c r="P17" s="46"/>
      <c r="Q17" s="46"/>
      <c r="R17" s="46"/>
      <c r="S17" s="46"/>
      <c r="T17" s="46"/>
    </row>
    <row collapsed="false" customFormat="false" customHeight="false" hidden="false" ht="12.75" outlineLevel="0" r="18">
      <c r="D18" s="46" t="s">
        <v>1746</v>
      </c>
      <c r="E18" s="46" t="s">
        <v>1765</v>
      </c>
      <c r="F18" s="46" t="n">
        <v>0</v>
      </c>
      <c r="G18" s="46" t="n">
        <v>1</v>
      </c>
      <c r="H18" s="46"/>
      <c r="I18" s="46" t="n">
        <f aca="false">COUNTIF(EXPERTISE!I4:I50,"*Labor Audits based on ILO Conventions*")</f>
        <v>0</v>
      </c>
      <c r="J18" s="46"/>
      <c r="K18" s="46" t="n">
        <f aca="false">COUNTIF(PROJECT!Y2:Y100,"*Labor Audits based on ILO Conventions*")</f>
        <v>0</v>
      </c>
      <c r="L18" s="46"/>
      <c r="M18" s="46"/>
      <c r="N18" s="46"/>
      <c r="O18" s="46"/>
      <c r="P18" s="46"/>
      <c r="Q18" s="46"/>
      <c r="R18" s="46"/>
      <c r="S18" s="46"/>
      <c r="T18" s="46"/>
    </row>
    <row collapsed="false" customFormat="false" customHeight="false" hidden="false" ht="12.75" outlineLevel="0" r="19">
      <c r="D19" s="46" t="s">
        <v>1746</v>
      </c>
      <c r="E19" s="46" t="s">
        <v>1766</v>
      </c>
      <c r="F19" s="46" t="n">
        <v>0</v>
      </c>
      <c r="G19" s="46" t="n">
        <v>1</v>
      </c>
      <c r="H19" s="46"/>
      <c r="I19" s="46" t="n">
        <f aca="false">COUNTIF(EXPERTISE!I4:I50,"*Occupational Health and Safety*")</f>
        <v>0</v>
      </c>
      <c r="J19" s="46"/>
      <c r="K19" s="46" t="n">
        <f aca="false">COUNTIF(PROJECT!Y2:Y100,"*Occupational Health and Safety*")</f>
        <v>0</v>
      </c>
      <c r="L19" s="46"/>
      <c r="M19" s="46"/>
      <c r="N19" s="46"/>
      <c r="O19" s="46"/>
      <c r="P19" s="46"/>
      <c r="Q19" s="46"/>
      <c r="R19" s="46"/>
      <c r="S19" s="46"/>
      <c r="T19" s="46"/>
    </row>
    <row collapsed="false" customFormat="false" customHeight="false" hidden="false" ht="12.75" outlineLevel="0" r="20">
      <c r="D20" s="46" t="s">
        <v>1746</v>
      </c>
      <c r="E20" s="46" t="s">
        <v>1767</v>
      </c>
      <c r="F20" s="46" t="n">
        <v>0</v>
      </c>
      <c r="G20" s="46" t="n">
        <v>1</v>
      </c>
      <c r="H20" s="46"/>
      <c r="I20" s="46" t="n">
        <f aca="false">COUNTIF(EXPERTISE!I4:I50,"*Retrenchment Audit*")</f>
        <v>0</v>
      </c>
      <c r="J20" s="46"/>
      <c r="K20" s="46" t="n">
        <f aca="false">COUNTIF(PROJECT!Y2:Y100,"*Retrenchment Audit*")</f>
        <v>0</v>
      </c>
      <c r="L20" s="46"/>
      <c r="M20" s="46"/>
      <c r="N20" s="46"/>
      <c r="O20" s="46"/>
      <c r="P20" s="46"/>
      <c r="Q20" s="46"/>
      <c r="R20" s="46"/>
      <c r="S20" s="46"/>
      <c r="T20" s="46"/>
    </row>
    <row collapsed="false" customFormat="false" customHeight="false" hidden="false" ht="12.75" outlineLevel="0" r="21">
      <c r="D21" s="46" t="s">
        <v>1746</v>
      </c>
      <c r="E21" s="46" t="s">
        <v>1768</v>
      </c>
      <c r="F21" s="46" t="n">
        <v>0</v>
      </c>
      <c r="G21" s="46" t="n">
        <v>1</v>
      </c>
      <c r="H21" s="46"/>
      <c r="I21" s="46" t="n">
        <f aca="false">COUNTIF(EXPERTISE!I4:I50,"*Supply Chain Labor Assessment*")</f>
        <v>0</v>
      </c>
      <c r="J21" s="46"/>
      <c r="K21" s="46" t="n">
        <f aca="false">COUNTIF(PROJECT!Y2:Y100,"*Supply Chain Labor Assessment*")</f>
        <v>0</v>
      </c>
      <c r="L21" s="46"/>
      <c r="M21" s="46"/>
      <c r="N21" s="46"/>
      <c r="O21" s="46"/>
      <c r="P21" s="46"/>
      <c r="Q21" s="46"/>
      <c r="R21" s="46"/>
      <c r="S21" s="46"/>
      <c r="T21" s="46"/>
    </row>
    <row collapsed="false" customFormat="false" customHeight="false" hidden="false" ht="12.75" outlineLevel="0" r="22">
      <c r="D22" s="46" t="s">
        <v>1746</v>
      </c>
      <c r="E22" s="46" t="s">
        <v>1769</v>
      </c>
      <c r="F22" s="46" t="n">
        <v>0</v>
      </c>
      <c r="G22" s="46" t="n">
        <v>1</v>
      </c>
      <c r="H22" s="46"/>
      <c r="I22" s="46" t="n">
        <f aca="false">COUNTIF(EXPERTISE!I4:I50,"*Workers Organization and Greivance Mechanisms*")</f>
        <v>0</v>
      </c>
      <c r="J22" s="46"/>
      <c r="K22" s="46" t="n">
        <f aca="false">COUNTIF(PROJECT!Y2:Y100,"*Workers Organization and Greivance Mechanisms*")</f>
        <v>0</v>
      </c>
      <c r="L22" s="46"/>
      <c r="M22" s="46"/>
      <c r="N22" s="46"/>
      <c r="O22" s="46"/>
      <c r="P22" s="46"/>
      <c r="Q22" s="46"/>
      <c r="R22" s="46"/>
      <c r="S22" s="46"/>
      <c r="T22" s="46"/>
    </row>
    <row collapsed="false" customFormat="false" customHeight="false" hidden="false" ht="12.75" outlineLevel="0" r="23">
      <c r="D23" s="46" t="s">
        <v>1748</v>
      </c>
      <c r="E23" s="46" t="s">
        <v>1770</v>
      </c>
      <c r="F23" s="46" t="n">
        <v>1</v>
      </c>
      <c r="G23" s="46" t="n">
        <v>1</v>
      </c>
      <c r="H23" s="46" t="n">
        <f aca="false">COUNTIF(EXPERTISE!H4:H50,"*PS3: Resource Efficiency and Pollution Prevention*")</f>
        <v>0</v>
      </c>
      <c r="I23" s="46" t="n">
        <f aca="false">COUNTIF(EXPERTISE!I4:I50,"*Air Emission Management*")</f>
        <v>0</v>
      </c>
      <c r="J23" s="46" t="n">
        <f aca="false">COUNTIF(PROJECT!X2:X100,"*PS3: Resource Efficiency and Pollution Prevention*")</f>
        <v>0</v>
      </c>
      <c r="K23" s="46" t="n">
        <f aca="false">COUNTIF(PROJECT!Y2:Y100,"*Air Emission Management*")</f>
        <v>0</v>
      </c>
      <c r="L23" s="46"/>
      <c r="M23" s="46"/>
      <c r="N23" s="46"/>
      <c r="O23" s="46"/>
      <c r="P23" s="46"/>
      <c r="Q23" s="46"/>
      <c r="R23" s="46"/>
      <c r="S23" s="46"/>
      <c r="T23" s="46"/>
    </row>
    <row collapsed="false" customFormat="false" customHeight="false" hidden="false" ht="12.75" outlineLevel="0" r="24">
      <c r="D24" s="46" t="s">
        <v>1748</v>
      </c>
      <c r="E24" s="46" t="s">
        <v>1771</v>
      </c>
      <c r="F24" s="46" t="n">
        <v>0</v>
      </c>
      <c r="G24" s="46" t="n">
        <v>1</v>
      </c>
      <c r="H24" s="46"/>
      <c r="I24" s="46" t="n">
        <f aca="false">COUNTIF(EXPERTISE!I4:I50,"*Cleaner Production*")</f>
        <v>0</v>
      </c>
      <c r="J24" s="46"/>
      <c r="K24" s="46" t="n">
        <f aca="false">COUNTIF(PROJECT!Y2:Y100,"*Cleaner Production*")</f>
        <v>0</v>
      </c>
      <c r="L24" s="46"/>
      <c r="M24" s="46"/>
      <c r="N24" s="46"/>
      <c r="O24" s="46"/>
      <c r="P24" s="46"/>
      <c r="Q24" s="46"/>
      <c r="R24" s="46"/>
      <c r="S24" s="46"/>
      <c r="T24" s="46"/>
    </row>
    <row collapsed="false" customFormat="false" customHeight="false" hidden="false" ht="12.75" outlineLevel="0" r="25">
      <c r="D25" s="46" t="s">
        <v>1748</v>
      </c>
      <c r="E25" s="46" t="s">
        <v>1772</v>
      </c>
      <c r="F25" s="46" t="n">
        <v>0</v>
      </c>
      <c r="G25" s="46" t="n">
        <v>1</v>
      </c>
      <c r="H25" s="46"/>
      <c r="I25" s="46" t="n">
        <f aca="false">COUNTIF(EXPERTISE!I4:I50,"*Energy Efficiency*")</f>
        <v>0</v>
      </c>
      <c r="J25" s="46"/>
      <c r="K25" s="46" t="n">
        <f aca="false">COUNTIF(PROJECT!Y2:Y100,"*Energy Efficiency*")</f>
        <v>0</v>
      </c>
      <c r="L25" s="46"/>
      <c r="M25" s="46"/>
      <c r="N25" s="46"/>
      <c r="O25" s="46"/>
      <c r="P25" s="46"/>
      <c r="Q25" s="46"/>
      <c r="R25" s="46"/>
      <c r="S25" s="46"/>
      <c r="T25" s="46"/>
    </row>
    <row collapsed="false" customFormat="false" customHeight="false" hidden="false" ht="12.75" outlineLevel="0" r="26">
      <c r="D26" s="46" t="s">
        <v>1748</v>
      </c>
      <c r="E26" s="46" t="s">
        <v>1773</v>
      </c>
      <c r="F26" s="46" t="n">
        <v>0</v>
      </c>
      <c r="G26" s="46" t="n">
        <v>1</v>
      </c>
      <c r="H26" s="46"/>
      <c r="I26" s="46" t="n">
        <f aca="false">COUNTIF(EXPERTISE!I4:I50,"*Green Building and Construction*")</f>
        <v>0</v>
      </c>
      <c r="J26" s="46"/>
      <c r="K26" s="46" t="n">
        <f aca="false">COUNTIF(PROJECT!Y2:Y100,"*Green Building and Construction*")</f>
        <v>0</v>
      </c>
      <c r="L26" s="46"/>
      <c r="M26" s="46"/>
      <c r="N26" s="46"/>
      <c r="O26" s="46"/>
      <c r="P26" s="46"/>
      <c r="Q26" s="46"/>
      <c r="R26" s="46"/>
      <c r="S26" s="46"/>
      <c r="T26" s="46"/>
    </row>
    <row collapsed="false" customFormat="false" customHeight="false" hidden="false" ht="12.75" outlineLevel="0" r="27">
      <c r="D27" s="46" t="s">
        <v>1748</v>
      </c>
      <c r="E27" s="46" t="s">
        <v>1774</v>
      </c>
      <c r="F27" s="46" t="n">
        <v>0</v>
      </c>
      <c r="G27" s="46" t="n">
        <v>1</v>
      </c>
      <c r="H27" s="46"/>
      <c r="I27" s="46" t="n">
        <f aca="false">COUNTIF(EXPERTISE!I4:I50,"*Greenhouse Gas Emission Audit*")</f>
        <v>0</v>
      </c>
      <c r="J27" s="46"/>
      <c r="K27" s="46" t="n">
        <f aca="false">COUNTIF(PROJECT!Y2:Y100,"*Greenhouse Gas Emission Audit*")</f>
        <v>0</v>
      </c>
      <c r="L27" s="46"/>
      <c r="M27" s="46"/>
      <c r="N27" s="46"/>
      <c r="O27" s="46"/>
      <c r="P27" s="46"/>
      <c r="Q27" s="46"/>
      <c r="R27" s="46"/>
      <c r="S27" s="46"/>
      <c r="T27" s="46"/>
    </row>
    <row collapsed="false" customFormat="false" customHeight="false" hidden="false" ht="12.75" outlineLevel="0" r="28">
      <c r="D28" s="46" t="s">
        <v>1748</v>
      </c>
      <c r="E28" s="46" t="s">
        <v>1775</v>
      </c>
      <c r="F28" s="46" t="n">
        <v>0</v>
      </c>
      <c r="G28" s="46" t="n">
        <v>1</v>
      </c>
      <c r="H28" s="46"/>
      <c r="I28" s="46" t="n">
        <f aca="false">COUNTIF(EXPERTISE!I4:I50,"*Hazardous Material Management*")</f>
        <v>0</v>
      </c>
      <c r="J28" s="46"/>
      <c r="K28" s="46" t="n">
        <f aca="false">COUNTIF(PROJECT!Y2:Y100,"*Hazardous Material Management*")</f>
        <v>0</v>
      </c>
      <c r="L28" s="46"/>
      <c r="M28" s="46"/>
      <c r="N28" s="46"/>
      <c r="O28" s="46"/>
      <c r="P28" s="46"/>
      <c r="Q28" s="46"/>
      <c r="R28" s="46"/>
      <c r="S28" s="46"/>
      <c r="T28" s="46"/>
    </row>
    <row collapsed="false" customFormat="false" customHeight="false" hidden="false" ht="12.75" outlineLevel="0" r="29">
      <c r="D29" s="46" t="s">
        <v>1748</v>
      </c>
      <c r="E29" s="46" t="s">
        <v>1742</v>
      </c>
      <c r="F29" s="46" t="n">
        <v>0</v>
      </c>
      <c r="G29" s="46" t="n">
        <v>1</v>
      </c>
      <c r="H29" s="46"/>
      <c r="I29" s="46" t="n">
        <f aca="false">COUNTIF(EXPERTISE!I4:I50,"*Solid Waste Management*")</f>
        <v>0</v>
      </c>
      <c r="J29" s="46"/>
      <c r="K29" s="46" t="n">
        <f aca="false">COUNTIF(PROJECT!Y2:Y100,"*Solid Waste Management*")</f>
        <v>0</v>
      </c>
      <c r="L29" s="46"/>
      <c r="M29" s="46"/>
      <c r="N29" s="46"/>
      <c r="O29" s="46"/>
      <c r="P29" s="46"/>
      <c r="Q29" s="46"/>
      <c r="R29" s="46"/>
      <c r="S29" s="46"/>
      <c r="T29" s="46"/>
    </row>
    <row collapsed="false" customFormat="false" customHeight="false" hidden="false" ht="12.75" outlineLevel="0" r="30">
      <c r="D30" s="46" t="s">
        <v>1748</v>
      </c>
      <c r="E30" s="46" t="s">
        <v>1776</v>
      </c>
      <c r="F30" s="46" t="n">
        <v>0</v>
      </c>
      <c r="G30" s="46" t="n">
        <v>1</v>
      </c>
      <c r="H30" s="46"/>
      <c r="I30" s="46" t="n">
        <f aca="false">COUNTIF(EXPERTISE!I4:I50,"*Urban and Regional Planning*")</f>
        <v>0</v>
      </c>
      <c r="J30" s="46"/>
      <c r="K30" s="46" t="n">
        <f aca="false">COUNTIF(PROJECT!Y2:Y100,"*Urban and Regional Planning*")</f>
        <v>0</v>
      </c>
      <c r="L30" s="46"/>
      <c r="M30" s="46"/>
      <c r="N30" s="46"/>
      <c r="O30" s="46"/>
      <c r="P30" s="46"/>
      <c r="Q30" s="46"/>
      <c r="R30" s="46"/>
      <c r="S30" s="46"/>
      <c r="T30" s="46"/>
    </row>
    <row collapsed="false" customFormat="false" customHeight="false" hidden="false" ht="12.75" outlineLevel="0" r="31">
      <c r="D31" s="46" t="s">
        <v>1748</v>
      </c>
      <c r="E31" s="46" t="s">
        <v>1777</v>
      </c>
      <c r="F31" s="46" t="n">
        <v>0</v>
      </c>
      <c r="G31" s="46" t="n">
        <v>1</v>
      </c>
      <c r="H31" s="46"/>
      <c r="I31" s="46" t="n">
        <f aca="false">COUNTIF(EXPERTISE!I4:I50,"*Wastewater Management*")</f>
        <v>0</v>
      </c>
      <c r="J31" s="46"/>
      <c r="K31" s="46" t="n">
        <f aca="false">COUNTIF(PROJECT!Y2:Y100,"*Wastewater Management*")</f>
        <v>0</v>
      </c>
      <c r="L31" s="46"/>
      <c r="M31" s="46"/>
      <c r="N31" s="46"/>
      <c r="O31" s="46"/>
      <c r="P31" s="46"/>
      <c r="Q31" s="46"/>
      <c r="R31" s="46"/>
      <c r="S31" s="46"/>
      <c r="T31" s="46"/>
    </row>
    <row collapsed="false" customFormat="false" customHeight="false" hidden="false" ht="12.75" outlineLevel="0" r="32">
      <c r="D32" s="46" t="s">
        <v>1748</v>
      </c>
      <c r="E32" s="46" t="s">
        <v>1778</v>
      </c>
      <c r="F32" s="46" t="n">
        <v>0</v>
      </c>
      <c r="G32" s="46" t="n">
        <v>1</v>
      </c>
      <c r="H32" s="46"/>
      <c r="I32" s="46" t="n">
        <f aca="false">COUNTIF(EXPERTISE!I4:I50,"*Wastewater Management*")</f>
        <v>0</v>
      </c>
      <c r="J32" s="46"/>
      <c r="K32" s="46" t="n">
        <f aca="false">COUNTIF(PROJECT!Y2:Y100,"*Water Efficiency*")</f>
        <v>0</v>
      </c>
      <c r="L32" s="46"/>
      <c r="M32" s="46"/>
      <c r="N32" s="46"/>
      <c r="O32" s="46"/>
      <c r="P32" s="46"/>
      <c r="Q32" s="46"/>
      <c r="R32" s="46"/>
      <c r="S32" s="46"/>
      <c r="T32" s="46"/>
    </row>
    <row collapsed="false" customFormat="false" customHeight="false" hidden="false" ht="12.75" outlineLevel="0" r="33">
      <c r="D33" s="46" t="s">
        <v>1750</v>
      </c>
      <c r="E33" s="46" t="s">
        <v>1779</v>
      </c>
      <c r="F33" s="46" t="n">
        <v>1</v>
      </c>
      <c r="G33" s="46" t="n">
        <v>1</v>
      </c>
      <c r="H33" s="46" t="n">
        <f aca="false">COUNTIF(EXPERTISE!H4:H50,"*PS4: Community Health, Safety, and Security*")</f>
        <v>0</v>
      </c>
      <c r="I33" s="46" t="n">
        <f aca="false">COUNTIF(EXPERTISE!I4:I50,"*Buildings Structural Integrity*")</f>
        <v>0</v>
      </c>
      <c r="J33" s="46" t="n">
        <f aca="false">COUNTIF(PROJECT!X2:X100,"*PS4: Community Health, Safety, and Security*")</f>
        <v>0</v>
      </c>
      <c r="K33" s="46" t="n">
        <f aca="false">COUNTIF(PROJECT!Y2:Y100,"*Buildings Structural Integrity*")</f>
        <v>0</v>
      </c>
      <c r="L33" s="46"/>
      <c r="M33" s="46"/>
      <c r="N33" s="46"/>
      <c r="O33" s="46"/>
      <c r="P33" s="46"/>
      <c r="Q33" s="46"/>
      <c r="R33" s="46"/>
      <c r="S33" s="46"/>
      <c r="T33" s="46"/>
    </row>
    <row collapsed="false" customFormat="false" customHeight="false" hidden="false" ht="12.75" outlineLevel="0" r="34">
      <c r="D34" s="46" t="s">
        <v>1750</v>
      </c>
      <c r="E34" s="46" t="s">
        <v>1780</v>
      </c>
      <c r="F34" s="46" t="n">
        <v>0</v>
      </c>
      <c r="G34" s="46" t="n">
        <v>1</v>
      </c>
      <c r="H34" s="46"/>
      <c r="I34" s="46" t="n">
        <f aca="false">COUNTIF(EXPERTISE!I4:I50,"*Community Health and Safety*")</f>
        <v>0</v>
      </c>
      <c r="J34" s="46"/>
      <c r="K34" s="46" t="n">
        <f aca="false">COUNTIF(PROJECT!Y2:Y100,"*Community Health and Safety*")</f>
        <v>0</v>
      </c>
      <c r="L34" s="46"/>
      <c r="M34" s="46"/>
      <c r="N34" s="46"/>
      <c r="O34" s="46"/>
      <c r="P34" s="46"/>
      <c r="Q34" s="46"/>
      <c r="R34" s="46"/>
      <c r="S34" s="46"/>
      <c r="T34" s="46"/>
    </row>
    <row collapsed="false" customFormat="false" customHeight="false" hidden="false" ht="12.75" outlineLevel="0" r="35">
      <c r="D35" s="46" t="s">
        <v>1750</v>
      </c>
      <c r="E35" s="46" t="s">
        <v>1781</v>
      </c>
      <c r="F35" s="46" t="n">
        <v>0</v>
      </c>
      <c r="G35" s="46" t="n">
        <v>1</v>
      </c>
      <c r="H35" s="46"/>
      <c r="I35" s="46" t="n">
        <f aca="false">COUNTIF(EXPERTISE!I4:I50,"*Community Security*")</f>
        <v>0</v>
      </c>
      <c r="J35" s="46"/>
      <c r="K35" s="46" t="n">
        <f aca="false">COUNTIF(PROJECT!Y2:Y100,"*Community Security*")</f>
        <v>0</v>
      </c>
      <c r="L35" s="46"/>
      <c r="M35" s="46"/>
      <c r="N35" s="46"/>
      <c r="O35" s="46"/>
      <c r="P35" s="46"/>
      <c r="Q35" s="46"/>
      <c r="R35" s="46"/>
      <c r="S35" s="46"/>
      <c r="T35" s="46"/>
    </row>
    <row collapsed="false" customFormat="false" customHeight="false" hidden="false" ht="12.75" outlineLevel="0" r="36">
      <c r="D36" s="46" t="s">
        <v>1750</v>
      </c>
      <c r="E36" s="46" t="s">
        <v>1782</v>
      </c>
      <c r="F36" s="46" t="n">
        <v>0</v>
      </c>
      <c r="G36" s="46" t="n">
        <v>1</v>
      </c>
      <c r="H36" s="46"/>
      <c r="I36" s="46" t="n">
        <f aca="false">COUNTIF(EXPERTISE!I4:I50,"*Life and Fire Safety*")</f>
        <v>0</v>
      </c>
      <c r="J36" s="46"/>
      <c r="K36" s="46" t="n">
        <f aca="false">COUNTIF(PROJECT!Y2:Y100,"*Life and Fire Safety*")</f>
        <v>0</v>
      </c>
      <c r="L36" s="46"/>
      <c r="M36" s="46"/>
      <c r="N36" s="46"/>
      <c r="O36" s="46"/>
      <c r="P36" s="46"/>
      <c r="Q36" s="46"/>
      <c r="R36" s="46"/>
      <c r="S36" s="46"/>
      <c r="T36" s="46"/>
    </row>
    <row collapsed="false" customFormat="false" customHeight="false" hidden="false" ht="12.75" outlineLevel="0" r="37">
      <c r="D37" s="46" t="s">
        <v>1750</v>
      </c>
      <c r="E37" s="46" t="s">
        <v>1783</v>
      </c>
      <c r="F37" s="46" t="n">
        <v>0</v>
      </c>
      <c r="G37" s="46" t="n">
        <v>1</v>
      </c>
      <c r="H37" s="46"/>
      <c r="I37" s="46" t="n">
        <f aca="false">COUNTIF(EXPERTISE!I4:I50,"*Infrastructure and Equipment Safety*")</f>
        <v>0</v>
      </c>
      <c r="J37" s="46"/>
      <c r="K37" s="46" t="n">
        <f aca="false">COUNTIF(PROJECT!Y2:Y100,"*Infrastructure and Equipment Safety*")</f>
        <v>0</v>
      </c>
      <c r="L37" s="46"/>
      <c r="M37" s="46"/>
      <c r="N37" s="46"/>
      <c r="O37" s="46"/>
      <c r="P37" s="46"/>
      <c r="Q37" s="46"/>
      <c r="R37" s="46"/>
      <c r="S37" s="46"/>
      <c r="T37" s="46"/>
    </row>
    <row collapsed="false" customFormat="false" customHeight="false" hidden="false" ht="12.75" outlineLevel="0" r="38">
      <c r="D38" s="46" t="s">
        <v>1752</v>
      </c>
      <c r="E38" s="46" t="s">
        <v>1784</v>
      </c>
      <c r="F38" s="46" t="n">
        <v>1</v>
      </c>
      <c r="G38" s="46" t="n">
        <v>1</v>
      </c>
      <c r="H38" s="46" t="n">
        <f aca="false">COUNTIF(EXPERTISE!H4:H50,"*PS5: Land Acquisition and Involuntary Resettlement*")</f>
        <v>0</v>
      </c>
      <c r="I38" s="46" t="n">
        <f aca="false">COUNTIF(EXPERTISE!I4:I50,"*Community Benefit Sharing Schemes*")</f>
        <v>0</v>
      </c>
      <c r="J38" s="46" t="n">
        <f aca="false">COUNTIF(PROJECT!X2:X100,"*PS5: Land Acquisition and Involuntary Resettlement*")</f>
        <v>0</v>
      </c>
      <c r="K38" s="46" t="n">
        <f aca="false">COUNTIF(PROJECT!Y2:Y100,"*Community Benefit Sharing Schemes*")</f>
        <v>0</v>
      </c>
      <c r="L38" s="46"/>
      <c r="M38" s="46"/>
      <c r="N38" s="46"/>
      <c r="O38" s="46"/>
      <c r="P38" s="46"/>
      <c r="Q38" s="46"/>
      <c r="R38" s="46"/>
      <c r="S38" s="46"/>
      <c r="T38" s="46"/>
    </row>
    <row collapsed="false" customFormat="false" customHeight="false" hidden="false" ht="12.75" outlineLevel="0" r="39">
      <c r="D39" s="46" t="s">
        <v>1752</v>
      </c>
      <c r="E39" s="46" t="s">
        <v>1785</v>
      </c>
      <c r="F39" s="46" t="n">
        <v>0</v>
      </c>
      <c r="G39" s="46" t="n">
        <v>1</v>
      </c>
      <c r="H39" s="46"/>
      <c r="I39" s="46" t="n">
        <f aca="false">COUNTIF(EXPERTISE!I4:I50,"*Land Acquisition and Resettlement*")</f>
        <v>0</v>
      </c>
      <c r="J39" s="46"/>
      <c r="K39" s="46" t="n">
        <f aca="false">COUNTIF(PROJECT!Y2:Y100,"*Land Acquisition and Resettlement*")</f>
        <v>0</v>
      </c>
      <c r="L39" s="46"/>
      <c r="M39" s="46"/>
      <c r="N39" s="46"/>
      <c r="O39" s="46"/>
      <c r="P39" s="46"/>
      <c r="Q39" s="46"/>
      <c r="R39" s="46"/>
      <c r="S39" s="46"/>
      <c r="T39" s="46"/>
    </row>
    <row collapsed="false" customFormat="false" customHeight="false" hidden="false" ht="12.75" outlineLevel="0" r="40">
      <c r="D40" s="46" t="s">
        <v>1752</v>
      </c>
      <c r="E40" s="46" t="s">
        <v>1786</v>
      </c>
      <c r="F40" s="46" t="n">
        <v>0</v>
      </c>
      <c r="G40" s="46" t="n">
        <v>1</v>
      </c>
      <c r="H40" s="46"/>
      <c r="I40" s="46" t="n">
        <f aca="false">COUNTIF(EXPERTISE!I4:I50,"*Livelihood Restoration*")</f>
        <v>0</v>
      </c>
      <c r="J40" s="46"/>
      <c r="K40" s="46" t="n">
        <f aca="false">COUNTIF(PROJECT!Y2:Y100,"*Livelihood Restoration*")</f>
        <v>0</v>
      </c>
      <c r="L40" s="46"/>
      <c r="M40" s="46"/>
      <c r="N40" s="46"/>
      <c r="O40" s="46"/>
      <c r="P40" s="46"/>
      <c r="Q40" s="46"/>
      <c r="R40" s="46"/>
      <c r="S40" s="46"/>
      <c r="T40" s="46"/>
    </row>
    <row collapsed="false" customFormat="false" customHeight="false" hidden="false" ht="12.75" outlineLevel="0" r="41">
      <c r="D41" s="46" t="s">
        <v>1752</v>
      </c>
      <c r="E41" s="46" t="s">
        <v>1479</v>
      </c>
      <c r="F41" s="46" t="n">
        <v>0</v>
      </c>
      <c r="G41" s="46" t="n">
        <v>1</v>
      </c>
      <c r="H41" s="46"/>
      <c r="I41" s="46" t="n">
        <f aca="false">COUNTIF(EXPERTISE!I4:I50,"*Rural Development*")</f>
        <v>0</v>
      </c>
      <c r="J41" s="46"/>
      <c r="K41" s="46" t="n">
        <f aca="false">COUNTIF(PROJECT!Y2:Y100,"*Rural Development*")</f>
        <v>0</v>
      </c>
      <c r="L41" s="46"/>
      <c r="M41" s="46"/>
      <c r="N41" s="46"/>
      <c r="O41" s="46"/>
      <c r="P41" s="46"/>
      <c r="Q41" s="46"/>
      <c r="R41" s="46"/>
      <c r="S41" s="46"/>
      <c r="T41" s="46"/>
    </row>
    <row collapsed="false" customFormat="false" customHeight="false" hidden="false" ht="12.75" outlineLevel="0" r="42">
      <c r="D42" s="46" t="s">
        <v>1754</v>
      </c>
      <c r="E42" s="46" t="s">
        <v>1787</v>
      </c>
      <c r="F42" s="46" t="n">
        <v>1</v>
      </c>
      <c r="G42" s="46" t="n">
        <v>1</v>
      </c>
      <c r="H42" s="46" t="n">
        <f aca="false">COUNTIF(EXPERTISE!H4:H50,"*PS6: Biodiversity Conservation and Sustainable Management of Living Natural Resources*")</f>
        <v>0</v>
      </c>
      <c r="I42" s="37" t="n">
        <f aca="false">COUNTIF(EXPERTISE!I4:I50,"*Biodiversity Assessment*")</f>
        <v>0</v>
      </c>
      <c r="J42" s="46" t="n">
        <f aca="false">COUNTIF(PROJECT!X2:X100,"*PS6: Biodiversity Conservation and Sustainable Management of Living Natural Resources*")</f>
        <v>0</v>
      </c>
      <c r="K42" s="37" t="n">
        <f aca="false">COUNTIF(PROJECT!Y2:Y100,"*Biodiversity Assessment*")</f>
        <v>0</v>
      </c>
      <c r="L42" s="46"/>
      <c r="M42" s="46"/>
      <c r="N42" s="46"/>
      <c r="O42" s="46"/>
      <c r="P42" s="46"/>
      <c r="Q42" s="46"/>
      <c r="R42" s="46"/>
      <c r="S42" s="46"/>
      <c r="T42" s="46"/>
    </row>
    <row collapsed="false" customFormat="false" customHeight="false" hidden="false" ht="12.75" outlineLevel="0" r="43">
      <c r="D43" s="46" t="s">
        <v>1754</v>
      </c>
      <c r="E43" s="46" t="s">
        <v>1788</v>
      </c>
      <c r="F43" s="46" t="n">
        <v>0</v>
      </c>
      <c r="G43" s="46" t="n">
        <v>1</v>
      </c>
      <c r="H43" s="46"/>
      <c r="I43" s="46" t="n">
        <f aca="false">COUNTIF(EXPERTISE!I4:I50,"*Biodiversity Offset Planning and Implementation*")</f>
        <v>0</v>
      </c>
      <c r="J43" s="46"/>
      <c r="K43" s="46" t="n">
        <f aca="false">COUNTIF(PROJECT!Y2:Y100,"*Biodiversity Offset Planning and Implementation*")</f>
        <v>0</v>
      </c>
      <c r="L43" s="46"/>
      <c r="M43" s="46"/>
      <c r="N43" s="46"/>
      <c r="O43" s="46"/>
      <c r="P43" s="46"/>
      <c r="Q43" s="46"/>
      <c r="R43" s="46"/>
      <c r="S43" s="46"/>
      <c r="T43" s="46"/>
    </row>
    <row collapsed="false" customFormat="false" customHeight="false" hidden="false" ht="12.75" outlineLevel="0" r="44">
      <c r="D44" s="46" t="s">
        <v>1754</v>
      </c>
      <c r="E44" s="46" t="s">
        <v>1789</v>
      </c>
      <c r="F44" s="46" t="n">
        <v>0</v>
      </c>
      <c r="G44" s="46" t="n">
        <v>1</v>
      </c>
      <c r="H44" s="46"/>
      <c r="I44" s="46" t="n">
        <f aca="false">COUNTIF(EXPERTISE!I4:I50,"*Ecosystem Services Review*")</f>
        <v>0</v>
      </c>
      <c r="J44" s="46"/>
      <c r="K44" s="46" t="n">
        <f aca="false">COUNTIF(PROJECT!Y2:Y100,"*Ecosystem Services Review*")</f>
        <v>0</v>
      </c>
      <c r="L44" s="46"/>
      <c r="M44" s="46"/>
      <c r="N44" s="46"/>
      <c r="O44" s="46"/>
      <c r="P44" s="46"/>
      <c r="Q44" s="46"/>
      <c r="R44" s="46"/>
      <c r="S44" s="46"/>
      <c r="T44" s="46"/>
    </row>
    <row collapsed="false" customFormat="false" customHeight="false" hidden="false" ht="12.75" outlineLevel="0" r="45">
      <c r="D45" s="46" t="s">
        <v>1754</v>
      </c>
      <c r="E45" s="46" t="s">
        <v>1790</v>
      </c>
      <c r="F45" s="46" t="n">
        <v>0</v>
      </c>
      <c r="G45" s="46" t="n">
        <v>1</v>
      </c>
      <c r="H45" s="46"/>
      <c r="I45" s="46" t="n">
        <f aca="false">COUNTIF(EXPERTISE!I4:I50,"*Forestry Management*")</f>
        <v>0</v>
      </c>
      <c r="J45" s="46"/>
      <c r="K45" s="46" t="n">
        <f aca="false">COUNTIF(PROJECT!Y2:Y100,"*Forestry Management*")</f>
        <v>0</v>
      </c>
      <c r="L45" s="46"/>
      <c r="M45" s="46"/>
      <c r="N45" s="46"/>
      <c r="O45" s="46"/>
      <c r="P45" s="46"/>
      <c r="Q45" s="46"/>
      <c r="R45" s="46"/>
      <c r="S45" s="46"/>
      <c r="T45" s="46"/>
    </row>
    <row collapsed="false" customFormat="false" customHeight="false" hidden="false" ht="12.75" outlineLevel="0" r="46">
      <c r="D46" s="46" t="s">
        <v>1754</v>
      </c>
      <c r="E46" s="46" t="s">
        <v>1791</v>
      </c>
      <c r="F46" s="46" t="n">
        <v>0</v>
      </c>
      <c r="G46" s="46" t="n">
        <v>1</v>
      </c>
      <c r="H46" s="46"/>
      <c r="I46" s="46" t="n">
        <f aca="false">COUNTIF(EXPERTISE!I4:I50,"*Geographic Information System &amp; Land Use Planning*")</f>
        <v>0</v>
      </c>
      <c r="J46" s="46"/>
      <c r="K46" s="46" t="n">
        <f aca="false">COUNTIF(PROJECT!Y2:Y100,"*Geographic Information System &amp; Land Use Planning*")</f>
        <v>0</v>
      </c>
      <c r="L46" s="46"/>
      <c r="M46" s="46"/>
      <c r="N46" s="46"/>
      <c r="O46" s="46"/>
      <c r="P46" s="46"/>
      <c r="Q46" s="46"/>
      <c r="R46" s="46"/>
      <c r="S46" s="46"/>
      <c r="T46" s="46"/>
    </row>
    <row collapsed="false" customFormat="false" customHeight="false" hidden="false" ht="12.75" outlineLevel="0" r="47">
      <c r="D47" s="46" t="s">
        <v>1754</v>
      </c>
      <c r="E47" s="46" t="s">
        <v>1792</v>
      </c>
      <c r="F47" s="46" t="n">
        <v>0</v>
      </c>
      <c r="G47" s="46" t="n">
        <v>1</v>
      </c>
      <c r="H47" s="46"/>
      <c r="I47" s="46" t="n">
        <f aca="false">COUNTIF(EXPERTISE!I4:I50,"*Natural Resource Management*")</f>
        <v>0</v>
      </c>
      <c r="J47" s="46"/>
      <c r="K47" s="46" t="n">
        <f aca="false">COUNTIF(PROJECT!Y2:Y100,"*Natural Resource Management*")</f>
        <v>0</v>
      </c>
      <c r="L47" s="46"/>
      <c r="M47" s="46"/>
      <c r="N47" s="46"/>
      <c r="O47" s="46"/>
      <c r="P47" s="46"/>
      <c r="Q47" s="46"/>
      <c r="R47" s="46"/>
      <c r="S47" s="46"/>
      <c r="T47" s="46"/>
    </row>
    <row collapsed="false" customFormat="false" customHeight="false" hidden="false" ht="12.75" outlineLevel="0" r="48">
      <c r="D48" s="46" t="s">
        <v>1754</v>
      </c>
      <c r="E48" s="46" t="s">
        <v>1793</v>
      </c>
      <c r="F48" s="46" t="n">
        <v>0</v>
      </c>
      <c r="G48" s="46" t="n">
        <v>1</v>
      </c>
      <c r="H48" s="46"/>
      <c r="I48" s="46" t="n">
        <f aca="false">COUNTIF(EXPERTISE!I4:I50,"*Supply Chain Biodiversity Assessment*")</f>
        <v>0</v>
      </c>
      <c r="J48" s="46"/>
      <c r="K48" s="46" t="n">
        <f aca="false">COUNTIF(PROJECT!Y2:Y100,"*Supply Chain Biodiversity Assessment*")</f>
        <v>0</v>
      </c>
      <c r="L48" s="46"/>
      <c r="M48" s="46"/>
      <c r="N48" s="46"/>
      <c r="O48" s="46"/>
      <c r="P48" s="46"/>
      <c r="Q48" s="46"/>
      <c r="R48" s="46"/>
      <c r="S48" s="46"/>
      <c r="T48" s="46"/>
    </row>
    <row collapsed="false" customFormat="false" customHeight="false" hidden="false" ht="12.75" outlineLevel="0" r="49">
      <c r="D49" s="46" t="s">
        <v>1754</v>
      </c>
      <c r="E49" s="46" t="s">
        <v>1794</v>
      </c>
      <c r="F49" s="46" t="n">
        <v>0</v>
      </c>
      <c r="G49" s="46" t="n">
        <v>1</v>
      </c>
      <c r="H49" s="46"/>
      <c r="I49" s="46" t="n">
        <f aca="false">COUNTIF(EXPERTISE!I4:I50,"*Sustainable Forestry Certification (FSC, PEFC)*")</f>
        <v>0</v>
      </c>
      <c r="J49" s="46"/>
      <c r="K49" s="46" t="n">
        <f aca="false">COUNTIF(PROJECT!Y2:Y100,"*Sustainable Forestry Certification (FSC, PEFC)*")</f>
        <v>0</v>
      </c>
      <c r="L49" s="46"/>
      <c r="M49" s="46"/>
      <c r="N49" s="46"/>
      <c r="O49" s="46"/>
      <c r="P49" s="46"/>
      <c r="Q49" s="46"/>
      <c r="R49" s="46"/>
      <c r="S49" s="46"/>
      <c r="T49" s="46"/>
    </row>
    <row collapsed="false" customFormat="false" customHeight="false" hidden="false" ht="12.75" outlineLevel="0" r="50">
      <c r="D50" s="46" t="s">
        <v>117</v>
      </c>
      <c r="E50" s="46" t="s">
        <v>1795</v>
      </c>
      <c r="F50" s="46" t="n">
        <v>1</v>
      </c>
      <c r="G50" s="46" t="n">
        <v>1</v>
      </c>
      <c r="H50" s="46" t="n">
        <f aca="false">COUNTIF(EXPERTISE!H4:H50,"*PS7: Indigenous Peoples*")</f>
        <v>1</v>
      </c>
      <c r="I50" s="46" t="n">
        <f aca="false">COUNTIF(EXPERTISE!I4:I50,"*Free Prior and Informed Consent (FPIC)*")</f>
        <v>0</v>
      </c>
      <c r="J50" s="46" t="n">
        <f aca="false">COUNTIF(PROJECT!X2:X100,"*PS7: Indigenous Peoples*")</f>
        <v>1</v>
      </c>
      <c r="K50" s="46" t="n">
        <f aca="false">COUNTIF(PROJECT!Y2:Y100,"*Free Prior and Informed Consent (FPIC)*")</f>
        <v>0</v>
      </c>
      <c r="L50" s="46"/>
      <c r="M50" s="46"/>
      <c r="N50" s="46"/>
      <c r="O50" s="46"/>
      <c r="P50" s="46"/>
      <c r="Q50" s="46"/>
      <c r="R50" s="46"/>
      <c r="S50" s="46"/>
      <c r="T50" s="46"/>
    </row>
    <row collapsed="false" customFormat="false" customHeight="false" hidden="false" ht="12.75" outlineLevel="0" r="51">
      <c r="D51" s="46" t="s">
        <v>117</v>
      </c>
      <c r="E51" s="46" t="s">
        <v>118</v>
      </c>
      <c r="F51" s="46" t="n">
        <v>0</v>
      </c>
      <c r="G51" s="46" t="n">
        <v>1</v>
      </c>
      <c r="H51" s="46"/>
      <c r="I51" s="46" t="n">
        <f aca="false">COUNTIF(EXPERTISE!I4:I50,"*Indigenous Peoples and Ethnic Minorities*")</f>
        <v>1</v>
      </c>
      <c r="J51" s="46"/>
      <c r="K51" s="46" t="n">
        <f aca="false">COUNTIF(PROJECT!Y2:Y100,"*Indigenous Peoples and Ethnic Minorities*")</f>
        <v>1</v>
      </c>
      <c r="L51" s="46"/>
      <c r="M51" s="46"/>
      <c r="N51" s="46"/>
      <c r="O51" s="46"/>
      <c r="P51" s="46"/>
      <c r="Q51" s="46"/>
      <c r="R51" s="46"/>
      <c r="S51" s="46"/>
      <c r="T51" s="46"/>
    </row>
    <row collapsed="false" customFormat="false" customHeight="false" hidden="false" ht="12.75" outlineLevel="0" r="52">
      <c r="D52" s="46" t="s">
        <v>1757</v>
      </c>
      <c r="E52" s="46" t="s">
        <v>1796</v>
      </c>
      <c r="F52" s="46" t="n">
        <v>1</v>
      </c>
      <c r="G52" s="46" t="n">
        <v>1</v>
      </c>
      <c r="H52" s="46" t="n">
        <f aca="false">COUNTIF(EXPERTISE!H4:H50,"*PS8: Cultural Heritage*")</f>
        <v>0</v>
      </c>
      <c r="I52" s="46" t="n">
        <f aca="false">COUNTIF(EXPERTISE!I4:I50,"*Critical Cultural Heritage*")</f>
        <v>0</v>
      </c>
      <c r="J52" s="46" t="n">
        <f aca="false">COUNTIF(PROJECT!X2:X100,"*PS8: Cultural Heritage*")</f>
        <v>0</v>
      </c>
      <c r="K52" s="46" t="n">
        <f aca="false">COUNTIF(PROJECT!Y2:Y100,"*Critical Cultural Heritage*")</f>
        <v>0</v>
      </c>
      <c r="L52" s="46"/>
      <c r="M52" s="46"/>
      <c r="N52" s="46"/>
      <c r="O52" s="46"/>
      <c r="P52" s="46"/>
      <c r="Q52" s="46"/>
      <c r="R52" s="46"/>
      <c r="S52" s="46"/>
      <c r="T52" s="46"/>
    </row>
    <row collapsed="false" customFormat="false" customHeight="false" hidden="false" ht="12.75" outlineLevel="0" r="53">
      <c r="D53" s="46" t="s">
        <v>1757</v>
      </c>
      <c r="E53" s="46" t="s">
        <v>1797</v>
      </c>
      <c r="F53" s="46" t="n">
        <v>0</v>
      </c>
      <c r="G53" s="46" t="n">
        <v>1</v>
      </c>
      <c r="H53" s="46"/>
      <c r="I53" s="46" t="n">
        <f aca="false">COUNTIF(EXPERTISE!I4:I50,"*Cultural Heritage Assessment and Preservation*")</f>
        <v>0</v>
      </c>
      <c r="J53" s="46"/>
      <c r="K53" s="46" t="n">
        <f aca="false">COUNTIF(PROJECT!Y2:Y100,"*Cultural Heritage Assessment and Preservation*")</f>
        <v>0</v>
      </c>
      <c r="L53" s="46"/>
      <c r="M53" s="46"/>
      <c r="N53" s="46"/>
      <c r="O53" s="46"/>
      <c r="P53" s="46"/>
      <c r="Q53" s="46"/>
      <c r="R53" s="46"/>
      <c r="S53" s="46"/>
      <c r="T53" s="46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T70"/>
  <sheetViews>
    <sheetView colorId="64" defaultGridColor="true" rightToLeft="false" showFormulas="false" showGridLines="true" showOutlineSymbols="true" showRowColHeaders="true" showZeros="true" tabSelected="false" topLeftCell="A1" view="normal" windowProtection="true" workbookViewId="0" zoomScale="100" zoomScaleNormal="100" zoomScalePageLayoutView="100">
      <pane activePane="bottomLeft" state="frozen" topLeftCell="A3" xSplit="0" ySplit="2"/>
      <selection activeCell="A1" activeCellId="0" pane="topLeft" sqref="A1"/>
      <selection activeCell="A3" activeCellId="0" pane="bottomLeft" sqref="A3"/>
    </sheetView>
  </sheetViews>
  <sheetFormatPr defaultRowHeight="12.75"/>
  <cols>
    <col collapsed="false" hidden="false" max="1" min="1" style="0" width="1.86224489795918"/>
    <col collapsed="false" hidden="false" max="2" min="2" style="0" width="23.1377551020408"/>
    <col collapsed="false" hidden="false" max="3" min="3" style="0" width="3.14285714285714"/>
    <col collapsed="false" hidden="false" max="5" min="4" style="0" width="6.86734693877551"/>
    <col collapsed="false" hidden="false" max="6" min="6" style="0" width="17.1326530612245"/>
    <col collapsed="false" hidden="false" max="7" min="7" style="0" width="5.00510204081633"/>
    <col collapsed="false" hidden="false" max="8" min="8" style="0" width="17.1326530612245"/>
    <col collapsed="false" hidden="false" max="9" min="9" style="0" width="3.42857142857143"/>
    <col collapsed="false" hidden="false" max="1025" min="10" style="0" width="17.1326530612245"/>
  </cols>
  <sheetData>
    <row collapsed="false" customFormat="false" customHeight="false" hidden="false" ht="12.75" outlineLevel="0" r="2">
      <c r="B2" s="63" t="s">
        <v>1594</v>
      </c>
      <c r="C2" s="63"/>
      <c r="D2" s="63"/>
      <c r="E2" s="63"/>
      <c r="F2" s="63" t="s">
        <v>1596</v>
      </c>
      <c r="G2" s="63"/>
      <c r="H2" s="63" t="s">
        <v>1598</v>
      </c>
      <c r="I2" s="63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</row>
    <row collapsed="false" customFormat="false" customHeight="false" hidden="false" ht="12.75" outlineLevel="0" r="3">
      <c r="B3" s="46" t="s">
        <v>1798</v>
      </c>
      <c r="C3" s="37"/>
      <c r="D3" s="46" t="n">
        <v>1</v>
      </c>
      <c r="E3" s="46" t="n">
        <v>0</v>
      </c>
      <c r="F3" s="46" t="n">
        <f aca="false">COUNTIF(EXPERTISE!G4:G50,"*Airlines*")</f>
        <v>0</v>
      </c>
      <c r="G3" s="46"/>
      <c r="H3" s="46" t="n">
        <f aca="false">COUNTIF(PROJECT!Z2:Z100,"*Airlines*")</f>
        <v>0</v>
      </c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</row>
    <row collapsed="false" customFormat="false" customHeight="false" hidden="false" ht="12.75" outlineLevel="0" r="4">
      <c r="B4" s="46" t="s">
        <v>1799</v>
      </c>
      <c r="C4" s="37"/>
      <c r="D4" s="46" t="n">
        <v>1</v>
      </c>
      <c r="E4" s="46" t="n">
        <v>0</v>
      </c>
      <c r="F4" s="46" t="n">
        <f aca="false">COUNTIF(EXPERTISE!G4:G50,"*Airports*")</f>
        <v>0</v>
      </c>
      <c r="G4" s="46"/>
      <c r="H4" s="46" t="n">
        <f aca="false">COUNTIF(PROJECT!Z2:Z100,"*Airports*")</f>
        <v>0</v>
      </c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</row>
    <row collapsed="false" customFormat="false" customHeight="false" hidden="false" ht="12.75" outlineLevel="0" r="5">
      <c r="B5" s="46" t="s">
        <v>99</v>
      </c>
      <c r="C5" s="37"/>
      <c r="D5" s="46" t="n">
        <v>1</v>
      </c>
      <c r="E5" s="46" t="n">
        <v>0</v>
      </c>
      <c r="F5" s="46" t="n">
        <f aca="false">COUNTIF(EXPERTISE!G4:G50,"*Annual Crop Production*")</f>
        <v>1</v>
      </c>
      <c r="G5" s="46"/>
      <c r="H5" s="46" t="n">
        <f aca="false">COUNTIF(PROJECT!Z2:Z100,"*Annual Crop Production*")</f>
        <v>1</v>
      </c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</row>
    <row collapsed="false" customFormat="false" customHeight="false" hidden="false" ht="12.75" outlineLevel="0" r="6">
      <c r="B6" s="46" t="s">
        <v>1603</v>
      </c>
      <c r="C6" s="37"/>
      <c r="D6" s="46" t="n">
        <v>1</v>
      </c>
      <c r="E6" s="46" t="n">
        <v>0</v>
      </c>
      <c r="F6" s="46" t="n">
        <f aca="false">COUNTIF(EXPERTISE!G4:G50,"*Aquaculture*")</f>
        <v>0</v>
      </c>
      <c r="G6" s="46"/>
      <c r="H6" s="46" t="n">
        <f aca="false">COUNTIF(PROJECT!Z2:Z100,"*Aquaculture*")</f>
        <v>0</v>
      </c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</row>
    <row collapsed="false" customFormat="false" customHeight="false" hidden="false" ht="12.75" outlineLevel="0" r="7">
      <c r="B7" s="46" t="s">
        <v>1800</v>
      </c>
      <c r="C7" s="37"/>
      <c r="D7" s="46" t="n">
        <v>1</v>
      </c>
      <c r="E7" s="46" t="n">
        <v>0</v>
      </c>
      <c r="F7" s="46" t="n">
        <f aca="false">COUNTIF(EXPERTISE!G4:G50,"*Base Metal Smelting and Refining*")</f>
        <v>0</v>
      </c>
      <c r="G7" s="46"/>
      <c r="H7" s="46" t="n">
        <f aca="false">COUNTIF(PROJECT!Z2:Z100,"*Base Metal Smelting and Refining*")</f>
        <v>0</v>
      </c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</row>
    <row collapsed="false" customFormat="false" customHeight="false" hidden="false" ht="12.75" outlineLevel="0" r="8">
      <c r="B8" s="46" t="s">
        <v>1801</v>
      </c>
      <c r="C8" s="37"/>
      <c r="D8" s="46" t="n">
        <v>1</v>
      </c>
      <c r="E8" s="46" t="n">
        <v>0</v>
      </c>
      <c r="F8" s="46" t="n">
        <f aca="false">COUNTIF(EXPERTISE!G4:G50,"*Biomass Collection and Processing*")</f>
        <v>0</v>
      </c>
      <c r="G8" s="46"/>
      <c r="H8" s="46" t="n">
        <f aca="false">COUNTIF(PROJECT!Z2:Z100,"*Biomass Collection and Processing*")</f>
        <v>0</v>
      </c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</row>
    <row collapsed="false" customFormat="false" customHeight="false" hidden="false" ht="12.75" outlineLevel="0" r="9">
      <c r="B9" s="46" t="s">
        <v>1802</v>
      </c>
      <c r="C9" s="37"/>
      <c r="D9" s="46" t="n">
        <v>1</v>
      </c>
      <c r="E9" s="46" t="n">
        <v>0</v>
      </c>
      <c r="F9" s="46" t="n">
        <f aca="false">COUNTIF(EXPERTISE!G4:G50,"*Board and Particle-based Products*")</f>
        <v>0</v>
      </c>
      <c r="G9" s="46"/>
      <c r="H9" s="46" t="n">
        <f aca="false">COUNTIF(PROJECT!Z2:Z100,"*Board and Particle-based Products*")</f>
        <v>0</v>
      </c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</row>
    <row collapsed="false" customFormat="false" customHeight="false" hidden="false" ht="12.75" outlineLevel="0" r="10">
      <c r="B10" s="46" t="s">
        <v>1803</v>
      </c>
      <c r="C10" s="37"/>
      <c r="D10" s="46" t="n">
        <v>1</v>
      </c>
      <c r="E10" s="46" t="n">
        <v>0</v>
      </c>
      <c r="F10" s="46" t="n">
        <f aca="false">COUNTIF(EXPERTISE!G4:G50,"*Breweries*")</f>
        <v>0</v>
      </c>
      <c r="G10" s="46"/>
      <c r="H10" s="46" t="n">
        <f aca="false">COUNTIF(PROJECT!Z2:Z100,"*Breweries*")</f>
        <v>0</v>
      </c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</row>
    <row collapsed="false" customFormat="false" customHeight="false" hidden="false" ht="12.75" outlineLevel="0" r="11">
      <c r="B11" s="46" t="s">
        <v>1804</v>
      </c>
      <c r="C11" s="37"/>
      <c r="D11" s="46" t="n">
        <v>1</v>
      </c>
      <c r="E11" s="46" t="n">
        <v>0</v>
      </c>
      <c r="F11" s="46" t="n">
        <f aca="false">COUNTIF(EXPERTISE!G4:G50,"*Cement and Lime Manufacturing*")</f>
        <v>0</v>
      </c>
      <c r="G11" s="46"/>
      <c r="H11" s="46" t="n">
        <f aca="false">COUNTIF(PROJECT!Z2:Z100,"*Cement and Lime Manufacturing*")</f>
        <v>0</v>
      </c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</row>
    <row collapsed="false" customFormat="false" customHeight="false" hidden="false" ht="12.75" outlineLevel="0" r="12">
      <c r="B12" s="46" t="s">
        <v>1805</v>
      </c>
      <c r="C12" s="37"/>
      <c r="D12" s="46" t="n">
        <v>1</v>
      </c>
      <c r="E12" s="46" t="n">
        <v>0</v>
      </c>
      <c r="F12" s="46" t="n">
        <f aca="false">COUNTIF(EXPERTISE!G4:G50,"*Ceramic Tile and Sanitary Ware Manufacturing*")</f>
        <v>0</v>
      </c>
      <c r="G12" s="46"/>
      <c r="H12" s="46" t="n">
        <f aca="false">COUNTIF(PROJECT!Z2:Z100,"*Ceramic Tile and Sanitary Ware Manufacturing*")</f>
        <v>0</v>
      </c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/>
    </row>
    <row collapsed="false" customFormat="false" customHeight="false" hidden="false" ht="12.75" outlineLevel="0" r="13">
      <c r="B13" s="46" t="s">
        <v>1806</v>
      </c>
      <c r="C13" s="37"/>
      <c r="D13" s="46" t="n">
        <v>1</v>
      </c>
      <c r="E13" s="46" t="n">
        <v>0</v>
      </c>
      <c r="F13" s="46" t="n">
        <f aca="false">COUNTIF(EXPERTISE!G4:G50,"*Coal Tar Distillation*")</f>
        <v>0</v>
      </c>
      <c r="G13" s="37"/>
      <c r="H13" s="46" t="n">
        <f aca="false">COUNTIF(PROJECT!Z2:Z100,"*Coal Tar Distillation*")</f>
        <v>0</v>
      </c>
      <c r="I13" s="37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</row>
    <row collapsed="false" customFormat="false" customHeight="false" hidden="false" ht="12.75" outlineLevel="0" r="14">
      <c r="B14" s="46" t="s">
        <v>1807</v>
      </c>
      <c r="C14" s="37"/>
      <c r="D14" s="46" t="n">
        <v>1</v>
      </c>
      <c r="E14" s="46" t="n">
        <v>0</v>
      </c>
      <c r="F14" s="46" t="n">
        <f aca="false">COUNTIF(EXPERTISE!G4:G50,"*Coal Processing*")</f>
        <v>0</v>
      </c>
      <c r="G14" s="46"/>
      <c r="H14" s="46" t="n">
        <f aca="false">COUNTIF(PROJECT!Z2:Z100,"*Coal Processing*")</f>
        <v>0</v>
      </c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</row>
    <row collapsed="false" customFormat="false" customHeight="false" hidden="false" ht="12.75" outlineLevel="0" r="15">
      <c r="B15" s="46" t="s">
        <v>1808</v>
      </c>
      <c r="C15" s="37"/>
      <c r="D15" s="46" t="n">
        <v>1</v>
      </c>
      <c r="E15" s="46" t="n">
        <v>0</v>
      </c>
      <c r="F15" s="46" t="n">
        <f aca="false">COUNTIF(EXPERTISE!G4:G50,"*Construction Materials Extraction*")</f>
        <v>0</v>
      </c>
      <c r="G15" s="46"/>
      <c r="H15" s="46" t="n">
        <f aca="false">COUNTIF(PROJECT!Z2:Z100,"*Construction Materials Extraction*")</f>
        <v>0</v>
      </c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</row>
    <row collapsed="false" customFormat="false" customHeight="false" hidden="false" ht="12.75" outlineLevel="0" r="16">
      <c r="B16" s="46" t="s">
        <v>1809</v>
      </c>
      <c r="C16" s="37"/>
      <c r="D16" s="46" t="n">
        <v>1</v>
      </c>
      <c r="E16" s="46" t="n">
        <v>0</v>
      </c>
      <c r="F16" s="46" t="n">
        <f aca="false">COUNTIF(EXPERTISE!G4:G50,"*Crude Oil and Petroleum Product Terminals*")</f>
        <v>0</v>
      </c>
      <c r="G16" s="46"/>
      <c r="H16" s="46" t="n">
        <f aca="false">COUNTIF(PROJECT!Z2:Z100,"*Crude Oil and Petroleum Product Terminals*")</f>
        <v>0</v>
      </c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</row>
    <row collapsed="false" customFormat="false" customHeight="false" hidden="false" ht="12.75" outlineLevel="0" r="17">
      <c r="B17" s="46" t="s">
        <v>1810</v>
      </c>
      <c r="C17" s="37"/>
      <c r="D17" s="46" t="n">
        <v>1</v>
      </c>
      <c r="E17" s="46" t="n">
        <v>0</v>
      </c>
      <c r="F17" s="46" t="n">
        <f aca="false">COUNTIF(EXPERTISE!G4:G50,"*Dairy Processing*")</f>
        <v>0</v>
      </c>
      <c r="G17" s="46"/>
      <c r="H17" s="46" t="n">
        <f aca="false">COUNTIF(PROJECT!Z2:Z100,"*Dairy Processing*")</f>
        <v>0</v>
      </c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</row>
    <row collapsed="false" customFormat="false" customHeight="false" hidden="false" ht="12.75" outlineLevel="0" r="18">
      <c r="B18" s="46" t="s">
        <v>1811</v>
      </c>
      <c r="C18" s="37"/>
      <c r="D18" s="46" t="n">
        <v>1</v>
      </c>
      <c r="E18" s="46" t="n">
        <v>0</v>
      </c>
      <c r="F18" s="46" t="n">
        <f aca="false">COUNTIF(EXPERTISE!G4:G50,"*Electric Power Transmission and Distribution*")</f>
        <v>0</v>
      </c>
      <c r="G18" s="46"/>
      <c r="H18" s="46" t="n">
        <f aca="false">COUNTIF(PROJECT!Z2:Z100,"*Electric Power Transmission and Distribution*")</f>
        <v>0</v>
      </c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</row>
    <row collapsed="false" customFormat="false" customHeight="false" hidden="false" ht="12.75" outlineLevel="0" r="19">
      <c r="B19" s="46" t="s">
        <v>1812</v>
      </c>
      <c r="C19" s="37"/>
      <c r="D19" s="46" t="n">
        <v>1</v>
      </c>
      <c r="E19" s="46" t="n">
        <v>0</v>
      </c>
      <c r="F19" s="46" t="n">
        <f aca="false">COUNTIF(EXPERTISE!G4:G50,"*Financial Intermediaries (e.g. Banks, PE Funds)*")</f>
        <v>0</v>
      </c>
      <c r="G19" s="46"/>
      <c r="H19" s="46" t="n">
        <f aca="false">COUNTIF(PROJECT!Z2:Z100,"*Financial Intermediaries (e.g. Banks, PE Funds)*")</f>
        <v>0</v>
      </c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</row>
    <row collapsed="false" customFormat="false" customHeight="false" hidden="false" ht="12.75" outlineLevel="0" r="20">
      <c r="B20" s="46" t="s">
        <v>1813</v>
      </c>
      <c r="C20" s="37"/>
      <c r="D20" s="46" t="n">
        <v>1</v>
      </c>
      <c r="E20" s="46" t="n">
        <v>0</v>
      </c>
      <c r="F20" s="46" t="n">
        <f aca="false">COUNTIF(EXPERTISE!G4:G50,"*Fish Processing*")</f>
        <v>0</v>
      </c>
      <c r="G20" s="46"/>
      <c r="H20" s="46" t="n">
        <f aca="false">COUNTIF(PROJECT!Z2:Z100,"*Fish Processing*")</f>
        <v>0</v>
      </c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</row>
    <row collapsed="false" customFormat="false" customHeight="false" hidden="false" ht="12.75" outlineLevel="0" r="21">
      <c r="B21" s="46" t="s">
        <v>1814</v>
      </c>
      <c r="C21" s="37"/>
      <c r="D21" s="46" t="n">
        <v>1</v>
      </c>
      <c r="E21" s="46" t="n">
        <v>0</v>
      </c>
      <c r="F21" s="46" t="n">
        <f aca="false">COUNTIF(EXPERTISE!G4:G50,"*Food and Beverage Processing*")</f>
        <v>0</v>
      </c>
      <c r="G21" s="46"/>
      <c r="H21" s="46" t="n">
        <f aca="false">COUNTIF(PROJECT!Z2:Z100,"*Food and Beverage Processing*")</f>
        <v>0</v>
      </c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</row>
    <row collapsed="false" customFormat="false" customHeight="false" hidden="false" ht="12.75" outlineLevel="0" r="22">
      <c r="B22" s="46" t="s">
        <v>106</v>
      </c>
      <c r="C22" s="37"/>
      <c r="D22" s="46" t="n">
        <v>1</v>
      </c>
      <c r="E22" s="46" t="n">
        <v>0</v>
      </c>
      <c r="F22" s="46" t="n">
        <f aca="false">COUNTIF(EXPERTISE!G4:G50,"*Forest Harvesting Operations*")</f>
        <v>1</v>
      </c>
      <c r="G22" s="46"/>
      <c r="H22" s="46" t="n">
        <f aca="false">COUNTIF(PROJECT!Z2:Z100,"*Forest Harvesting Operations*")</f>
        <v>5</v>
      </c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</row>
    <row collapsed="false" customFormat="false" customHeight="false" hidden="false" ht="12.75" outlineLevel="0" r="23">
      <c r="B23" s="46" t="s">
        <v>1815</v>
      </c>
      <c r="C23" s="37"/>
      <c r="D23" s="46" t="n">
        <v>1</v>
      </c>
      <c r="E23" s="46" t="n">
        <v>0</v>
      </c>
      <c r="F23" s="64" t="n">
        <f aca="false">COUNTIF(EXPERTISE!G4:G50,"*Foundries*")</f>
        <v>0</v>
      </c>
      <c r="G23" s="46"/>
      <c r="H23" s="46" t="n">
        <f aca="false">COUNTIF(PROJECT!Z2:Z100,"*Foundries*")</f>
        <v>0</v>
      </c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</row>
    <row collapsed="false" customFormat="false" customHeight="false" hidden="false" ht="12.75" outlineLevel="0" r="24">
      <c r="B24" s="46" t="s">
        <v>1816</v>
      </c>
      <c r="C24" s="37"/>
      <c r="D24" s="46" t="n">
        <v>1</v>
      </c>
      <c r="E24" s="46" t="n">
        <v>0</v>
      </c>
      <c r="F24" s="46" t="n">
        <f aca="false">COUNTIF(EXPERTISE!G4:G50,"*Gas Distribution Systems*")</f>
        <v>0</v>
      </c>
      <c r="G24" s="46"/>
      <c r="H24" s="46" t="n">
        <f aca="false">COUNTIF(PROJECT!Z2:Z100,"*Gas Distribution Systems*")</f>
        <v>0</v>
      </c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</row>
    <row collapsed="false" customFormat="false" customHeight="false" hidden="false" ht="12.75" outlineLevel="0" r="25">
      <c r="B25" s="46" t="s">
        <v>1817</v>
      </c>
      <c r="C25" s="37"/>
      <c r="D25" s="46" t="n">
        <v>1</v>
      </c>
      <c r="E25" s="46" t="n">
        <v>0</v>
      </c>
      <c r="F25" s="46" t="n">
        <f aca="false">COUNTIF(EXPERTISE!G4:G50,"*Geothermal Power Generation*")</f>
        <v>0</v>
      </c>
      <c r="G25" s="46"/>
      <c r="H25" s="46" t="n">
        <f aca="false">COUNTIF(PROJECT!Z2:Z100,"*Geothermal Power Generation*")</f>
        <v>0</v>
      </c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</row>
    <row collapsed="false" customFormat="false" customHeight="false" hidden="false" ht="12.75" outlineLevel="0" r="26">
      <c r="B26" s="46" t="s">
        <v>1818</v>
      </c>
      <c r="C26" s="37"/>
      <c r="D26" s="46" t="n">
        <v>1</v>
      </c>
      <c r="E26" s="46" t="n">
        <v>0</v>
      </c>
      <c r="F26" s="46" t="n">
        <f aca="false">COUNTIF(EXPERTISE!G4:G50,"*Glass Manufacturing*")</f>
        <v>0</v>
      </c>
      <c r="G26" s="46"/>
      <c r="H26" s="46" t="n">
        <f aca="false">COUNTIF(PROJECT!Z2:Z100,"*Glass Manufacturing*")</f>
        <v>0</v>
      </c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</row>
    <row collapsed="false" customFormat="false" customHeight="false" hidden="false" ht="12.75" outlineLevel="0" r="27">
      <c r="B27" s="46" t="s">
        <v>1819</v>
      </c>
      <c r="C27" s="37"/>
      <c r="D27" s="46" t="n">
        <v>1</v>
      </c>
      <c r="E27" s="46" t="n">
        <v>0</v>
      </c>
      <c r="F27" s="46" t="n">
        <f aca="false">COUNTIF(EXPERTISE!G4:G50,"*Health Care Facilities*")</f>
        <v>0</v>
      </c>
      <c r="G27" s="46"/>
      <c r="H27" s="46" t="n">
        <f aca="false">COUNTIF(PROJECT!Z2:Z100,"*Health Care Facilities*")</f>
        <v>0</v>
      </c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</row>
    <row collapsed="false" customFormat="false" customHeight="false" hidden="false" ht="12.75" outlineLevel="0" r="28">
      <c r="B28" s="46" t="s">
        <v>1636</v>
      </c>
      <c r="C28" s="37"/>
      <c r="D28" s="46" t="n">
        <v>1</v>
      </c>
      <c r="E28" s="46" t="n">
        <v>0</v>
      </c>
      <c r="F28" s="46" t="n">
        <f aca="false">COUNTIF(EXPERTISE!G4:G50,"*Hydropower*")</f>
        <v>0</v>
      </c>
      <c r="G28" s="37"/>
      <c r="H28" s="46" t="n">
        <f aca="false">COUNTIF(PROJECT!Z2:Z100,"*Hydropower*")</f>
        <v>0</v>
      </c>
      <c r="I28" s="37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</row>
    <row collapsed="false" customFormat="false" customHeight="false" hidden="false" ht="12.75" outlineLevel="0" r="29">
      <c r="B29" s="46" t="s">
        <v>1820</v>
      </c>
      <c r="C29" s="37"/>
      <c r="D29" s="46" t="n">
        <v>1</v>
      </c>
      <c r="E29" s="46" t="n">
        <v>0</v>
      </c>
      <c r="F29" s="46" t="n">
        <f aca="false">COUNTIF(EXPERTISE!G4:G50,"*Integrated Steel Mills*")</f>
        <v>0</v>
      </c>
      <c r="G29" s="46"/>
      <c r="H29" s="46" t="n">
        <f aca="false">COUNTIF(PROJECT!Z2:Z100,"*Integrated Steel Mills*")</f>
        <v>0</v>
      </c>
      <c r="I29" s="37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</row>
    <row collapsed="false" customFormat="false" customHeight="false" hidden="false" ht="12.75" outlineLevel="0" r="30">
      <c r="B30" s="46" t="s">
        <v>1821</v>
      </c>
      <c r="C30" s="37"/>
      <c r="D30" s="46" t="n">
        <v>1</v>
      </c>
      <c r="E30" s="46" t="n">
        <v>0</v>
      </c>
      <c r="F30" s="46" t="n">
        <f aca="false">COUNTIF(EXPERTISE!G4:G50,"*Large Volume Inorganic Compounds Manufacturing and Coal Tar Distillation*")</f>
        <v>0</v>
      </c>
      <c r="G30" s="37"/>
      <c r="H30" s="46" t="n">
        <f aca="false">COUNTIF(PROJECT!Z2:Z100,"*Large Volume Inorganic Compounds Manufacturing and Coal Tar Distillation*")</f>
        <v>0</v>
      </c>
      <c r="I30" s="37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</row>
    <row collapsed="false" customFormat="false" customHeight="false" hidden="false" ht="12.75" outlineLevel="0" r="31">
      <c r="B31" s="46" t="s">
        <v>1822</v>
      </c>
      <c r="C31" s="37"/>
      <c r="D31" s="46" t="n">
        <v>1</v>
      </c>
      <c r="E31" s="46" t="n">
        <v>0</v>
      </c>
      <c r="F31" s="46" t="n">
        <f aca="false">COUNTIF(EXPERTISE!G4:G50,"*Large Volume Petroleum based Organic Chemicals Manufacturing*")</f>
        <v>0</v>
      </c>
      <c r="G31" s="46"/>
      <c r="H31" s="46" t="n">
        <f aca="false">COUNTIF(PROJECT!Z2:Z100,"*Large Volume Petroleum based Organic Chemicals Manufacturing*")</f>
        <v>0</v>
      </c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</row>
    <row collapsed="false" customFormat="false" customHeight="false" hidden="false" ht="12.75" outlineLevel="0" r="32">
      <c r="B32" s="46" t="s">
        <v>1823</v>
      </c>
      <c r="C32" s="37"/>
      <c r="D32" s="46" t="n">
        <v>1</v>
      </c>
      <c r="E32" s="46" t="n">
        <v>0</v>
      </c>
      <c r="F32" s="46" t="n">
        <f aca="false">COUNTIF(EXPERTISE!G4:G50,"*Liquefied Natural Gas (LNG) Facilities*")</f>
        <v>0</v>
      </c>
      <c r="G32" s="46"/>
      <c r="H32" s="46" t="n">
        <f aca="false">COUNTIF(PROJECT!Z2:Z100,"*Liquefied Natural Gas (LNG) Facilities*")</f>
        <v>0</v>
      </c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</row>
    <row collapsed="false" customFormat="false" customHeight="false" hidden="false" ht="12.75" outlineLevel="0" r="33">
      <c r="B33" s="46" t="s">
        <v>1824</v>
      </c>
      <c r="C33" s="37"/>
      <c r="D33" s="46" t="n">
        <v>1</v>
      </c>
      <c r="E33" s="46" t="n">
        <v>0</v>
      </c>
      <c r="F33" s="46" t="n">
        <f aca="false">COUNTIF(EXPERTISE!G4:G50,"*Mammalian Livestock Production*")</f>
        <v>0</v>
      </c>
      <c r="G33" s="46"/>
      <c r="H33" s="46" t="n">
        <f aca="false">COUNTIF(PROJECT!Z2:Z100,"*Mammalian Livestock Production*")</f>
        <v>0</v>
      </c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</row>
    <row collapsed="false" customFormat="false" customHeight="false" hidden="false" ht="12.75" outlineLevel="0" r="34">
      <c r="B34" s="46" t="s">
        <v>1825</v>
      </c>
      <c r="C34" s="37"/>
      <c r="D34" s="46" t="n">
        <v>1</v>
      </c>
      <c r="E34" s="46" t="n">
        <v>0</v>
      </c>
      <c r="F34" s="46" t="n">
        <f aca="false">COUNTIF(EXPERTISE!G4:G50,"*Meat Processing*")</f>
        <v>0</v>
      </c>
      <c r="G34" s="46"/>
      <c r="H34" s="46" t="n">
        <f aca="false">COUNTIF(PROJECT!Z2:Z100,"*Meat Processing*")</f>
        <v>0</v>
      </c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</row>
    <row collapsed="false" customFormat="false" customHeight="false" hidden="false" ht="12.75" outlineLevel="0" r="35">
      <c r="B35" s="46" t="s">
        <v>1826</v>
      </c>
      <c r="C35" s="37"/>
      <c r="D35" s="46" t="n">
        <v>1</v>
      </c>
      <c r="E35" s="46" t="n">
        <v>0</v>
      </c>
      <c r="F35" s="46" t="n">
        <f aca="false">COUNTIF(EXPERTISE!G4:G50,"*Metal, Plastic, Rubber Products Manufacturing*")</f>
        <v>0</v>
      </c>
      <c r="G35" s="37"/>
      <c r="H35" s="46" t="n">
        <f aca="false">COUNTIF(PROJECT!Z2:Z100,"*Metal, Plastic, Rubber Products Manufacturing*")</f>
        <v>0</v>
      </c>
      <c r="I35" s="37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</row>
    <row collapsed="false" customFormat="false" customHeight="false" hidden="false" ht="12.75" outlineLevel="0" r="36">
      <c r="B36" s="46" t="s">
        <v>1643</v>
      </c>
      <c r="C36" s="37"/>
      <c r="D36" s="46" t="n">
        <v>1</v>
      </c>
      <c r="E36" s="46" t="n">
        <v>0</v>
      </c>
      <c r="F36" s="46" t="n">
        <f aca="false">COUNTIF(EXPERTISE!G4:G50,"*Mining*")</f>
        <v>0</v>
      </c>
      <c r="G36" s="46"/>
      <c r="H36" s="46" t="n">
        <f aca="false">COUNTIF(PROJECT!Z2:Z100,"*Mining*")</f>
        <v>0</v>
      </c>
      <c r="I36" s="37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</row>
    <row collapsed="false" customFormat="false" customHeight="false" hidden="false" ht="12.75" outlineLevel="0" r="37">
      <c r="B37" s="46" t="s">
        <v>1827</v>
      </c>
      <c r="C37" s="37"/>
      <c r="D37" s="46" t="n">
        <v>1</v>
      </c>
      <c r="E37" s="46" t="n">
        <v>0</v>
      </c>
      <c r="F37" s="46" t="n">
        <f aca="false">COUNTIF(EXPERTISE!G4:G50,"*Natural Gas Processing*")</f>
        <v>0</v>
      </c>
      <c r="G37" s="46"/>
      <c r="H37" s="46" t="n">
        <f aca="false">COUNTIF(PROJECT!Z2:Z100,"*Natural Gas Processing*")</f>
        <v>0</v>
      </c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</row>
    <row collapsed="false" customFormat="false" customHeight="false" hidden="false" ht="12.75" outlineLevel="0" r="38">
      <c r="B38" s="46" t="s">
        <v>1828</v>
      </c>
      <c r="C38" s="37"/>
      <c r="D38" s="46" t="n">
        <v>1</v>
      </c>
      <c r="E38" s="46" t="n">
        <v>0</v>
      </c>
      <c r="F38" s="46" t="n">
        <f aca="false">COUNTIF(EXPERTISE!G4:G50,"*Nitrogenous Fertilizer Manufacturing*")</f>
        <v>0</v>
      </c>
      <c r="G38" s="46"/>
      <c r="H38" s="46" t="n">
        <f aca="false">COUNTIF(PROJECT!Z2:Z100,"*Nitrogenous Fertilizer Manufacturing*")</f>
        <v>0</v>
      </c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</row>
    <row collapsed="false" customFormat="false" customHeight="false" hidden="false" ht="12.75" outlineLevel="0" r="39">
      <c r="B39" s="46" t="s">
        <v>1829</v>
      </c>
      <c r="C39" s="37"/>
      <c r="D39" s="46" t="n">
        <v>1</v>
      </c>
      <c r="E39" s="46" t="n">
        <v>0</v>
      </c>
      <c r="F39" s="46" t="n">
        <f aca="false">COUNTIF(EXPERTISE!G4:G50,"*Offshore Oil and Gas Development*")</f>
        <v>0</v>
      </c>
      <c r="G39" s="46"/>
      <c r="H39" s="46" t="n">
        <f aca="false">COUNTIF(PROJECT!Z2:Z100,"*Offshore Oil and Gas Development*")</f>
        <v>0</v>
      </c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</row>
    <row collapsed="false" customFormat="false" customHeight="false" hidden="false" ht="12.75" outlineLevel="0" r="40">
      <c r="B40" s="46" t="s">
        <v>1830</v>
      </c>
      <c r="C40" s="37"/>
      <c r="D40" s="46" t="n">
        <v>1</v>
      </c>
      <c r="E40" s="46" t="n">
        <v>0</v>
      </c>
      <c r="F40" s="46" t="n">
        <f aca="false">COUNTIF(EXPERTISE!G4:G50,"*Oleochemicals Manufacturing*")</f>
        <v>0</v>
      </c>
      <c r="G40" s="37"/>
      <c r="H40" s="46" t="n">
        <f aca="false">COUNTIF(PROJECT!Z2:Z100,"*Oleochemicals Manufacturing*")</f>
        <v>0</v>
      </c>
      <c r="I40" s="37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</row>
    <row collapsed="false" customFormat="false" customHeight="false" hidden="false" ht="12.75" outlineLevel="0" r="41">
      <c r="B41" s="46" t="s">
        <v>1831</v>
      </c>
      <c r="C41" s="37"/>
      <c r="D41" s="46" t="n">
        <v>1</v>
      </c>
      <c r="E41" s="46" t="n">
        <v>0</v>
      </c>
      <c r="F41" s="46" t="n">
        <f aca="false">COUNTIF(EXPERTISE!G4:G50,"*Onshore Oil and Gas Development*")</f>
        <v>0</v>
      </c>
      <c r="G41" s="37"/>
      <c r="H41" s="46" t="n">
        <f aca="false">COUNTIF(PROJECT!Z2:Z100,"*Onshore Oil and Gas Development*")</f>
        <v>0</v>
      </c>
      <c r="I41" s="37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</row>
    <row collapsed="false" customFormat="false" customHeight="false" hidden="false" ht="12.75" outlineLevel="0" r="42">
      <c r="B42" s="46" t="s">
        <v>1832</v>
      </c>
      <c r="C42" s="37"/>
      <c r="D42" s="46" t="n">
        <v>1</v>
      </c>
      <c r="E42" s="46" t="n">
        <v>0</v>
      </c>
      <c r="F42" s="46" t="n">
        <f aca="false">COUNTIF(EXPERTISE!G4:G50,"*Pesticides Formulation, Manufacturing and Packaging*")</f>
        <v>0</v>
      </c>
      <c r="G42" s="46"/>
      <c r="H42" s="46" t="n">
        <f aca="false">COUNTIF(PROJECT!Z2:Z100,"*Pesticides Formulation, Manufacturing and Packaging*")</f>
        <v>0</v>
      </c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</row>
    <row collapsed="false" customFormat="false" customHeight="false" hidden="false" ht="12.75" outlineLevel="0" r="43">
      <c r="B43" s="46" t="s">
        <v>1833</v>
      </c>
      <c r="C43" s="37"/>
      <c r="D43" s="46" t="n">
        <v>1</v>
      </c>
      <c r="E43" s="46" t="n">
        <v>0</v>
      </c>
      <c r="F43" s="46" t="n">
        <f aca="false">COUNTIF(EXPERTISE!G4:G50,"*Petroleum Refining*")</f>
        <v>0</v>
      </c>
      <c r="G43" s="37"/>
      <c r="H43" s="46" t="n">
        <f aca="false">COUNTIF(PROJECT!Z2:Z100,"*Petroleum Refining*")</f>
        <v>0</v>
      </c>
      <c r="I43" s="37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</row>
    <row collapsed="false" customFormat="false" customHeight="false" hidden="false" ht="12.75" outlineLevel="0" r="44">
      <c r="B44" s="46" t="s">
        <v>1834</v>
      </c>
      <c r="C44" s="37"/>
      <c r="D44" s="46" t="n">
        <v>1</v>
      </c>
      <c r="E44" s="46" t="n">
        <v>0</v>
      </c>
      <c r="F44" s="46" t="n">
        <f aca="false">COUNTIF(EXPERTISE!G4:G50,"*Petroleum based Polymers Manufacturing*")</f>
        <v>0</v>
      </c>
      <c r="G44" s="46"/>
      <c r="H44" s="46" t="n">
        <f aca="false">COUNTIF(PROJECT!Z2:Z100,"*Petroleum based Polymers Manufacturing*")</f>
        <v>0</v>
      </c>
      <c r="I44" s="37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</row>
    <row collapsed="false" customFormat="false" customHeight="false" hidden="false" ht="12.75" outlineLevel="0" r="45">
      <c r="B45" s="46" t="s">
        <v>1835</v>
      </c>
      <c r="C45" s="37"/>
      <c r="D45" s="46" t="n">
        <v>1</v>
      </c>
      <c r="E45" s="46" t="n">
        <v>0</v>
      </c>
      <c r="F45" s="46" t="n">
        <f aca="false">COUNTIF(EXPERTISE!G4:G50,"*Pharmaceuticals and Biotechnology*")</f>
        <v>0</v>
      </c>
      <c r="G45" s="46"/>
      <c r="H45" s="46" t="n">
        <f aca="false">COUNTIF(PROJECT!Z2:Z100,"*Pharmaceuticals and Biotechnology*")</f>
        <v>0</v>
      </c>
      <c r="I45" s="37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</row>
    <row collapsed="false" customFormat="false" customHeight="false" hidden="false" ht="12.75" outlineLevel="0" r="46">
      <c r="B46" s="46" t="s">
        <v>1836</v>
      </c>
      <c r="C46" s="37"/>
      <c r="D46" s="46" t="n">
        <v>1</v>
      </c>
      <c r="E46" s="46" t="n">
        <v>0</v>
      </c>
      <c r="F46" s="37" t="n">
        <f aca="false">COUNTIF(EXPERTISE!G4:G50,"*Phosphate Fertilizer Manufacturing*")</f>
        <v>0</v>
      </c>
      <c r="G46" s="37"/>
      <c r="H46" s="37" t="n">
        <f aca="false">COUNTIF(PROJECT!Z2:Z100,"*Phosphate Fertilizer Manufacturing*")</f>
        <v>0</v>
      </c>
      <c r="I46" s="37"/>
      <c r="J46" s="37"/>
      <c r="K46" s="46"/>
      <c r="L46" s="46"/>
      <c r="M46" s="46"/>
      <c r="N46" s="46"/>
      <c r="O46" s="46"/>
      <c r="P46" s="46"/>
      <c r="Q46" s="46"/>
      <c r="R46" s="46"/>
      <c r="S46" s="46"/>
      <c r="T46" s="46"/>
    </row>
    <row collapsed="false" customFormat="false" customHeight="false" hidden="false" ht="12.75" outlineLevel="0" r="47">
      <c r="B47" s="46" t="s">
        <v>1837</v>
      </c>
      <c r="C47" s="37"/>
      <c r="D47" s="46" t="n">
        <v>1</v>
      </c>
      <c r="E47" s="46" t="n">
        <v>0</v>
      </c>
      <c r="F47" s="46" t="n">
        <f aca="false">COUNTIF(EXPERTISE!G4:G50,"*Plantation Crop Production*")</f>
        <v>0</v>
      </c>
      <c r="G47" s="46"/>
      <c r="H47" s="46" t="n">
        <f aca="false">COUNTIF(PROJECT!Z2:Z100,"*Plantation Crop Production*")</f>
        <v>0</v>
      </c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</row>
    <row collapsed="false" customFormat="false" customHeight="false" hidden="false" ht="12.75" outlineLevel="0" r="48">
      <c r="B48" s="46" t="s">
        <v>1838</v>
      </c>
      <c r="C48" s="37"/>
      <c r="D48" s="46" t="n">
        <v>1</v>
      </c>
      <c r="E48" s="46" t="n">
        <v>0</v>
      </c>
      <c r="F48" s="46" t="n">
        <f aca="false">COUNTIF(EXPERTISE!G4:G50,"*Ports, Harbors and Terminals*")</f>
        <v>0</v>
      </c>
      <c r="G48" s="46"/>
      <c r="H48" s="46" t="n">
        <f aca="false">COUNTIF(PROJECT!Z2:Z100,"*Ports, Harbors and Terminals*")</f>
        <v>0</v>
      </c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</row>
    <row collapsed="false" customFormat="false" customHeight="false" hidden="false" ht="12.75" outlineLevel="0" r="49">
      <c r="B49" s="46" t="s">
        <v>1839</v>
      </c>
      <c r="C49" s="37"/>
      <c r="D49" s="46" t="n">
        <v>1</v>
      </c>
      <c r="E49" s="46" t="n">
        <v>0</v>
      </c>
      <c r="F49" s="46" t="n">
        <f aca="false">COUNTIF(EXPERTISE!G4:G50,"*Poultry Processing*")</f>
        <v>0</v>
      </c>
      <c r="G49" s="37"/>
      <c r="H49" s="46" t="n">
        <f aca="false">COUNTIF(PROJECT!Z2:Z100,"*Poultry Processing*")</f>
        <v>0</v>
      </c>
      <c r="I49" s="37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</row>
    <row collapsed="false" customFormat="false" customHeight="false" hidden="false" ht="12.75" outlineLevel="0" r="50">
      <c r="B50" s="46" t="s">
        <v>1840</v>
      </c>
      <c r="C50" s="37"/>
      <c r="D50" s="46" t="n">
        <v>1</v>
      </c>
      <c r="E50" s="46" t="n">
        <v>0</v>
      </c>
      <c r="F50" s="46" t="n">
        <f aca="false">COUNTIF(EXPERTISE!G4:G50,"*Poultry Production*")</f>
        <v>0</v>
      </c>
      <c r="G50" s="46"/>
      <c r="H50" s="46" t="n">
        <f aca="false">COUNTIF(PROJECT!Z2:Z100,"*Poultry Production*")</f>
        <v>0</v>
      </c>
      <c r="I50" s="46"/>
      <c r="J50" s="46"/>
      <c r="K50" s="46"/>
      <c r="L50" s="46"/>
      <c r="M50" s="46"/>
      <c r="N50" s="46"/>
      <c r="O50" s="46"/>
      <c r="P50" s="46"/>
      <c r="Q50" s="46"/>
      <c r="R50" s="46"/>
      <c r="S50" s="46"/>
      <c r="T50" s="46"/>
    </row>
    <row collapsed="false" customFormat="false" customHeight="false" hidden="false" ht="12.75" outlineLevel="0" r="51">
      <c r="B51" s="46" t="s">
        <v>1841</v>
      </c>
      <c r="C51" s="37"/>
      <c r="D51" s="46" t="n">
        <v>1</v>
      </c>
      <c r="E51" s="46" t="n">
        <v>0</v>
      </c>
      <c r="F51" s="46" t="n">
        <f aca="false">COUNTIF(EXPERTISE!G4:G50,"*Printing*")</f>
        <v>0</v>
      </c>
      <c r="G51" s="46"/>
      <c r="H51" s="46" t="n">
        <f aca="false">COUNTIF(PROJECT!Z2:Z100,"*Printing*")</f>
        <v>0</v>
      </c>
      <c r="I51" s="46"/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</row>
    <row collapsed="false" customFormat="false" customHeight="false" hidden="false" ht="12.75" outlineLevel="0" r="52">
      <c r="B52" s="46" t="s">
        <v>1842</v>
      </c>
      <c r="C52" s="37"/>
      <c r="D52" s="46" t="n">
        <v>1</v>
      </c>
      <c r="E52" s="46" t="n">
        <v>0</v>
      </c>
      <c r="F52" s="46" t="n">
        <f aca="false">COUNTIF(EXPERTISE!G4:G50,"*Pulp and Paper Mills*")</f>
        <v>0</v>
      </c>
      <c r="G52" s="46"/>
      <c r="H52" s="46" t="n">
        <f aca="false">COUNTIF(PROJECT!Z2:Z100,"*Pulp and Paper Mills*")</f>
        <v>0</v>
      </c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</row>
    <row collapsed="false" customFormat="false" customHeight="false" hidden="false" ht="12.75" outlineLevel="0" r="53">
      <c r="B53" s="46" t="s">
        <v>1731</v>
      </c>
      <c r="C53" s="37"/>
      <c r="D53" s="46" t="n">
        <v>1</v>
      </c>
      <c r="E53" s="46" t="n">
        <v>0</v>
      </c>
      <c r="F53" s="46" t="n">
        <f aca="false">COUNTIF(EXPERTISE!G4:G50,"*Railways*")</f>
        <v>0</v>
      </c>
      <c r="G53" s="46"/>
      <c r="H53" s="46" t="n">
        <f aca="false">COUNTIF(PROJECT!Z2:Z100,"*Railways*")</f>
        <v>0</v>
      </c>
      <c r="I53" s="46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</row>
    <row collapsed="false" customFormat="false" customHeight="false" hidden="false" ht="12.75" outlineLevel="0" r="54">
      <c r="B54" s="46" t="s">
        <v>1843</v>
      </c>
      <c r="C54" s="37"/>
      <c r="D54" s="46" t="n">
        <v>1</v>
      </c>
      <c r="E54" s="46" t="n">
        <v>0</v>
      </c>
      <c r="F54" s="46" t="n">
        <f aca="false">COUNTIF(EXPERTISE!G4:G50,"*Retail Petroleum Networks*")</f>
        <v>0</v>
      </c>
      <c r="G54" s="46"/>
      <c r="H54" s="46" t="n">
        <f aca="false">COUNTIF(PROJECT!Z2:Z100,"*Retail Petroleum Networks*")</f>
        <v>0</v>
      </c>
      <c r="I54" s="46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</row>
    <row collapsed="false" customFormat="false" customHeight="false" hidden="false" ht="12.75" outlineLevel="0" r="55">
      <c r="B55" s="46" t="s">
        <v>1844</v>
      </c>
      <c r="C55" s="37"/>
      <c r="D55" s="46" t="n">
        <v>1</v>
      </c>
      <c r="E55" s="46" t="n">
        <v>0</v>
      </c>
      <c r="F55" s="46" t="n">
        <f aca="false">COUNTIF(EXPERTISE!G4:G50,"*Sawmilling and Wood-based Products*")</f>
        <v>0</v>
      </c>
      <c r="G55" s="46"/>
      <c r="H55" s="46" t="n">
        <f aca="false">COUNTIF(PROJECT!Z2:Z100,"*Sawmilling and Wood-based Products*")</f>
        <v>0</v>
      </c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</row>
    <row collapsed="false" customFormat="false" customHeight="false" hidden="false" ht="12.75" outlineLevel="0" r="56">
      <c r="B56" s="46" t="s">
        <v>1845</v>
      </c>
      <c r="C56" s="37"/>
      <c r="D56" s="46" t="n">
        <v>1</v>
      </c>
      <c r="E56" s="46" t="n">
        <v>0</v>
      </c>
      <c r="F56" s="46" t="n">
        <f aca="false">COUNTIF(EXPERTISE!G4:G50,"*Semiconductors and Electronics Manufacturing*")</f>
        <v>0</v>
      </c>
      <c r="G56" s="46"/>
      <c r="H56" s="46" t="n">
        <f aca="false">COUNTIF(PROJECT!Z2:Z100,"*Semiconductors and Electronics Manufacturing*")</f>
        <v>0</v>
      </c>
      <c r="I56" s="46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</row>
    <row collapsed="false" customFormat="false" customHeight="false" hidden="false" ht="12.75" outlineLevel="0" r="57">
      <c r="B57" s="46" t="s">
        <v>1846</v>
      </c>
      <c r="C57" s="37"/>
      <c r="D57" s="46" t="n">
        <v>1</v>
      </c>
      <c r="E57" s="46" t="n">
        <v>0</v>
      </c>
      <c r="F57" s="46" t="n">
        <f aca="false">COUNTIF(EXPERTISE!G4:G50,"*Shipping*")</f>
        <v>0</v>
      </c>
      <c r="G57" s="46"/>
      <c r="H57" s="46" t="n">
        <f aca="false">COUNTIF(PROJECT!Z2:Z100,"*Shipping*")</f>
        <v>0</v>
      </c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</row>
    <row collapsed="false" customFormat="false" customHeight="false" hidden="false" ht="12.75" outlineLevel="0" r="58">
      <c r="B58" s="46" t="s">
        <v>1847</v>
      </c>
      <c r="C58" s="37"/>
      <c r="D58" s="46" t="n">
        <v>1</v>
      </c>
      <c r="E58" s="46" t="n">
        <v>0</v>
      </c>
      <c r="F58" s="46" t="n">
        <f aca="false">COUNTIF(EXPERTISE!G4:G50,"*Solar Power*")</f>
        <v>0</v>
      </c>
      <c r="G58" s="46"/>
      <c r="H58" s="46" t="n">
        <f aca="false">COUNTIF(PROJECT!Z2:Z100,"*Solar Power*")</f>
        <v>0</v>
      </c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</row>
    <row collapsed="false" customFormat="false" customHeight="false" hidden="false" ht="12.75" outlineLevel="0" r="59">
      <c r="B59" s="46" t="s">
        <v>1848</v>
      </c>
      <c r="C59" s="37"/>
      <c r="D59" s="46" t="n">
        <v>1</v>
      </c>
      <c r="E59" s="46" t="n">
        <v>0</v>
      </c>
      <c r="F59" s="46" t="n">
        <f aca="false">COUNTIF(EXPERTISE!G4:G50,"*Sugar Manufacturing*")</f>
        <v>0</v>
      </c>
      <c r="G59" s="46"/>
      <c r="H59" s="46" t="n">
        <f aca="false">COUNTIF(PROJECT!Z2:Z100,"*Sugar Manufacturing*")</f>
        <v>0</v>
      </c>
      <c r="I59" s="46"/>
      <c r="J59" s="46"/>
      <c r="K59" s="46"/>
      <c r="L59" s="46"/>
      <c r="M59" s="46"/>
      <c r="N59" s="46"/>
      <c r="O59" s="46"/>
      <c r="P59" s="46"/>
      <c r="Q59" s="46"/>
      <c r="R59" s="46"/>
      <c r="S59" s="46"/>
      <c r="T59" s="46"/>
    </row>
    <row collapsed="false" customFormat="false" customHeight="false" hidden="false" ht="12.75" outlineLevel="0" r="60">
      <c r="B60" s="46" t="s">
        <v>1849</v>
      </c>
      <c r="C60" s="37"/>
      <c r="D60" s="46" t="n">
        <v>1</v>
      </c>
      <c r="E60" s="46" t="n">
        <v>0</v>
      </c>
      <c r="F60" s="46" t="n">
        <f aca="false">COUNTIF(EXPERTISE!G4:G50,"*Tanning and Leather Finishing*")</f>
        <v>0</v>
      </c>
      <c r="G60" s="46"/>
      <c r="H60" s="46" t="n">
        <f aca="false">COUNTIF(PROJECT!Z2:Z100,"*Tanning and Leather Finishing*")</f>
        <v>0</v>
      </c>
      <c r="I60" s="46"/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6"/>
    </row>
    <row collapsed="false" customFormat="false" customHeight="false" hidden="false" ht="12.75" outlineLevel="0" r="61">
      <c r="B61" s="46" t="s">
        <v>1725</v>
      </c>
      <c r="C61" s="37"/>
      <c r="D61" s="46" t="n">
        <v>1</v>
      </c>
      <c r="E61" s="46" t="n">
        <v>0</v>
      </c>
      <c r="F61" s="46" t="n">
        <f aca="false">COUNTIF(EXPERTISE!G4:G50,"*Telecommunications*")</f>
        <v>0</v>
      </c>
      <c r="G61" s="46"/>
      <c r="H61" s="46" t="n">
        <f aca="false">COUNTIF(PROJECT!Z2:Z100,"*Telecommunications*")</f>
        <v>0</v>
      </c>
      <c r="I61" s="46"/>
      <c r="J61" s="46"/>
      <c r="K61" s="46"/>
      <c r="L61" s="46"/>
      <c r="M61" s="46"/>
      <c r="N61" s="46"/>
      <c r="O61" s="46"/>
      <c r="P61" s="46"/>
      <c r="Q61" s="46"/>
      <c r="R61" s="46"/>
      <c r="S61" s="46"/>
      <c r="T61" s="46"/>
    </row>
    <row collapsed="false" customFormat="false" customHeight="false" hidden="false" ht="12.75" outlineLevel="0" r="62">
      <c r="B62" s="46" t="s">
        <v>1850</v>
      </c>
      <c r="C62" s="37"/>
      <c r="D62" s="46" t="n">
        <v>1</v>
      </c>
      <c r="E62" s="46" t="n">
        <v>0</v>
      </c>
      <c r="F62" s="46" t="n">
        <f aca="false">COUNTIF(EXPERTISE!G4:G50,"*Textiles Manufacturing*")</f>
        <v>0</v>
      </c>
      <c r="G62" s="46"/>
      <c r="H62" s="46" t="n">
        <f aca="false">COUNTIF(PROJECT!Z2:Z100,"*Textiles Manufacturing*")</f>
        <v>0</v>
      </c>
      <c r="I62" s="46"/>
      <c r="J62" s="46"/>
      <c r="K62" s="46"/>
      <c r="L62" s="46"/>
      <c r="M62" s="46"/>
      <c r="N62" s="46"/>
      <c r="O62" s="46"/>
      <c r="P62" s="46"/>
      <c r="Q62" s="46"/>
      <c r="R62" s="46"/>
      <c r="S62" s="46"/>
      <c r="T62" s="46"/>
    </row>
    <row collapsed="false" customFormat="false" customHeight="false" hidden="false" ht="12.75" outlineLevel="0" r="63">
      <c r="B63" s="46" t="s">
        <v>1851</v>
      </c>
      <c r="C63" s="37"/>
      <c r="D63" s="46" t="n">
        <v>1</v>
      </c>
      <c r="E63" s="46" t="n">
        <v>0</v>
      </c>
      <c r="F63" s="46" t="n">
        <f aca="false">COUNTIF(EXPERTISE!G4:G50,"*Thermal Power*")</f>
        <v>0</v>
      </c>
      <c r="G63" s="46"/>
      <c r="H63" s="46" t="n">
        <f aca="false">COUNTIF(PROJECT!Z2:Z100,"*Thermal Power*")</f>
        <v>0</v>
      </c>
      <c r="I63" s="46"/>
      <c r="J63" s="46"/>
      <c r="K63" s="46"/>
      <c r="L63" s="46"/>
      <c r="M63" s="46"/>
      <c r="N63" s="46"/>
      <c r="O63" s="46"/>
      <c r="P63" s="46"/>
      <c r="Q63" s="46"/>
      <c r="R63" s="46"/>
      <c r="S63" s="46"/>
      <c r="T63" s="46"/>
    </row>
    <row collapsed="false" customFormat="false" customHeight="false" hidden="false" ht="12.75" outlineLevel="0" r="64">
      <c r="B64" s="46" t="s">
        <v>1852</v>
      </c>
      <c r="C64" s="37"/>
      <c r="D64" s="46" t="n">
        <v>1</v>
      </c>
      <c r="E64" s="46" t="n">
        <v>0</v>
      </c>
      <c r="F64" s="46" t="n">
        <f aca="false">COUNTIF(EXPERTISE!G4:G50,"*Toll Roads*")</f>
        <v>0</v>
      </c>
      <c r="G64" s="46"/>
      <c r="H64" s="46" t="n">
        <f aca="false">COUNTIF(PROJECT!Z2:Z100,"*Toll Roads*")</f>
        <v>0</v>
      </c>
      <c r="I64" s="46"/>
      <c r="J64" s="46"/>
      <c r="K64" s="46"/>
      <c r="L64" s="46"/>
      <c r="M64" s="46"/>
      <c r="N64" s="46"/>
      <c r="O64" s="46"/>
      <c r="P64" s="46"/>
      <c r="Q64" s="46"/>
      <c r="R64" s="46"/>
      <c r="S64" s="46"/>
      <c r="T64" s="46"/>
    </row>
    <row collapsed="false" customFormat="false" customHeight="false" hidden="false" ht="12.75" outlineLevel="0" r="65">
      <c r="B65" s="46" t="s">
        <v>1853</v>
      </c>
      <c r="C65" s="37"/>
      <c r="D65" s="46" t="n">
        <v>1</v>
      </c>
      <c r="E65" s="46" t="n">
        <v>0</v>
      </c>
      <c r="F65" s="46" t="n">
        <f aca="false">COUNTIF(EXPERTISE!G4:G50,"*Tourism and Hospitality Development*")</f>
        <v>0</v>
      </c>
      <c r="G65" s="46"/>
      <c r="H65" s="46" t="n">
        <f aca="false">COUNTIF(PROJECT!Z2:Z100,"*Tourism and Hospitality Development*")</f>
        <v>0</v>
      </c>
      <c r="I65" s="46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</row>
    <row collapsed="false" customFormat="false" customHeight="false" hidden="false" ht="12.75" outlineLevel="0" r="66">
      <c r="B66" s="46" t="s">
        <v>1854</v>
      </c>
      <c r="C66" s="37"/>
      <c r="D66" s="46" t="n">
        <v>1</v>
      </c>
      <c r="E66" s="46" t="n">
        <v>0</v>
      </c>
      <c r="F66" s="46" t="n">
        <f aca="false">COUNTIF(EXPERTISE!G4:G50,"*Vegetable Oil Processing*")</f>
        <v>0</v>
      </c>
      <c r="G66" s="46"/>
      <c r="H66" s="46" t="n">
        <f aca="false">COUNTIF(PROJECT!Z2:Z100,"*Vegetable Oil Processing*")</f>
        <v>0</v>
      </c>
      <c r="I66" s="46"/>
      <c r="J66" s="46"/>
      <c r="K66" s="46"/>
      <c r="L66" s="46"/>
      <c r="M66" s="46"/>
      <c r="N66" s="46"/>
      <c r="O66" s="46"/>
      <c r="P66" s="46"/>
      <c r="Q66" s="46"/>
      <c r="R66" s="46"/>
      <c r="S66" s="46"/>
      <c r="T66" s="46"/>
    </row>
    <row collapsed="false" customFormat="false" customHeight="false" hidden="false" ht="12.75" outlineLevel="0" r="67">
      <c r="B67" s="46" t="s">
        <v>1855</v>
      </c>
      <c r="C67" s="37"/>
      <c r="D67" s="46" t="n">
        <v>1</v>
      </c>
      <c r="E67" s="46" t="n">
        <v>0</v>
      </c>
      <c r="F67" s="46" t="n">
        <f aca="false">COUNTIF(EXPERTISE!G4:G50,"*Waste Management Facilities*")</f>
        <v>0</v>
      </c>
      <c r="G67" s="46"/>
      <c r="H67" s="46" t="n">
        <f aca="false">COUNTIF(PROJECT!Z2:Z100,"*Waste Management Facilities*")</f>
        <v>0</v>
      </c>
      <c r="I67" s="46"/>
      <c r="J67" s="46"/>
      <c r="K67" s="46"/>
      <c r="L67" s="46"/>
      <c r="M67" s="46"/>
      <c r="N67" s="46"/>
      <c r="O67" s="46"/>
      <c r="P67" s="46"/>
      <c r="Q67" s="46"/>
      <c r="R67" s="46"/>
      <c r="S67" s="46"/>
      <c r="T67" s="46"/>
    </row>
    <row collapsed="false" customFormat="false" customHeight="false" hidden="false" ht="12.75" outlineLevel="0" r="68">
      <c r="B68" s="46" t="s">
        <v>1856</v>
      </c>
      <c r="C68" s="37"/>
      <c r="D68" s="46" t="n">
        <v>1</v>
      </c>
      <c r="E68" s="46" t="n">
        <v>0</v>
      </c>
      <c r="F68" s="46" t="n">
        <f aca="false">COUNTIF(EXPERTISE!G4:G50,"*Waste to Energy*")</f>
        <v>0</v>
      </c>
      <c r="G68" s="46"/>
      <c r="H68" s="46" t="n">
        <f aca="false">COUNTIF(PROJECT!Z2:Z100,"*Waste to Energy*")</f>
        <v>0</v>
      </c>
      <c r="I68" s="46"/>
      <c r="J68" s="46"/>
      <c r="K68" s="46"/>
      <c r="L68" s="46"/>
      <c r="M68" s="46"/>
      <c r="N68" s="46"/>
      <c r="O68" s="46"/>
      <c r="P68" s="46"/>
      <c r="Q68" s="46"/>
      <c r="R68" s="46"/>
      <c r="S68" s="46"/>
      <c r="T68" s="46"/>
    </row>
    <row collapsed="false" customFormat="false" customHeight="false" hidden="false" ht="12.75" outlineLevel="0" r="69">
      <c r="B69" s="46" t="s">
        <v>1857</v>
      </c>
      <c r="C69" s="37"/>
      <c r="D69" s="46" t="n">
        <v>1</v>
      </c>
      <c r="E69" s="46" t="n">
        <v>0</v>
      </c>
      <c r="F69" s="46" t="n">
        <f aca="false">COUNTIF(EXPERTISE!G4:G50,"*Water and Sanitation*")</f>
        <v>0</v>
      </c>
      <c r="G69" s="46"/>
      <c r="H69" s="46" t="n">
        <f aca="false">COUNTIF(PROJECT!Z2:Z100,"*Water and Sanitation*")</f>
        <v>0</v>
      </c>
      <c r="I69" s="46"/>
      <c r="J69" s="46"/>
      <c r="K69" s="46"/>
      <c r="L69" s="46"/>
      <c r="M69" s="46"/>
      <c r="N69" s="46"/>
      <c r="O69" s="46"/>
      <c r="P69" s="46"/>
      <c r="Q69" s="46"/>
      <c r="R69" s="46"/>
      <c r="S69" s="46"/>
      <c r="T69" s="46"/>
    </row>
    <row collapsed="false" customFormat="false" customHeight="false" hidden="false" ht="12.75" outlineLevel="0" r="70">
      <c r="B70" s="46" t="s">
        <v>1858</v>
      </c>
      <c r="C70" s="37"/>
      <c r="D70" s="46" t="n">
        <v>1</v>
      </c>
      <c r="E70" s="46" t="n">
        <v>0</v>
      </c>
      <c r="F70" s="46" t="n">
        <f aca="false">COUNTIF(EXPERTISE!G4:G50,"*Wind Energy*")</f>
        <v>0</v>
      </c>
      <c r="G70" s="46"/>
      <c r="H70" s="46" t="n">
        <f aca="false">COUNTIF(PROJECT!Z2:Z100,"*Wind Energy*")</f>
        <v>0</v>
      </c>
      <c r="I70" s="46"/>
      <c r="J70" s="46"/>
      <c r="K70" s="46"/>
      <c r="L70" s="46"/>
      <c r="M70" s="46"/>
      <c r="N70" s="46"/>
      <c r="O70" s="46"/>
      <c r="P70" s="46"/>
      <c r="Q70" s="46"/>
      <c r="R70" s="46"/>
      <c r="S70" s="46"/>
      <c r="T70" s="46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10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sheetFormatPr defaultRowHeight="12.75"/>
  <cols>
    <col collapsed="false" hidden="false" max="1" min="1" style="0" width="23.8673469387755"/>
    <col collapsed="false" hidden="false" max="1025" min="2" style="0" width="17.1326530612245"/>
  </cols>
  <sheetData>
    <row collapsed="false" customFormat="false" customHeight="false" hidden="false" ht="12.75" outlineLevel="0" r="1">
      <c r="A1" s="64" t="str">
        <f aca="false">CONCATENATE(BIODATA!B22," ",BIODATA!B23,"/", BIODATA!B24,"/", BIODATA!B25)</f>
        <v> //</v>
      </c>
    </row>
    <row collapsed="false" customFormat="false" customHeight="false" hidden="false" ht="12.75" outlineLevel="0" r="2">
      <c r="A2" s="64" t="str">
        <f aca="false">CONCATENATE(BIODATA!C22," ",BIODATA!C23,"/", BIODATA!C24,"/", BIODATA!C25)</f>
        <v> //</v>
      </c>
    </row>
    <row collapsed="false" customFormat="false" customHeight="false" hidden="false" ht="12.75" outlineLevel="0" r="3">
      <c r="A3" s="64" t="str">
        <f aca="false">CONCATENATE(BIODATA!D22," ",BIODATA!D23,"/", BIODATA!D24,"/", BIODATA!D25)</f>
        <v> //</v>
      </c>
    </row>
    <row collapsed="false" customFormat="false" customHeight="false" hidden="false" ht="12.75" outlineLevel="0" r="5">
      <c r="A5" s="64" t="str">
        <f aca="false">CONCATENATE(BIODATA!B27,"/",BIODATA!B28,"/", BIODATA!B29,"/", BIODATA!B30, "/", BIODATA!B31)</f>
        <v>////</v>
      </c>
    </row>
    <row collapsed="false" customFormat="false" customHeight="false" hidden="false" ht="12.75" outlineLevel="0" r="6">
      <c r="A6" s="64" t="str">
        <f aca="false">CONCATENATE(BIODATA!C27,"/",BIODATA!C28,"/", BIODATA!C29,"/", BIODATA!C30, "/", BIODATA!C31)</f>
        <v>////</v>
      </c>
    </row>
    <row collapsed="false" customFormat="false" customHeight="false" hidden="false" ht="12.75" outlineLevel="0" r="10">
      <c r="A10" s="0" t="s">
        <v>1859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16"/>
  <sheetViews>
    <sheetView colorId="64" defaultGridColor="true" rightToLeft="false" showFormulas="false" showGridLines="true" showOutlineSymbols="true" showRowColHeaders="true" showZeros="true" tabSelected="false" topLeftCell="A1" view="normal" windowProtection="true" workbookViewId="0" zoomScale="100" zoomScaleNormal="100" zoomScalePageLayoutView="100">
      <pane activePane="bottomLeft" state="frozen" topLeftCell="A3" xSplit="0" ySplit="2"/>
      <selection activeCell="A1" activeCellId="0" pane="topLeft" sqref="A1"/>
      <selection activeCell="A3" activeCellId="0" pane="bottomLeft" sqref="A3"/>
    </sheetView>
  </sheetViews>
  <sheetFormatPr defaultRowHeight="12.75"/>
  <cols>
    <col collapsed="false" hidden="false" max="1" min="1" style="0" width="38.7040816326531"/>
    <col collapsed="false" hidden="false" max="2" min="2" style="0" width="16"/>
    <col collapsed="false" hidden="false" max="3" min="3" style="0" width="18.1326530612245"/>
    <col collapsed="false" hidden="false" max="4" min="4" style="0" width="29.7091836734694"/>
    <col collapsed="false" hidden="false" max="5" min="5" style="0" width="17.1326530612245"/>
    <col collapsed="false" hidden="false" max="6" min="6" style="0" width="39.7040816326531"/>
    <col collapsed="false" hidden="false" max="7" min="7" style="0" width="11.2959183673469"/>
    <col collapsed="false" hidden="false" max="8" min="8" style="0" width="38.8571428571429"/>
    <col collapsed="false" hidden="false" max="9" min="9" style="0" width="36.2959183673469"/>
    <col collapsed="false" hidden="false" max="11" min="10" style="0" width="17.1326530612245"/>
    <col collapsed="false" hidden="false" max="12" min="12" style="0" width="18.7091836734694"/>
    <col collapsed="false" hidden="false" max="15" min="13" style="0" width="10.5765306122449"/>
    <col collapsed="false" hidden="false" max="1025" min="16" style="0" width="17.1326530612245"/>
  </cols>
  <sheetData>
    <row collapsed="false" customFormat="false" customHeight="true" hidden="false" ht="12.75" outlineLevel="0" r="1">
      <c r="A1" s="3" t="s">
        <v>27</v>
      </c>
      <c r="B1" s="3"/>
      <c r="C1" s="3"/>
      <c r="D1" s="3"/>
      <c r="E1" s="3"/>
      <c r="F1" s="4" t="s">
        <v>28</v>
      </c>
      <c r="G1" s="4"/>
      <c r="H1" s="4"/>
      <c r="I1" s="3" t="s">
        <v>29</v>
      </c>
      <c r="J1" s="3"/>
      <c r="K1" s="3"/>
      <c r="L1" s="5" t="s">
        <v>30</v>
      </c>
      <c r="M1" s="5"/>
      <c r="N1" s="5"/>
      <c r="O1" s="5"/>
    </row>
    <row collapsed="false" customFormat="false" customHeight="false" hidden="false" ht="12.75" outlineLevel="0" r="2">
      <c r="A2" s="6" t="s">
        <v>31</v>
      </c>
      <c r="B2" s="7" t="s">
        <v>32</v>
      </c>
      <c r="C2" s="7" t="s">
        <v>33</v>
      </c>
      <c r="D2" s="7" t="s">
        <v>34</v>
      </c>
      <c r="E2" s="8" t="s">
        <v>35</v>
      </c>
      <c r="F2" s="6" t="s">
        <v>36</v>
      </c>
      <c r="G2" s="9" t="s">
        <v>37</v>
      </c>
      <c r="H2" s="8" t="s">
        <v>38</v>
      </c>
      <c r="I2" s="6" t="s">
        <v>39</v>
      </c>
      <c r="J2" s="7" t="s">
        <v>40</v>
      </c>
      <c r="K2" s="8" t="s">
        <v>41</v>
      </c>
      <c r="L2" s="6" t="s">
        <v>42</v>
      </c>
      <c r="M2" s="7" t="s">
        <v>43</v>
      </c>
      <c r="N2" s="7" t="s">
        <v>44</v>
      </c>
      <c r="O2" s="7" t="s">
        <v>45</v>
      </c>
    </row>
    <row collapsed="false" customFormat="false" customHeight="false" hidden="false" ht="12.75" outlineLevel="0" r="3">
      <c r="A3" s="10" t="s">
        <v>46</v>
      </c>
      <c r="B3" s="0" t="s">
        <v>47</v>
      </c>
      <c r="C3" s="0" t="s">
        <v>48</v>
      </c>
      <c r="D3" s="0" t="s">
        <v>49</v>
      </c>
      <c r="E3" s="11"/>
      <c r="F3" s="10" t="s">
        <v>50</v>
      </c>
      <c r="G3" s="12" t="n">
        <v>2003</v>
      </c>
      <c r="H3" s="11" t="s">
        <v>51</v>
      </c>
      <c r="I3" s="10"/>
      <c r="K3" s="11"/>
      <c r="L3" s="10" t="s">
        <v>52</v>
      </c>
      <c r="M3" s="0" t="n">
        <v>4</v>
      </c>
      <c r="N3" s="0" t="n">
        <v>4</v>
      </c>
      <c r="O3" s="0" t="n">
        <v>4</v>
      </c>
    </row>
    <row collapsed="false" customFormat="false" customHeight="false" hidden="false" ht="12.75" outlineLevel="0" r="4">
      <c r="A4" s="10" t="s">
        <v>46</v>
      </c>
      <c r="B4" s="0" t="s">
        <v>53</v>
      </c>
      <c r="C4" s="0" t="s">
        <v>54</v>
      </c>
      <c r="D4" s="13" t="s">
        <v>55</v>
      </c>
      <c r="E4" s="11"/>
      <c r="F4" s="10" t="s">
        <v>56</v>
      </c>
      <c r="G4" s="12" t="n">
        <v>2003</v>
      </c>
      <c r="H4" s="11" t="s">
        <v>57</v>
      </c>
      <c r="I4" s="10"/>
      <c r="K4" s="11"/>
      <c r="L4" s="10" t="s">
        <v>58</v>
      </c>
      <c r="M4" s="0" t="n">
        <v>4</v>
      </c>
      <c r="N4" s="0" t="n">
        <v>4</v>
      </c>
      <c r="O4" s="0" t="n">
        <v>4</v>
      </c>
    </row>
    <row collapsed="false" customFormat="false" customHeight="false" hidden="false" ht="12.75" outlineLevel="0" r="5">
      <c r="A5" s="10" t="s">
        <v>59</v>
      </c>
      <c r="B5" s="0" t="s">
        <v>60</v>
      </c>
      <c r="C5" s="0" t="s">
        <v>61</v>
      </c>
      <c r="D5" s="0" t="s">
        <v>62</v>
      </c>
      <c r="E5" s="11"/>
      <c r="F5" s="10" t="s">
        <v>63</v>
      </c>
      <c r="G5" s="12" t="n">
        <v>2001</v>
      </c>
      <c r="H5" s="11" t="s">
        <v>64</v>
      </c>
      <c r="I5" s="10"/>
      <c r="K5" s="11"/>
      <c r="L5" s="10"/>
    </row>
    <row collapsed="false" customFormat="false" customHeight="false" hidden="false" ht="12.75" outlineLevel="0" r="6">
      <c r="A6" s="10"/>
      <c r="E6" s="11"/>
      <c r="F6" s="10" t="s">
        <v>63</v>
      </c>
      <c r="G6" s="12" t="n">
        <v>2001</v>
      </c>
      <c r="H6" s="11" t="s">
        <v>65</v>
      </c>
      <c r="I6" s="10"/>
      <c r="K6" s="11"/>
      <c r="L6" s="10"/>
    </row>
    <row collapsed="false" customFormat="false" customHeight="false" hidden="false" ht="12.75" outlineLevel="0" r="7">
      <c r="A7" s="10"/>
      <c r="E7" s="11"/>
      <c r="F7" s="10" t="s">
        <v>66</v>
      </c>
      <c r="G7" s="12" t="n">
        <v>1999</v>
      </c>
      <c r="H7" s="11" t="s">
        <v>67</v>
      </c>
      <c r="I7" s="10"/>
      <c r="K7" s="11"/>
      <c r="L7" s="10"/>
    </row>
    <row collapsed="false" customFormat="false" customHeight="false" hidden="false" ht="12.75" outlineLevel="0" r="8">
      <c r="A8" s="10"/>
      <c r="E8" s="11"/>
      <c r="F8" s="10" t="s">
        <v>68</v>
      </c>
      <c r="G8" s="12" t="n">
        <v>1998</v>
      </c>
      <c r="H8" s="11" t="s">
        <v>69</v>
      </c>
      <c r="I8" s="10"/>
      <c r="K8" s="11"/>
      <c r="L8" s="10"/>
    </row>
    <row collapsed="false" customFormat="false" customHeight="false" hidden="false" ht="12.75" outlineLevel="0" r="9">
      <c r="A9" s="10"/>
      <c r="E9" s="11"/>
      <c r="F9" s="10" t="s">
        <v>70</v>
      </c>
      <c r="G9" s="12" t="n">
        <v>1999</v>
      </c>
      <c r="H9" s="11" t="s">
        <v>71</v>
      </c>
      <c r="I9" s="10"/>
      <c r="K9" s="11"/>
      <c r="L9" s="10"/>
    </row>
    <row collapsed="false" customFormat="false" customHeight="false" hidden="false" ht="12.75" outlineLevel="0" r="10">
      <c r="A10" s="10"/>
      <c r="E10" s="11"/>
      <c r="F10" s="10" t="s">
        <v>72</v>
      </c>
      <c r="G10" s="12" t="n">
        <v>1998</v>
      </c>
      <c r="H10" s="11" t="s">
        <v>73</v>
      </c>
      <c r="I10" s="10"/>
      <c r="K10" s="11"/>
      <c r="L10" s="10"/>
    </row>
    <row collapsed="false" customFormat="false" customHeight="false" hidden="false" ht="12.75" outlineLevel="0" r="11">
      <c r="A11" s="10"/>
      <c r="E11" s="11"/>
      <c r="F11" s="10" t="s">
        <v>74</v>
      </c>
      <c r="G11" s="12" t="n">
        <v>1997</v>
      </c>
      <c r="H11" s="11" t="s">
        <v>75</v>
      </c>
      <c r="I11" s="10"/>
      <c r="K11" s="11"/>
      <c r="L11" s="10"/>
    </row>
    <row collapsed="false" customFormat="false" customHeight="false" hidden="false" ht="12.75" outlineLevel="0" r="12">
      <c r="A12" s="10"/>
      <c r="E12" s="11"/>
      <c r="F12" s="10" t="s">
        <v>76</v>
      </c>
      <c r="G12" s="12" t="n">
        <v>1993</v>
      </c>
      <c r="H12" s="11" t="s">
        <v>77</v>
      </c>
      <c r="I12" s="10"/>
      <c r="K12" s="11"/>
      <c r="L12" s="10"/>
    </row>
    <row collapsed="false" customFormat="false" customHeight="false" hidden="false" ht="12.75" outlineLevel="0" r="13">
      <c r="A13" s="10"/>
      <c r="E13" s="11"/>
      <c r="F13" s="10" t="s">
        <v>78</v>
      </c>
      <c r="G13" s="12" t="n">
        <v>1993</v>
      </c>
      <c r="H13" s="11" t="s">
        <v>79</v>
      </c>
      <c r="I13" s="10"/>
      <c r="J13" s="12"/>
      <c r="K13" s="11"/>
      <c r="L13" s="10"/>
    </row>
    <row collapsed="false" customFormat="false" customHeight="false" hidden="false" ht="12.75" outlineLevel="0" r="14">
      <c r="A14" s="10"/>
      <c r="E14" s="11"/>
      <c r="F14" s="10" t="s">
        <v>70</v>
      </c>
      <c r="G14" s="12" t="s">
        <v>80</v>
      </c>
      <c r="H14" s="11" t="s">
        <v>81</v>
      </c>
      <c r="I14" s="10"/>
      <c r="J14" s="12"/>
      <c r="K14" s="11"/>
      <c r="L14" s="10"/>
    </row>
    <row collapsed="false" customFormat="false" customHeight="false" hidden="false" ht="12.75" outlineLevel="0" r="15">
      <c r="A15" s="10"/>
      <c r="E15" s="11"/>
      <c r="F15" s="10" t="s">
        <v>82</v>
      </c>
      <c r="G15" s="12" t="n">
        <v>1991</v>
      </c>
      <c r="H15" s="11" t="s">
        <v>83</v>
      </c>
      <c r="I15" s="10"/>
      <c r="K15" s="11"/>
      <c r="L15" s="10"/>
    </row>
    <row collapsed="false" customFormat="false" customHeight="false" hidden="false" ht="12.75" outlineLevel="0" r="16">
      <c r="A16" s="10"/>
      <c r="E16" s="11"/>
      <c r="F16" s="10"/>
      <c r="G16" s="12"/>
      <c r="H16" s="11"/>
      <c r="I16" s="10"/>
      <c r="K16" s="11"/>
      <c r="L16" s="10"/>
    </row>
  </sheetData>
  <mergeCells count="4">
    <mergeCell ref="A1:E1"/>
    <mergeCell ref="F1:H1"/>
    <mergeCell ref="I1:K1"/>
    <mergeCell ref="L1:O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50"/>
  <sheetViews>
    <sheetView colorId="64" defaultGridColor="true" rightToLeft="false" showFormulas="false" showGridLines="true" showOutlineSymbols="true" showRowColHeaders="true" showZeros="true" tabSelected="false" topLeftCell="A1" view="normal" windowProtection="true" workbookViewId="0" zoomScale="100" zoomScaleNormal="100" zoomScalePageLayoutView="100">
      <pane activePane="bottomLeft" state="frozen" topLeftCell="A4" xSplit="0" ySplit="3"/>
      <selection activeCell="A1" activeCellId="0" pane="topLeft" sqref="A1"/>
      <selection activeCell="A4" activeCellId="0" pane="bottomLeft" sqref="A4"/>
    </sheetView>
  </sheetViews>
  <sheetFormatPr defaultRowHeight="12.75"/>
  <cols>
    <col collapsed="false" hidden="false" max="1025" min="1" style="0" width="17.1326530612245"/>
  </cols>
  <sheetData>
    <row collapsed="false" customFormat="false" customHeight="false" hidden="false" ht="12.75" outlineLevel="0" r="1">
      <c r="A1" s="13" t="s">
        <v>84</v>
      </c>
      <c r="B1" s="14"/>
      <c r="C1" s="14"/>
      <c r="D1" s="14"/>
      <c r="E1" s="14"/>
      <c r="F1" s="14"/>
      <c r="G1" s="15"/>
      <c r="H1" s="15"/>
      <c r="I1" s="15"/>
    </row>
    <row collapsed="false" customFormat="false" customHeight="false" hidden="false" ht="12.75" outlineLevel="0" r="2">
      <c r="G2" s="16"/>
      <c r="H2" s="16"/>
      <c r="I2" s="16"/>
    </row>
    <row collapsed="false" customFormat="false" customHeight="false" hidden="false" ht="12.75" outlineLevel="0" r="3">
      <c r="A3" s="17" t="s">
        <v>85</v>
      </c>
      <c r="B3" s="17" t="s">
        <v>86</v>
      </c>
      <c r="C3" s="18" t="s">
        <v>87</v>
      </c>
      <c r="D3" s="18" t="s">
        <v>88</v>
      </c>
      <c r="E3" s="18" t="s">
        <v>89</v>
      </c>
      <c r="F3" s="18" t="s">
        <v>90</v>
      </c>
      <c r="G3" s="19" t="s">
        <v>91</v>
      </c>
      <c r="H3" s="19" t="s">
        <v>92</v>
      </c>
      <c r="I3" s="19" t="s">
        <v>93</v>
      </c>
    </row>
    <row collapsed="false" customFormat="false" customHeight="false" hidden="false" ht="12.75" outlineLevel="0" r="4">
      <c r="A4" s="0" t="s">
        <v>20</v>
      </c>
      <c r="B4" s="0" t="s">
        <v>94</v>
      </c>
      <c r="C4" s="20" t="s">
        <v>95</v>
      </c>
      <c r="D4" s="20" t="s">
        <v>96</v>
      </c>
      <c r="E4" s="20" t="s">
        <v>97</v>
      </c>
      <c r="F4" s="20" t="s">
        <v>98</v>
      </c>
      <c r="G4" s="21" t="s">
        <v>99</v>
      </c>
      <c r="H4" s="21" t="s">
        <v>100</v>
      </c>
      <c r="I4" s="21" t="s">
        <v>101</v>
      </c>
    </row>
    <row collapsed="false" customFormat="false" customHeight="false" hidden="false" ht="12.75" outlineLevel="0" r="5">
      <c r="A5" s="0" t="s">
        <v>102</v>
      </c>
      <c r="D5" s="0" t="s">
        <v>103</v>
      </c>
      <c r="E5" s="20" t="s">
        <v>104</v>
      </c>
      <c r="F5" s="20" t="s">
        <v>105</v>
      </c>
      <c r="G5" s="21" t="s">
        <v>106</v>
      </c>
      <c r="H5" s="16"/>
      <c r="I5" s="16" t="s">
        <v>107</v>
      </c>
    </row>
    <row collapsed="false" customFormat="false" customHeight="false" hidden="false" ht="12.75" outlineLevel="0" r="6">
      <c r="A6" s="0" t="s">
        <v>108</v>
      </c>
      <c r="D6" s="20" t="s">
        <v>109</v>
      </c>
      <c r="E6" s="20" t="s">
        <v>110</v>
      </c>
      <c r="F6" s="20" t="s">
        <v>111</v>
      </c>
      <c r="G6" s="16"/>
      <c r="H6" s="16"/>
      <c r="I6" s="16" t="s">
        <v>112</v>
      </c>
    </row>
    <row collapsed="false" customFormat="false" customHeight="false" hidden="false" ht="12.75" outlineLevel="0" r="7">
      <c r="A7" s="0" t="s">
        <v>113</v>
      </c>
      <c r="C7" s="20" t="s">
        <v>114</v>
      </c>
      <c r="D7" s="20" t="s">
        <v>115</v>
      </c>
      <c r="F7" s="0" t="s">
        <v>116</v>
      </c>
      <c r="G7" s="16"/>
      <c r="H7" s="21" t="s">
        <v>117</v>
      </c>
      <c r="I7" s="21" t="s">
        <v>118</v>
      </c>
    </row>
    <row collapsed="false" customFormat="false" customHeight="false" hidden="false" ht="12.75" outlineLevel="0" r="8">
      <c r="A8" s="0" t="s">
        <v>119</v>
      </c>
      <c r="B8" s="0" t="s">
        <v>120</v>
      </c>
      <c r="F8" s="0" t="s">
        <v>121</v>
      </c>
      <c r="G8" s="16"/>
      <c r="H8" s="16"/>
      <c r="I8" s="16"/>
    </row>
    <row collapsed="false" customFormat="false" customHeight="false" hidden="false" ht="12.75" outlineLevel="0" r="9">
      <c r="F9" s="0" t="s">
        <v>122</v>
      </c>
      <c r="G9" s="16"/>
      <c r="H9" s="16"/>
      <c r="I9" s="16"/>
    </row>
    <row collapsed="false" customFormat="false" customHeight="false" hidden="false" ht="12.75" outlineLevel="0" r="10">
      <c r="G10" s="16"/>
      <c r="H10" s="16"/>
      <c r="I10" s="16"/>
    </row>
    <row collapsed="false" customFormat="false" customHeight="false" hidden="false" ht="12.75" outlineLevel="0" r="11">
      <c r="G11" s="16"/>
      <c r="H11" s="16"/>
      <c r="I11" s="16"/>
    </row>
    <row collapsed="false" customFormat="false" customHeight="false" hidden="false" ht="12.75" outlineLevel="0" r="12">
      <c r="G12" s="16"/>
      <c r="H12" s="16"/>
      <c r="I12" s="16"/>
    </row>
    <row collapsed="false" customFormat="false" customHeight="false" hidden="false" ht="12.75" outlineLevel="0" r="13">
      <c r="G13" s="16"/>
      <c r="H13" s="16"/>
      <c r="I13" s="16"/>
    </row>
    <row collapsed="false" customFormat="false" customHeight="false" hidden="false" ht="12.75" outlineLevel="0" r="14">
      <c r="G14" s="16"/>
      <c r="H14" s="16"/>
      <c r="I14" s="16"/>
    </row>
    <row collapsed="false" customFormat="false" customHeight="false" hidden="false" ht="12.75" outlineLevel="0" r="15">
      <c r="G15" s="16"/>
      <c r="H15" s="16"/>
      <c r="I15" s="16"/>
    </row>
    <row collapsed="false" customFormat="false" customHeight="false" hidden="false" ht="12.75" outlineLevel="0" r="16">
      <c r="G16" s="16"/>
      <c r="H16" s="16"/>
      <c r="I16" s="16"/>
    </row>
    <row collapsed="false" customFormat="false" customHeight="false" hidden="false" ht="12.75" outlineLevel="0" r="17">
      <c r="G17" s="16"/>
      <c r="H17" s="16"/>
      <c r="I17" s="16"/>
    </row>
    <row collapsed="false" customFormat="false" customHeight="false" hidden="false" ht="12.75" outlineLevel="0" r="18">
      <c r="G18" s="16"/>
      <c r="H18" s="16"/>
      <c r="I18" s="16"/>
    </row>
    <row collapsed="false" customFormat="false" customHeight="false" hidden="false" ht="12.75" outlineLevel="0" r="19">
      <c r="G19" s="16"/>
      <c r="H19" s="16"/>
      <c r="I19" s="16"/>
    </row>
    <row collapsed="false" customFormat="false" customHeight="false" hidden="false" ht="12.75" outlineLevel="0" r="20">
      <c r="G20" s="16"/>
      <c r="H20" s="16"/>
      <c r="I20" s="16"/>
    </row>
    <row collapsed="false" customFormat="false" customHeight="false" hidden="false" ht="12.75" outlineLevel="0" r="21">
      <c r="G21" s="16"/>
      <c r="H21" s="16"/>
      <c r="I21" s="16"/>
    </row>
    <row collapsed="false" customFormat="false" customHeight="false" hidden="false" ht="12.75" outlineLevel="0" r="22">
      <c r="G22" s="16"/>
      <c r="H22" s="16"/>
      <c r="I22" s="16"/>
    </row>
    <row collapsed="false" customFormat="false" customHeight="false" hidden="false" ht="12.75" outlineLevel="0" r="23">
      <c r="G23" s="16"/>
      <c r="H23" s="16"/>
      <c r="I23" s="16"/>
    </row>
    <row collapsed="false" customFormat="false" customHeight="false" hidden="false" ht="12.75" outlineLevel="0" r="24">
      <c r="G24" s="16"/>
      <c r="H24" s="16"/>
      <c r="I24" s="16"/>
    </row>
    <row collapsed="false" customFormat="false" customHeight="false" hidden="false" ht="12.75" outlineLevel="0" r="25">
      <c r="G25" s="16"/>
      <c r="H25" s="16"/>
      <c r="I25" s="16"/>
    </row>
    <row collapsed="false" customFormat="false" customHeight="false" hidden="false" ht="12.75" outlineLevel="0" r="26">
      <c r="G26" s="16"/>
      <c r="H26" s="16"/>
      <c r="I26" s="16"/>
    </row>
    <row collapsed="false" customFormat="false" customHeight="false" hidden="false" ht="12.75" outlineLevel="0" r="27">
      <c r="G27" s="16"/>
      <c r="H27" s="16"/>
      <c r="I27" s="16"/>
    </row>
    <row collapsed="false" customFormat="false" customHeight="false" hidden="false" ht="12.75" outlineLevel="0" r="28">
      <c r="G28" s="16"/>
      <c r="H28" s="16"/>
      <c r="I28" s="16"/>
    </row>
    <row collapsed="false" customFormat="false" customHeight="false" hidden="false" ht="12.75" outlineLevel="0" r="29">
      <c r="G29" s="16"/>
      <c r="H29" s="16"/>
      <c r="I29" s="16"/>
    </row>
    <row collapsed="false" customFormat="false" customHeight="false" hidden="false" ht="12.75" outlineLevel="0" r="30">
      <c r="G30" s="16"/>
      <c r="H30" s="16"/>
      <c r="I30" s="16"/>
    </row>
    <row collapsed="false" customFormat="false" customHeight="false" hidden="false" ht="12.75" outlineLevel="0" r="31">
      <c r="G31" s="16"/>
      <c r="H31" s="16"/>
      <c r="I31" s="16"/>
    </row>
    <row collapsed="false" customFormat="false" customHeight="false" hidden="false" ht="12.75" outlineLevel="0" r="32">
      <c r="G32" s="16"/>
      <c r="H32" s="16"/>
      <c r="I32" s="16"/>
    </row>
    <row collapsed="false" customFormat="false" customHeight="false" hidden="false" ht="12.75" outlineLevel="0" r="33">
      <c r="G33" s="16"/>
      <c r="H33" s="16"/>
      <c r="I33" s="16"/>
    </row>
    <row collapsed="false" customFormat="false" customHeight="false" hidden="false" ht="12.75" outlineLevel="0" r="34">
      <c r="G34" s="16"/>
      <c r="H34" s="16"/>
      <c r="I34" s="16"/>
    </row>
    <row collapsed="false" customFormat="false" customHeight="false" hidden="false" ht="12.75" outlineLevel="0" r="35">
      <c r="G35" s="16"/>
      <c r="H35" s="16"/>
      <c r="I35" s="16"/>
    </row>
    <row collapsed="false" customFormat="false" customHeight="false" hidden="false" ht="12.75" outlineLevel="0" r="36">
      <c r="G36" s="16"/>
      <c r="H36" s="16"/>
      <c r="I36" s="16"/>
    </row>
    <row collapsed="false" customFormat="false" customHeight="false" hidden="false" ht="12.75" outlineLevel="0" r="37">
      <c r="G37" s="16"/>
      <c r="H37" s="16"/>
      <c r="I37" s="16"/>
    </row>
    <row collapsed="false" customFormat="false" customHeight="false" hidden="false" ht="12.75" outlineLevel="0" r="38">
      <c r="G38" s="16"/>
      <c r="H38" s="16"/>
      <c r="I38" s="16"/>
    </row>
    <row collapsed="false" customFormat="false" customHeight="false" hidden="false" ht="12.75" outlineLevel="0" r="39">
      <c r="G39" s="16"/>
      <c r="H39" s="16"/>
      <c r="I39" s="16"/>
    </row>
    <row collapsed="false" customFormat="false" customHeight="false" hidden="false" ht="12.75" outlineLevel="0" r="40">
      <c r="G40" s="16"/>
      <c r="H40" s="16"/>
      <c r="I40" s="16"/>
    </row>
    <row collapsed="false" customFormat="false" customHeight="false" hidden="false" ht="12.75" outlineLevel="0" r="41">
      <c r="G41" s="16"/>
      <c r="H41" s="16"/>
      <c r="I41" s="16"/>
    </row>
    <row collapsed="false" customFormat="false" customHeight="false" hidden="false" ht="12.75" outlineLevel="0" r="42">
      <c r="G42" s="16"/>
      <c r="H42" s="16"/>
      <c r="I42" s="16"/>
    </row>
    <row collapsed="false" customFormat="false" customHeight="false" hidden="false" ht="12.75" outlineLevel="0" r="43">
      <c r="G43" s="16"/>
      <c r="H43" s="16"/>
      <c r="I43" s="16"/>
    </row>
    <row collapsed="false" customFormat="false" customHeight="false" hidden="false" ht="12.75" outlineLevel="0" r="44">
      <c r="G44" s="16"/>
      <c r="H44" s="16"/>
      <c r="I44" s="16"/>
    </row>
    <row collapsed="false" customFormat="false" customHeight="false" hidden="false" ht="12.75" outlineLevel="0" r="45">
      <c r="G45" s="16"/>
      <c r="H45" s="16"/>
      <c r="I45" s="16"/>
    </row>
    <row collapsed="false" customFormat="false" customHeight="false" hidden="false" ht="12.75" outlineLevel="0" r="46">
      <c r="G46" s="16"/>
      <c r="H46" s="16"/>
      <c r="I46" s="16"/>
    </row>
    <row collapsed="false" customFormat="false" customHeight="false" hidden="false" ht="12.75" outlineLevel="0" r="47">
      <c r="G47" s="16"/>
      <c r="H47" s="16"/>
      <c r="I47" s="16"/>
    </row>
    <row collapsed="false" customFormat="false" customHeight="false" hidden="false" ht="12.75" outlineLevel="0" r="48">
      <c r="G48" s="16"/>
      <c r="H48" s="16"/>
      <c r="I48" s="16"/>
    </row>
    <row collapsed="false" customFormat="false" customHeight="false" hidden="false" ht="12.75" outlineLevel="0" r="49">
      <c r="G49" s="16"/>
      <c r="H49" s="16"/>
      <c r="I49" s="16"/>
    </row>
    <row collapsed="false" customFormat="false" customHeight="false" hidden="false" ht="12.75" outlineLevel="0" r="50">
      <c r="G50" s="16"/>
      <c r="H50" s="16"/>
      <c r="I50" s="16"/>
    </row>
  </sheetData>
  <mergeCells count="1">
    <mergeCell ref="B1:F1"/>
  </mergeCells>
  <dataValidations count="189">
    <dataValidation allowBlank="true" operator="between" showDropDown="false" showErrorMessage="true" showInputMessage="false" sqref="C4:D4" type="list">
      <formula1>'.sector-calc, CCCS'!#REF!</formula1>
      <formula2>0</formula2>
    </dataValidation>
    <dataValidation allowBlank="true" operator="between" showDropDown="false" showErrorMessage="true" showInputMessage="false" sqref="E4:F4" type="list">
      <formula1>'.theme-calc, CCCS'!#REF!</formula1>
      <formula2>0</formula2>
    </dataValidation>
    <dataValidation allowBlank="true" operator="between" showDropDown="false" showErrorMessage="true" showInputMessage="false" sqref="G4" type="list">
      <formula1>'.sector-calc, IFC'!#REF!</formula1>
      <formula2>0</formula2>
    </dataValidation>
    <dataValidation allowBlank="true" operator="between" showDropDown="false" showErrorMessage="true" showInputMessage="false" sqref="H4:I4" type="list">
      <formula1>'.theme-calc, IFC'!#REF!</formula1>
      <formula2>0</formula2>
    </dataValidation>
    <dataValidation allowBlank="true" operator="between" showDropDown="false" showErrorMessage="true" showInputMessage="false" sqref="C5:D5" type="list">
      <formula1>'.sector-calc, CCCS'!#REF!</formula1>
      <formula2>0</formula2>
    </dataValidation>
    <dataValidation allowBlank="true" operator="between" showDropDown="false" showErrorMessage="true" showInputMessage="false" sqref="E5:F5" type="list">
      <formula1>'.theme-calc, CCCS'!#REF!</formula1>
      <formula2>0</formula2>
    </dataValidation>
    <dataValidation allowBlank="true" operator="between" showDropDown="false" showErrorMessage="true" showInputMessage="false" sqref="G5" type="list">
      <formula1>'.sector-calc, IFC'!#REF!</formula1>
      <formula2>0</formula2>
    </dataValidation>
    <dataValidation allowBlank="true" operator="between" showDropDown="false" showErrorMessage="true" showInputMessage="false" sqref="H5:I5" type="list">
      <formula1>'.theme-calc, IFC'!#REF!</formula1>
      <formula2>0</formula2>
    </dataValidation>
    <dataValidation allowBlank="true" operator="between" showDropDown="false" showErrorMessage="true" showInputMessage="false" sqref="C6" type="list">
      <formula1>'.sector-calc, CCCS'!#REF!</formula1>
      <formula2>0</formula2>
    </dataValidation>
    <dataValidation allowBlank="true" operator="between" prompt="validationFailed" showDropDown="false" showErrorMessage="true" showInputMessage="true" sqref="D6" type="list">
      <formula1>'.sector-calc, CCCS'!#REF!</formula1>
      <formula2>0</formula2>
    </dataValidation>
    <dataValidation allowBlank="true" operator="between" showDropDown="false" showErrorMessage="true" showInputMessage="false" sqref="E6:F6" type="list">
      <formula1>'.theme-calc, CCCS'!#REF!</formula1>
      <formula2>0</formula2>
    </dataValidation>
    <dataValidation allowBlank="true" operator="between" showDropDown="false" showErrorMessage="true" showInputMessage="false" sqref="G6" type="list">
      <formula1>'.sector-calc, IFC'!#REF!</formula1>
      <formula2>0</formula2>
    </dataValidation>
    <dataValidation allowBlank="true" operator="between" showDropDown="false" showErrorMessage="true" showInputMessage="false" sqref="H6:I6" type="list">
      <formula1>'.theme-calc, IFC'!#REF!</formula1>
      <formula2>0</formula2>
    </dataValidation>
    <dataValidation allowBlank="true" operator="between" showDropDown="false" showErrorMessage="true" showInputMessage="false" sqref="C7:D7" type="list">
      <formula1>'.sector-calc, CCCS'!#REF!</formula1>
      <formula2>0</formula2>
    </dataValidation>
    <dataValidation allowBlank="true" operator="between" showDropDown="false" showErrorMessage="true" showInputMessage="false" sqref="E7:F7" type="list">
      <formula1>'.theme-calc, CCCS'!#REF!</formula1>
      <formula2>0</formula2>
    </dataValidation>
    <dataValidation allowBlank="true" operator="between" showDropDown="false" showErrorMessage="true" showInputMessage="false" sqref="G7" type="list">
      <formula1>'.sector-calc, IFC'!#REF!</formula1>
      <formula2>0</formula2>
    </dataValidation>
    <dataValidation allowBlank="true" operator="between" showDropDown="false" showErrorMessage="true" showInputMessage="false" sqref="H7:I7" type="list">
      <formula1>'.theme-calc, IFC'!#REF!</formula1>
      <formula2>0</formula2>
    </dataValidation>
    <dataValidation allowBlank="true" operator="between" showDropDown="false" showErrorMessage="true" showInputMessage="false" sqref="C8:D8" type="list">
      <formula1>'.sector-calc, CCCS'!#REF!</formula1>
      <formula2>0</formula2>
    </dataValidation>
    <dataValidation allowBlank="true" operator="between" showDropDown="false" showErrorMessage="true" showInputMessage="false" sqref="E8:F8" type="list">
      <formula1>'.theme-calc, CCCS'!#REF!</formula1>
      <formula2>0</formula2>
    </dataValidation>
    <dataValidation allowBlank="true" operator="between" showDropDown="false" showErrorMessage="true" showInputMessage="false" sqref="G8" type="list">
      <formula1>'.sector-calc, IFC'!#REF!</formula1>
      <formula2>0</formula2>
    </dataValidation>
    <dataValidation allowBlank="true" operator="between" showDropDown="false" showErrorMessage="true" showInputMessage="false" sqref="H8:I8" type="list">
      <formula1>'.theme-calc, IFC'!#REF!</formula1>
      <formula2>0</formula2>
    </dataValidation>
    <dataValidation allowBlank="true" operator="between" showDropDown="false" showErrorMessage="true" showInputMessage="false" sqref="C9:D9" type="list">
      <formula1>'.sector-calc, CCCS'!#REF!</formula1>
      <formula2>0</formula2>
    </dataValidation>
    <dataValidation allowBlank="true" operator="between" showDropDown="false" showErrorMessage="true" showInputMessage="false" sqref="E9:F9" type="list">
      <formula1>'.theme-calc, CCCS'!#REF!</formula1>
      <formula2>0</formula2>
    </dataValidation>
    <dataValidation allowBlank="true" operator="between" showDropDown="false" showErrorMessage="true" showInputMessage="false" sqref="G9" type="list">
      <formula1>'.sector-calc, IFC'!#REF!</formula1>
      <formula2>0</formula2>
    </dataValidation>
    <dataValidation allowBlank="true" operator="between" showDropDown="false" showErrorMessage="true" showInputMessage="false" sqref="H9:I9" type="list">
      <formula1>'.theme-calc, IFC'!#REF!</formula1>
      <formula2>0</formula2>
    </dataValidation>
    <dataValidation allowBlank="true" operator="between" showDropDown="false" showErrorMessage="true" showInputMessage="false" sqref="C10:D10" type="list">
      <formula1>'.sector-calc, CCCS'!#REF!</formula1>
      <formula2>0</formula2>
    </dataValidation>
    <dataValidation allowBlank="true" operator="between" showDropDown="false" showErrorMessage="true" showInputMessage="false" sqref="E10:F10" type="list">
      <formula1>'.theme-calc, CCCS'!#REF!</formula1>
      <formula2>0</formula2>
    </dataValidation>
    <dataValidation allowBlank="true" operator="between" showDropDown="false" showErrorMessage="true" showInputMessage="false" sqref="G10" type="list">
      <formula1>'.sector-calc, IFC'!#REF!</formula1>
      <formula2>0</formula2>
    </dataValidation>
    <dataValidation allowBlank="true" operator="between" showDropDown="false" showErrorMessage="true" showInputMessage="false" sqref="H10:I10" type="list">
      <formula1>'.theme-calc, IFC'!#REF!</formula1>
      <formula2>0</formula2>
    </dataValidation>
    <dataValidation allowBlank="true" operator="between" showDropDown="false" showErrorMessage="true" showInputMessage="false" sqref="C11:D11" type="list">
      <formula1>'.sector-calc, CCCS'!#REF!</formula1>
      <formula2>0</formula2>
    </dataValidation>
    <dataValidation allowBlank="true" operator="between" showDropDown="false" showErrorMessage="true" showInputMessage="false" sqref="E11:F11" type="list">
      <formula1>'.theme-calc, CCCS'!#REF!</formula1>
      <formula2>0</formula2>
    </dataValidation>
    <dataValidation allowBlank="true" operator="between" showDropDown="false" showErrorMessage="true" showInputMessage="false" sqref="G11" type="list">
      <formula1>'.sector-calc, IFC'!#REF!</formula1>
      <formula2>0</formula2>
    </dataValidation>
    <dataValidation allowBlank="true" operator="between" showDropDown="false" showErrorMessage="true" showInputMessage="false" sqref="H11:I11" type="list">
      <formula1>'.theme-calc, IFC'!#REF!</formula1>
      <formula2>0</formula2>
    </dataValidation>
    <dataValidation allowBlank="true" operator="between" showDropDown="false" showErrorMessage="true" showInputMessage="false" sqref="C12:D12" type="list">
      <formula1>'.sector-calc, CCCS'!#REF!</formula1>
      <formula2>0</formula2>
    </dataValidation>
    <dataValidation allowBlank="true" operator="between" showDropDown="false" showErrorMessage="true" showInputMessage="false" sqref="E12:F12" type="list">
      <formula1>'.theme-calc, CCCS'!#REF!</formula1>
      <formula2>0</formula2>
    </dataValidation>
    <dataValidation allowBlank="true" operator="between" showDropDown="false" showErrorMessage="true" showInputMessage="false" sqref="G12" type="list">
      <formula1>'.sector-calc, IFC'!#REF!</formula1>
      <formula2>0</formula2>
    </dataValidation>
    <dataValidation allowBlank="true" operator="between" showDropDown="false" showErrorMessage="true" showInputMessage="false" sqref="H12:I12" type="list">
      <formula1>'.theme-calc, IFC'!#REF!</formula1>
      <formula2>0</formula2>
    </dataValidation>
    <dataValidation allowBlank="true" operator="between" showDropDown="false" showErrorMessage="true" showInputMessage="false" sqref="C13:D13" type="list">
      <formula1>'.sector-calc, CCCS'!#REF!</formula1>
      <formula2>0</formula2>
    </dataValidation>
    <dataValidation allowBlank="true" operator="between" showDropDown="false" showErrorMessage="true" showInputMessage="false" sqref="E13:F13" type="list">
      <formula1>'.theme-calc, CCCS'!#REF!</formula1>
      <formula2>0</formula2>
    </dataValidation>
    <dataValidation allowBlank="true" operator="between" showDropDown="false" showErrorMessage="true" showInputMessage="false" sqref="G13" type="list">
      <formula1>'.sector-calc, IFC'!#REF!</formula1>
      <formula2>0</formula2>
    </dataValidation>
    <dataValidation allowBlank="true" operator="between" showDropDown="false" showErrorMessage="true" showInputMessage="false" sqref="H13:I13" type="list">
      <formula1>'.theme-calc, IFC'!#REF!</formula1>
      <formula2>0</formula2>
    </dataValidation>
    <dataValidation allowBlank="true" operator="between" showDropDown="false" showErrorMessage="true" showInputMessage="false" sqref="C14:D14" type="list">
      <formula1>'.sector-calc, CCCS'!#REF!</formula1>
      <formula2>0</formula2>
    </dataValidation>
    <dataValidation allowBlank="true" operator="between" showDropDown="false" showErrorMessage="true" showInputMessage="false" sqref="E14:F14" type="list">
      <formula1>'.theme-calc, CCCS'!#REF!</formula1>
      <formula2>0</formula2>
    </dataValidation>
    <dataValidation allowBlank="true" operator="between" showDropDown="false" showErrorMessage="true" showInputMessage="false" sqref="G14" type="list">
      <formula1>'.sector-calc, IFC'!#REF!</formula1>
      <formula2>0</formula2>
    </dataValidation>
    <dataValidation allowBlank="true" operator="between" showDropDown="false" showErrorMessage="true" showInputMessage="false" sqref="H14:I14" type="list">
      <formula1>'.theme-calc, IFC'!#REF!</formula1>
      <formula2>0</formula2>
    </dataValidation>
    <dataValidation allowBlank="true" operator="between" showDropDown="false" showErrorMessage="true" showInputMessage="false" sqref="C15:D15" type="list">
      <formula1>'.sector-calc, CCCS'!#REF!</formula1>
      <formula2>0</formula2>
    </dataValidation>
    <dataValidation allowBlank="true" operator="between" showDropDown="false" showErrorMessage="true" showInputMessage="false" sqref="E15:F15" type="list">
      <formula1>'.theme-calc, CCCS'!#REF!</formula1>
      <formula2>0</formula2>
    </dataValidation>
    <dataValidation allowBlank="true" operator="between" showDropDown="false" showErrorMessage="true" showInputMessage="false" sqref="G15" type="list">
      <formula1>'.sector-calc, IFC'!#REF!</formula1>
      <formula2>0</formula2>
    </dataValidation>
    <dataValidation allowBlank="true" operator="between" showDropDown="false" showErrorMessage="true" showInputMessage="false" sqref="H15:I15" type="list">
      <formula1>'.theme-calc, IFC'!#REF!</formula1>
      <formula2>0</formula2>
    </dataValidation>
    <dataValidation allowBlank="true" operator="between" showDropDown="false" showErrorMessage="true" showInputMessage="false" sqref="C16:D16" type="list">
      <formula1>'.sector-calc, CCCS'!#REF!</formula1>
      <formula2>0</formula2>
    </dataValidation>
    <dataValidation allowBlank="true" operator="between" showDropDown="false" showErrorMessage="true" showInputMessage="false" sqref="E16:F16" type="list">
      <formula1>'.theme-calc, CCCS'!#REF!</formula1>
      <formula2>0</formula2>
    </dataValidation>
    <dataValidation allowBlank="true" operator="between" showDropDown="false" showErrorMessage="true" showInputMessage="false" sqref="G16" type="list">
      <formula1>'.sector-calc, IFC'!#REF!</formula1>
      <formula2>0</formula2>
    </dataValidation>
    <dataValidation allowBlank="true" operator="between" showDropDown="false" showErrorMessage="true" showInputMessage="false" sqref="H16:I16" type="list">
      <formula1>'.theme-calc, IFC'!#REF!</formula1>
      <formula2>0</formula2>
    </dataValidation>
    <dataValidation allowBlank="true" operator="between" showDropDown="false" showErrorMessage="true" showInputMessage="false" sqref="C17:D17" type="list">
      <formula1>'.sector-calc, CCCS'!#REF!</formula1>
      <formula2>0</formula2>
    </dataValidation>
    <dataValidation allowBlank="true" operator="between" showDropDown="false" showErrorMessage="true" showInputMessage="false" sqref="E17:F17" type="list">
      <formula1>'.theme-calc, CCCS'!#REF!</formula1>
      <formula2>0</formula2>
    </dataValidation>
    <dataValidation allowBlank="true" operator="between" showDropDown="false" showErrorMessage="true" showInputMessage="false" sqref="G17" type="list">
      <formula1>'.sector-calc, IFC'!#REF!</formula1>
      <formula2>0</formula2>
    </dataValidation>
    <dataValidation allowBlank="true" operator="between" showDropDown="false" showErrorMessage="true" showInputMessage="false" sqref="H17:I17" type="list">
      <formula1>'.theme-calc, IFC'!#REF!</formula1>
      <formula2>0</formula2>
    </dataValidation>
    <dataValidation allowBlank="true" operator="between" showDropDown="false" showErrorMessage="true" showInputMessage="false" sqref="C18:D18" type="list">
      <formula1>'.sector-calc, CCCS'!#REF!</formula1>
      <formula2>0</formula2>
    </dataValidation>
    <dataValidation allowBlank="true" operator="between" showDropDown="false" showErrorMessage="true" showInputMessage="false" sqref="E18:F18" type="list">
      <formula1>'.theme-calc, CCCS'!#REF!</formula1>
      <formula2>0</formula2>
    </dataValidation>
    <dataValidation allowBlank="true" operator="between" showDropDown="false" showErrorMessage="true" showInputMessage="false" sqref="G18" type="list">
      <formula1>'.sector-calc, IFC'!#REF!</formula1>
      <formula2>0</formula2>
    </dataValidation>
    <dataValidation allowBlank="true" operator="between" showDropDown="false" showErrorMessage="true" showInputMessage="false" sqref="H18:I18" type="list">
      <formula1>'.theme-calc, IFC'!#REF!</formula1>
      <formula2>0</formula2>
    </dataValidation>
    <dataValidation allowBlank="true" operator="between" showDropDown="false" showErrorMessage="true" showInputMessage="false" sqref="C19:D19" type="list">
      <formula1>'.sector-calc, CCCS'!#REF!</formula1>
      <formula2>0</formula2>
    </dataValidation>
    <dataValidation allowBlank="true" operator="between" showDropDown="false" showErrorMessage="true" showInputMessage="false" sqref="E19:F19" type="list">
      <formula1>'.theme-calc, CCCS'!#REF!</formula1>
      <formula2>0</formula2>
    </dataValidation>
    <dataValidation allowBlank="true" operator="between" showDropDown="false" showErrorMessage="true" showInputMessage="false" sqref="G19" type="list">
      <formula1>'.sector-calc, IFC'!#REF!</formula1>
      <formula2>0</formula2>
    </dataValidation>
    <dataValidation allowBlank="true" operator="between" showDropDown="false" showErrorMessage="true" showInputMessage="false" sqref="H19:I19" type="list">
      <formula1>'.theme-calc, IFC'!#REF!</formula1>
      <formula2>0</formula2>
    </dataValidation>
    <dataValidation allowBlank="true" operator="between" showDropDown="false" showErrorMessage="true" showInputMessage="false" sqref="C20:D20" type="list">
      <formula1>'.sector-calc, CCCS'!#REF!</formula1>
      <formula2>0</formula2>
    </dataValidation>
    <dataValidation allowBlank="true" operator="between" showDropDown="false" showErrorMessage="true" showInputMessage="false" sqref="E20:F20" type="list">
      <formula1>'.theme-calc, CCCS'!#REF!</formula1>
      <formula2>0</formula2>
    </dataValidation>
    <dataValidation allowBlank="true" operator="between" showDropDown="false" showErrorMessage="true" showInputMessage="false" sqref="G20" type="list">
      <formula1>'.sector-calc, IFC'!#REF!</formula1>
      <formula2>0</formula2>
    </dataValidation>
    <dataValidation allowBlank="true" operator="between" showDropDown="false" showErrorMessage="true" showInputMessage="false" sqref="H20:I20" type="list">
      <formula1>'.theme-calc, IFC'!#REF!</formula1>
      <formula2>0</formula2>
    </dataValidation>
    <dataValidation allowBlank="true" operator="between" showDropDown="false" showErrorMessage="true" showInputMessage="false" sqref="C21:D21" type="list">
      <formula1>'.sector-calc, CCCS'!#REF!</formula1>
      <formula2>0</formula2>
    </dataValidation>
    <dataValidation allowBlank="true" operator="between" showDropDown="false" showErrorMessage="true" showInputMessage="false" sqref="E21:F21" type="list">
      <formula1>'.theme-calc, CCCS'!#REF!</formula1>
      <formula2>0</formula2>
    </dataValidation>
    <dataValidation allowBlank="true" operator="between" showDropDown="false" showErrorMessage="true" showInputMessage="false" sqref="G21" type="list">
      <formula1>'.sector-calc, IFC'!#REF!</formula1>
      <formula2>0</formula2>
    </dataValidation>
    <dataValidation allowBlank="true" operator="between" showDropDown="false" showErrorMessage="true" showInputMessage="false" sqref="H21:I21" type="list">
      <formula1>'.theme-calc, IFC'!#REF!</formula1>
      <formula2>0</formula2>
    </dataValidation>
    <dataValidation allowBlank="true" operator="between" showDropDown="false" showErrorMessage="true" showInputMessage="false" sqref="C22:D22" type="list">
      <formula1>'.sector-calc, CCCS'!#REF!</formula1>
      <formula2>0</formula2>
    </dataValidation>
    <dataValidation allowBlank="true" operator="between" showDropDown="false" showErrorMessage="true" showInputMessage="false" sqref="E22:F22" type="list">
      <formula1>'.theme-calc, CCCS'!#REF!</formula1>
      <formula2>0</formula2>
    </dataValidation>
    <dataValidation allowBlank="true" operator="between" showDropDown="false" showErrorMessage="true" showInputMessage="false" sqref="G22" type="list">
      <formula1>'.sector-calc, IFC'!#REF!</formula1>
      <formula2>0</formula2>
    </dataValidation>
    <dataValidation allowBlank="true" operator="between" showDropDown="false" showErrorMessage="true" showInputMessage="false" sqref="H22:I22" type="list">
      <formula1>'.theme-calc, IFC'!#REF!</formula1>
      <formula2>0</formula2>
    </dataValidation>
    <dataValidation allowBlank="true" operator="between" showDropDown="false" showErrorMessage="true" showInputMessage="false" sqref="C23:D23" type="list">
      <formula1>'.sector-calc, CCCS'!#REF!</formula1>
      <formula2>0</formula2>
    </dataValidation>
    <dataValidation allowBlank="true" operator="between" showDropDown="false" showErrorMessage="true" showInputMessage="false" sqref="E23:F23" type="list">
      <formula1>'.theme-calc, CCCS'!#REF!</formula1>
      <formula2>0</formula2>
    </dataValidation>
    <dataValidation allowBlank="true" operator="between" showDropDown="false" showErrorMessage="true" showInputMessage="false" sqref="G23" type="list">
      <formula1>'.sector-calc, IFC'!#REF!</formula1>
      <formula2>0</formula2>
    </dataValidation>
    <dataValidation allowBlank="true" operator="between" showDropDown="false" showErrorMessage="true" showInputMessage="false" sqref="H23:I23" type="list">
      <formula1>'.theme-calc, IFC'!#REF!</formula1>
      <formula2>0</formula2>
    </dataValidation>
    <dataValidation allowBlank="true" operator="between" showDropDown="false" showErrorMessage="true" showInputMessage="false" sqref="C24:D24" type="list">
      <formula1>'.sector-calc, CCCS'!#REF!</formula1>
      <formula2>0</formula2>
    </dataValidation>
    <dataValidation allowBlank="true" operator="between" showDropDown="false" showErrorMessage="true" showInputMessage="false" sqref="E24:F24" type="list">
      <formula1>'.theme-calc, CCCS'!#REF!</formula1>
      <formula2>0</formula2>
    </dataValidation>
    <dataValidation allowBlank="true" operator="between" showDropDown="false" showErrorMessage="true" showInputMessage="false" sqref="G24" type="list">
      <formula1>'.sector-calc, IFC'!#REF!</formula1>
      <formula2>0</formula2>
    </dataValidation>
    <dataValidation allowBlank="true" operator="between" showDropDown="false" showErrorMessage="true" showInputMessage="false" sqref="H24:I24" type="list">
      <formula1>'.theme-calc, IFC'!#REF!</formula1>
      <formula2>0</formula2>
    </dataValidation>
    <dataValidation allowBlank="true" operator="between" showDropDown="false" showErrorMessage="true" showInputMessage="false" sqref="C25:D25" type="list">
      <formula1>'.sector-calc, CCCS'!#REF!</formula1>
      <formula2>0</formula2>
    </dataValidation>
    <dataValidation allowBlank="true" operator="between" showDropDown="false" showErrorMessage="true" showInputMessage="false" sqref="E25:F25" type="list">
      <formula1>'.theme-calc, CCCS'!#REF!</formula1>
      <formula2>0</formula2>
    </dataValidation>
    <dataValidation allowBlank="true" operator="between" showDropDown="false" showErrorMessage="true" showInputMessage="false" sqref="G25" type="list">
      <formula1>'.sector-calc, IFC'!#REF!</formula1>
      <formula2>0</formula2>
    </dataValidation>
    <dataValidation allowBlank="true" operator="between" showDropDown="false" showErrorMessage="true" showInputMessage="false" sqref="H25:I25" type="list">
      <formula1>'.theme-calc, IFC'!#REF!</formula1>
      <formula2>0</formula2>
    </dataValidation>
    <dataValidation allowBlank="true" operator="between" showDropDown="false" showErrorMessage="true" showInputMessage="false" sqref="C26:D26" type="list">
      <formula1>'.sector-calc, CCCS'!#REF!</formula1>
      <formula2>0</formula2>
    </dataValidation>
    <dataValidation allowBlank="true" operator="between" showDropDown="false" showErrorMessage="true" showInputMessage="false" sqref="E26:F26" type="list">
      <formula1>'.theme-calc, CCCS'!#REF!</formula1>
      <formula2>0</formula2>
    </dataValidation>
    <dataValidation allowBlank="true" operator="between" showDropDown="false" showErrorMessage="true" showInputMessage="false" sqref="G26" type="list">
      <formula1>'.sector-calc, IFC'!#REF!</formula1>
      <formula2>0</formula2>
    </dataValidation>
    <dataValidation allowBlank="true" operator="between" showDropDown="false" showErrorMessage="true" showInputMessage="false" sqref="H26:I26" type="list">
      <formula1>'.theme-calc, IFC'!#REF!</formula1>
      <formula2>0</formula2>
    </dataValidation>
    <dataValidation allowBlank="true" operator="between" showDropDown="false" showErrorMessage="true" showInputMessage="false" sqref="C27:D27" type="list">
      <formula1>'.sector-calc, CCCS'!#REF!</formula1>
      <formula2>0</formula2>
    </dataValidation>
    <dataValidation allowBlank="true" operator="between" showDropDown="false" showErrorMessage="true" showInputMessage="false" sqref="E27:F27" type="list">
      <formula1>'.theme-calc, CCCS'!#REF!</formula1>
      <formula2>0</formula2>
    </dataValidation>
    <dataValidation allowBlank="true" operator="between" showDropDown="false" showErrorMessage="true" showInputMessage="false" sqref="G27" type="list">
      <formula1>'.sector-calc, IFC'!#REF!</formula1>
      <formula2>0</formula2>
    </dataValidation>
    <dataValidation allowBlank="true" operator="between" showDropDown="false" showErrorMessage="true" showInputMessage="false" sqref="H27:I27" type="list">
      <formula1>'.theme-calc, IFC'!#REF!</formula1>
      <formula2>0</formula2>
    </dataValidation>
    <dataValidation allowBlank="true" operator="between" showDropDown="false" showErrorMessage="true" showInputMessage="false" sqref="C28:D28" type="list">
      <formula1>'.sector-calc, CCCS'!#REF!</formula1>
      <formula2>0</formula2>
    </dataValidation>
    <dataValidation allowBlank="true" operator="between" showDropDown="false" showErrorMessage="true" showInputMessage="false" sqref="E28:F28" type="list">
      <formula1>'.theme-calc, CCCS'!#REF!</formula1>
      <formula2>0</formula2>
    </dataValidation>
    <dataValidation allowBlank="true" operator="between" showDropDown="false" showErrorMessage="true" showInputMessage="false" sqref="G28" type="list">
      <formula1>'.sector-calc, IFC'!#REF!</formula1>
      <formula2>0</formula2>
    </dataValidation>
    <dataValidation allowBlank="true" operator="between" showDropDown="false" showErrorMessage="true" showInputMessage="false" sqref="H28:I28" type="list">
      <formula1>'.theme-calc, IFC'!#REF!</formula1>
      <formula2>0</formula2>
    </dataValidation>
    <dataValidation allowBlank="true" operator="between" showDropDown="false" showErrorMessage="true" showInputMessage="false" sqref="C29:D29" type="list">
      <formula1>'.sector-calc, CCCS'!#REF!</formula1>
      <formula2>0</formula2>
    </dataValidation>
    <dataValidation allowBlank="true" operator="between" showDropDown="false" showErrorMessage="true" showInputMessage="false" sqref="E29:F29" type="list">
      <formula1>'.theme-calc, CCCS'!#REF!</formula1>
      <formula2>0</formula2>
    </dataValidation>
    <dataValidation allowBlank="true" operator="between" showDropDown="false" showErrorMessage="true" showInputMessage="false" sqref="G29" type="list">
      <formula1>'.sector-calc, IFC'!#REF!</formula1>
      <formula2>0</formula2>
    </dataValidation>
    <dataValidation allowBlank="true" operator="between" showDropDown="false" showErrorMessage="true" showInputMessage="false" sqref="H29:I29" type="list">
      <formula1>'.theme-calc, IFC'!#REF!</formula1>
      <formula2>0</formula2>
    </dataValidation>
    <dataValidation allowBlank="true" operator="between" showDropDown="false" showErrorMessage="true" showInputMessage="false" sqref="C30:D30" type="list">
      <formula1>'.sector-calc, CCCS'!#REF!</formula1>
      <formula2>0</formula2>
    </dataValidation>
    <dataValidation allowBlank="true" operator="between" showDropDown="false" showErrorMessage="true" showInputMessage="false" sqref="E30:F30" type="list">
      <formula1>'.theme-calc, CCCS'!#REF!</formula1>
      <formula2>0</formula2>
    </dataValidation>
    <dataValidation allowBlank="true" operator="between" showDropDown="false" showErrorMessage="true" showInputMessage="false" sqref="G30" type="list">
      <formula1>'.sector-calc, IFC'!#REF!</formula1>
      <formula2>0</formula2>
    </dataValidation>
    <dataValidation allowBlank="true" operator="between" showDropDown="false" showErrorMessage="true" showInputMessage="false" sqref="H30:I30" type="list">
      <formula1>'.theme-calc, IFC'!#REF!</formula1>
      <formula2>0</formula2>
    </dataValidation>
    <dataValidation allowBlank="true" operator="between" showDropDown="false" showErrorMessage="true" showInputMessage="false" sqref="C31:D31" type="list">
      <formula1>'.sector-calc, CCCS'!#REF!</formula1>
      <formula2>0</formula2>
    </dataValidation>
    <dataValidation allowBlank="true" operator="between" showDropDown="false" showErrorMessage="true" showInputMessage="false" sqref="E31:F31" type="list">
      <formula1>'.theme-calc, CCCS'!#REF!</formula1>
      <formula2>0</formula2>
    </dataValidation>
    <dataValidation allowBlank="true" operator="between" showDropDown="false" showErrorMessage="true" showInputMessage="false" sqref="G31" type="list">
      <formula1>'.sector-calc, IFC'!#REF!</formula1>
      <formula2>0</formula2>
    </dataValidation>
    <dataValidation allowBlank="true" operator="between" showDropDown="false" showErrorMessage="true" showInputMessage="false" sqref="H31:I31" type="list">
      <formula1>'.theme-calc, IFC'!#REF!</formula1>
      <formula2>0</formula2>
    </dataValidation>
    <dataValidation allowBlank="true" operator="between" showDropDown="false" showErrorMessage="true" showInputMessage="false" sqref="C32:D32" type="list">
      <formula1>'.sector-calc, CCCS'!#REF!</formula1>
      <formula2>0</formula2>
    </dataValidation>
    <dataValidation allowBlank="true" operator="between" showDropDown="false" showErrorMessage="true" showInputMessage="false" sqref="E32:F32" type="list">
      <formula1>'.theme-calc, CCCS'!#REF!</formula1>
      <formula2>0</formula2>
    </dataValidation>
    <dataValidation allowBlank="true" operator="between" showDropDown="false" showErrorMessage="true" showInputMessage="false" sqref="G32" type="list">
      <formula1>'.sector-calc, IFC'!#REF!</formula1>
      <formula2>0</formula2>
    </dataValidation>
    <dataValidation allowBlank="true" operator="between" showDropDown="false" showErrorMessage="true" showInputMessage="false" sqref="H32:I32" type="list">
      <formula1>'.theme-calc, IFC'!#REF!</formula1>
      <formula2>0</formula2>
    </dataValidation>
    <dataValidation allowBlank="true" operator="between" showDropDown="false" showErrorMessage="true" showInputMessage="false" sqref="C33:D33" type="list">
      <formula1>'.sector-calc, CCCS'!#REF!</formula1>
      <formula2>0</formula2>
    </dataValidation>
    <dataValidation allowBlank="true" operator="between" showDropDown="false" showErrorMessage="true" showInputMessage="false" sqref="E33:F33" type="list">
      <formula1>'.theme-calc, CCCS'!#REF!</formula1>
      <formula2>0</formula2>
    </dataValidation>
    <dataValidation allowBlank="true" operator="between" showDropDown="false" showErrorMessage="true" showInputMessage="false" sqref="G33" type="list">
      <formula1>'.sector-calc, IFC'!#REF!</formula1>
      <formula2>0</formula2>
    </dataValidation>
    <dataValidation allowBlank="true" operator="between" showDropDown="false" showErrorMessage="true" showInputMessage="false" sqref="H33:I33" type="list">
      <formula1>'.theme-calc, IFC'!#REF!</formula1>
      <formula2>0</formula2>
    </dataValidation>
    <dataValidation allowBlank="true" operator="between" showDropDown="false" showErrorMessage="true" showInputMessage="false" sqref="C34:D34" type="list">
      <formula1>'.sector-calc, CCCS'!#REF!</formula1>
      <formula2>0</formula2>
    </dataValidation>
    <dataValidation allowBlank="true" operator="between" showDropDown="false" showErrorMessage="true" showInputMessage="false" sqref="E34:F34" type="list">
      <formula1>'.theme-calc, CCCS'!#REF!</formula1>
      <formula2>0</formula2>
    </dataValidation>
    <dataValidation allowBlank="true" operator="between" showDropDown="false" showErrorMessage="true" showInputMessage="false" sqref="G34" type="list">
      <formula1>'.sector-calc, IFC'!#REF!</formula1>
      <formula2>0</formula2>
    </dataValidation>
    <dataValidation allowBlank="true" operator="between" showDropDown="false" showErrorMessage="true" showInputMessage="false" sqref="H34:I34" type="list">
      <formula1>'.theme-calc, IFC'!#REF!</formula1>
      <formula2>0</formula2>
    </dataValidation>
    <dataValidation allowBlank="true" operator="between" showDropDown="false" showErrorMessage="true" showInputMessage="false" sqref="C35:D35" type="list">
      <formula1>'.sector-calc, CCCS'!#REF!</formula1>
      <formula2>0</formula2>
    </dataValidation>
    <dataValidation allowBlank="true" operator="between" showDropDown="false" showErrorMessage="true" showInputMessage="false" sqref="E35:F35" type="list">
      <formula1>'.theme-calc, CCCS'!#REF!</formula1>
      <formula2>0</formula2>
    </dataValidation>
    <dataValidation allowBlank="true" operator="between" showDropDown="false" showErrorMessage="true" showInputMessage="false" sqref="G35" type="list">
      <formula1>'.sector-calc, IFC'!#REF!</formula1>
      <formula2>0</formula2>
    </dataValidation>
    <dataValidation allowBlank="true" operator="between" showDropDown="false" showErrorMessage="true" showInputMessage="false" sqref="H35:I35" type="list">
      <formula1>'.theme-calc, IFC'!#REF!</formula1>
      <formula2>0</formula2>
    </dataValidation>
    <dataValidation allowBlank="true" operator="between" showDropDown="false" showErrorMessage="true" showInputMessage="false" sqref="C36:D36" type="list">
      <formula1>'.sector-calc, CCCS'!#REF!</formula1>
      <formula2>0</formula2>
    </dataValidation>
    <dataValidation allowBlank="true" operator="between" showDropDown="false" showErrorMessage="true" showInputMessage="false" sqref="E36:F36" type="list">
      <formula1>'.theme-calc, CCCS'!#REF!</formula1>
      <formula2>0</formula2>
    </dataValidation>
    <dataValidation allowBlank="true" operator="between" showDropDown="false" showErrorMessage="true" showInputMessage="false" sqref="G36" type="list">
      <formula1>'.sector-calc, IFC'!#REF!</formula1>
      <formula2>0</formula2>
    </dataValidation>
    <dataValidation allowBlank="true" operator="between" showDropDown="false" showErrorMessage="true" showInputMessage="false" sqref="H36:I36" type="list">
      <formula1>'.theme-calc, IFC'!#REF!</formula1>
      <formula2>0</formula2>
    </dataValidation>
    <dataValidation allowBlank="true" operator="between" showDropDown="false" showErrorMessage="true" showInputMessage="false" sqref="C37:D37" type="list">
      <formula1>'.sector-calc, CCCS'!#REF!</formula1>
      <formula2>0</formula2>
    </dataValidation>
    <dataValidation allowBlank="true" operator="between" showDropDown="false" showErrorMessage="true" showInputMessage="false" sqref="E37:F37" type="list">
      <formula1>'.theme-calc, CCCS'!#REF!</formula1>
      <formula2>0</formula2>
    </dataValidation>
    <dataValidation allowBlank="true" operator="between" showDropDown="false" showErrorMessage="true" showInputMessage="false" sqref="G37" type="list">
      <formula1>'.sector-calc, IFC'!#REF!</formula1>
      <formula2>0</formula2>
    </dataValidation>
    <dataValidation allowBlank="true" operator="between" showDropDown="false" showErrorMessage="true" showInputMessage="false" sqref="H37:I37" type="list">
      <formula1>'.theme-calc, IFC'!#REF!</formula1>
      <formula2>0</formula2>
    </dataValidation>
    <dataValidation allowBlank="true" operator="between" showDropDown="false" showErrorMessage="true" showInputMessage="false" sqref="C38:D38" type="list">
      <formula1>'.sector-calc, CCCS'!#REF!</formula1>
      <formula2>0</formula2>
    </dataValidation>
    <dataValidation allowBlank="true" operator="between" showDropDown="false" showErrorMessage="true" showInputMessage="false" sqref="E38:F38" type="list">
      <formula1>'.theme-calc, CCCS'!#REF!</formula1>
      <formula2>0</formula2>
    </dataValidation>
    <dataValidation allowBlank="true" operator="between" showDropDown="false" showErrorMessage="true" showInputMessage="false" sqref="G38" type="list">
      <formula1>'.sector-calc, IFC'!#REF!</formula1>
      <formula2>0</formula2>
    </dataValidation>
    <dataValidation allowBlank="true" operator="between" showDropDown="false" showErrorMessage="true" showInputMessage="false" sqref="H38:I38" type="list">
      <formula1>'.theme-calc, IFC'!#REF!</formula1>
      <formula2>0</formula2>
    </dataValidation>
    <dataValidation allowBlank="true" operator="between" showDropDown="false" showErrorMessage="true" showInputMessage="false" sqref="C39:D39" type="list">
      <formula1>'.sector-calc, CCCS'!#REF!</formula1>
      <formula2>0</formula2>
    </dataValidation>
    <dataValidation allowBlank="true" operator="between" showDropDown="false" showErrorMessage="true" showInputMessage="false" sqref="E39:F39" type="list">
      <formula1>'.theme-calc, CCCS'!#REF!</formula1>
      <formula2>0</formula2>
    </dataValidation>
    <dataValidation allowBlank="true" operator="between" showDropDown="false" showErrorMessage="true" showInputMessage="false" sqref="G39" type="list">
      <formula1>'.sector-calc, IFC'!#REF!</formula1>
      <formula2>0</formula2>
    </dataValidation>
    <dataValidation allowBlank="true" operator="between" showDropDown="false" showErrorMessage="true" showInputMessage="false" sqref="H39:I39" type="list">
      <formula1>'.theme-calc, IFC'!#REF!</formula1>
      <formula2>0</formula2>
    </dataValidation>
    <dataValidation allowBlank="true" operator="between" showDropDown="false" showErrorMessage="true" showInputMessage="false" sqref="C40:D40" type="list">
      <formula1>'.sector-calc, CCCS'!#REF!</formula1>
      <formula2>0</formula2>
    </dataValidation>
    <dataValidation allowBlank="true" operator="between" showDropDown="false" showErrorMessage="true" showInputMessage="false" sqref="E40:F40" type="list">
      <formula1>'.theme-calc, CCCS'!#REF!</formula1>
      <formula2>0</formula2>
    </dataValidation>
    <dataValidation allowBlank="true" operator="between" showDropDown="false" showErrorMessage="true" showInputMessage="false" sqref="G40" type="list">
      <formula1>'.sector-calc, IFC'!#REF!</formula1>
      <formula2>0</formula2>
    </dataValidation>
    <dataValidation allowBlank="true" operator="between" showDropDown="false" showErrorMessage="true" showInputMessage="false" sqref="H40:I40" type="list">
      <formula1>'.theme-calc, IFC'!#REF!</formula1>
      <formula2>0</formula2>
    </dataValidation>
    <dataValidation allowBlank="true" operator="between" showDropDown="false" showErrorMessage="true" showInputMessage="false" sqref="C41:D41" type="list">
      <formula1>'.sector-calc, CCCS'!#REF!</formula1>
      <formula2>0</formula2>
    </dataValidation>
    <dataValidation allowBlank="true" operator="between" showDropDown="false" showErrorMessage="true" showInputMessage="false" sqref="E41:F41" type="list">
      <formula1>'.theme-calc, CCCS'!#REF!</formula1>
      <formula2>0</formula2>
    </dataValidation>
    <dataValidation allowBlank="true" operator="between" showDropDown="false" showErrorMessage="true" showInputMessage="false" sqref="G41" type="list">
      <formula1>'.sector-calc, IFC'!#REF!</formula1>
      <formula2>0</formula2>
    </dataValidation>
    <dataValidation allowBlank="true" operator="between" showDropDown="false" showErrorMessage="true" showInputMessage="false" sqref="H41:I41" type="list">
      <formula1>'.theme-calc, IFC'!#REF!</formula1>
      <formula2>0</formula2>
    </dataValidation>
    <dataValidation allowBlank="true" operator="between" showDropDown="false" showErrorMessage="true" showInputMessage="false" sqref="C42:D42" type="list">
      <formula1>'.sector-calc, CCCS'!#REF!</formula1>
      <formula2>0</formula2>
    </dataValidation>
    <dataValidation allowBlank="true" operator="between" showDropDown="false" showErrorMessage="true" showInputMessage="false" sqref="E42:F42" type="list">
      <formula1>'.theme-calc, CCCS'!#REF!</formula1>
      <formula2>0</formula2>
    </dataValidation>
    <dataValidation allowBlank="true" operator="between" showDropDown="false" showErrorMessage="true" showInputMessage="false" sqref="G42" type="list">
      <formula1>'.sector-calc, IFC'!#REF!</formula1>
      <formula2>0</formula2>
    </dataValidation>
    <dataValidation allowBlank="true" operator="between" showDropDown="false" showErrorMessage="true" showInputMessage="false" sqref="H42:I42" type="list">
      <formula1>'.theme-calc, IFC'!#REF!</formula1>
      <formula2>0</formula2>
    </dataValidation>
    <dataValidation allowBlank="true" operator="between" showDropDown="false" showErrorMessage="true" showInputMessage="false" sqref="C43:D43" type="list">
      <formula1>'.sector-calc, CCCS'!#REF!</formula1>
      <formula2>0</formula2>
    </dataValidation>
    <dataValidation allowBlank="true" operator="between" showDropDown="false" showErrorMessage="true" showInputMessage="false" sqref="E43:F43" type="list">
      <formula1>'.theme-calc, CCCS'!#REF!</formula1>
      <formula2>0</formula2>
    </dataValidation>
    <dataValidation allowBlank="true" operator="between" showDropDown="false" showErrorMessage="true" showInputMessage="false" sqref="G43" type="list">
      <formula1>'.sector-calc, IFC'!#REF!</formula1>
      <formula2>0</formula2>
    </dataValidation>
    <dataValidation allowBlank="true" operator="between" showDropDown="false" showErrorMessage="true" showInputMessage="false" sqref="H43:I43" type="list">
      <formula1>'.theme-calc, IFC'!#REF!</formula1>
      <formula2>0</formula2>
    </dataValidation>
    <dataValidation allowBlank="true" operator="between" showDropDown="false" showErrorMessage="true" showInputMessage="false" sqref="C44:D44" type="list">
      <formula1>'.sector-calc, CCCS'!#REF!</formula1>
      <formula2>0</formula2>
    </dataValidation>
    <dataValidation allowBlank="true" operator="between" showDropDown="false" showErrorMessage="true" showInputMessage="false" sqref="E44:F44" type="list">
      <formula1>'.theme-calc, CCCS'!#REF!</formula1>
      <formula2>0</formula2>
    </dataValidation>
    <dataValidation allowBlank="true" operator="between" showDropDown="false" showErrorMessage="true" showInputMessage="false" sqref="G44" type="list">
      <formula1>'.sector-calc, IFC'!#REF!</formula1>
      <formula2>0</formula2>
    </dataValidation>
    <dataValidation allowBlank="true" operator="between" showDropDown="false" showErrorMessage="true" showInputMessage="false" sqref="H44:I44" type="list">
      <formula1>'.theme-calc, IFC'!#REF!</formula1>
      <formula2>0</formula2>
    </dataValidation>
    <dataValidation allowBlank="true" operator="between" showDropDown="false" showErrorMessage="true" showInputMessage="false" sqref="C45:D45" type="list">
      <formula1>'.sector-calc, CCCS'!#REF!</formula1>
      <formula2>0</formula2>
    </dataValidation>
    <dataValidation allowBlank="true" operator="between" showDropDown="false" showErrorMessage="true" showInputMessage="false" sqref="E45:F45" type="list">
      <formula1>'.theme-calc, CCCS'!#REF!</formula1>
      <formula2>0</formula2>
    </dataValidation>
    <dataValidation allowBlank="true" operator="between" showDropDown="false" showErrorMessage="true" showInputMessage="false" sqref="G45" type="list">
      <formula1>'.sector-calc, IFC'!#REF!</formula1>
      <formula2>0</formula2>
    </dataValidation>
    <dataValidation allowBlank="true" operator="between" showDropDown="false" showErrorMessage="true" showInputMessage="false" sqref="H45:I45" type="list">
      <formula1>'.theme-calc, IFC'!#REF!</formula1>
      <formula2>0</formula2>
    </dataValidation>
    <dataValidation allowBlank="true" operator="between" showDropDown="false" showErrorMessage="true" showInputMessage="false" sqref="C46:D46" type="list">
      <formula1>'.sector-calc, CCCS'!#REF!</formula1>
      <formula2>0</formula2>
    </dataValidation>
    <dataValidation allowBlank="true" operator="between" showDropDown="false" showErrorMessage="true" showInputMessage="false" sqref="E46:F46" type="list">
      <formula1>'.theme-calc, CCCS'!#REF!</formula1>
      <formula2>0</formula2>
    </dataValidation>
    <dataValidation allowBlank="true" operator="between" showDropDown="false" showErrorMessage="true" showInputMessage="false" sqref="G46" type="list">
      <formula1>'.sector-calc, IFC'!#REF!</formula1>
      <formula2>0</formula2>
    </dataValidation>
    <dataValidation allowBlank="true" operator="between" showDropDown="false" showErrorMessage="true" showInputMessage="false" sqref="H46:I46" type="list">
      <formula1>'.theme-calc, IFC'!#REF!</formula1>
      <formula2>0</formula2>
    </dataValidation>
    <dataValidation allowBlank="true" operator="between" showDropDown="false" showErrorMessage="true" showInputMessage="false" sqref="C47:D47" type="list">
      <formula1>'.sector-calc, CCCS'!#REF!</formula1>
      <formula2>0</formula2>
    </dataValidation>
    <dataValidation allowBlank="true" operator="between" showDropDown="false" showErrorMessage="true" showInputMessage="false" sqref="E47:F47" type="list">
      <formula1>'.theme-calc, CCCS'!#REF!</formula1>
      <formula2>0</formula2>
    </dataValidation>
    <dataValidation allowBlank="true" operator="between" showDropDown="false" showErrorMessage="true" showInputMessage="false" sqref="G47" type="list">
      <formula1>'.sector-calc, IFC'!#REF!</formula1>
      <formula2>0</formula2>
    </dataValidation>
    <dataValidation allowBlank="true" operator="between" showDropDown="false" showErrorMessage="true" showInputMessage="false" sqref="H47:I47" type="list">
      <formula1>'.theme-calc, IFC'!#REF!</formula1>
      <formula2>0</formula2>
    </dataValidation>
    <dataValidation allowBlank="true" operator="between" showDropDown="false" showErrorMessage="true" showInputMessage="false" sqref="C48:D48" type="list">
      <formula1>'.sector-calc, CCCS'!#REF!</formula1>
      <formula2>0</formula2>
    </dataValidation>
    <dataValidation allowBlank="true" operator="between" showDropDown="false" showErrorMessage="true" showInputMessage="false" sqref="E48:F48" type="list">
      <formula1>'.theme-calc, CCCS'!#REF!</formula1>
      <formula2>0</formula2>
    </dataValidation>
    <dataValidation allowBlank="true" operator="between" showDropDown="false" showErrorMessage="true" showInputMessage="false" sqref="G48" type="list">
      <formula1>'.sector-calc, IFC'!#REF!</formula1>
      <formula2>0</formula2>
    </dataValidation>
    <dataValidation allowBlank="true" operator="between" showDropDown="false" showErrorMessage="true" showInputMessage="false" sqref="H48:I48" type="list">
      <formula1>'.theme-calc, IFC'!#REF!</formula1>
      <formula2>0</formula2>
    </dataValidation>
    <dataValidation allowBlank="true" operator="between" showDropDown="false" showErrorMessage="true" showInputMessage="false" sqref="C49:D49" type="list">
      <formula1>'.sector-calc, CCCS'!#REF!</formula1>
      <formula2>0</formula2>
    </dataValidation>
    <dataValidation allowBlank="true" operator="between" showDropDown="false" showErrorMessage="true" showInputMessage="false" sqref="E49:F49" type="list">
      <formula1>'.theme-calc, CCCS'!#REF!</formula1>
      <formula2>0</formula2>
    </dataValidation>
    <dataValidation allowBlank="true" operator="between" showDropDown="false" showErrorMessage="true" showInputMessage="false" sqref="G49" type="list">
      <formula1>'.sector-calc, IFC'!#REF!</formula1>
      <formula2>0</formula2>
    </dataValidation>
    <dataValidation allowBlank="true" operator="between" showDropDown="false" showErrorMessage="true" showInputMessage="false" sqref="H49:I49" type="list">
      <formula1>'.theme-calc, IFC'!#REF!</formula1>
      <formula2>0</formula2>
    </dataValidation>
    <dataValidation allowBlank="true" operator="between" showDropDown="false" showErrorMessage="true" showInputMessage="false" sqref="C50:D50" type="list">
      <formula1>'.sector-calc, CCCS'!#REF!</formula1>
      <formula2>0</formula2>
    </dataValidation>
    <dataValidation allowBlank="true" operator="between" showDropDown="false" showErrorMessage="true" showInputMessage="false" sqref="E50:F50" type="list">
      <formula1>'.theme-calc, CCCS'!#REF!</formula1>
      <formula2>0</formula2>
    </dataValidation>
    <dataValidation allowBlank="true" operator="between" showDropDown="false" showErrorMessage="true" showInputMessage="false" sqref="G50" type="list">
      <formula1>'.sector-calc, IFC'!#REF!</formula1>
      <formula2>0</formula2>
    </dataValidation>
    <dataValidation allowBlank="true" operator="between" showDropDown="false" showErrorMessage="true" showInputMessage="false" sqref="H50:I50" type="list">
      <formula1>'.theme-calc, IFC'!#REF!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sheetFormatPr defaultRowHeight="12.75"/>
  <cols>
    <col collapsed="false" hidden="false" max="1" min="1" style="0" width="22.0051020408163"/>
    <col collapsed="false" hidden="false" max="2" min="2" style="0" width="31.5714285714286"/>
    <col collapsed="false" hidden="false" max="3" min="3" style="0" width="23.8673469387755"/>
    <col collapsed="false" hidden="false" max="4" min="4" style="0" width="33.5663265306122"/>
    <col collapsed="false" hidden="false" max="5" min="5" style="0" width="67.8622448979592"/>
    <col collapsed="false" hidden="false" max="6" min="6" style="0" width="26.2857142857143"/>
    <col collapsed="false" hidden="false" max="1025" min="7" style="0" width="17.1326530612245"/>
  </cols>
  <sheetData>
    <row collapsed="false" customFormat="false" customHeight="false" hidden="false" ht="12.75" outlineLevel="0" r="1">
      <c r="A1" s="22" t="s">
        <v>123</v>
      </c>
      <c r="B1" s="22" t="s">
        <v>124</v>
      </c>
      <c r="C1" s="22" t="s">
        <v>31</v>
      </c>
      <c r="D1" s="22" t="s">
        <v>125</v>
      </c>
      <c r="E1" s="22" t="s">
        <v>126</v>
      </c>
      <c r="F1" s="23" t="s">
        <v>127</v>
      </c>
    </row>
    <row collapsed="false" customFormat="false" customHeight="false" hidden="false" ht="12.75" outlineLevel="0" r="2">
      <c r="A2" s="24" t="s">
        <v>128</v>
      </c>
      <c r="B2" s="24" t="s">
        <v>129</v>
      </c>
      <c r="C2" s="24" t="s">
        <v>130</v>
      </c>
      <c r="D2" s="24" t="s">
        <v>131</v>
      </c>
      <c r="E2" s="25" t="s">
        <v>132</v>
      </c>
      <c r="F2" s="26"/>
    </row>
    <row collapsed="false" customFormat="false" customHeight="false" hidden="false" ht="12.75" outlineLevel="0" r="3">
      <c r="A3" s="24" t="s">
        <v>133</v>
      </c>
      <c r="B3" s="27" t="s">
        <v>134</v>
      </c>
      <c r="C3" s="24" t="s">
        <v>135</v>
      </c>
      <c r="D3" s="24" t="s">
        <v>136</v>
      </c>
      <c r="E3" s="28"/>
      <c r="F3" s="26"/>
    </row>
    <row collapsed="false" customFormat="false" customHeight="false" hidden="false" ht="12.75" outlineLevel="0" r="4">
      <c r="A4" s="24" t="s">
        <v>137</v>
      </c>
      <c r="B4" s="24" t="s">
        <v>138</v>
      </c>
      <c r="C4" s="24" t="s">
        <v>130</v>
      </c>
      <c r="D4" s="24" t="s">
        <v>139</v>
      </c>
      <c r="E4" s="25" t="s">
        <v>140</v>
      </c>
      <c r="F4" s="26"/>
    </row>
    <row collapsed="false" customFormat="false" customHeight="false" hidden="false" ht="12.75" outlineLevel="0" r="5">
      <c r="A5" s="24" t="s">
        <v>141</v>
      </c>
      <c r="B5" s="24" t="s">
        <v>142</v>
      </c>
      <c r="C5" s="24" t="s">
        <v>20</v>
      </c>
      <c r="D5" s="24" t="s">
        <v>143</v>
      </c>
      <c r="E5" s="25" t="s">
        <v>144</v>
      </c>
      <c r="F5" s="26"/>
    </row>
    <row collapsed="false" customFormat="false" customHeight="false" hidden="false" ht="12.75" outlineLevel="0" r="6">
      <c r="A6" s="24" t="s">
        <v>145</v>
      </c>
      <c r="B6" s="24" t="s">
        <v>146</v>
      </c>
      <c r="C6" s="24" t="s">
        <v>147</v>
      </c>
      <c r="D6" s="24" t="s">
        <v>148</v>
      </c>
      <c r="E6" s="25" t="s">
        <v>149</v>
      </c>
      <c r="F6" s="26"/>
    </row>
    <row collapsed="false" customFormat="false" customHeight="false" hidden="false" ht="12.75" outlineLevel="0" r="7">
      <c r="A7" s="24" t="s">
        <v>150</v>
      </c>
      <c r="B7" s="24" t="s">
        <v>56</v>
      </c>
      <c r="C7" s="24" t="s">
        <v>151</v>
      </c>
      <c r="D7" s="24" t="s">
        <v>152</v>
      </c>
      <c r="E7" s="25" t="s">
        <v>153</v>
      </c>
      <c r="F7" s="26"/>
    </row>
    <row collapsed="false" customFormat="false" customHeight="false" hidden="false" ht="12.75" outlineLevel="0" r="8">
      <c r="A8" s="24" t="s">
        <v>154</v>
      </c>
      <c r="B8" s="24" t="s">
        <v>155</v>
      </c>
      <c r="C8" s="24" t="s">
        <v>20</v>
      </c>
      <c r="D8" s="24" t="s">
        <v>156</v>
      </c>
      <c r="E8" s="25" t="s">
        <v>157</v>
      </c>
      <c r="F8" s="26"/>
    </row>
    <row collapsed="false" customFormat="false" customHeight="false" hidden="false" ht="12.75" outlineLevel="0" r="9">
      <c r="A9" s="24" t="s">
        <v>158</v>
      </c>
      <c r="B9" s="24" t="s">
        <v>159</v>
      </c>
      <c r="C9" s="24" t="s">
        <v>20</v>
      </c>
      <c r="D9" s="24" t="s">
        <v>160</v>
      </c>
      <c r="E9" s="25" t="s">
        <v>161</v>
      </c>
      <c r="F9" s="26"/>
    </row>
    <row collapsed="false" customFormat="false" customHeight="false" hidden="false" ht="12.75" outlineLevel="0" r="10">
      <c r="A10" s="24" t="s">
        <v>162</v>
      </c>
      <c r="B10" s="24" t="s">
        <v>163</v>
      </c>
      <c r="C10" s="24" t="s">
        <v>20</v>
      </c>
      <c r="D10" s="24" t="s">
        <v>164</v>
      </c>
      <c r="E10" s="25" t="s">
        <v>165</v>
      </c>
      <c r="F10" s="26"/>
    </row>
    <row collapsed="false" customFormat="false" customHeight="false" hidden="false" ht="12.75" outlineLevel="0" r="11">
      <c r="A11" s="24" t="s">
        <v>166</v>
      </c>
      <c r="B11" s="24" t="s">
        <v>163</v>
      </c>
      <c r="C11" s="24" t="s">
        <v>20</v>
      </c>
      <c r="D11" s="24" t="s">
        <v>167</v>
      </c>
      <c r="E11" s="25" t="s">
        <v>168</v>
      </c>
      <c r="F11" s="26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0"/>
  <sheetViews>
    <sheetView colorId="64" defaultGridColor="true" rightToLeft="false" showFormulas="false" showGridLines="true" showOutlineSymbols="true" showRowColHeaders="true" showZeros="true" tabSelected="false" topLeftCell="A1" view="normal" windowProtection="true" workbookViewId="0" zoomScale="100" zoomScaleNormal="100" zoomScalePageLayoutView="100">
      <pane activePane="bottomLeft" state="frozen" topLeftCell="A2" xSplit="0" ySplit="1"/>
      <selection activeCell="A1" activeCellId="0" pane="topLeft" sqref="A1"/>
      <selection activeCell="A2" activeCellId="0" pane="bottomLeft" sqref="A2"/>
    </sheetView>
  </sheetViews>
  <sheetFormatPr defaultRowHeight="12.75"/>
  <cols>
    <col collapsed="false" hidden="false" max="1" min="1" style="0" width="17.7091836734694"/>
    <col collapsed="false" hidden="false" max="2" min="2" style="0" width="41.7142857142857"/>
    <col collapsed="false" hidden="false" max="3" min="3" style="0" width="17.5765306122449"/>
    <col collapsed="false" hidden="false" max="4" min="4" style="0" width="26.2857142857143"/>
    <col collapsed="false" hidden="false" max="5" min="5" style="0" width="17.1326530612245"/>
    <col collapsed="false" hidden="false" max="6" min="6" style="0" width="10.5765306122449"/>
    <col collapsed="false" hidden="false" max="7" min="7" style="0" width="25.1377551020408"/>
    <col collapsed="false" hidden="false" max="8" min="8" style="0" width="17.1326530612245"/>
    <col collapsed="false" hidden="false" max="9" min="9" style="0" width="22.1377551020408"/>
    <col collapsed="false" hidden="false" max="10" min="10" style="0" width="20.7091836734694"/>
    <col collapsed="false" hidden="false" max="11" min="11" style="0" width="17.1326530612245"/>
    <col collapsed="false" hidden="false" max="12" min="12" style="0" width="24.8673469387755"/>
    <col collapsed="false" hidden="false" max="13" min="13" style="0" width="24.2908163265306"/>
    <col collapsed="false" hidden="false" max="17" min="14" style="0" width="17.1326530612245"/>
    <col collapsed="false" hidden="false" max="18" min="18" style="0" width="75.2908163265306"/>
    <col collapsed="false" hidden="false" max="19" min="19" style="0" width="34.2857142857143"/>
    <col collapsed="false" hidden="false" max="21" min="20" style="0" width="26.2857142857143"/>
    <col collapsed="false" hidden="false" max="23" min="22" style="0" width="21.5714285714286"/>
    <col collapsed="false" hidden="false" max="1025" min="24" style="0" width="17.1326530612245"/>
  </cols>
  <sheetData>
    <row collapsed="false" customFormat="false" customHeight="false" hidden="false" ht="12.75" outlineLevel="0" r="1">
      <c r="A1" s="29" t="s">
        <v>169</v>
      </c>
      <c r="B1" s="29" t="s">
        <v>170</v>
      </c>
      <c r="C1" s="29" t="s">
        <v>171</v>
      </c>
      <c r="D1" s="30" t="s">
        <v>172</v>
      </c>
      <c r="E1" s="30" t="s">
        <v>173</v>
      </c>
      <c r="F1" s="31" t="s">
        <v>174</v>
      </c>
      <c r="G1" s="30" t="s">
        <v>175</v>
      </c>
      <c r="H1" s="30" t="s">
        <v>176</v>
      </c>
      <c r="I1" s="29" t="s">
        <v>177</v>
      </c>
      <c r="J1" s="30" t="s">
        <v>125</v>
      </c>
      <c r="K1" s="32" t="s">
        <v>178</v>
      </c>
      <c r="L1" s="32" t="s">
        <v>179</v>
      </c>
      <c r="M1" s="32" t="s">
        <v>180</v>
      </c>
      <c r="N1" s="32" t="s">
        <v>181</v>
      </c>
      <c r="O1" s="29" t="s">
        <v>182</v>
      </c>
      <c r="P1" s="29" t="s">
        <v>183</v>
      </c>
      <c r="Q1" s="30" t="s">
        <v>184</v>
      </c>
      <c r="R1" s="30" t="s">
        <v>185</v>
      </c>
      <c r="S1" s="30" t="s">
        <v>186</v>
      </c>
      <c r="T1" s="33" t="s">
        <v>187</v>
      </c>
      <c r="U1" s="33" t="s">
        <v>188</v>
      </c>
      <c r="V1" s="33" t="s">
        <v>189</v>
      </c>
      <c r="W1" s="33" t="s">
        <v>190</v>
      </c>
      <c r="X1" s="34" t="s">
        <v>191</v>
      </c>
      <c r="Y1" s="34" t="s">
        <v>192</v>
      </c>
      <c r="Z1" s="34" t="s">
        <v>193</v>
      </c>
    </row>
    <row collapsed="false" customFormat="false" customHeight="false" hidden="false" ht="12.75" outlineLevel="0" r="2">
      <c r="A2" s="35" t="s">
        <v>133</v>
      </c>
      <c r="B2" s="36" t="s">
        <v>194</v>
      </c>
      <c r="C2" s="36"/>
      <c r="D2" s="36"/>
      <c r="E2" s="37" t="s">
        <v>195</v>
      </c>
      <c r="F2" s="36" t="s">
        <v>196</v>
      </c>
      <c r="G2" s="36"/>
      <c r="H2" s="36"/>
      <c r="I2" s="36" t="s">
        <v>197</v>
      </c>
      <c r="J2" s="36" t="s">
        <v>198</v>
      </c>
      <c r="K2" s="36"/>
      <c r="L2" s="36" t="s">
        <v>199</v>
      </c>
      <c r="M2" s="36" t="s">
        <v>200</v>
      </c>
      <c r="N2" s="36"/>
      <c r="O2" s="36"/>
      <c r="P2" s="36"/>
      <c r="Q2" s="36"/>
      <c r="R2" s="38" t="s">
        <v>201</v>
      </c>
      <c r="S2" s="36"/>
      <c r="T2" s="35"/>
      <c r="U2" s="36"/>
      <c r="V2" s="36"/>
      <c r="W2" s="36"/>
      <c r="X2" s="16"/>
      <c r="Y2" s="16"/>
      <c r="Z2" s="21" t="s">
        <v>106</v>
      </c>
    </row>
    <row collapsed="false" customFormat="false" customHeight="false" hidden="false" ht="12.75" outlineLevel="0" r="3">
      <c r="A3" s="35" t="s">
        <v>133</v>
      </c>
      <c r="B3" s="36" t="s">
        <v>202</v>
      </c>
      <c r="C3" s="36"/>
      <c r="D3" s="36"/>
      <c r="E3" s="39" t="s">
        <v>20</v>
      </c>
      <c r="F3" s="36" t="s">
        <v>203</v>
      </c>
      <c r="G3" s="36"/>
      <c r="H3" s="36"/>
      <c r="I3" s="36"/>
      <c r="J3" s="36" t="s">
        <v>204</v>
      </c>
      <c r="K3" s="36"/>
      <c r="L3" s="36"/>
      <c r="M3" s="36" t="s">
        <v>68</v>
      </c>
      <c r="N3" s="36"/>
      <c r="O3" s="36"/>
      <c r="P3" s="36"/>
      <c r="Q3" s="36"/>
      <c r="R3" s="36"/>
      <c r="S3" s="36"/>
      <c r="T3" s="35"/>
      <c r="U3" s="36"/>
      <c r="V3" s="36"/>
      <c r="W3" s="36"/>
      <c r="X3" s="21" t="s">
        <v>100</v>
      </c>
      <c r="Y3" s="21" t="s">
        <v>101</v>
      </c>
      <c r="Z3" s="21" t="s">
        <v>106</v>
      </c>
    </row>
    <row collapsed="false" customFormat="false" customHeight="false" hidden="false" ht="12.75" outlineLevel="0" r="4">
      <c r="A4" s="35" t="s">
        <v>205</v>
      </c>
      <c r="B4" s="36" t="s">
        <v>138</v>
      </c>
      <c r="C4" s="36"/>
      <c r="D4" s="36"/>
      <c r="E4" s="40" t="s">
        <v>130</v>
      </c>
      <c r="F4" s="36"/>
      <c r="G4" s="36"/>
      <c r="H4" s="36"/>
      <c r="I4" s="36"/>
      <c r="J4" s="36" t="s">
        <v>139</v>
      </c>
      <c r="K4" s="36"/>
      <c r="L4" s="36"/>
      <c r="M4" s="36" t="s">
        <v>206</v>
      </c>
      <c r="N4" s="36"/>
      <c r="O4" s="36"/>
      <c r="P4" s="36"/>
      <c r="Q4" s="36"/>
      <c r="R4" s="36" t="s">
        <v>207</v>
      </c>
      <c r="S4" s="36"/>
      <c r="T4" s="35"/>
      <c r="U4" s="36"/>
      <c r="V4" s="36"/>
      <c r="W4" s="36"/>
      <c r="X4" s="21" t="s">
        <v>100</v>
      </c>
      <c r="Y4" s="21" t="s">
        <v>107</v>
      </c>
      <c r="Z4" s="16"/>
    </row>
    <row collapsed="false" customFormat="false" customHeight="false" hidden="false" ht="12.75" outlineLevel="0" r="5">
      <c r="A5" s="35"/>
      <c r="B5" s="36" t="s">
        <v>208</v>
      </c>
      <c r="C5" s="36"/>
      <c r="D5" s="36"/>
      <c r="E5" s="39" t="s">
        <v>20</v>
      </c>
      <c r="F5" s="36" t="s">
        <v>203</v>
      </c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5"/>
      <c r="U5" s="36"/>
      <c r="V5" s="36"/>
      <c r="W5" s="36"/>
      <c r="X5" s="21" t="s">
        <v>117</v>
      </c>
      <c r="Y5" s="21" t="s">
        <v>118</v>
      </c>
      <c r="Z5" s="16"/>
    </row>
    <row collapsed="false" customFormat="false" customHeight="false" hidden="false" ht="12.75" outlineLevel="0" r="6">
      <c r="A6" s="35" t="s">
        <v>141</v>
      </c>
      <c r="B6" s="36" t="s">
        <v>209</v>
      </c>
      <c r="C6" s="36"/>
      <c r="D6" s="36"/>
      <c r="E6" s="39" t="s">
        <v>20</v>
      </c>
      <c r="F6" s="36" t="s">
        <v>203</v>
      </c>
      <c r="G6" s="36"/>
      <c r="H6" s="36"/>
      <c r="I6" s="36"/>
      <c r="J6" s="36" t="s">
        <v>143</v>
      </c>
      <c r="K6" s="36"/>
      <c r="L6" s="36" t="s">
        <v>142</v>
      </c>
      <c r="M6" s="36" t="s">
        <v>210</v>
      </c>
      <c r="N6" s="36"/>
      <c r="O6" s="36"/>
      <c r="P6" s="36"/>
      <c r="Q6" s="36"/>
      <c r="R6" s="36"/>
      <c r="S6" s="36"/>
      <c r="T6" s="35"/>
      <c r="U6" s="36"/>
      <c r="V6" s="36"/>
      <c r="W6" s="36"/>
      <c r="X6" s="21" t="s">
        <v>100</v>
      </c>
      <c r="Y6" s="21" t="s">
        <v>112</v>
      </c>
      <c r="Z6" s="16"/>
    </row>
    <row collapsed="false" customFormat="false" customHeight="false" hidden="false" ht="12.75" outlineLevel="0" r="7">
      <c r="A7" s="35" t="s">
        <v>145</v>
      </c>
      <c r="B7" s="36" t="s">
        <v>211</v>
      </c>
      <c r="C7" s="36"/>
      <c r="D7" s="36"/>
      <c r="E7" s="39" t="s">
        <v>20</v>
      </c>
      <c r="F7" s="36" t="s">
        <v>203</v>
      </c>
      <c r="G7" s="36"/>
      <c r="H7" s="36"/>
      <c r="I7" s="36"/>
      <c r="J7" s="36" t="s">
        <v>212</v>
      </c>
      <c r="K7" s="36"/>
      <c r="L7" s="36" t="s">
        <v>213</v>
      </c>
      <c r="M7" s="36" t="s">
        <v>214</v>
      </c>
      <c r="N7" s="36"/>
      <c r="O7" s="36"/>
      <c r="P7" s="36"/>
      <c r="Q7" s="36"/>
      <c r="R7" s="36"/>
      <c r="S7" s="36"/>
      <c r="T7" s="35"/>
      <c r="U7" s="36"/>
      <c r="V7" s="36"/>
      <c r="W7" s="36"/>
      <c r="X7" s="21" t="s">
        <v>100</v>
      </c>
      <c r="Y7" s="21" t="s">
        <v>112</v>
      </c>
      <c r="Z7" s="21" t="s">
        <v>99</v>
      </c>
    </row>
    <row collapsed="false" customFormat="false" customHeight="false" hidden="false" ht="12.75" outlineLevel="0" r="8">
      <c r="A8" s="41" t="s">
        <v>215</v>
      </c>
      <c r="B8" s="36" t="s">
        <v>216</v>
      </c>
      <c r="C8" s="36"/>
      <c r="D8" s="36"/>
      <c r="E8" s="39" t="s">
        <v>20</v>
      </c>
      <c r="F8" s="36" t="s">
        <v>203</v>
      </c>
      <c r="G8" s="36"/>
      <c r="H8" s="36"/>
      <c r="I8" s="36"/>
      <c r="J8" s="36" t="s">
        <v>217</v>
      </c>
      <c r="K8" s="36"/>
      <c r="L8" s="36"/>
      <c r="M8" s="36" t="s">
        <v>218</v>
      </c>
      <c r="N8" s="36"/>
      <c r="O8" s="36"/>
      <c r="P8" s="36"/>
      <c r="Q8" s="36"/>
      <c r="R8" s="36"/>
      <c r="S8" s="36"/>
      <c r="T8" s="35"/>
      <c r="U8" s="36"/>
      <c r="V8" s="36"/>
      <c r="W8" s="36"/>
      <c r="X8" s="16"/>
      <c r="Y8" s="16"/>
      <c r="Z8" s="21" t="s">
        <v>106</v>
      </c>
    </row>
    <row collapsed="false" customFormat="false" customHeight="false" hidden="false" ht="12.75" outlineLevel="0" r="9">
      <c r="A9" s="41" t="s">
        <v>215</v>
      </c>
      <c r="B9" s="36" t="s">
        <v>219</v>
      </c>
      <c r="C9" s="36"/>
      <c r="D9" s="36"/>
      <c r="E9" s="39" t="s">
        <v>20</v>
      </c>
      <c r="F9" s="36" t="s">
        <v>203</v>
      </c>
      <c r="G9" s="36"/>
      <c r="H9" s="36"/>
      <c r="I9" s="36"/>
      <c r="J9" s="36" t="s">
        <v>217</v>
      </c>
      <c r="K9" s="36"/>
      <c r="L9" s="36"/>
      <c r="M9" s="36" t="s">
        <v>218</v>
      </c>
      <c r="N9" s="36"/>
      <c r="O9" s="36"/>
      <c r="P9" s="36"/>
      <c r="Q9" s="36"/>
      <c r="R9" s="36"/>
      <c r="S9" s="36"/>
      <c r="T9" s="35"/>
      <c r="U9" s="36"/>
      <c r="V9" s="36"/>
      <c r="W9" s="36"/>
      <c r="X9" s="16"/>
      <c r="Y9" s="16"/>
      <c r="Z9" s="21" t="s">
        <v>106</v>
      </c>
    </row>
    <row collapsed="false" customFormat="false" customHeight="false" hidden="false" ht="12.75" outlineLevel="0" r="10">
      <c r="A10" s="41" t="s">
        <v>154</v>
      </c>
      <c r="B10" s="36" t="s">
        <v>220</v>
      </c>
      <c r="C10" s="36"/>
      <c r="D10" s="36"/>
      <c r="E10" s="39" t="s">
        <v>20</v>
      </c>
      <c r="F10" s="36" t="s">
        <v>203</v>
      </c>
      <c r="G10" s="36"/>
      <c r="H10" s="36"/>
      <c r="I10" s="36"/>
      <c r="J10" s="36" t="s">
        <v>221</v>
      </c>
      <c r="K10" s="36"/>
      <c r="L10" s="36" t="s">
        <v>222</v>
      </c>
      <c r="M10" s="36" t="s">
        <v>223</v>
      </c>
      <c r="N10" s="36"/>
      <c r="O10" s="36"/>
      <c r="P10" s="36"/>
      <c r="Q10" s="36"/>
      <c r="R10" s="36" t="s">
        <v>224</v>
      </c>
      <c r="S10" s="36"/>
      <c r="T10" s="35"/>
      <c r="U10" s="36"/>
      <c r="V10" s="36"/>
      <c r="W10" s="36"/>
      <c r="X10" s="21" t="s">
        <v>100</v>
      </c>
      <c r="Y10" s="21" t="s">
        <v>112</v>
      </c>
      <c r="Z10" s="21" t="s">
        <v>106</v>
      </c>
    </row>
  </sheetData>
  <dataValidations count="45">
    <dataValidation allowBlank="true" operator="between" prompt="validationFailed" showDropDown="false" showErrorMessage="true" showInputMessage="true" sqref="F2" type="list">
      <formula1>'.country-calc, CCCS'!#REF!</formula1>
      <formula2>0</formula2>
    </dataValidation>
    <dataValidation allowBlank="true" operator="between" showDropDown="false" showErrorMessage="true" showInputMessage="false" sqref="T2:U2" type="list">
      <formula1>'.theme-calc, CCCS'!#REF!</formula1>
      <formula2>0</formula2>
    </dataValidation>
    <dataValidation allowBlank="true" operator="between" showDropDown="false" showErrorMessage="true" showInputMessage="false" sqref="V2:W2" type="list">
      <formula1>'.sector-calc, CCCS'!#REF!</formula1>
      <formula2>0</formula2>
    </dataValidation>
    <dataValidation allowBlank="true" operator="between" showDropDown="false" showErrorMessage="true" showInputMessage="false" sqref="X2:Y2" type="list">
      <formula1>'.theme-calc, IFC'!#REF!</formula1>
      <formula2>0</formula2>
    </dataValidation>
    <dataValidation allowBlank="true" operator="between" showDropDown="false" showErrorMessage="true" showInputMessage="false" sqref="Z2" type="list">
      <formula1>'.sector-calc, IFC'!#REF!</formula1>
      <formula2>0</formula2>
    </dataValidation>
    <dataValidation allowBlank="true" operator="between" showDropDown="false" showErrorMessage="true" showInputMessage="false" sqref="F3" type="list">
      <formula1>'.country-calc, CCCS'!#REF!</formula1>
      <formula2>0</formula2>
    </dataValidation>
    <dataValidation allowBlank="true" operator="between" showDropDown="false" showErrorMessage="true" showInputMessage="false" sqref="T3:U3" type="list">
      <formula1>'.theme-calc, CCCS'!#REF!</formula1>
      <formula2>0</formula2>
    </dataValidation>
    <dataValidation allowBlank="true" operator="between" showDropDown="false" showErrorMessage="true" showInputMessage="false" sqref="V3:W3" type="list">
      <formula1>'.sector-calc, CCCS'!#REF!</formula1>
      <formula2>0</formula2>
    </dataValidation>
    <dataValidation allowBlank="true" operator="between" showDropDown="false" showErrorMessage="true" showInputMessage="false" sqref="X3:Y3" type="list">
      <formula1>'.theme-calc, IFC'!#REF!</formula1>
      <formula2>0</formula2>
    </dataValidation>
    <dataValidation allowBlank="true" operator="between" showDropDown="false" showErrorMessage="true" showInputMessage="false" sqref="Z3" type="list">
      <formula1>'.sector-calc, IFC'!#REF!</formula1>
      <formula2>0</formula2>
    </dataValidation>
    <dataValidation allowBlank="true" operator="between" showDropDown="false" showErrorMessage="true" showInputMessage="false" sqref="F4" type="list">
      <formula1>'.country-calc, CCCS'!#REF!</formula1>
      <formula2>0</formula2>
    </dataValidation>
    <dataValidation allowBlank="true" operator="between" showDropDown="false" showErrorMessage="true" showInputMessage="false" sqref="T4:U4" type="list">
      <formula1>'.theme-calc, CCCS'!#REF!</formula1>
      <formula2>0</formula2>
    </dataValidation>
    <dataValidation allowBlank="true" operator="between" showDropDown="false" showErrorMessage="true" showInputMessage="false" sqref="V4:W4" type="list">
      <formula1>'.sector-calc, CCCS'!#REF!</formula1>
      <formula2>0</formula2>
    </dataValidation>
    <dataValidation allowBlank="true" operator="between" showDropDown="false" showErrorMessage="true" showInputMessage="false" sqref="X4:Y4" type="list">
      <formula1>'.theme-calc, IFC'!#REF!</formula1>
      <formula2>0</formula2>
    </dataValidation>
    <dataValidation allowBlank="true" operator="between" showDropDown="false" showErrorMessage="true" showInputMessage="false" sqref="Z4" type="list">
      <formula1>'.sector-calc, IFC'!#REF!</formula1>
      <formula2>0</formula2>
    </dataValidation>
    <dataValidation allowBlank="true" operator="between" showDropDown="false" showErrorMessage="true" showInputMessage="false" sqref="F5" type="list">
      <formula1>'.country-calc, CCCS'!#REF!</formula1>
      <formula2>0</formula2>
    </dataValidation>
    <dataValidation allowBlank="true" operator="between" showDropDown="false" showErrorMessage="true" showInputMessage="false" sqref="T5:U5" type="list">
      <formula1>'.theme-calc, CCCS'!#REF!</formula1>
      <formula2>0</formula2>
    </dataValidation>
    <dataValidation allowBlank="true" operator="between" showDropDown="false" showErrorMessage="true" showInputMessage="false" sqref="V5:W5" type="list">
      <formula1>'.sector-calc, CCCS'!#REF!</formula1>
      <formula2>0</formula2>
    </dataValidation>
    <dataValidation allowBlank="true" operator="between" showDropDown="false" showErrorMessage="true" showInputMessage="false" sqref="X5:Y5" type="list">
      <formula1>'.theme-calc, IFC'!#REF!</formula1>
      <formula2>0</formula2>
    </dataValidation>
    <dataValidation allowBlank="true" operator="between" showDropDown="false" showErrorMessage="true" showInputMessage="false" sqref="Z5" type="list">
      <formula1>'.sector-calc, IFC'!#REF!</formula1>
      <formula2>0</formula2>
    </dataValidation>
    <dataValidation allowBlank="true" operator="between" showDropDown="false" showErrorMessage="true" showInputMessage="false" sqref="F6" type="list">
      <formula1>'.country-calc, CCCS'!#REF!</formula1>
      <formula2>0</formula2>
    </dataValidation>
    <dataValidation allowBlank="true" operator="between" showDropDown="false" showErrorMessage="true" showInputMessage="false" sqref="T6:U6" type="list">
      <formula1>'.theme-calc, CCCS'!#REF!</formula1>
      <formula2>0</formula2>
    </dataValidation>
    <dataValidation allowBlank="true" operator="between" showDropDown="false" showErrorMessage="true" showInputMessage="false" sqref="V6:W6" type="list">
      <formula1>'.sector-calc, CCCS'!#REF!</formula1>
      <formula2>0</formula2>
    </dataValidation>
    <dataValidation allowBlank="true" operator="between" showDropDown="false" showErrorMessage="true" showInputMessage="false" sqref="X6:Y6" type="list">
      <formula1>'.theme-calc, IFC'!#REF!</formula1>
      <formula2>0</formula2>
    </dataValidation>
    <dataValidation allowBlank="true" operator="between" showDropDown="false" showErrorMessage="true" showInputMessage="false" sqref="Z6" type="list">
      <formula1>'.sector-calc, IFC'!#REF!</formula1>
      <formula2>0</formula2>
    </dataValidation>
    <dataValidation allowBlank="true" operator="between" showDropDown="false" showErrorMessage="true" showInputMessage="false" sqref="F7" type="list">
      <formula1>'.country-calc, CCCS'!#REF!</formula1>
      <formula2>0</formula2>
    </dataValidation>
    <dataValidation allowBlank="true" operator="between" showDropDown="false" showErrorMessage="true" showInputMessage="false" sqref="T7:U7" type="list">
      <formula1>'.theme-calc, CCCS'!#REF!</formula1>
      <formula2>0</formula2>
    </dataValidation>
    <dataValidation allowBlank="true" operator="between" showDropDown="false" showErrorMessage="true" showInputMessage="false" sqref="V7:W7" type="list">
      <formula1>'.sector-calc, CCCS'!#REF!</formula1>
      <formula2>0</formula2>
    </dataValidation>
    <dataValidation allowBlank="true" operator="between" showDropDown="false" showErrorMessage="true" showInputMessage="false" sqref="X7:Y7" type="list">
      <formula1>'.theme-calc, IFC'!#REF!</formula1>
      <formula2>0</formula2>
    </dataValidation>
    <dataValidation allowBlank="true" operator="between" showDropDown="false" showErrorMessage="true" showInputMessage="false" sqref="Z7" type="list">
      <formula1>'.sector-calc, IFC'!#REF!</formula1>
      <formula2>0</formula2>
    </dataValidation>
    <dataValidation allowBlank="true" operator="between" showDropDown="false" showErrorMessage="true" showInputMessage="false" sqref="F8" type="list">
      <formula1>'.country-calc, CCCS'!#REF!</formula1>
      <formula2>0</formula2>
    </dataValidation>
    <dataValidation allowBlank="true" operator="between" showDropDown="false" showErrorMessage="true" showInputMessage="false" sqref="T8:U8" type="list">
      <formula1>'.theme-calc, CCCS'!#REF!</formula1>
      <formula2>0</formula2>
    </dataValidation>
    <dataValidation allowBlank="true" operator="between" showDropDown="false" showErrorMessage="true" showInputMessage="false" sqref="V8:W8" type="list">
      <formula1>'.sector-calc, CCCS'!#REF!</formula1>
      <formula2>0</formula2>
    </dataValidation>
    <dataValidation allowBlank="true" operator="between" showDropDown="false" showErrorMessage="true" showInputMessage="false" sqref="X8:Y8" type="list">
      <formula1>'.theme-calc, IFC'!#REF!</formula1>
      <formula2>0</formula2>
    </dataValidation>
    <dataValidation allowBlank="true" operator="between" showDropDown="false" showErrorMessage="true" showInputMessage="false" sqref="Z8" type="list">
      <formula1>'.sector-calc, IFC'!#REF!</formula1>
      <formula2>0</formula2>
    </dataValidation>
    <dataValidation allowBlank="true" operator="between" showDropDown="false" showErrorMessage="true" showInputMessage="false" sqref="F9" type="list">
      <formula1>'.country-calc, CCCS'!#REF!</formula1>
      <formula2>0</formula2>
    </dataValidation>
    <dataValidation allowBlank="true" operator="between" showDropDown="false" showErrorMessage="true" showInputMessage="false" sqref="T9:U9" type="list">
      <formula1>'.theme-calc, CCCS'!#REF!</formula1>
      <formula2>0</formula2>
    </dataValidation>
    <dataValidation allowBlank="true" operator="between" showDropDown="false" showErrorMessage="true" showInputMessage="false" sqref="V9:W9" type="list">
      <formula1>'.sector-calc, CCCS'!#REF!</formula1>
      <formula2>0</formula2>
    </dataValidation>
    <dataValidation allowBlank="true" operator="between" showDropDown="false" showErrorMessage="true" showInputMessage="false" sqref="X9:Y9" type="list">
      <formula1>'.theme-calc, IFC'!#REF!</formula1>
      <formula2>0</formula2>
    </dataValidation>
    <dataValidation allowBlank="true" operator="between" showDropDown="false" showErrorMessage="true" showInputMessage="false" sqref="Z9" type="list">
      <formula1>'.sector-calc, IFC'!#REF!</formula1>
      <formula2>0</formula2>
    </dataValidation>
    <dataValidation allowBlank="true" operator="between" showDropDown="false" showErrorMessage="true" showInputMessage="false" sqref="F10" type="list">
      <formula1>'.country-calc, CCCS'!#REF!</formula1>
      <formula2>0</formula2>
    </dataValidation>
    <dataValidation allowBlank="true" operator="between" showDropDown="false" showErrorMessage="true" showInputMessage="false" sqref="T10:U10" type="list">
      <formula1>'.theme-calc, CCCS'!#REF!</formula1>
      <formula2>0</formula2>
    </dataValidation>
    <dataValidation allowBlank="true" operator="between" showDropDown="false" showErrorMessage="true" showInputMessage="false" sqref="V10:W10" type="list">
      <formula1>'.sector-calc, CCCS'!#REF!</formula1>
      <formula2>0</formula2>
    </dataValidation>
    <dataValidation allowBlank="true" operator="between" showDropDown="false" showErrorMessage="true" showInputMessage="false" sqref="X10:Y10" type="list">
      <formula1>'.theme-calc, IFC'!#REF!</formula1>
      <formula2>0</formula2>
    </dataValidation>
    <dataValidation allowBlank="true" operator="between" showDropDown="false" showErrorMessage="true" showInputMessage="false" sqref="Z10" type="list">
      <formula1>'.sector-calc, IFC'!#REF!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3"/>
  <sheetViews>
    <sheetView colorId="64" defaultGridColor="true" rightToLeft="false" showFormulas="false" showGridLines="true" showOutlineSymbols="true" showRowColHeaders="true" showZeros="true" tabSelected="false" topLeftCell="A1" view="normal" windowProtection="true" workbookViewId="0" zoomScale="100" zoomScaleNormal="100" zoomScalePageLayoutView="100">
      <pane activePane="bottomLeft" state="frozen" topLeftCell="A2" xSplit="0" ySplit="1"/>
      <selection activeCell="A1" activeCellId="0" pane="topLeft" sqref="A1"/>
      <selection activeCell="A2" activeCellId="0" pane="bottomLeft" sqref="A2"/>
    </sheetView>
  </sheetViews>
  <sheetFormatPr defaultRowHeight="12.75"/>
  <cols>
    <col collapsed="false" hidden="false" max="1" min="1" style="0" width="17.1326530612245"/>
    <col collapsed="false" hidden="false" max="2" min="2" style="0" width="21.2908163265306"/>
    <col collapsed="false" hidden="false" max="3" min="3" style="0" width="22.0051020408163"/>
    <col collapsed="false" hidden="false" max="4" min="4" style="0" width="39.5714285714286"/>
    <col collapsed="false" hidden="false" max="5" min="5" style="0" width="57.4234693877551"/>
    <col collapsed="false" hidden="false" max="6" min="6" style="0" width="21.8571428571429"/>
    <col collapsed="false" hidden="false" max="1025" min="7" style="0" width="17.1326530612245"/>
  </cols>
  <sheetData>
    <row collapsed="false" customFormat="false" customHeight="false" hidden="false" ht="12.75" outlineLevel="0" r="1">
      <c r="A1" s="42" t="s">
        <v>225</v>
      </c>
      <c r="B1" s="42" t="s">
        <v>226</v>
      </c>
      <c r="C1" s="42" t="s">
        <v>227</v>
      </c>
      <c r="D1" s="42" t="s">
        <v>228</v>
      </c>
      <c r="E1" s="42" t="s">
        <v>229</v>
      </c>
      <c r="F1" s="42" t="s">
        <v>230</v>
      </c>
    </row>
    <row collapsed="false" customFormat="false" customHeight="false" hidden="false" ht="12.75" outlineLevel="0" r="2">
      <c r="A2" s="26" t="n">
        <v>2011</v>
      </c>
      <c r="B2" s="26" t="s">
        <v>231</v>
      </c>
      <c r="C2" s="26" t="s">
        <v>232</v>
      </c>
      <c r="D2" s="26" t="s">
        <v>233</v>
      </c>
      <c r="E2" s="26" t="s">
        <v>234</v>
      </c>
      <c r="F2" s="26"/>
    </row>
    <row collapsed="false" customFormat="false" customHeight="false" hidden="false" ht="12.75" outlineLevel="0" r="3">
      <c r="A3" s="26" t="n">
        <v>2005</v>
      </c>
      <c r="B3" s="26" t="s">
        <v>231</v>
      </c>
      <c r="C3" s="26" t="s">
        <v>235</v>
      </c>
      <c r="D3" s="26" t="s">
        <v>236</v>
      </c>
      <c r="E3" s="26" t="s">
        <v>237</v>
      </c>
      <c r="F3" s="26"/>
    </row>
    <row collapsed="false" customFormat="false" customHeight="false" hidden="false" ht="12.75" outlineLevel="0" r="4">
      <c r="A4" s="26" t="n">
        <v>2001</v>
      </c>
      <c r="B4" s="26" t="s">
        <v>231</v>
      </c>
      <c r="C4" s="26" t="s">
        <v>238</v>
      </c>
      <c r="D4" s="26" t="s">
        <v>239</v>
      </c>
      <c r="E4" s="26" t="s">
        <v>240</v>
      </c>
      <c r="F4" s="26"/>
    </row>
    <row collapsed="false" customFormat="false" customHeight="false" hidden="false" ht="12.75" outlineLevel="0" r="5">
      <c r="A5" s="0" t="n">
        <v>1999</v>
      </c>
      <c r="B5" s="26" t="s">
        <v>231</v>
      </c>
      <c r="C5" s="0" t="s">
        <v>241</v>
      </c>
      <c r="D5" s="0" t="s">
        <v>242</v>
      </c>
      <c r="E5" s="0" t="s">
        <v>243</v>
      </c>
    </row>
    <row collapsed="false" customFormat="false" customHeight="false" hidden="false" ht="12.75" outlineLevel="0" r="6">
      <c r="A6" s="0" t="n">
        <v>1996</v>
      </c>
      <c r="B6" s="26" t="s">
        <v>231</v>
      </c>
      <c r="C6" s="0" t="s">
        <v>244</v>
      </c>
      <c r="D6" s="0" t="s">
        <v>245</v>
      </c>
      <c r="E6" s="0" t="s">
        <v>246</v>
      </c>
    </row>
    <row collapsed="false" customFormat="false" customHeight="false" hidden="false" ht="12.75" outlineLevel="0" r="7">
      <c r="A7" s="0" t="n">
        <v>1993</v>
      </c>
      <c r="B7" s="26" t="s">
        <v>231</v>
      </c>
      <c r="C7" s="0" t="s">
        <v>247</v>
      </c>
      <c r="D7" s="0" t="s">
        <v>248</v>
      </c>
      <c r="E7" s="0" t="s">
        <v>249</v>
      </c>
    </row>
    <row collapsed="false" customFormat="false" customHeight="false" hidden="false" ht="12.75" outlineLevel="0" r="8">
      <c r="A8" s="0" t="n">
        <v>1993</v>
      </c>
      <c r="B8" s="26" t="s">
        <v>231</v>
      </c>
      <c r="C8" s="0" t="s">
        <v>250</v>
      </c>
      <c r="D8" s="0" t="s">
        <v>251</v>
      </c>
      <c r="E8" s="0" t="s">
        <v>252</v>
      </c>
    </row>
    <row collapsed="false" customFormat="false" customHeight="false" hidden="false" ht="12.75" outlineLevel="0" r="9">
      <c r="A9" s="0" t="n">
        <v>1992</v>
      </c>
      <c r="B9" s="26" t="s">
        <v>231</v>
      </c>
      <c r="C9" s="0" t="s">
        <v>253</v>
      </c>
      <c r="D9" s="0" t="s">
        <v>254</v>
      </c>
      <c r="E9" s="0" t="s">
        <v>255</v>
      </c>
    </row>
    <row collapsed="false" customFormat="false" customHeight="false" hidden="false" ht="12.75" outlineLevel="0" r="10">
      <c r="A10" s="0" t="n">
        <v>1991</v>
      </c>
      <c r="B10" s="26" t="s">
        <v>231</v>
      </c>
      <c r="C10" s="0" t="s">
        <v>256</v>
      </c>
      <c r="D10" s="0" t="s">
        <v>257</v>
      </c>
      <c r="E10" s="0" t="s">
        <v>258</v>
      </c>
    </row>
    <row collapsed="false" customFormat="false" customHeight="false" hidden="false" ht="12.75" outlineLevel="0" r="11">
      <c r="A11" s="0" t="n">
        <v>1991</v>
      </c>
      <c r="B11" s="26" t="s">
        <v>231</v>
      </c>
      <c r="C11" s="0" t="s">
        <v>247</v>
      </c>
      <c r="D11" s="0" t="s">
        <v>259</v>
      </c>
      <c r="E11" s="0" t="s">
        <v>260</v>
      </c>
    </row>
    <row collapsed="false" customFormat="false" customHeight="false" hidden="false" ht="12.75" outlineLevel="0" r="12">
      <c r="A12" s="0" t="n">
        <v>1991</v>
      </c>
      <c r="B12" s="26" t="s">
        <v>231</v>
      </c>
      <c r="C12" s="0" t="s">
        <v>261</v>
      </c>
      <c r="D12" s="0" t="s">
        <v>262</v>
      </c>
      <c r="E12" s="0" t="s">
        <v>263</v>
      </c>
    </row>
    <row collapsed="false" customFormat="false" customHeight="false" hidden="false" ht="12.75" outlineLevel="0" r="13">
      <c r="A13" s="0" t="n">
        <v>1985</v>
      </c>
      <c r="B13" s="26" t="s">
        <v>231</v>
      </c>
      <c r="C13" s="0" t="s">
        <v>264</v>
      </c>
      <c r="D13" s="0" t="s">
        <v>265</v>
      </c>
      <c r="E13" s="0" t="s">
        <v>266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275"/>
  <sheetViews>
    <sheetView colorId="64" defaultGridColor="true" rightToLeft="false" showFormulas="false" showGridLines="true" showOutlineSymbols="true" showRowColHeaders="true" showZeros="true" tabSelected="false" topLeftCell="A1" view="normal" windowProtection="true" workbookViewId="0" zoomScale="100" zoomScaleNormal="100" zoomScalePageLayoutView="100">
      <pane activePane="bottomLeft" state="frozen" topLeftCell="A4" xSplit="0" ySplit="3"/>
      <selection activeCell="A1" activeCellId="0" pane="topLeft" sqref="A1"/>
      <selection activeCell="A4" activeCellId="0" pane="bottomLeft" sqref="A4"/>
    </sheetView>
  </sheetViews>
  <sheetFormatPr defaultRowHeight="12.75"/>
  <cols>
    <col collapsed="false" hidden="false" max="1" min="1" style="0" width="19.8622448979592"/>
    <col collapsed="false" hidden="false" max="2" min="2" style="0" width="26.2857142857143"/>
    <col collapsed="false" hidden="false" max="5" min="3" style="0" width="13.0051020408163"/>
    <col collapsed="false" hidden="false" max="6" min="6" style="0" width="9.5765306122449"/>
    <col collapsed="false" hidden="false" max="7" min="7" style="0" width="44.8622448979592"/>
    <col collapsed="false" hidden="false" max="8" min="8" style="0" width="14.0051020408163"/>
    <col collapsed="false" hidden="false" max="1025" min="9" style="0" width="17.1326530612245"/>
  </cols>
  <sheetData>
    <row collapsed="false" customFormat="false" customHeight="false" hidden="false" ht="12.75" outlineLevel="0" r="1">
      <c r="A1" s="43" t="s">
        <v>267</v>
      </c>
      <c r="B1" s="43" t="s">
        <v>267</v>
      </c>
      <c r="C1" s="44" t="s">
        <v>268</v>
      </c>
      <c r="D1" s="45" t="s">
        <v>268</v>
      </c>
      <c r="E1" s="46"/>
      <c r="F1" s="46"/>
      <c r="G1" s="46"/>
      <c r="H1" s="47" t="s">
        <v>269</v>
      </c>
      <c r="I1" s="46"/>
      <c r="J1" s="46"/>
      <c r="K1" s="46"/>
      <c r="L1" s="46"/>
      <c r="M1" s="46"/>
      <c r="N1" s="46"/>
      <c r="O1" s="46"/>
      <c r="P1" s="46"/>
      <c r="Q1" s="46"/>
    </row>
    <row collapsed="false" customFormat="false" customHeight="false" hidden="false" ht="12.75" outlineLevel="0" r="2">
      <c r="A2" s="46"/>
      <c r="B2" s="46"/>
      <c r="C2" s="46"/>
      <c r="D2" s="48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</row>
    <row collapsed="false" customFormat="false" customHeight="false" hidden="false" ht="12.75" outlineLevel="0" r="3">
      <c r="A3" s="49" t="s">
        <v>270</v>
      </c>
      <c r="B3" s="49" t="s">
        <v>271</v>
      </c>
      <c r="C3" s="49" t="s">
        <v>272</v>
      </c>
      <c r="D3" s="50" t="s">
        <v>273</v>
      </c>
      <c r="E3" s="49" t="s">
        <v>274</v>
      </c>
      <c r="F3" s="49" t="s">
        <v>275</v>
      </c>
      <c r="G3" s="51" t="s">
        <v>276</v>
      </c>
      <c r="H3" s="52" t="s">
        <v>277</v>
      </c>
      <c r="I3" s="26"/>
      <c r="J3" s="26"/>
      <c r="K3" s="26"/>
      <c r="L3" s="26"/>
      <c r="M3" s="26"/>
      <c r="N3" s="26"/>
      <c r="O3" s="26"/>
      <c r="P3" s="26"/>
      <c r="Q3" s="26"/>
    </row>
    <row collapsed="false" customFormat="false" customHeight="false" hidden="false" ht="12.75" outlineLevel="0" r="4">
      <c r="A4" s="26" t="s">
        <v>278</v>
      </c>
      <c r="B4" s="26" t="s">
        <v>278</v>
      </c>
      <c r="C4" s="46" t="s">
        <v>279</v>
      </c>
      <c r="D4" s="53" t="s">
        <v>280</v>
      </c>
      <c r="E4" s="26" t="s">
        <v>281</v>
      </c>
      <c r="F4" s="26" t="s">
        <v>279</v>
      </c>
      <c r="G4" s="26"/>
      <c r="H4" s="46" t="n">
        <f aca="false">COUNTIF(PROJECT!F2:F100, "*AFG*")</f>
        <v>0</v>
      </c>
      <c r="I4" s="26"/>
      <c r="J4" s="26"/>
      <c r="K4" s="26"/>
      <c r="L4" s="26"/>
      <c r="M4" s="26"/>
      <c r="N4" s="26"/>
      <c r="O4" s="26"/>
      <c r="P4" s="26"/>
      <c r="Q4" s="26"/>
    </row>
    <row collapsed="false" customFormat="false" customHeight="false" hidden="false" ht="12.75" outlineLevel="0" r="5">
      <c r="A5" s="26" t="s">
        <v>282</v>
      </c>
      <c r="B5" s="26" t="s">
        <v>282</v>
      </c>
      <c r="C5" s="54"/>
      <c r="D5" s="53" t="s">
        <v>283</v>
      </c>
      <c r="E5" s="55" t="s">
        <v>284</v>
      </c>
      <c r="F5" s="55" t="s">
        <v>285</v>
      </c>
      <c r="G5" s="26"/>
      <c r="H5" s="46" t="n">
        <f aca="false">COUNTIF(PROJECT!F2:F100, "*ALA*")</f>
        <v>0</v>
      </c>
      <c r="I5" s="26"/>
      <c r="J5" s="26"/>
      <c r="K5" s="26"/>
      <c r="L5" s="26"/>
      <c r="M5" s="26"/>
      <c r="N5" s="26"/>
      <c r="O5" s="26"/>
      <c r="P5" s="26"/>
      <c r="Q5" s="26"/>
    </row>
    <row collapsed="false" customFormat="false" customHeight="false" hidden="false" ht="12.75" outlineLevel="0" r="6">
      <c r="A6" s="26" t="s">
        <v>286</v>
      </c>
      <c r="B6" s="26" t="s">
        <v>286</v>
      </c>
      <c r="C6" s="46" t="s">
        <v>287</v>
      </c>
      <c r="D6" s="53" t="s">
        <v>288</v>
      </c>
      <c r="E6" s="26" t="s">
        <v>289</v>
      </c>
      <c r="F6" s="26" t="s">
        <v>287</v>
      </c>
      <c r="G6" s="26"/>
      <c r="H6" s="46" t="n">
        <f aca="false">COUNTIF(PROJECT!F2:F100, "*ALB*")</f>
        <v>0</v>
      </c>
      <c r="I6" s="26"/>
      <c r="J6" s="26"/>
      <c r="K6" s="26"/>
      <c r="L6" s="26"/>
      <c r="M6" s="26"/>
      <c r="N6" s="26"/>
      <c r="O6" s="26"/>
      <c r="P6" s="26"/>
      <c r="Q6" s="26"/>
    </row>
    <row collapsed="false" customFormat="false" customHeight="false" hidden="false" ht="12.75" outlineLevel="0" r="7">
      <c r="A7" s="26" t="s">
        <v>290</v>
      </c>
      <c r="B7" s="26" t="s">
        <v>290</v>
      </c>
      <c r="C7" s="37" t="s">
        <v>291</v>
      </c>
      <c r="D7" s="53" t="s">
        <v>292</v>
      </c>
      <c r="E7" s="55" t="s">
        <v>293</v>
      </c>
      <c r="F7" s="26" t="s">
        <v>294</v>
      </c>
      <c r="G7" s="26"/>
      <c r="H7" s="46" t="n">
        <f aca="false">COUNTIF(PROJECT!F2:F100, "*DZA*")</f>
        <v>0</v>
      </c>
      <c r="I7" s="26"/>
      <c r="J7" s="26"/>
      <c r="K7" s="26"/>
      <c r="L7" s="26"/>
      <c r="M7" s="26"/>
      <c r="N7" s="26"/>
      <c r="O7" s="26"/>
      <c r="P7" s="26"/>
      <c r="Q7" s="26"/>
    </row>
    <row collapsed="false" customFormat="false" customHeight="false" hidden="false" ht="12.75" outlineLevel="0" r="8">
      <c r="A8" s="26" t="s">
        <v>295</v>
      </c>
      <c r="B8" s="26" t="s">
        <v>295</v>
      </c>
      <c r="C8" s="46" t="s">
        <v>296</v>
      </c>
      <c r="D8" s="53" t="s">
        <v>297</v>
      </c>
      <c r="E8" s="26" t="s">
        <v>298</v>
      </c>
      <c r="F8" s="26" t="s">
        <v>299</v>
      </c>
      <c r="G8" s="26"/>
      <c r="H8" s="46" t="n">
        <f aca="false">COUNTIF(PROJECT!F2:F100, "*ASM*")</f>
        <v>0</v>
      </c>
      <c r="I8" s="26"/>
      <c r="J8" s="26"/>
      <c r="K8" s="26"/>
      <c r="L8" s="26"/>
      <c r="M8" s="26"/>
      <c r="N8" s="26"/>
      <c r="O8" s="26"/>
      <c r="P8" s="26"/>
      <c r="Q8" s="26"/>
    </row>
    <row collapsed="false" customFormat="false" customHeight="false" hidden="false" ht="12.75" outlineLevel="0" r="9">
      <c r="A9" s="26" t="s">
        <v>300</v>
      </c>
      <c r="B9" s="26" t="s">
        <v>300</v>
      </c>
      <c r="C9" s="46" t="s">
        <v>301</v>
      </c>
      <c r="D9" s="53" t="s">
        <v>302</v>
      </c>
      <c r="E9" s="26" t="s">
        <v>303</v>
      </c>
      <c r="F9" s="26" t="s">
        <v>304</v>
      </c>
      <c r="G9" s="26"/>
      <c r="H9" s="46" t="n">
        <f aca="false">COUNTIF(PROJECT!F2:F100, "*AND*")</f>
        <v>0</v>
      </c>
      <c r="I9" s="26"/>
      <c r="J9" s="26"/>
      <c r="K9" s="26"/>
      <c r="L9" s="26"/>
      <c r="M9" s="26"/>
      <c r="N9" s="26"/>
      <c r="O9" s="26"/>
      <c r="P9" s="26"/>
      <c r="Q9" s="26"/>
    </row>
    <row collapsed="false" customFormat="false" customHeight="false" hidden="false" ht="12.75" outlineLevel="0" r="10">
      <c r="A10" s="26" t="s">
        <v>305</v>
      </c>
      <c r="B10" s="26" t="s">
        <v>305</v>
      </c>
      <c r="C10" s="46" t="s">
        <v>306</v>
      </c>
      <c r="D10" s="53" t="s">
        <v>307</v>
      </c>
      <c r="E10" s="26" t="s">
        <v>308</v>
      </c>
      <c r="F10" s="26" t="s">
        <v>306</v>
      </c>
      <c r="G10" s="26"/>
      <c r="H10" s="46" t="n">
        <f aca="false">COUNTIF(PROJECT!F2:F100, "*AGO*")</f>
        <v>0</v>
      </c>
      <c r="I10" s="26"/>
      <c r="J10" s="26"/>
      <c r="K10" s="26"/>
      <c r="L10" s="26"/>
      <c r="M10" s="26"/>
      <c r="N10" s="26"/>
      <c r="O10" s="26"/>
      <c r="P10" s="26"/>
      <c r="Q10" s="26"/>
    </row>
    <row collapsed="false" customFormat="false" customHeight="false" hidden="false" ht="12.75" outlineLevel="0" r="11">
      <c r="A11" s="26" t="s">
        <v>309</v>
      </c>
      <c r="B11" s="26" t="s">
        <v>309</v>
      </c>
      <c r="C11" s="46" t="s">
        <v>310</v>
      </c>
      <c r="D11" s="53" t="s">
        <v>311</v>
      </c>
      <c r="E11" s="26" t="s">
        <v>312</v>
      </c>
      <c r="F11" s="26" t="s">
        <v>313</v>
      </c>
      <c r="G11" s="26"/>
      <c r="H11" s="46" t="n">
        <f aca="false">COUNTIF(PROJECT!F2:F100, "*AIA*")</f>
        <v>0</v>
      </c>
      <c r="I11" s="26"/>
      <c r="J11" s="26"/>
      <c r="K11" s="26"/>
      <c r="L11" s="26"/>
      <c r="M11" s="26"/>
      <c r="N11" s="26"/>
      <c r="O11" s="26"/>
      <c r="P11" s="26"/>
      <c r="Q11" s="26"/>
    </row>
    <row collapsed="false" customFormat="false" customHeight="false" hidden="false" ht="12.75" outlineLevel="0" r="12">
      <c r="A12" s="26" t="s">
        <v>314</v>
      </c>
      <c r="B12" s="26" t="s">
        <v>314</v>
      </c>
      <c r="C12" s="46" t="s">
        <v>315</v>
      </c>
      <c r="D12" s="53" t="s">
        <v>316</v>
      </c>
      <c r="E12" s="26" t="s">
        <v>317</v>
      </c>
      <c r="F12" s="26" t="s">
        <v>296</v>
      </c>
      <c r="G12" s="26"/>
      <c r="H12" s="46" t="n">
        <f aca="false">COUNTIF(PROJECT!F2:F100, "*ATA*")</f>
        <v>0</v>
      </c>
      <c r="I12" s="26"/>
      <c r="J12" s="26"/>
      <c r="K12" s="26"/>
      <c r="L12" s="26"/>
      <c r="M12" s="26"/>
      <c r="N12" s="26"/>
      <c r="O12" s="26"/>
      <c r="P12" s="26"/>
      <c r="Q12" s="26"/>
    </row>
    <row collapsed="false" customFormat="false" customHeight="false" hidden="false" ht="12.75" outlineLevel="0" r="13">
      <c r="A13" s="26" t="s">
        <v>318</v>
      </c>
      <c r="B13" s="26" t="s">
        <v>319</v>
      </c>
      <c r="C13" s="46" t="s">
        <v>320</v>
      </c>
      <c r="D13" s="53" t="s">
        <v>321</v>
      </c>
      <c r="E13" s="26" t="s">
        <v>322</v>
      </c>
      <c r="F13" s="26" t="s">
        <v>291</v>
      </c>
      <c r="G13" s="26"/>
      <c r="H13" s="46" t="n">
        <f aca="false">COUNTIF(PROJECT!F2:F100, "*ATG*")</f>
        <v>0</v>
      </c>
      <c r="I13" s="26"/>
      <c r="J13" s="26"/>
      <c r="K13" s="26"/>
      <c r="L13" s="26"/>
      <c r="M13" s="26"/>
      <c r="N13" s="26"/>
      <c r="O13" s="26"/>
      <c r="P13" s="26"/>
      <c r="Q13" s="26"/>
    </row>
    <row collapsed="false" customFormat="false" customHeight="false" hidden="false" ht="12.75" outlineLevel="0" r="14">
      <c r="A14" s="26" t="s">
        <v>323</v>
      </c>
      <c r="B14" s="26" t="s">
        <v>323</v>
      </c>
      <c r="C14" s="46" t="s">
        <v>324</v>
      </c>
      <c r="D14" s="53" t="s">
        <v>325</v>
      </c>
      <c r="E14" s="26" t="s">
        <v>326</v>
      </c>
      <c r="F14" s="26" t="s">
        <v>324</v>
      </c>
      <c r="G14" s="26"/>
      <c r="H14" s="46" t="n">
        <f aca="false">COUNTIF(PROJECT!F2:F100, "*ARG*")</f>
        <v>0</v>
      </c>
      <c r="I14" s="26"/>
      <c r="J14" s="26"/>
      <c r="K14" s="26"/>
      <c r="L14" s="26"/>
      <c r="M14" s="26"/>
      <c r="N14" s="26"/>
      <c r="O14" s="26"/>
      <c r="P14" s="26"/>
      <c r="Q14" s="26"/>
    </row>
    <row collapsed="false" customFormat="false" customHeight="false" hidden="false" ht="12.75" outlineLevel="0" r="15">
      <c r="A15" s="26" t="s">
        <v>327</v>
      </c>
      <c r="B15" s="26" t="s">
        <v>327</v>
      </c>
      <c r="C15" s="46" t="s">
        <v>328</v>
      </c>
      <c r="D15" s="53" t="s">
        <v>329</v>
      </c>
      <c r="E15" s="26" t="s">
        <v>330</v>
      </c>
      <c r="F15" s="26" t="s">
        <v>328</v>
      </c>
      <c r="G15" s="26"/>
      <c r="H15" s="46" t="n">
        <f aca="false">COUNTIF(PROJECT!F2:F100, "*ARM*")</f>
        <v>0</v>
      </c>
      <c r="I15" s="26"/>
      <c r="J15" s="26"/>
      <c r="K15" s="26"/>
      <c r="L15" s="26"/>
      <c r="M15" s="26"/>
      <c r="N15" s="26"/>
      <c r="O15" s="26"/>
      <c r="P15" s="26"/>
      <c r="Q15" s="26"/>
    </row>
    <row collapsed="false" customFormat="false" customHeight="false" hidden="false" ht="12.75" outlineLevel="0" r="16">
      <c r="A16" s="26" t="s">
        <v>331</v>
      </c>
      <c r="B16" s="26" t="s">
        <v>331</v>
      </c>
      <c r="C16" s="46" t="s">
        <v>332</v>
      </c>
      <c r="D16" s="53" t="s">
        <v>333</v>
      </c>
      <c r="E16" s="26" t="s">
        <v>334</v>
      </c>
      <c r="F16" s="26" t="s">
        <v>335</v>
      </c>
      <c r="G16" s="26"/>
      <c r="H16" s="46" t="n">
        <f aca="false">COUNTIF(PROJECT!F2:F100, "*ABW*")</f>
        <v>0</v>
      </c>
      <c r="I16" s="26"/>
      <c r="J16" s="26"/>
      <c r="K16" s="26"/>
      <c r="L16" s="26"/>
      <c r="M16" s="26"/>
      <c r="N16" s="26"/>
      <c r="O16" s="26"/>
      <c r="P16" s="26"/>
      <c r="Q16" s="26"/>
    </row>
    <row collapsed="false" customFormat="false" customHeight="false" hidden="false" ht="12.75" outlineLevel="0" r="17">
      <c r="A17" s="26" t="s">
        <v>336</v>
      </c>
      <c r="B17" s="26" t="s">
        <v>336</v>
      </c>
      <c r="C17" s="46" t="s">
        <v>299</v>
      </c>
      <c r="D17" s="53" t="s">
        <v>337</v>
      </c>
      <c r="E17" s="26" t="s">
        <v>338</v>
      </c>
      <c r="F17" s="26" t="s">
        <v>339</v>
      </c>
      <c r="G17" s="26"/>
      <c r="H17" s="46" t="n">
        <f aca="false">COUNTIF(PROJECT!F2:F100, "*AUS*")</f>
        <v>0</v>
      </c>
      <c r="I17" s="26"/>
      <c r="J17" s="26"/>
      <c r="K17" s="26"/>
      <c r="L17" s="26"/>
      <c r="M17" s="26"/>
      <c r="N17" s="26"/>
      <c r="O17" s="26"/>
      <c r="P17" s="26"/>
      <c r="Q17" s="26"/>
    </row>
    <row collapsed="false" customFormat="false" customHeight="false" hidden="false" ht="12.75" outlineLevel="0" r="18">
      <c r="A18" s="26" t="s">
        <v>340</v>
      </c>
      <c r="B18" s="26" t="s">
        <v>340</v>
      </c>
      <c r="C18" s="46" t="s">
        <v>339</v>
      </c>
      <c r="D18" s="53" t="s">
        <v>341</v>
      </c>
      <c r="E18" s="26" t="s">
        <v>342</v>
      </c>
      <c r="F18" s="26" t="s">
        <v>343</v>
      </c>
      <c r="G18" s="26"/>
      <c r="H18" s="46" t="n">
        <f aca="false">COUNTIF(PROJECT!F2:F100, "*AUT*")</f>
        <v>0</v>
      </c>
      <c r="I18" s="26"/>
      <c r="J18" s="26"/>
      <c r="K18" s="26"/>
      <c r="L18" s="26"/>
      <c r="M18" s="26"/>
      <c r="N18" s="26"/>
      <c r="O18" s="26"/>
      <c r="P18" s="26"/>
      <c r="Q18" s="26"/>
    </row>
    <row collapsed="false" customFormat="false" customHeight="false" hidden="false" ht="12.75" outlineLevel="0" r="19">
      <c r="A19" s="26" t="s">
        <v>344</v>
      </c>
      <c r="B19" s="26" t="s">
        <v>344</v>
      </c>
      <c r="C19" s="46" t="s">
        <v>345</v>
      </c>
      <c r="D19" s="53" t="s">
        <v>346</v>
      </c>
      <c r="E19" s="26" t="s">
        <v>347</v>
      </c>
      <c r="F19" s="26" t="s">
        <v>348</v>
      </c>
      <c r="G19" s="26"/>
      <c r="H19" s="46" t="n">
        <f aca="false">COUNTIF(PROJECT!F2:F100, "*AZE*")</f>
        <v>0</v>
      </c>
      <c r="I19" s="26"/>
      <c r="J19" s="26"/>
      <c r="K19" s="26"/>
      <c r="L19" s="26"/>
      <c r="M19" s="26"/>
      <c r="N19" s="26"/>
      <c r="O19" s="26"/>
      <c r="P19" s="26"/>
      <c r="Q19" s="26"/>
    </row>
    <row collapsed="false" customFormat="false" customHeight="false" hidden="false" ht="12.75" outlineLevel="0" r="20">
      <c r="A20" s="26" t="s">
        <v>349</v>
      </c>
      <c r="B20" s="26" t="s">
        <v>349</v>
      </c>
      <c r="C20" s="37" t="s">
        <v>350</v>
      </c>
      <c r="D20" s="56" t="s">
        <v>351</v>
      </c>
      <c r="E20" s="55" t="s">
        <v>352</v>
      </c>
      <c r="F20" s="55" t="s">
        <v>353</v>
      </c>
      <c r="G20" s="26"/>
      <c r="H20" s="37" t="n">
        <f aca="false">COUNTIF(PROJECT!F2:F100, "*BHR*")</f>
        <v>0</v>
      </c>
      <c r="I20" s="26"/>
      <c r="J20" s="26"/>
      <c r="K20" s="26"/>
      <c r="L20" s="26"/>
      <c r="M20" s="26"/>
      <c r="N20" s="26"/>
      <c r="O20" s="26"/>
      <c r="P20" s="26"/>
      <c r="Q20" s="26"/>
    </row>
    <row collapsed="false" customFormat="false" customHeight="false" hidden="false" ht="12.75" outlineLevel="0" r="21">
      <c r="A21" s="26" t="s">
        <v>354</v>
      </c>
      <c r="B21" s="26" t="s">
        <v>354</v>
      </c>
      <c r="C21" s="46" t="s">
        <v>355</v>
      </c>
      <c r="D21" s="54"/>
      <c r="E21" s="54"/>
      <c r="F21" s="26" t="s">
        <v>356</v>
      </c>
      <c r="G21" s="46" t="s">
        <v>357</v>
      </c>
      <c r="H21" s="57"/>
      <c r="I21" s="26"/>
      <c r="J21" s="26"/>
      <c r="K21" s="26"/>
      <c r="L21" s="26"/>
      <c r="M21" s="26"/>
      <c r="N21" s="26"/>
      <c r="O21" s="26"/>
      <c r="P21" s="26"/>
      <c r="Q21" s="26"/>
    </row>
    <row collapsed="false" customFormat="false" customHeight="false" hidden="false" ht="12.75" outlineLevel="0" r="22">
      <c r="A22" s="26" t="s">
        <v>358</v>
      </c>
      <c r="B22" s="26" t="s">
        <v>358</v>
      </c>
      <c r="C22" s="46" t="s">
        <v>359</v>
      </c>
      <c r="D22" s="53" t="s">
        <v>360</v>
      </c>
      <c r="E22" s="26" t="s">
        <v>361</v>
      </c>
      <c r="F22" s="26" t="s">
        <v>362</v>
      </c>
      <c r="G22" s="26"/>
      <c r="H22" s="46" t="n">
        <f aca="false">COUNTIF(PROJECT!F2:F100, "*BGD*")</f>
        <v>0</v>
      </c>
      <c r="I22" s="26"/>
      <c r="J22" s="26"/>
      <c r="K22" s="26"/>
      <c r="L22" s="26"/>
      <c r="M22" s="26"/>
      <c r="N22" s="26"/>
      <c r="O22" s="26"/>
      <c r="P22" s="26"/>
      <c r="Q22" s="26"/>
    </row>
    <row collapsed="false" customFormat="false" customHeight="false" hidden="false" ht="12.75" outlineLevel="0" r="23">
      <c r="A23" s="26" t="s">
        <v>363</v>
      </c>
      <c r="B23" s="26" t="s">
        <v>363</v>
      </c>
      <c r="C23" s="46" t="s">
        <v>364</v>
      </c>
      <c r="D23" s="53" t="s">
        <v>365</v>
      </c>
      <c r="E23" s="26" t="s">
        <v>366</v>
      </c>
      <c r="F23" s="26" t="s">
        <v>364</v>
      </c>
      <c r="G23" s="26"/>
      <c r="H23" s="46" t="n">
        <f aca="false">COUNTIF(PROJECT!F2:F100, "*BRB*")</f>
        <v>0</v>
      </c>
      <c r="I23" s="26"/>
      <c r="J23" s="26"/>
      <c r="K23" s="26"/>
      <c r="L23" s="26"/>
      <c r="M23" s="26"/>
      <c r="N23" s="26"/>
      <c r="O23" s="26"/>
      <c r="P23" s="26"/>
      <c r="Q23" s="26"/>
    </row>
    <row collapsed="false" customFormat="false" customHeight="false" hidden="false" ht="12.75" outlineLevel="0" r="24">
      <c r="A24" s="26" t="s">
        <v>367</v>
      </c>
      <c r="B24" s="26" t="s">
        <v>367</v>
      </c>
      <c r="C24" s="46" t="s">
        <v>368</v>
      </c>
      <c r="D24" s="53" t="s">
        <v>369</v>
      </c>
      <c r="E24" s="26" t="s">
        <v>370</v>
      </c>
      <c r="F24" s="26" t="s">
        <v>371</v>
      </c>
      <c r="G24" s="26"/>
      <c r="H24" s="46" t="n">
        <f aca="false">COUNTIF(PROJECT!F2:F100, "*BLR*")</f>
        <v>0</v>
      </c>
      <c r="I24" s="26"/>
      <c r="J24" s="26"/>
      <c r="K24" s="26"/>
      <c r="L24" s="26"/>
      <c r="M24" s="26"/>
      <c r="N24" s="26"/>
      <c r="O24" s="26"/>
      <c r="P24" s="26"/>
      <c r="Q24" s="26"/>
    </row>
    <row collapsed="false" customFormat="false" customHeight="false" hidden="false" ht="12.75" outlineLevel="0" r="25">
      <c r="A25" s="26" t="s">
        <v>372</v>
      </c>
      <c r="B25" s="26" t="s">
        <v>372</v>
      </c>
      <c r="C25" s="46" t="s">
        <v>373</v>
      </c>
      <c r="D25" s="53" t="s">
        <v>374</v>
      </c>
      <c r="E25" s="26" t="s">
        <v>375</v>
      </c>
      <c r="F25" s="26" t="s">
        <v>373</v>
      </c>
      <c r="G25" s="26"/>
      <c r="H25" s="46" t="n">
        <f aca="false">COUNTIF(PROJECT!F2:F100, "*BEL*")</f>
        <v>0</v>
      </c>
      <c r="I25" s="26"/>
      <c r="J25" s="26"/>
      <c r="K25" s="26"/>
      <c r="L25" s="26"/>
      <c r="M25" s="26"/>
      <c r="N25" s="26"/>
      <c r="O25" s="26"/>
      <c r="P25" s="26"/>
      <c r="Q25" s="26"/>
    </row>
    <row collapsed="false" customFormat="false" customHeight="false" hidden="false" ht="12.75" outlineLevel="0" r="26">
      <c r="A26" s="26" t="s">
        <v>376</v>
      </c>
      <c r="B26" s="26" t="s">
        <v>376</v>
      </c>
      <c r="C26" s="46" t="s">
        <v>353</v>
      </c>
      <c r="D26" s="53" t="s">
        <v>377</v>
      </c>
      <c r="E26" s="26" t="s">
        <v>378</v>
      </c>
      <c r="F26" s="26" t="s">
        <v>379</v>
      </c>
      <c r="G26" s="26"/>
      <c r="H26" s="46" t="n">
        <f aca="false">COUNTIF(PROJECT!F2:F100, "*BLZ*")</f>
        <v>0</v>
      </c>
      <c r="I26" s="26"/>
      <c r="J26" s="26"/>
      <c r="K26" s="26"/>
      <c r="L26" s="26"/>
      <c r="M26" s="26"/>
      <c r="N26" s="26"/>
      <c r="O26" s="26"/>
      <c r="P26" s="26"/>
      <c r="Q26" s="26"/>
    </row>
    <row collapsed="false" customFormat="false" customHeight="false" hidden="false" ht="12.75" outlineLevel="0" r="27">
      <c r="A27" s="26" t="s">
        <v>380</v>
      </c>
      <c r="B27" s="26" t="s">
        <v>380</v>
      </c>
      <c r="C27" s="46" t="s">
        <v>381</v>
      </c>
      <c r="D27" s="53" t="s">
        <v>382</v>
      </c>
      <c r="E27" s="26" t="s">
        <v>383</v>
      </c>
      <c r="F27" s="26" t="s">
        <v>384</v>
      </c>
      <c r="G27" s="26"/>
      <c r="H27" s="46" t="n">
        <f aca="false">COUNTIF(PROJECT!F2:F100, "*BEN*")</f>
        <v>0</v>
      </c>
      <c r="I27" s="26"/>
      <c r="J27" s="26"/>
      <c r="K27" s="26"/>
      <c r="L27" s="26"/>
      <c r="M27" s="26"/>
      <c r="N27" s="26"/>
      <c r="O27" s="26"/>
      <c r="P27" s="26"/>
      <c r="Q27" s="26"/>
    </row>
    <row collapsed="false" customFormat="false" customHeight="false" hidden="false" ht="12.75" outlineLevel="0" r="28">
      <c r="A28" s="26" t="s">
        <v>385</v>
      </c>
      <c r="B28" s="26" t="s">
        <v>385</v>
      </c>
      <c r="C28" s="46" t="s">
        <v>362</v>
      </c>
      <c r="D28" s="53" t="s">
        <v>386</v>
      </c>
      <c r="E28" s="26" t="s">
        <v>387</v>
      </c>
      <c r="F28" s="26" t="s">
        <v>388</v>
      </c>
      <c r="G28" s="26"/>
      <c r="H28" s="46" t="n">
        <f aca="false">COUNTIF(PROJECT!F2:F100, "*BMU*")</f>
        <v>0</v>
      </c>
      <c r="I28" s="26"/>
      <c r="J28" s="26"/>
      <c r="K28" s="26"/>
      <c r="L28" s="26"/>
      <c r="M28" s="26"/>
      <c r="N28" s="26"/>
      <c r="O28" s="26"/>
      <c r="P28" s="26"/>
      <c r="Q28" s="26"/>
    </row>
    <row collapsed="false" customFormat="false" customHeight="false" hidden="false" ht="12.75" outlineLevel="0" r="29">
      <c r="A29" s="26" t="s">
        <v>389</v>
      </c>
      <c r="B29" s="26" t="s">
        <v>389</v>
      </c>
      <c r="C29" s="46" t="s">
        <v>390</v>
      </c>
      <c r="D29" s="53" t="s">
        <v>391</v>
      </c>
      <c r="E29" s="26" t="s">
        <v>392</v>
      </c>
      <c r="F29" s="26" t="s">
        <v>390</v>
      </c>
      <c r="G29" s="26"/>
      <c r="H29" s="46" t="n">
        <f aca="false">COUNTIF(PROJECT!F2:F100, "*BTN*")</f>
        <v>0</v>
      </c>
      <c r="I29" s="26"/>
      <c r="J29" s="26"/>
      <c r="K29" s="26"/>
      <c r="L29" s="26"/>
      <c r="M29" s="26"/>
      <c r="N29" s="26"/>
      <c r="O29" s="26"/>
      <c r="P29" s="26"/>
      <c r="Q29" s="26"/>
    </row>
    <row collapsed="false" customFormat="false" customHeight="false" hidden="false" ht="12.75" outlineLevel="0" r="30">
      <c r="A30" s="26" t="s">
        <v>393</v>
      </c>
      <c r="B30" s="26" t="s">
        <v>394</v>
      </c>
      <c r="C30" s="46" t="s">
        <v>395</v>
      </c>
      <c r="D30" s="53" t="s">
        <v>396</v>
      </c>
      <c r="E30" s="26" t="s">
        <v>397</v>
      </c>
      <c r="F30" s="26" t="s">
        <v>368</v>
      </c>
      <c r="G30" s="26"/>
      <c r="H30" s="46" t="n">
        <f aca="false">COUNTIF(PROJECT!F2:F100, "*BOL*")</f>
        <v>0</v>
      </c>
      <c r="I30" s="26"/>
      <c r="J30" s="26"/>
      <c r="K30" s="26"/>
      <c r="L30" s="26"/>
      <c r="M30" s="26"/>
      <c r="N30" s="26"/>
      <c r="O30" s="26"/>
      <c r="P30" s="26"/>
      <c r="Q30" s="26"/>
    </row>
    <row collapsed="false" customFormat="false" customHeight="false" hidden="false" ht="12.75" outlineLevel="0" r="31">
      <c r="A31" s="26" t="s">
        <v>398</v>
      </c>
      <c r="B31" s="26" t="s">
        <v>398</v>
      </c>
      <c r="C31" s="54"/>
      <c r="D31" s="53" t="s">
        <v>399</v>
      </c>
      <c r="E31" s="26" t="s">
        <v>400</v>
      </c>
      <c r="F31" s="26" t="s">
        <v>401</v>
      </c>
      <c r="G31" s="26"/>
      <c r="H31" s="46" t="n">
        <f aca="false">COUNTIF(PROJECT!F2:F100, "*BES*")</f>
        <v>0</v>
      </c>
      <c r="I31" s="26"/>
      <c r="J31" s="26"/>
      <c r="K31" s="26"/>
      <c r="L31" s="26"/>
      <c r="M31" s="26"/>
      <c r="N31" s="26"/>
      <c r="O31" s="26"/>
      <c r="P31" s="26"/>
      <c r="Q31" s="26"/>
    </row>
    <row collapsed="false" customFormat="false" customHeight="false" hidden="false" ht="12.75" outlineLevel="0" r="32">
      <c r="A32" s="26" t="s">
        <v>402</v>
      </c>
      <c r="B32" s="26" t="s">
        <v>403</v>
      </c>
      <c r="C32" s="46" t="s">
        <v>404</v>
      </c>
      <c r="D32" s="53" t="s">
        <v>405</v>
      </c>
      <c r="E32" s="26" t="s">
        <v>406</v>
      </c>
      <c r="F32" s="26" t="s">
        <v>350</v>
      </c>
      <c r="G32" s="26"/>
      <c r="H32" s="46" t="n">
        <f aca="false">COUNTIF(PROJECT!F2:F100, "*BIH*")</f>
        <v>0</v>
      </c>
      <c r="I32" s="26"/>
      <c r="J32" s="26"/>
      <c r="K32" s="26"/>
      <c r="L32" s="26"/>
      <c r="M32" s="26"/>
      <c r="N32" s="26"/>
      <c r="O32" s="26"/>
      <c r="P32" s="26"/>
      <c r="Q32" s="26"/>
    </row>
    <row collapsed="false" customFormat="false" customHeight="false" hidden="false" ht="12.75" outlineLevel="0" r="33">
      <c r="A33" s="26" t="s">
        <v>407</v>
      </c>
      <c r="B33" s="26" t="s">
        <v>407</v>
      </c>
      <c r="C33" s="46" t="s">
        <v>408</v>
      </c>
      <c r="D33" s="53" t="s">
        <v>409</v>
      </c>
      <c r="E33" s="26" t="s">
        <v>410</v>
      </c>
      <c r="F33" s="26" t="s">
        <v>411</v>
      </c>
      <c r="G33" s="26"/>
      <c r="H33" s="46" t="n">
        <f aca="false">COUNTIF(PROJECT!F2:F100, "*BWA*")</f>
        <v>0</v>
      </c>
      <c r="I33" s="26"/>
      <c r="J33" s="26"/>
      <c r="K33" s="26"/>
      <c r="L33" s="26"/>
      <c r="M33" s="26"/>
      <c r="N33" s="26"/>
      <c r="O33" s="26"/>
      <c r="P33" s="26"/>
      <c r="Q33" s="26"/>
    </row>
    <row collapsed="false" customFormat="false" customHeight="false" hidden="false" ht="12.75" outlineLevel="0" r="34">
      <c r="A34" s="26" t="s">
        <v>412</v>
      </c>
      <c r="B34" s="26" t="s">
        <v>413</v>
      </c>
      <c r="C34" s="46" t="s">
        <v>414</v>
      </c>
      <c r="D34" s="53" t="s">
        <v>415</v>
      </c>
      <c r="E34" s="26" t="s">
        <v>416</v>
      </c>
      <c r="F34" s="26" t="s">
        <v>414</v>
      </c>
      <c r="G34" s="26"/>
      <c r="H34" s="46" t="n">
        <f aca="false">COUNTIF(PROJECT!F2:F100, "*BVT*")</f>
        <v>0</v>
      </c>
      <c r="I34" s="26"/>
      <c r="J34" s="26"/>
      <c r="K34" s="26"/>
      <c r="L34" s="26"/>
      <c r="M34" s="26"/>
      <c r="N34" s="26"/>
      <c r="O34" s="26"/>
      <c r="P34" s="26"/>
      <c r="Q34" s="26"/>
    </row>
    <row collapsed="false" customFormat="false" customHeight="false" hidden="false" ht="12.75" outlineLevel="0" r="35">
      <c r="A35" s="26" t="s">
        <v>417</v>
      </c>
      <c r="B35" s="26" t="s">
        <v>417</v>
      </c>
      <c r="C35" s="46" t="s">
        <v>418</v>
      </c>
      <c r="D35" s="53" t="s">
        <v>419</v>
      </c>
      <c r="E35" s="26" t="s">
        <v>420</v>
      </c>
      <c r="F35" s="26" t="s">
        <v>418</v>
      </c>
      <c r="G35" s="26"/>
      <c r="H35" s="46" t="n">
        <f aca="false">COUNTIF(PROJECT!F2:F100, "*BRA*")</f>
        <v>0</v>
      </c>
      <c r="I35" s="26"/>
      <c r="J35" s="26"/>
      <c r="K35" s="26"/>
      <c r="L35" s="26"/>
      <c r="M35" s="26"/>
      <c r="N35" s="26"/>
      <c r="O35" s="26"/>
      <c r="P35" s="26"/>
      <c r="Q35" s="26"/>
    </row>
    <row collapsed="false" customFormat="false" customHeight="false" hidden="false" ht="12.75" outlineLevel="0" r="36">
      <c r="A36" s="26" t="s">
        <v>421</v>
      </c>
      <c r="B36" s="26" t="s">
        <v>421</v>
      </c>
      <c r="C36" s="46" t="s">
        <v>422</v>
      </c>
      <c r="D36" s="53" t="s">
        <v>423</v>
      </c>
      <c r="E36" s="26" t="s">
        <v>424</v>
      </c>
      <c r="F36" s="26" t="s">
        <v>422</v>
      </c>
      <c r="G36" s="26"/>
      <c r="H36" s="46" t="n">
        <f aca="false">COUNTIF(PROJECT!F2:F100, "*IOT*")</f>
        <v>0</v>
      </c>
      <c r="I36" s="26"/>
      <c r="J36" s="26"/>
      <c r="K36" s="26"/>
      <c r="L36" s="26"/>
      <c r="M36" s="26"/>
      <c r="N36" s="26"/>
      <c r="O36" s="26"/>
      <c r="P36" s="26"/>
      <c r="Q36" s="26"/>
    </row>
    <row collapsed="false" customFormat="false" customHeight="false" hidden="false" ht="12.75" outlineLevel="0" r="37">
      <c r="A37" s="26" t="s">
        <v>425</v>
      </c>
      <c r="B37" s="26" t="s">
        <v>426</v>
      </c>
      <c r="C37" s="46" t="s">
        <v>427</v>
      </c>
      <c r="D37" s="53" t="s">
        <v>428</v>
      </c>
      <c r="E37" s="26" t="s">
        <v>429</v>
      </c>
      <c r="F37" s="26" t="s">
        <v>381</v>
      </c>
      <c r="G37" s="26"/>
      <c r="H37" s="46" t="n">
        <f aca="false">COUNTIF(PROJECT!F2:F100, "*BRN*")</f>
        <v>0</v>
      </c>
      <c r="I37" s="26"/>
      <c r="J37" s="26"/>
      <c r="K37" s="26"/>
      <c r="L37" s="26"/>
      <c r="M37" s="26"/>
      <c r="N37" s="26"/>
      <c r="O37" s="26"/>
      <c r="P37" s="26"/>
      <c r="Q37" s="26"/>
    </row>
    <row collapsed="false" customFormat="false" customHeight="false" hidden="false" ht="12.75" outlineLevel="0" r="38">
      <c r="A38" s="26" t="s">
        <v>430</v>
      </c>
      <c r="B38" s="26" t="s">
        <v>430</v>
      </c>
      <c r="C38" s="46" t="s">
        <v>431</v>
      </c>
      <c r="D38" s="53" t="s">
        <v>432</v>
      </c>
      <c r="E38" s="26" t="s">
        <v>433</v>
      </c>
      <c r="F38" s="26" t="s">
        <v>359</v>
      </c>
      <c r="G38" s="26"/>
      <c r="H38" s="46" t="n">
        <f aca="false">COUNTIF(PROJECT!F2:F100, "*BGR*")</f>
        <v>0</v>
      </c>
      <c r="I38" s="26"/>
      <c r="J38" s="26"/>
      <c r="K38" s="26"/>
      <c r="L38" s="26"/>
      <c r="M38" s="26"/>
      <c r="N38" s="26"/>
      <c r="O38" s="26"/>
      <c r="P38" s="26"/>
      <c r="Q38" s="26"/>
    </row>
    <row collapsed="false" customFormat="false" customHeight="false" hidden="false" ht="12.75" outlineLevel="0" r="39">
      <c r="A39" s="55" t="s">
        <v>434</v>
      </c>
      <c r="B39" s="55" t="s">
        <v>434</v>
      </c>
      <c r="C39" s="46" t="s">
        <v>435</v>
      </c>
      <c r="D39" s="53" t="s">
        <v>436</v>
      </c>
      <c r="E39" s="26" t="s">
        <v>437</v>
      </c>
      <c r="F39" s="26" t="s">
        <v>438</v>
      </c>
      <c r="G39" s="26"/>
      <c r="H39" s="46" t="n">
        <f aca="false">COUNTIF(PROJECT!F2:F100, "*BFA*")</f>
        <v>0</v>
      </c>
      <c r="I39" s="26"/>
      <c r="J39" s="26"/>
      <c r="K39" s="26"/>
      <c r="L39" s="26"/>
      <c r="M39" s="26"/>
      <c r="N39" s="26"/>
      <c r="O39" s="26"/>
      <c r="P39" s="26"/>
      <c r="Q39" s="26"/>
    </row>
    <row collapsed="false" customFormat="false" customHeight="false" hidden="false" ht="12.75" outlineLevel="0" r="40">
      <c r="A40" s="26" t="s">
        <v>119</v>
      </c>
      <c r="B40" s="26" t="s">
        <v>119</v>
      </c>
      <c r="C40" s="46" t="s">
        <v>371</v>
      </c>
      <c r="D40" s="53" t="s">
        <v>439</v>
      </c>
      <c r="E40" s="26" t="s">
        <v>440</v>
      </c>
      <c r="F40" s="26" t="s">
        <v>441</v>
      </c>
      <c r="G40" s="26"/>
      <c r="H40" s="46" t="n">
        <f aca="false">COUNTIF(PROJECT!F2:F100, "*BDI*")</f>
        <v>1</v>
      </c>
      <c r="I40" s="26"/>
      <c r="J40" s="26"/>
      <c r="K40" s="26"/>
      <c r="L40" s="26"/>
      <c r="M40" s="26"/>
      <c r="N40" s="26"/>
      <c r="O40" s="26"/>
      <c r="P40" s="26"/>
      <c r="Q40" s="26"/>
    </row>
    <row collapsed="false" customFormat="false" customHeight="false" hidden="false" ht="12.75" outlineLevel="0" r="41">
      <c r="A41" s="26" t="s">
        <v>442</v>
      </c>
      <c r="B41" s="26" t="s">
        <v>442</v>
      </c>
      <c r="C41" s="37" t="s">
        <v>443</v>
      </c>
      <c r="D41" s="53" t="s">
        <v>444</v>
      </c>
      <c r="E41" s="55" t="s">
        <v>445</v>
      </c>
      <c r="F41" s="26" t="s">
        <v>446</v>
      </c>
      <c r="G41" s="26"/>
      <c r="H41" s="46" t="n">
        <f aca="false">COUNTIF(PROJECT!F2:F100, "*KHM*")</f>
        <v>0</v>
      </c>
      <c r="I41" s="26"/>
      <c r="J41" s="26"/>
      <c r="K41" s="26"/>
      <c r="L41" s="26"/>
      <c r="M41" s="26"/>
      <c r="N41" s="26"/>
      <c r="O41" s="26"/>
      <c r="P41" s="26"/>
      <c r="Q41" s="26"/>
    </row>
    <row collapsed="false" customFormat="false" customHeight="false" hidden="false" ht="12.75" outlineLevel="0" r="42">
      <c r="A42" s="26" t="s">
        <v>20</v>
      </c>
      <c r="B42" s="26" t="s">
        <v>20</v>
      </c>
      <c r="C42" s="46" t="s">
        <v>447</v>
      </c>
      <c r="D42" s="53" t="s">
        <v>448</v>
      </c>
      <c r="E42" s="26" t="s">
        <v>203</v>
      </c>
      <c r="F42" s="26" t="s">
        <v>447</v>
      </c>
      <c r="G42" s="26"/>
      <c r="H42" s="46" t="n">
        <f aca="false">COUNTIF(PROJECT!F2:F100, "*CMR*")</f>
        <v>8</v>
      </c>
      <c r="I42" s="26"/>
      <c r="J42" s="26"/>
      <c r="K42" s="26"/>
      <c r="L42" s="26"/>
      <c r="M42" s="26"/>
      <c r="N42" s="26"/>
      <c r="O42" s="26"/>
      <c r="P42" s="26"/>
      <c r="Q42" s="26"/>
    </row>
    <row collapsed="false" customFormat="false" customHeight="false" hidden="false" ht="12.75" outlineLevel="0" r="43">
      <c r="A43" s="26" t="s">
        <v>449</v>
      </c>
      <c r="B43" s="26" t="s">
        <v>449</v>
      </c>
      <c r="C43" s="46" t="s">
        <v>450</v>
      </c>
      <c r="D43" s="53" t="s">
        <v>451</v>
      </c>
      <c r="E43" s="26" t="s">
        <v>452</v>
      </c>
      <c r="F43" s="26" t="s">
        <v>450</v>
      </c>
      <c r="G43" s="26"/>
      <c r="H43" s="46" t="n">
        <f aca="false">COUNTIF(PROJECT!F2:F100, "*CAN*")</f>
        <v>0</v>
      </c>
      <c r="I43" s="26"/>
      <c r="J43" s="26"/>
      <c r="K43" s="26"/>
      <c r="L43" s="26"/>
      <c r="M43" s="26"/>
      <c r="N43" s="26"/>
      <c r="O43" s="26"/>
      <c r="P43" s="26"/>
      <c r="Q43" s="26"/>
    </row>
    <row collapsed="false" customFormat="false" customHeight="false" hidden="false" ht="12.75" outlineLevel="0" r="44">
      <c r="A44" s="26" t="s">
        <v>453</v>
      </c>
      <c r="B44" s="26" t="s">
        <v>453</v>
      </c>
      <c r="C44" s="46" t="s">
        <v>454</v>
      </c>
      <c r="D44" s="53" t="s">
        <v>455</v>
      </c>
      <c r="E44" s="26" t="s">
        <v>456</v>
      </c>
      <c r="F44" s="26" t="s">
        <v>454</v>
      </c>
      <c r="G44" s="26"/>
      <c r="H44" s="46" t="n">
        <f aca="false">COUNTIF(PROJECT!F2:F100, "*CPV*")</f>
        <v>0</v>
      </c>
      <c r="I44" s="26"/>
      <c r="J44" s="26"/>
      <c r="K44" s="26"/>
      <c r="L44" s="26"/>
      <c r="M44" s="26"/>
      <c r="N44" s="26"/>
      <c r="O44" s="26"/>
      <c r="P44" s="26"/>
      <c r="Q44" s="26"/>
    </row>
    <row collapsed="false" customFormat="false" customHeight="false" hidden="false" ht="12.75" outlineLevel="0" r="45">
      <c r="A45" s="26" t="s">
        <v>457</v>
      </c>
      <c r="B45" s="26" t="s">
        <v>458</v>
      </c>
      <c r="C45" s="37" t="s">
        <v>459</v>
      </c>
      <c r="D45" s="53" t="s">
        <v>460</v>
      </c>
      <c r="E45" s="55" t="s">
        <v>461</v>
      </c>
      <c r="F45" s="26" t="s">
        <v>462</v>
      </c>
      <c r="G45" s="26"/>
      <c r="H45" s="46" t="n">
        <f aca="false">COUNTIF(PROJECT!F2:F100, "*CYM*")</f>
        <v>0</v>
      </c>
      <c r="I45" s="26"/>
      <c r="J45" s="26"/>
      <c r="K45" s="26"/>
      <c r="L45" s="26"/>
      <c r="M45" s="26"/>
      <c r="N45" s="26"/>
      <c r="O45" s="26"/>
      <c r="P45" s="26"/>
      <c r="Q45" s="26"/>
    </row>
    <row collapsed="false" customFormat="false" customHeight="false" hidden="false" ht="12.75" outlineLevel="0" r="46">
      <c r="A46" s="26" t="s">
        <v>463</v>
      </c>
      <c r="B46" s="26" t="s">
        <v>463</v>
      </c>
      <c r="C46" s="46" t="s">
        <v>464</v>
      </c>
      <c r="D46" s="53" t="s">
        <v>465</v>
      </c>
      <c r="E46" s="26" t="s">
        <v>466</v>
      </c>
      <c r="F46" s="26" t="s">
        <v>467</v>
      </c>
      <c r="G46" s="26"/>
      <c r="H46" s="46" t="n">
        <f aca="false">COUNTIF(PROJECT!F2:F100, "*CAF*")</f>
        <v>0</v>
      </c>
      <c r="I46" s="26"/>
      <c r="J46" s="26"/>
      <c r="K46" s="26"/>
      <c r="L46" s="26"/>
      <c r="M46" s="26"/>
      <c r="N46" s="26"/>
      <c r="O46" s="26"/>
      <c r="P46" s="26"/>
      <c r="Q46" s="26"/>
    </row>
    <row collapsed="false" customFormat="false" customHeight="false" hidden="false" ht="12.75" outlineLevel="0" r="47">
      <c r="A47" s="26" t="s">
        <v>468</v>
      </c>
      <c r="B47" s="26" t="s">
        <v>468</v>
      </c>
      <c r="C47" s="37" t="s">
        <v>469</v>
      </c>
      <c r="D47" s="53" t="s">
        <v>470</v>
      </c>
      <c r="E47" s="55" t="s">
        <v>471</v>
      </c>
      <c r="F47" s="26" t="s">
        <v>472</v>
      </c>
      <c r="G47" s="26"/>
      <c r="H47" s="46" t="n">
        <f aca="false">COUNTIF(PROJECT!F2:F100, "*TCD*")</f>
        <v>0</v>
      </c>
      <c r="I47" s="26"/>
      <c r="J47" s="26"/>
      <c r="K47" s="26"/>
      <c r="L47" s="26"/>
      <c r="M47" s="26"/>
      <c r="N47" s="26"/>
      <c r="O47" s="26"/>
      <c r="P47" s="26"/>
      <c r="Q47" s="26"/>
    </row>
    <row collapsed="false" customFormat="false" customHeight="false" hidden="false" ht="12.75" outlineLevel="0" r="48">
      <c r="A48" s="26" t="s">
        <v>473</v>
      </c>
      <c r="B48" s="26" t="s">
        <v>473</v>
      </c>
      <c r="C48" s="46" t="s">
        <v>474</v>
      </c>
      <c r="D48" s="53" t="s">
        <v>475</v>
      </c>
      <c r="E48" s="26" t="s">
        <v>476</v>
      </c>
      <c r="F48" s="26" t="s">
        <v>477</v>
      </c>
      <c r="G48" s="26"/>
      <c r="H48" s="46" t="n">
        <f aca="false">COUNTIF(PROJECT!F2:F100, "*CHL*")</f>
        <v>0</v>
      </c>
      <c r="I48" s="26"/>
      <c r="J48" s="26"/>
      <c r="K48" s="26"/>
      <c r="L48" s="26"/>
      <c r="M48" s="26"/>
      <c r="N48" s="26"/>
      <c r="O48" s="26"/>
      <c r="P48" s="26"/>
      <c r="Q48" s="26"/>
    </row>
    <row collapsed="false" customFormat="false" customHeight="false" hidden="false" ht="12.75" outlineLevel="0" r="49">
      <c r="A49" s="26" t="s">
        <v>478</v>
      </c>
      <c r="B49" s="26" t="s">
        <v>478</v>
      </c>
      <c r="C49" s="46" t="s">
        <v>479</v>
      </c>
      <c r="D49" s="53" t="s">
        <v>480</v>
      </c>
      <c r="E49" s="26" t="s">
        <v>481</v>
      </c>
      <c r="F49" s="26" t="s">
        <v>482</v>
      </c>
      <c r="G49" s="26"/>
      <c r="H49" s="46" t="n">
        <f aca="false">COUNTIF(PROJECT!F2:F100, "*CHN*")</f>
        <v>0</v>
      </c>
      <c r="I49" s="26"/>
      <c r="J49" s="26"/>
      <c r="K49" s="26"/>
      <c r="L49" s="26"/>
      <c r="M49" s="26"/>
      <c r="N49" s="26"/>
      <c r="O49" s="26"/>
      <c r="P49" s="26"/>
      <c r="Q49" s="26"/>
    </row>
    <row collapsed="false" customFormat="false" customHeight="false" hidden="false" ht="12.75" outlineLevel="0" r="50">
      <c r="A50" s="26" t="s">
        <v>483</v>
      </c>
      <c r="B50" s="26" t="s">
        <v>484</v>
      </c>
      <c r="C50" s="37" t="s">
        <v>485</v>
      </c>
      <c r="D50" s="53" t="s">
        <v>486</v>
      </c>
      <c r="E50" s="55" t="s">
        <v>487</v>
      </c>
      <c r="F50" s="26" t="s">
        <v>488</v>
      </c>
      <c r="G50" s="26"/>
      <c r="H50" s="46" t="n">
        <f aca="false">COUNTIF(PROJECT!F2:F100, "*CXR*")</f>
        <v>0</v>
      </c>
      <c r="I50" s="26"/>
      <c r="J50" s="26"/>
      <c r="K50" s="26"/>
      <c r="L50" s="26"/>
      <c r="M50" s="26"/>
      <c r="N50" s="26"/>
      <c r="O50" s="26"/>
      <c r="P50" s="26"/>
      <c r="Q50" s="26"/>
    </row>
    <row collapsed="false" customFormat="false" customHeight="false" hidden="false" ht="12.75" outlineLevel="0" r="51">
      <c r="A51" s="26" t="s">
        <v>489</v>
      </c>
      <c r="B51" s="26" t="s">
        <v>490</v>
      </c>
      <c r="C51" s="46" t="s">
        <v>491</v>
      </c>
      <c r="D51" s="53" t="s">
        <v>492</v>
      </c>
      <c r="E51" s="26" t="s">
        <v>493</v>
      </c>
      <c r="F51" s="26" t="s">
        <v>494</v>
      </c>
      <c r="G51" s="26"/>
      <c r="H51" s="46" t="n">
        <f aca="false">COUNTIF(PROJECT!F2:F100, "*CCK*")</f>
        <v>0</v>
      </c>
      <c r="I51" s="26"/>
      <c r="J51" s="26"/>
      <c r="K51" s="26"/>
      <c r="L51" s="26"/>
      <c r="M51" s="26"/>
      <c r="N51" s="26"/>
      <c r="O51" s="26"/>
      <c r="P51" s="26"/>
      <c r="Q51" s="26"/>
    </row>
    <row collapsed="false" customFormat="false" customHeight="false" hidden="false" ht="12.75" outlineLevel="0" r="52">
      <c r="A52" s="26" t="s">
        <v>495</v>
      </c>
      <c r="B52" s="26" t="s">
        <v>495</v>
      </c>
      <c r="C52" s="46" t="s">
        <v>496</v>
      </c>
      <c r="D52" s="53" t="s">
        <v>497</v>
      </c>
      <c r="E52" s="26" t="s">
        <v>498</v>
      </c>
      <c r="F52" s="26" t="s">
        <v>496</v>
      </c>
      <c r="G52" s="26"/>
      <c r="H52" s="46" t="n">
        <f aca="false">COUNTIF(PROJECT!F2:F100, "*COL*")</f>
        <v>0</v>
      </c>
      <c r="I52" s="26"/>
      <c r="J52" s="26"/>
      <c r="K52" s="26"/>
      <c r="L52" s="26"/>
      <c r="M52" s="26"/>
      <c r="N52" s="26"/>
      <c r="O52" s="26"/>
      <c r="P52" s="26"/>
      <c r="Q52" s="26"/>
    </row>
    <row collapsed="false" customFormat="false" customHeight="false" hidden="false" ht="12.75" outlineLevel="0" r="53">
      <c r="A53" s="26" t="s">
        <v>499</v>
      </c>
      <c r="B53" s="26" t="s">
        <v>499</v>
      </c>
      <c r="C53" s="46" t="s">
        <v>482</v>
      </c>
      <c r="D53" s="53" t="s">
        <v>500</v>
      </c>
      <c r="E53" s="26" t="s">
        <v>501</v>
      </c>
      <c r="F53" s="26" t="s">
        <v>502</v>
      </c>
      <c r="G53" s="26"/>
      <c r="H53" s="46" t="n">
        <f aca="false">COUNTIF(PROJECT!F2:F100, "*COM*")</f>
        <v>0</v>
      </c>
      <c r="I53" s="26"/>
      <c r="J53" s="26"/>
      <c r="K53" s="26"/>
      <c r="L53" s="26"/>
      <c r="M53" s="26"/>
      <c r="N53" s="26"/>
      <c r="O53" s="26"/>
      <c r="P53" s="26"/>
      <c r="Q53" s="26"/>
    </row>
    <row collapsed="false" customFormat="false" customHeight="false" hidden="false" ht="12.75" outlineLevel="0" r="54">
      <c r="A54" s="26" t="s">
        <v>503</v>
      </c>
      <c r="B54" s="26" t="s">
        <v>503</v>
      </c>
      <c r="C54" s="46" t="s">
        <v>467</v>
      </c>
      <c r="D54" s="53" t="s">
        <v>504</v>
      </c>
      <c r="E54" s="26" t="s">
        <v>505</v>
      </c>
      <c r="F54" s="26" t="s">
        <v>506</v>
      </c>
      <c r="G54" s="26"/>
      <c r="H54" s="46" t="n">
        <f aca="false">COUNTIF(PROJECT!F2:F100, "*COG*")</f>
        <v>1</v>
      </c>
      <c r="I54" s="26"/>
      <c r="J54" s="26"/>
      <c r="K54" s="26"/>
      <c r="L54" s="26"/>
      <c r="M54" s="26"/>
      <c r="N54" s="26"/>
      <c r="O54" s="26"/>
      <c r="P54" s="26"/>
      <c r="Q54" s="26"/>
    </row>
    <row collapsed="false" customFormat="false" customHeight="false" hidden="false" ht="12.75" outlineLevel="0" r="55">
      <c r="A55" s="26" t="s">
        <v>507</v>
      </c>
      <c r="B55" s="26" t="s">
        <v>508</v>
      </c>
      <c r="C55" s="46" t="s">
        <v>506</v>
      </c>
      <c r="D55" s="53" t="s">
        <v>509</v>
      </c>
      <c r="E55" s="26" t="s">
        <v>510</v>
      </c>
      <c r="F55" s="26" t="s">
        <v>469</v>
      </c>
      <c r="G55" s="26"/>
      <c r="H55" s="46" t="n">
        <f aca="false">COUNTIF(PROJECT!F2:F100, "*COD*")</f>
        <v>1</v>
      </c>
      <c r="I55" s="26"/>
      <c r="J55" s="26"/>
      <c r="K55" s="26"/>
      <c r="L55" s="26"/>
      <c r="M55" s="26"/>
      <c r="N55" s="26"/>
      <c r="O55" s="26"/>
      <c r="P55" s="26"/>
      <c r="Q55" s="26"/>
    </row>
    <row collapsed="false" customFormat="false" customHeight="false" hidden="false" ht="12.75" outlineLevel="0" r="56">
      <c r="A56" s="55" t="s">
        <v>511</v>
      </c>
      <c r="B56" s="55" t="s">
        <v>512</v>
      </c>
      <c r="C56" s="46" t="s">
        <v>513</v>
      </c>
      <c r="D56" s="53" t="s">
        <v>514</v>
      </c>
      <c r="E56" s="26" t="s">
        <v>515</v>
      </c>
      <c r="F56" s="26" t="s">
        <v>491</v>
      </c>
      <c r="G56" s="26"/>
      <c r="H56" s="46" t="n">
        <f aca="false">COUNTIF(PROJECT!F2:F100, "*COK*")</f>
        <v>0</v>
      </c>
      <c r="I56" s="26"/>
      <c r="J56" s="26"/>
      <c r="K56" s="26"/>
      <c r="L56" s="26"/>
      <c r="M56" s="26"/>
      <c r="N56" s="26"/>
      <c r="O56" s="26"/>
      <c r="P56" s="26"/>
      <c r="Q56" s="26"/>
    </row>
    <row collapsed="false" customFormat="false" customHeight="false" hidden="false" ht="12.75" outlineLevel="0" r="57">
      <c r="A57" s="26" t="s">
        <v>516</v>
      </c>
      <c r="B57" s="26" t="s">
        <v>516</v>
      </c>
      <c r="C57" s="46" t="s">
        <v>517</v>
      </c>
      <c r="D57" s="53" t="s">
        <v>518</v>
      </c>
      <c r="E57" s="26" t="s">
        <v>519</v>
      </c>
      <c r="F57" s="26" t="s">
        <v>520</v>
      </c>
      <c r="G57" s="26"/>
      <c r="H57" s="46" t="n">
        <f aca="false">COUNTIF(PROJECT!F2:F100, "*CRI*")</f>
        <v>0</v>
      </c>
      <c r="I57" s="26"/>
      <c r="J57" s="26"/>
      <c r="K57" s="26"/>
      <c r="L57" s="26"/>
      <c r="M57" s="26"/>
      <c r="N57" s="26"/>
      <c r="O57" s="26"/>
      <c r="P57" s="26"/>
      <c r="Q57" s="26"/>
    </row>
    <row collapsed="false" customFormat="false" customHeight="false" hidden="false" ht="12.75" outlineLevel="0" r="58">
      <c r="A58" s="55" t="s">
        <v>521</v>
      </c>
      <c r="B58" s="26" t="s">
        <v>522</v>
      </c>
      <c r="C58" s="37" t="s">
        <v>523</v>
      </c>
      <c r="D58" s="53" t="s">
        <v>524</v>
      </c>
      <c r="E58" s="55" t="s">
        <v>525</v>
      </c>
      <c r="F58" s="26" t="s">
        <v>474</v>
      </c>
      <c r="G58" s="26"/>
      <c r="H58" s="46" t="n">
        <f aca="false">COUNTIF(PROJECT!F2:F100, "*CIV*")</f>
        <v>0</v>
      </c>
      <c r="I58" s="26"/>
      <c r="J58" s="26"/>
      <c r="K58" s="26"/>
      <c r="L58" s="26"/>
      <c r="M58" s="26"/>
      <c r="N58" s="26"/>
      <c r="O58" s="26"/>
      <c r="P58" s="26"/>
      <c r="Q58" s="26"/>
    </row>
    <row collapsed="false" customFormat="false" customHeight="false" hidden="false" ht="12.75" outlineLevel="0" r="59">
      <c r="A59" s="26" t="s">
        <v>526</v>
      </c>
      <c r="B59" s="26" t="s">
        <v>526</v>
      </c>
      <c r="C59" s="46" t="s">
        <v>527</v>
      </c>
      <c r="D59" s="53" t="s">
        <v>528</v>
      </c>
      <c r="E59" s="26" t="s">
        <v>529</v>
      </c>
      <c r="F59" s="26" t="s">
        <v>527</v>
      </c>
      <c r="G59" s="26"/>
      <c r="H59" s="46" t="n">
        <f aca="false">COUNTIF(PROJECT!F2:F100, "*HRV*")</f>
        <v>0</v>
      </c>
      <c r="I59" s="26"/>
      <c r="J59" s="26"/>
      <c r="K59" s="26"/>
      <c r="L59" s="26"/>
      <c r="M59" s="26"/>
      <c r="N59" s="26"/>
      <c r="O59" s="26"/>
      <c r="P59" s="26"/>
      <c r="Q59" s="26"/>
    </row>
    <row collapsed="false" customFormat="false" customHeight="false" hidden="false" ht="12.75" outlineLevel="0" r="60">
      <c r="A60" s="26" t="s">
        <v>530</v>
      </c>
      <c r="B60" s="26" t="s">
        <v>530</v>
      </c>
      <c r="C60" s="46" t="s">
        <v>531</v>
      </c>
      <c r="D60" s="53" t="s">
        <v>532</v>
      </c>
      <c r="E60" s="26" t="s">
        <v>533</v>
      </c>
      <c r="F60" s="26" t="s">
        <v>531</v>
      </c>
      <c r="G60" s="26"/>
      <c r="H60" s="46" t="n">
        <f aca="false">COUNTIF(PROJECT!F2:F100, "*CUB*")</f>
        <v>0</v>
      </c>
      <c r="I60" s="26"/>
      <c r="J60" s="26"/>
      <c r="K60" s="26"/>
      <c r="L60" s="26"/>
      <c r="M60" s="26"/>
      <c r="N60" s="26"/>
      <c r="O60" s="26"/>
      <c r="P60" s="26"/>
      <c r="Q60" s="26"/>
    </row>
    <row collapsed="false" customFormat="false" customHeight="false" hidden="false" ht="12.75" outlineLevel="0" r="61">
      <c r="A61" s="26" t="s">
        <v>534</v>
      </c>
      <c r="B61" s="26" t="s">
        <v>534</v>
      </c>
      <c r="C61" s="46" t="s">
        <v>535</v>
      </c>
      <c r="D61" s="53" t="s">
        <v>536</v>
      </c>
      <c r="E61" s="26" t="s">
        <v>537</v>
      </c>
      <c r="F61" s="26" t="s">
        <v>513</v>
      </c>
      <c r="G61" s="26"/>
      <c r="H61" s="46" t="n">
        <f aca="false">COUNTIF(PROJECT!F2:F100, "*CUW*")</f>
        <v>0</v>
      </c>
      <c r="I61" s="26"/>
      <c r="J61" s="26"/>
      <c r="K61" s="26"/>
      <c r="L61" s="26"/>
      <c r="M61" s="26"/>
      <c r="N61" s="26"/>
      <c r="O61" s="26"/>
      <c r="P61" s="26"/>
      <c r="Q61" s="26"/>
    </row>
    <row collapsed="false" customFormat="false" customHeight="false" hidden="false" ht="12.75" outlineLevel="0" r="62">
      <c r="A62" s="26" t="s">
        <v>538</v>
      </c>
      <c r="B62" s="26" t="s">
        <v>538</v>
      </c>
      <c r="C62" s="46" t="s">
        <v>539</v>
      </c>
      <c r="D62" s="53" t="s">
        <v>540</v>
      </c>
      <c r="E62" s="26" t="s">
        <v>541</v>
      </c>
      <c r="F62" s="26" t="s">
        <v>539</v>
      </c>
      <c r="G62" s="26"/>
      <c r="H62" s="46" t="n">
        <f aca="false">COUNTIF(PROJECT!F2:F100, "*CYP*")</f>
        <v>0</v>
      </c>
      <c r="I62" s="26"/>
      <c r="J62" s="26"/>
      <c r="K62" s="26"/>
      <c r="L62" s="26"/>
      <c r="M62" s="26"/>
      <c r="N62" s="26"/>
      <c r="O62" s="26"/>
      <c r="P62" s="26"/>
      <c r="Q62" s="26"/>
    </row>
    <row collapsed="false" customFormat="false" customHeight="false" hidden="false" ht="12.75" outlineLevel="0" r="63">
      <c r="A63" s="26" t="s">
        <v>542</v>
      </c>
      <c r="B63" s="26" t="s">
        <v>542</v>
      </c>
      <c r="C63" s="46" t="s">
        <v>543</v>
      </c>
      <c r="D63" s="53" t="s">
        <v>544</v>
      </c>
      <c r="E63" s="26" t="s">
        <v>545</v>
      </c>
      <c r="F63" s="26" t="s">
        <v>546</v>
      </c>
      <c r="G63" s="26"/>
      <c r="H63" s="46" t="n">
        <f aca="false">COUNTIF(PROJECT!F2:F100, "*CZE*")</f>
        <v>0</v>
      </c>
      <c r="I63" s="26"/>
      <c r="J63" s="26"/>
      <c r="K63" s="26"/>
      <c r="L63" s="26"/>
      <c r="M63" s="26"/>
      <c r="N63" s="26"/>
      <c r="O63" s="26"/>
      <c r="P63" s="26"/>
      <c r="Q63" s="26"/>
    </row>
    <row collapsed="false" customFormat="false" customHeight="false" hidden="false" ht="12.75" outlineLevel="0" r="64">
      <c r="A64" s="26" t="s">
        <v>547</v>
      </c>
      <c r="B64" s="26" t="s">
        <v>547</v>
      </c>
      <c r="C64" s="46" t="s">
        <v>548</v>
      </c>
      <c r="D64" s="53" t="s">
        <v>549</v>
      </c>
      <c r="E64" s="26" t="s">
        <v>550</v>
      </c>
      <c r="F64" s="26" t="s">
        <v>551</v>
      </c>
      <c r="G64" s="26"/>
      <c r="H64" s="46" t="n">
        <f aca="false">COUNTIF(PROJECT!F2:F100, "*DNK*")</f>
        <v>0</v>
      </c>
      <c r="I64" s="26"/>
      <c r="J64" s="26"/>
      <c r="K64" s="26"/>
      <c r="L64" s="26"/>
      <c r="M64" s="26"/>
      <c r="N64" s="26"/>
      <c r="O64" s="26"/>
      <c r="P64" s="26"/>
      <c r="Q64" s="26"/>
    </row>
    <row collapsed="false" customFormat="false" customHeight="false" hidden="false" ht="12.75" outlineLevel="0" r="65">
      <c r="A65" s="26" t="s">
        <v>552</v>
      </c>
      <c r="B65" s="26" t="s">
        <v>552</v>
      </c>
      <c r="C65" s="46" t="s">
        <v>553</v>
      </c>
      <c r="D65" s="53" t="s">
        <v>554</v>
      </c>
      <c r="E65" s="26" t="s">
        <v>555</v>
      </c>
      <c r="F65" s="26" t="s">
        <v>553</v>
      </c>
      <c r="G65" s="26"/>
      <c r="H65" s="46" t="n">
        <f aca="false">COUNTIF(PROJECT!F2:F100, "*DJI*")</f>
        <v>0</v>
      </c>
      <c r="I65" s="26"/>
      <c r="J65" s="26"/>
      <c r="K65" s="26"/>
      <c r="L65" s="26"/>
      <c r="M65" s="26"/>
      <c r="N65" s="26"/>
      <c r="O65" s="26"/>
      <c r="P65" s="26"/>
      <c r="Q65" s="26"/>
    </row>
    <row collapsed="false" customFormat="false" customHeight="false" hidden="false" ht="12.75" outlineLevel="0" r="66">
      <c r="A66" s="26" t="s">
        <v>556</v>
      </c>
      <c r="B66" s="26" t="s">
        <v>556</v>
      </c>
      <c r="C66" s="46" t="s">
        <v>557</v>
      </c>
      <c r="D66" s="53" t="s">
        <v>558</v>
      </c>
      <c r="E66" s="26" t="s">
        <v>559</v>
      </c>
      <c r="F66" s="26" t="s">
        <v>560</v>
      </c>
      <c r="G66" s="26"/>
      <c r="H66" s="46" t="n">
        <f aca="false">COUNTIF(PROJECT!F2:F100, "*DMA*")</f>
        <v>0</v>
      </c>
      <c r="I66" s="26"/>
      <c r="J66" s="26"/>
      <c r="K66" s="26"/>
      <c r="L66" s="26"/>
      <c r="M66" s="26"/>
      <c r="N66" s="26"/>
      <c r="O66" s="26"/>
      <c r="P66" s="26"/>
      <c r="Q66" s="26"/>
    </row>
    <row collapsed="false" customFormat="false" customHeight="false" hidden="false" ht="12.75" outlineLevel="0" r="67">
      <c r="A67" s="26" t="s">
        <v>561</v>
      </c>
      <c r="B67" s="26" t="s">
        <v>561</v>
      </c>
      <c r="C67" s="46" t="s">
        <v>562</v>
      </c>
      <c r="D67" s="53" t="s">
        <v>563</v>
      </c>
      <c r="E67" s="26" t="s">
        <v>564</v>
      </c>
      <c r="F67" s="26" t="s">
        <v>557</v>
      </c>
      <c r="G67" s="26"/>
      <c r="H67" s="46" t="n">
        <f aca="false">COUNTIF(PROJECT!F2:F100, "*DOM*")</f>
        <v>0</v>
      </c>
      <c r="I67" s="26"/>
      <c r="J67" s="26"/>
      <c r="K67" s="26"/>
      <c r="L67" s="26"/>
      <c r="M67" s="26"/>
      <c r="N67" s="26"/>
      <c r="O67" s="26"/>
      <c r="P67" s="26"/>
      <c r="Q67" s="26"/>
    </row>
    <row collapsed="false" customFormat="false" customHeight="false" hidden="false" ht="12.75" outlineLevel="0" r="68">
      <c r="A68" s="26" t="s">
        <v>565</v>
      </c>
      <c r="B68" s="26" t="s">
        <v>565</v>
      </c>
      <c r="C68" s="46" t="s">
        <v>566</v>
      </c>
      <c r="D68" s="53" t="s">
        <v>567</v>
      </c>
      <c r="E68" s="26" t="s">
        <v>568</v>
      </c>
      <c r="F68" s="26" t="s">
        <v>566</v>
      </c>
      <c r="G68" s="26"/>
      <c r="H68" s="46" t="n">
        <f aca="false">COUNTIF(PROJECT!F2:F100, "*ECU*")</f>
        <v>0</v>
      </c>
      <c r="I68" s="26"/>
      <c r="J68" s="26"/>
      <c r="K68" s="26"/>
      <c r="L68" s="26"/>
      <c r="M68" s="26"/>
      <c r="N68" s="26"/>
      <c r="O68" s="26"/>
      <c r="P68" s="26"/>
      <c r="Q68" s="26"/>
    </row>
    <row collapsed="false" customFormat="false" customHeight="false" hidden="false" ht="12.75" outlineLevel="0" r="69">
      <c r="A69" s="26" t="s">
        <v>569</v>
      </c>
      <c r="B69" s="26" t="s">
        <v>569</v>
      </c>
      <c r="C69" s="46" t="s">
        <v>570</v>
      </c>
      <c r="D69" s="53" t="s">
        <v>571</v>
      </c>
      <c r="E69" s="26" t="s">
        <v>572</v>
      </c>
      <c r="F69" s="26" t="s">
        <v>570</v>
      </c>
      <c r="G69" s="26"/>
      <c r="H69" s="46" t="n">
        <f aca="false">COUNTIF(PROJECT!F2:F100, "*EGY*")</f>
        <v>0</v>
      </c>
      <c r="I69" s="26"/>
      <c r="J69" s="26"/>
      <c r="K69" s="26"/>
      <c r="L69" s="26"/>
      <c r="M69" s="26"/>
      <c r="N69" s="26"/>
      <c r="O69" s="26"/>
      <c r="P69" s="26"/>
      <c r="Q69" s="26"/>
    </row>
    <row collapsed="false" customFormat="false" customHeight="false" hidden="false" ht="12.75" outlineLevel="0" r="70">
      <c r="A70" s="26" t="s">
        <v>573</v>
      </c>
      <c r="B70" s="26" t="s">
        <v>573</v>
      </c>
      <c r="C70" s="37" t="s">
        <v>574</v>
      </c>
      <c r="D70" s="53" t="s">
        <v>575</v>
      </c>
      <c r="E70" s="55" t="s">
        <v>576</v>
      </c>
      <c r="F70" s="26" t="s">
        <v>577</v>
      </c>
      <c r="G70" s="26"/>
      <c r="H70" s="46" t="n">
        <f aca="false">COUNTIF(PROJECT!F2:F100, "*SLV*")</f>
        <v>0</v>
      </c>
      <c r="I70" s="26"/>
      <c r="J70" s="26"/>
      <c r="K70" s="26"/>
      <c r="L70" s="26"/>
      <c r="M70" s="26"/>
      <c r="N70" s="26"/>
      <c r="O70" s="26"/>
      <c r="P70" s="26"/>
      <c r="Q70" s="26"/>
    </row>
    <row collapsed="false" customFormat="false" customHeight="false" hidden="false" ht="12.75" outlineLevel="0" r="71">
      <c r="A71" s="26" t="s">
        <v>113</v>
      </c>
      <c r="B71" s="26" t="s">
        <v>113</v>
      </c>
      <c r="C71" s="37" t="s">
        <v>578</v>
      </c>
      <c r="D71" s="53" t="s">
        <v>579</v>
      </c>
      <c r="E71" s="55" t="s">
        <v>580</v>
      </c>
      <c r="F71" s="26" t="s">
        <v>581</v>
      </c>
      <c r="G71" s="26"/>
      <c r="H71" s="46" t="n">
        <f aca="false">COUNTIF(PROJECT!F2:F100, "*GNQ*")</f>
        <v>1</v>
      </c>
      <c r="I71" s="26"/>
      <c r="J71" s="26"/>
      <c r="K71" s="26"/>
      <c r="L71" s="26"/>
      <c r="M71" s="26"/>
      <c r="N71" s="26"/>
      <c r="O71" s="26"/>
      <c r="P71" s="26"/>
      <c r="Q71" s="26"/>
    </row>
    <row collapsed="false" customFormat="false" customHeight="false" hidden="false" ht="12.75" outlineLevel="0" r="72">
      <c r="A72" s="26" t="s">
        <v>582</v>
      </c>
      <c r="B72" s="26" t="s">
        <v>582</v>
      </c>
      <c r="C72" s="46" t="s">
        <v>583</v>
      </c>
      <c r="D72" s="53" t="s">
        <v>584</v>
      </c>
      <c r="E72" s="26" t="s">
        <v>585</v>
      </c>
      <c r="F72" s="26" t="s">
        <v>583</v>
      </c>
      <c r="G72" s="26"/>
      <c r="H72" s="46" t="n">
        <f aca="false">COUNTIF(PROJECT!F2:F100, "*ERI*")</f>
        <v>0</v>
      </c>
      <c r="I72" s="26"/>
      <c r="J72" s="26"/>
      <c r="K72" s="26"/>
      <c r="L72" s="26"/>
      <c r="M72" s="26"/>
      <c r="N72" s="26"/>
      <c r="O72" s="26"/>
      <c r="P72" s="26"/>
      <c r="Q72" s="26"/>
    </row>
    <row collapsed="false" customFormat="false" customHeight="false" hidden="false" ht="12.75" outlineLevel="0" r="73">
      <c r="A73" s="26" t="s">
        <v>586</v>
      </c>
      <c r="B73" s="26" t="s">
        <v>586</v>
      </c>
      <c r="C73" s="46" t="s">
        <v>587</v>
      </c>
      <c r="D73" s="53" t="s">
        <v>588</v>
      </c>
      <c r="E73" s="26" t="s">
        <v>589</v>
      </c>
      <c r="F73" s="26" t="s">
        <v>590</v>
      </c>
      <c r="G73" s="26"/>
      <c r="H73" s="46" t="n">
        <f aca="false">COUNTIF(PROJECT!F2:F100, "*EST*")</f>
        <v>0</v>
      </c>
      <c r="I73" s="26"/>
      <c r="J73" s="26"/>
      <c r="K73" s="26"/>
      <c r="L73" s="26"/>
      <c r="M73" s="26"/>
      <c r="N73" s="26"/>
      <c r="O73" s="26"/>
      <c r="P73" s="26"/>
      <c r="Q73" s="26"/>
    </row>
    <row collapsed="false" customFormat="false" customHeight="false" hidden="false" ht="12.75" outlineLevel="0" r="74">
      <c r="A74" s="26" t="s">
        <v>591</v>
      </c>
      <c r="B74" s="26" t="s">
        <v>591</v>
      </c>
      <c r="C74" s="46" t="s">
        <v>592</v>
      </c>
      <c r="D74" s="53" t="s">
        <v>593</v>
      </c>
      <c r="E74" s="26" t="s">
        <v>594</v>
      </c>
      <c r="F74" s="26" t="s">
        <v>592</v>
      </c>
      <c r="G74" s="26"/>
      <c r="H74" s="46" t="n">
        <f aca="false">COUNTIF(PROJECT!F2:F100, "*ETH*")</f>
        <v>0</v>
      </c>
      <c r="I74" s="26"/>
      <c r="J74" s="26"/>
      <c r="K74" s="26"/>
      <c r="L74" s="26"/>
      <c r="M74" s="26"/>
      <c r="N74" s="26"/>
      <c r="O74" s="26"/>
      <c r="P74" s="26"/>
      <c r="Q74" s="26"/>
    </row>
    <row collapsed="false" customFormat="false" customHeight="false" hidden="false" ht="12.75" outlineLevel="0" r="75">
      <c r="A75" s="26" t="s">
        <v>595</v>
      </c>
      <c r="B75" s="26" t="s">
        <v>596</v>
      </c>
      <c r="C75" s="46" t="s">
        <v>597</v>
      </c>
      <c r="D75" s="53" t="s">
        <v>598</v>
      </c>
      <c r="E75" s="26" t="s">
        <v>599</v>
      </c>
      <c r="F75" s="26" t="s">
        <v>597</v>
      </c>
      <c r="G75" s="26"/>
      <c r="H75" s="46" t="n">
        <f aca="false">COUNTIF(PROJECT!F2:F100, "*FLK*")</f>
        <v>0</v>
      </c>
      <c r="I75" s="26"/>
      <c r="J75" s="26"/>
      <c r="K75" s="26"/>
      <c r="L75" s="26"/>
      <c r="M75" s="26"/>
      <c r="N75" s="26"/>
      <c r="O75" s="26"/>
      <c r="P75" s="26"/>
      <c r="Q75" s="26"/>
    </row>
    <row collapsed="false" customFormat="false" customHeight="false" hidden="false" ht="12.75" outlineLevel="0" r="76">
      <c r="A76" s="26" t="s">
        <v>600</v>
      </c>
      <c r="B76" s="26" t="s">
        <v>601</v>
      </c>
      <c r="C76" s="46" t="s">
        <v>602</v>
      </c>
      <c r="D76" s="53" t="s">
        <v>603</v>
      </c>
      <c r="E76" s="26" t="s">
        <v>604</v>
      </c>
      <c r="F76" s="26" t="s">
        <v>602</v>
      </c>
      <c r="G76" s="26"/>
      <c r="H76" s="46" t="n">
        <f aca="false">COUNTIF(PROJECT!F2:F100, "*FRO*")</f>
        <v>0</v>
      </c>
      <c r="I76" s="26"/>
      <c r="J76" s="26"/>
      <c r="K76" s="26"/>
      <c r="L76" s="26"/>
      <c r="M76" s="26"/>
      <c r="N76" s="26"/>
      <c r="O76" s="26"/>
      <c r="P76" s="26"/>
      <c r="Q76" s="26"/>
    </row>
    <row collapsed="false" customFormat="false" customHeight="false" hidden="false" ht="12.75" outlineLevel="0" r="77">
      <c r="A77" s="26" t="s">
        <v>605</v>
      </c>
      <c r="B77" s="26" t="s">
        <v>605</v>
      </c>
      <c r="C77" s="46" t="s">
        <v>606</v>
      </c>
      <c r="D77" s="53" t="s">
        <v>607</v>
      </c>
      <c r="E77" s="26" t="s">
        <v>608</v>
      </c>
      <c r="F77" s="26" t="s">
        <v>606</v>
      </c>
      <c r="G77" s="26"/>
      <c r="H77" s="46" t="n">
        <f aca="false">COUNTIF(PROJECT!F2:F100, "*FJI*")</f>
        <v>0</v>
      </c>
      <c r="I77" s="26"/>
      <c r="J77" s="26"/>
      <c r="K77" s="26"/>
      <c r="L77" s="26"/>
      <c r="M77" s="26"/>
      <c r="N77" s="26"/>
      <c r="O77" s="26"/>
      <c r="P77" s="26"/>
      <c r="Q77" s="26"/>
    </row>
    <row collapsed="false" customFormat="false" customHeight="false" hidden="false" ht="12.75" outlineLevel="0" r="78">
      <c r="A78" s="26" t="s">
        <v>609</v>
      </c>
      <c r="B78" s="26" t="s">
        <v>609</v>
      </c>
      <c r="C78" s="46" t="s">
        <v>610</v>
      </c>
      <c r="D78" s="53" t="s">
        <v>611</v>
      </c>
      <c r="E78" s="26" t="s">
        <v>612</v>
      </c>
      <c r="F78" s="26" t="s">
        <v>610</v>
      </c>
      <c r="G78" s="26"/>
      <c r="H78" s="46" t="n">
        <f aca="false">COUNTIF(PROJECT!F2:F100, "*FIN*")</f>
        <v>0</v>
      </c>
      <c r="I78" s="26"/>
      <c r="J78" s="26"/>
      <c r="K78" s="26"/>
      <c r="L78" s="26"/>
      <c r="M78" s="26"/>
      <c r="N78" s="26"/>
      <c r="O78" s="26"/>
      <c r="P78" s="26"/>
      <c r="Q78" s="26"/>
    </row>
    <row collapsed="false" customFormat="false" customHeight="false" hidden="false" ht="12.75" outlineLevel="0" r="79">
      <c r="A79" s="26" t="s">
        <v>613</v>
      </c>
      <c r="B79" s="26" t="s">
        <v>613</v>
      </c>
      <c r="C79" s="46" t="s">
        <v>614</v>
      </c>
      <c r="D79" s="53" t="s">
        <v>615</v>
      </c>
      <c r="E79" s="26" t="s">
        <v>616</v>
      </c>
      <c r="F79" s="26" t="s">
        <v>614</v>
      </c>
      <c r="G79" s="26"/>
      <c r="H79" s="46" t="n">
        <f aca="false">COUNTIF(PROJECT!F2:F100, "*FRA*")</f>
        <v>0</v>
      </c>
      <c r="I79" s="26"/>
      <c r="J79" s="26"/>
      <c r="K79" s="26"/>
      <c r="L79" s="26"/>
      <c r="M79" s="26"/>
      <c r="N79" s="26"/>
      <c r="O79" s="26"/>
      <c r="P79" s="26"/>
      <c r="Q79" s="26"/>
    </row>
    <row collapsed="false" customFormat="false" customHeight="false" hidden="false" ht="12.75" outlineLevel="0" r="80">
      <c r="A80" s="26" t="s">
        <v>617</v>
      </c>
      <c r="B80" s="26" t="s">
        <v>617</v>
      </c>
      <c r="C80" s="37" t="s">
        <v>618</v>
      </c>
      <c r="D80" s="53" t="s">
        <v>619</v>
      </c>
      <c r="E80" s="55" t="s">
        <v>620</v>
      </c>
      <c r="F80" s="26" t="s">
        <v>621</v>
      </c>
      <c r="G80" s="26"/>
      <c r="H80" s="46" t="n">
        <f aca="false">COUNTIF(PROJECT!F2:F100, "*GUF*")</f>
        <v>0</v>
      </c>
      <c r="I80" s="26"/>
      <c r="J80" s="26"/>
      <c r="K80" s="26"/>
      <c r="L80" s="26"/>
      <c r="M80" s="26"/>
      <c r="N80" s="26"/>
      <c r="O80" s="26"/>
      <c r="P80" s="26"/>
      <c r="Q80" s="26"/>
    </row>
    <row collapsed="false" customFormat="false" customHeight="false" hidden="false" ht="12.75" outlineLevel="0" r="81">
      <c r="A81" s="26" t="s">
        <v>622</v>
      </c>
      <c r="B81" s="26" t="s">
        <v>622</v>
      </c>
      <c r="C81" s="37" t="s">
        <v>623</v>
      </c>
      <c r="D81" s="53" t="s">
        <v>624</v>
      </c>
      <c r="E81" s="55" t="s">
        <v>625</v>
      </c>
      <c r="F81" s="26" t="s">
        <v>626</v>
      </c>
      <c r="G81" s="26"/>
      <c r="H81" s="46" t="n">
        <f aca="false">COUNTIF(PROJECT!F2:F100, "*PYF*")</f>
        <v>0</v>
      </c>
      <c r="I81" s="26"/>
      <c r="J81" s="26"/>
      <c r="K81" s="26"/>
      <c r="L81" s="26"/>
      <c r="M81" s="26"/>
      <c r="N81" s="26"/>
      <c r="O81" s="26"/>
      <c r="P81" s="26"/>
      <c r="Q81" s="26"/>
    </row>
    <row collapsed="false" customFormat="false" customHeight="false" hidden="false" ht="12.75" outlineLevel="0" r="82">
      <c r="A82" s="55" t="s">
        <v>627</v>
      </c>
      <c r="B82" s="26" t="s">
        <v>628</v>
      </c>
      <c r="C82" s="37" t="s">
        <v>629</v>
      </c>
      <c r="D82" s="53" t="s">
        <v>630</v>
      </c>
      <c r="E82" s="55" t="s">
        <v>631</v>
      </c>
      <c r="F82" s="26" t="s">
        <v>632</v>
      </c>
      <c r="G82" s="26" t="s">
        <v>633</v>
      </c>
      <c r="H82" s="46" t="n">
        <f aca="false">COUNTIF(PROJECT!F2:F100, "*ATF*")</f>
        <v>0</v>
      </c>
      <c r="I82" s="26"/>
      <c r="J82" s="26"/>
      <c r="K82" s="26"/>
      <c r="L82" s="26"/>
      <c r="M82" s="26"/>
      <c r="N82" s="26"/>
      <c r="O82" s="26"/>
      <c r="P82" s="26"/>
      <c r="Q82" s="26"/>
    </row>
    <row collapsed="false" customFormat="false" customHeight="false" hidden="false" ht="12.75" outlineLevel="0" r="83">
      <c r="A83" s="26" t="s">
        <v>634</v>
      </c>
      <c r="B83" s="26" t="s">
        <v>634</v>
      </c>
      <c r="C83" s="46" t="s">
        <v>635</v>
      </c>
      <c r="D83" s="53" t="s">
        <v>636</v>
      </c>
      <c r="E83" s="26" t="s">
        <v>637</v>
      </c>
      <c r="F83" s="26" t="s">
        <v>638</v>
      </c>
      <c r="G83" s="26"/>
      <c r="H83" s="46" t="n">
        <f aca="false">COUNTIF(PROJECT!F2:F100, "*GAB*")</f>
        <v>0</v>
      </c>
      <c r="I83" s="26"/>
      <c r="J83" s="26"/>
      <c r="K83" s="26"/>
      <c r="L83" s="26"/>
      <c r="M83" s="26"/>
      <c r="N83" s="26"/>
      <c r="O83" s="26"/>
      <c r="P83" s="26"/>
      <c r="Q83" s="26"/>
    </row>
    <row collapsed="false" customFormat="false" customHeight="false" hidden="false" ht="12.75" outlineLevel="0" r="84">
      <c r="A84" s="26" t="s">
        <v>639</v>
      </c>
      <c r="B84" s="26" t="s">
        <v>639</v>
      </c>
      <c r="C84" s="46" t="s">
        <v>638</v>
      </c>
      <c r="D84" s="53" t="s">
        <v>640</v>
      </c>
      <c r="E84" s="26" t="s">
        <v>641</v>
      </c>
      <c r="F84" s="26" t="s">
        <v>642</v>
      </c>
      <c r="G84" s="26"/>
      <c r="H84" s="46" t="n">
        <f aca="false">COUNTIF(PROJECT!F2:F100, "*GMB*")</f>
        <v>0</v>
      </c>
      <c r="I84" s="26"/>
      <c r="J84" s="26"/>
      <c r="K84" s="26"/>
      <c r="L84" s="26"/>
      <c r="M84" s="26"/>
      <c r="N84" s="26"/>
      <c r="O84" s="26"/>
      <c r="P84" s="26"/>
      <c r="Q84" s="26"/>
    </row>
    <row collapsed="false" customFormat="false" customHeight="false" hidden="false" ht="12.75" outlineLevel="0" r="85">
      <c r="A85" s="55" t="s">
        <v>639</v>
      </c>
      <c r="B85" s="55" t="s">
        <v>643</v>
      </c>
      <c r="C85" s="37" t="s">
        <v>638</v>
      </c>
      <c r="D85" s="56" t="s">
        <v>640</v>
      </c>
      <c r="E85" s="55" t="s">
        <v>641</v>
      </c>
      <c r="F85" s="55" t="s">
        <v>642</v>
      </c>
      <c r="G85" s="26"/>
      <c r="H85" s="57" t="n">
        <f aca="false">COUNTIF(PROJECT!F2:F100, "*GMB*")</f>
        <v>0</v>
      </c>
      <c r="I85" s="26"/>
      <c r="J85" s="26"/>
      <c r="K85" s="26"/>
      <c r="L85" s="26"/>
      <c r="M85" s="26"/>
      <c r="N85" s="26"/>
      <c r="O85" s="26"/>
      <c r="P85" s="26"/>
      <c r="Q85" s="26"/>
    </row>
    <row collapsed="false" customFormat="false" customHeight="false" hidden="false" ht="12.75" outlineLevel="0" r="86">
      <c r="A86" s="26" t="s">
        <v>644</v>
      </c>
      <c r="B86" s="26" t="s">
        <v>645</v>
      </c>
      <c r="C86" s="37" t="s">
        <v>646</v>
      </c>
      <c r="D86" s="53" t="s">
        <v>647</v>
      </c>
      <c r="E86" s="54"/>
      <c r="F86" s="26" t="s">
        <v>648</v>
      </c>
      <c r="G86" s="26"/>
      <c r="H86" s="57" t="n">
        <f aca="false">COUNTIF(PROJECT!F2:F100, "*PS-GZA*")</f>
        <v>0</v>
      </c>
      <c r="I86" s="26"/>
      <c r="J86" s="26"/>
      <c r="K86" s="26"/>
      <c r="L86" s="26"/>
      <c r="M86" s="26"/>
      <c r="N86" s="26"/>
      <c r="O86" s="26"/>
      <c r="P86" s="26"/>
      <c r="Q86" s="26"/>
    </row>
    <row collapsed="false" customFormat="false" customHeight="false" hidden="false" ht="12.75" outlineLevel="0" r="87">
      <c r="A87" s="26" t="s">
        <v>649</v>
      </c>
      <c r="B87" s="26" t="s">
        <v>649</v>
      </c>
      <c r="C87" s="46" t="s">
        <v>650</v>
      </c>
      <c r="D87" s="53" t="s">
        <v>651</v>
      </c>
      <c r="E87" s="26" t="s">
        <v>652</v>
      </c>
      <c r="F87" s="26" t="s">
        <v>653</v>
      </c>
      <c r="G87" s="26"/>
      <c r="H87" s="46" t="n">
        <f aca="false">COUNTIF(PROJECT!F2:F100, "*GEO*")</f>
        <v>0</v>
      </c>
      <c r="I87" s="26"/>
      <c r="J87" s="26"/>
      <c r="K87" s="26"/>
      <c r="L87" s="26"/>
      <c r="M87" s="26"/>
      <c r="N87" s="26"/>
      <c r="O87" s="26"/>
      <c r="P87" s="26"/>
      <c r="Q87" s="26"/>
    </row>
    <row collapsed="false" customFormat="false" customHeight="false" hidden="false" ht="12.75" outlineLevel="0" r="88">
      <c r="A88" s="26" t="s">
        <v>654</v>
      </c>
      <c r="B88" s="26" t="s">
        <v>654</v>
      </c>
      <c r="C88" s="37" t="s">
        <v>642</v>
      </c>
      <c r="D88" s="53" t="s">
        <v>655</v>
      </c>
      <c r="E88" s="55" t="s">
        <v>656</v>
      </c>
      <c r="F88" s="26" t="s">
        <v>657</v>
      </c>
      <c r="G88" s="26"/>
      <c r="H88" s="46" t="n">
        <f aca="false">COUNTIF(PROJECT!F2:F100, "*DEU*")</f>
        <v>0</v>
      </c>
      <c r="I88" s="26"/>
      <c r="J88" s="26"/>
      <c r="K88" s="26"/>
      <c r="L88" s="26"/>
      <c r="M88" s="26"/>
      <c r="N88" s="26"/>
      <c r="O88" s="26"/>
      <c r="P88" s="26"/>
      <c r="Q88" s="26"/>
    </row>
    <row collapsed="false" customFormat="false" customHeight="false" hidden="false" ht="12.75" outlineLevel="0" r="89">
      <c r="A89" s="26" t="s">
        <v>658</v>
      </c>
      <c r="B89" s="26" t="s">
        <v>658</v>
      </c>
      <c r="C89" s="46" t="s">
        <v>659</v>
      </c>
      <c r="D89" s="53" t="s">
        <v>660</v>
      </c>
      <c r="E89" s="26" t="s">
        <v>661</v>
      </c>
      <c r="F89" s="26" t="s">
        <v>659</v>
      </c>
      <c r="G89" s="26"/>
      <c r="H89" s="46" t="n">
        <f aca="false">COUNTIF(PROJECT!F2:F100, "*GHA*")</f>
        <v>0</v>
      </c>
      <c r="I89" s="26"/>
      <c r="J89" s="26"/>
      <c r="K89" s="26"/>
      <c r="L89" s="26"/>
      <c r="M89" s="26"/>
      <c r="N89" s="26"/>
      <c r="O89" s="26"/>
      <c r="P89" s="26"/>
      <c r="Q89" s="26"/>
    </row>
    <row collapsed="false" customFormat="false" customHeight="false" hidden="false" ht="12.75" outlineLevel="0" r="90">
      <c r="A90" s="26" t="s">
        <v>662</v>
      </c>
      <c r="B90" s="26" t="s">
        <v>662</v>
      </c>
      <c r="C90" s="46" t="s">
        <v>663</v>
      </c>
      <c r="D90" s="53" t="s">
        <v>664</v>
      </c>
      <c r="E90" s="26" t="s">
        <v>665</v>
      </c>
      <c r="F90" s="26" t="s">
        <v>663</v>
      </c>
      <c r="G90" s="26"/>
      <c r="H90" s="46" t="n">
        <f aca="false">COUNTIF(PROJECT!F2:F100, "*GIB*")</f>
        <v>0</v>
      </c>
      <c r="I90" s="26"/>
      <c r="J90" s="26"/>
      <c r="K90" s="26"/>
      <c r="L90" s="26"/>
      <c r="M90" s="26"/>
      <c r="N90" s="26"/>
      <c r="O90" s="26"/>
      <c r="P90" s="26"/>
      <c r="Q90" s="26"/>
    </row>
    <row collapsed="false" customFormat="false" customHeight="false" hidden="false" ht="12.75" outlineLevel="0" r="91">
      <c r="A91" s="26" t="s">
        <v>666</v>
      </c>
      <c r="B91" s="26" t="s">
        <v>667</v>
      </c>
      <c r="C91" s="46" t="s">
        <v>668</v>
      </c>
      <c r="D91" s="54"/>
      <c r="E91" s="54"/>
      <c r="F91" s="55" t="s">
        <v>632</v>
      </c>
      <c r="G91" s="26" t="s">
        <v>669</v>
      </c>
      <c r="H91" s="57"/>
      <c r="I91" s="26"/>
      <c r="J91" s="26"/>
      <c r="K91" s="26"/>
      <c r="L91" s="26"/>
      <c r="M91" s="26"/>
      <c r="N91" s="26"/>
      <c r="O91" s="26"/>
      <c r="P91" s="26"/>
      <c r="Q91" s="26"/>
    </row>
    <row collapsed="false" customFormat="false" customHeight="false" hidden="false" ht="12.75" outlineLevel="0" r="92">
      <c r="A92" s="26" t="s">
        <v>670</v>
      </c>
      <c r="B92" s="26" t="s">
        <v>670</v>
      </c>
      <c r="C92" s="46" t="s">
        <v>671</v>
      </c>
      <c r="D92" s="53" t="s">
        <v>672</v>
      </c>
      <c r="E92" s="26" t="s">
        <v>673</v>
      </c>
      <c r="F92" s="26" t="s">
        <v>671</v>
      </c>
      <c r="G92" s="26"/>
      <c r="H92" s="46" t="n">
        <f aca="false">COUNTIF(PROJECT!F2:F100, "*GRC*")</f>
        <v>0</v>
      </c>
      <c r="I92" s="26"/>
      <c r="J92" s="26"/>
      <c r="K92" s="26"/>
      <c r="L92" s="26"/>
      <c r="M92" s="26"/>
      <c r="N92" s="26"/>
      <c r="O92" s="26"/>
      <c r="P92" s="26"/>
      <c r="Q92" s="26"/>
    </row>
    <row collapsed="false" customFormat="false" customHeight="false" hidden="false" ht="12.75" outlineLevel="0" r="93">
      <c r="A93" s="26" t="s">
        <v>674</v>
      </c>
      <c r="B93" s="26" t="s">
        <v>674</v>
      </c>
      <c r="C93" s="46" t="s">
        <v>675</v>
      </c>
      <c r="D93" s="53" t="s">
        <v>676</v>
      </c>
      <c r="E93" s="26" t="s">
        <v>677</v>
      </c>
      <c r="F93" s="26" t="s">
        <v>675</v>
      </c>
      <c r="G93" s="26"/>
      <c r="H93" s="46" t="n">
        <f aca="false">COUNTIF(PROJECT!F2:F100, "*GRL*")</f>
        <v>0</v>
      </c>
      <c r="I93" s="26"/>
      <c r="J93" s="26"/>
      <c r="K93" s="26"/>
      <c r="L93" s="26"/>
      <c r="M93" s="26"/>
      <c r="N93" s="26"/>
      <c r="O93" s="26"/>
      <c r="P93" s="26"/>
      <c r="Q93" s="26"/>
    </row>
    <row collapsed="false" customFormat="false" customHeight="false" hidden="false" ht="12.75" outlineLevel="0" r="94">
      <c r="A94" s="26" t="s">
        <v>678</v>
      </c>
      <c r="B94" s="26" t="s">
        <v>678</v>
      </c>
      <c r="C94" s="46" t="s">
        <v>679</v>
      </c>
      <c r="D94" s="53" t="s">
        <v>680</v>
      </c>
      <c r="E94" s="26" t="s">
        <v>681</v>
      </c>
      <c r="F94" s="26" t="s">
        <v>682</v>
      </c>
      <c r="G94" s="26"/>
      <c r="H94" s="46" t="n">
        <f aca="false">COUNTIF(PROJECT!F2:F100, "*GRD*")</f>
        <v>0</v>
      </c>
      <c r="I94" s="26"/>
      <c r="J94" s="26"/>
      <c r="K94" s="26"/>
      <c r="L94" s="26"/>
      <c r="M94" s="26"/>
      <c r="N94" s="26"/>
      <c r="O94" s="26"/>
      <c r="P94" s="26"/>
      <c r="Q94" s="26"/>
    </row>
    <row collapsed="false" customFormat="false" customHeight="false" hidden="false" ht="12.75" outlineLevel="0" r="95">
      <c r="A95" s="26" t="s">
        <v>683</v>
      </c>
      <c r="B95" s="26" t="s">
        <v>683</v>
      </c>
      <c r="C95" s="46" t="s">
        <v>684</v>
      </c>
      <c r="D95" s="53" t="s">
        <v>685</v>
      </c>
      <c r="E95" s="26" t="s">
        <v>686</v>
      </c>
      <c r="F95" s="26" t="s">
        <v>684</v>
      </c>
      <c r="G95" s="26"/>
      <c r="H95" s="46" t="n">
        <f aca="false">COUNTIF(PROJECT!F2:F100, "*GLP*")</f>
        <v>0</v>
      </c>
      <c r="I95" s="26"/>
      <c r="J95" s="26"/>
      <c r="K95" s="26"/>
      <c r="L95" s="26"/>
      <c r="M95" s="26"/>
      <c r="N95" s="26"/>
      <c r="O95" s="26"/>
      <c r="P95" s="26"/>
      <c r="Q95" s="26"/>
    </row>
    <row collapsed="false" customFormat="false" customHeight="false" hidden="false" ht="12.75" outlineLevel="0" r="96">
      <c r="A96" s="26" t="s">
        <v>687</v>
      </c>
      <c r="B96" s="26" t="s">
        <v>687</v>
      </c>
      <c r="C96" s="46" t="s">
        <v>581</v>
      </c>
      <c r="D96" s="53" t="s">
        <v>688</v>
      </c>
      <c r="E96" s="26" t="s">
        <v>689</v>
      </c>
      <c r="F96" s="26" t="s">
        <v>690</v>
      </c>
      <c r="G96" s="26"/>
      <c r="H96" s="46" t="n">
        <f aca="false">COUNTIF(PROJECT!F2:F100, "*GUM*")</f>
        <v>0</v>
      </c>
      <c r="I96" s="26"/>
      <c r="J96" s="26"/>
      <c r="K96" s="26"/>
      <c r="L96" s="26"/>
      <c r="M96" s="26"/>
      <c r="N96" s="26"/>
      <c r="O96" s="26"/>
      <c r="P96" s="26"/>
      <c r="Q96" s="26"/>
    </row>
    <row collapsed="false" customFormat="false" customHeight="false" hidden="false" ht="12.75" outlineLevel="0" r="97">
      <c r="A97" s="26" t="s">
        <v>691</v>
      </c>
      <c r="B97" s="26" t="s">
        <v>691</v>
      </c>
      <c r="C97" s="46" t="s">
        <v>692</v>
      </c>
      <c r="D97" s="53" t="s">
        <v>693</v>
      </c>
      <c r="E97" s="26" t="s">
        <v>694</v>
      </c>
      <c r="F97" s="26" t="s">
        <v>692</v>
      </c>
      <c r="G97" s="26"/>
      <c r="H97" s="46" t="n">
        <f aca="false">COUNTIF(PROJECT!F2:F100, "*GTM*")</f>
        <v>0</v>
      </c>
      <c r="I97" s="26"/>
      <c r="J97" s="26"/>
      <c r="K97" s="26"/>
      <c r="L97" s="26"/>
      <c r="M97" s="26"/>
      <c r="N97" s="26"/>
      <c r="O97" s="26"/>
      <c r="P97" s="26"/>
      <c r="Q97" s="26"/>
    </row>
    <row collapsed="false" customFormat="false" customHeight="false" hidden="false" ht="12.75" outlineLevel="0" r="98">
      <c r="A98" s="26" t="s">
        <v>695</v>
      </c>
      <c r="B98" s="26" t="s">
        <v>695</v>
      </c>
      <c r="C98" s="46" t="s">
        <v>696</v>
      </c>
      <c r="D98" s="53" t="s">
        <v>697</v>
      </c>
      <c r="E98" s="26" t="s">
        <v>698</v>
      </c>
      <c r="F98" s="26" t="s">
        <v>650</v>
      </c>
      <c r="G98" s="26"/>
      <c r="H98" s="46" t="n">
        <f aca="false">COUNTIF(PROJECT!F2:F100, "*GGY*")</f>
        <v>0</v>
      </c>
      <c r="I98" s="26"/>
      <c r="J98" s="26"/>
      <c r="K98" s="26"/>
      <c r="L98" s="26"/>
      <c r="M98" s="26"/>
      <c r="N98" s="26"/>
      <c r="O98" s="26"/>
      <c r="P98" s="26"/>
      <c r="Q98" s="26"/>
    </row>
    <row collapsed="false" customFormat="false" customHeight="false" hidden="false" ht="12.75" outlineLevel="0" r="99">
      <c r="A99" s="26" t="s">
        <v>699</v>
      </c>
      <c r="B99" s="26" t="s">
        <v>699</v>
      </c>
      <c r="C99" s="46" t="s">
        <v>700</v>
      </c>
      <c r="D99" s="53" t="s">
        <v>701</v>
      </c>
      <c r="E99" s="26" t="s">
        <v>702</v>
      </c>
      <c r="F99" s="26" t="s">
        <v>703</v>
      </c>
      <c r="G99" s="26"/>
      <c r="H99" s="46" t="n">
        <f aca="false">COUNTIF(PROJECT!F2:F100, "*GIN*")</f>
        <v>0</v>
      </c>
      <c r="I99" s="26"/>
      <c r="J99" s="26"/>
      <c r="K99" s="26"/>
      <c r="L99" s="26"/>
      <c r="M99" s="26"/>
      <c r="N99" s="26"/>
      <c r="O99" s="26"/>
      <c r="P99" s="26"/>
      <c r="Q99" s="26"/>
    </row>
    <row collapsed="false" customFormat="false" customHeight="false" hidden="false" ht="12.75" outlineLevel="0" r="100">
      <c r="A100" s="26" t="s">
        <v>704</v>
      </c>
      <c r="B100" s="26" t="s">
        <v>704</v>
      </c>
      <c r="C100" s="46" t="s">
        <v>705</v>
      </c>
      <c r="D100" s="53" t="s">
        <v>706</v>
      </c>
      <c r="E100" s="26" t="s">
        <v>707</v>
      </c>
      <c r="F100" s="26" t="s">
        <v>708</v>
      </c>
      <c r="G100" s="26"/>
      <c r="H100" s="46" t="n">
        <f aca="false">COUNTIF(PROJECT!F2:F100, "*GNB*")</f>
        <v>0</v>
      </c>
      <c r="I100" s="26"/>
      <c r="J100" s="26"/>
      <c r="K100" s="26"/>
      <c r="L100" s="26"/>
      <c r="M100" s="26"/>
      <c r="N100" s="26"/>
      <c r="O100" s="26"/>
      <c r="P100" s="26"/>
      <c r="Q100" s="26"/>
    </row>
    <row collapsed="false" customFormat="false" customHeight="false" hidden="false" ht="12.75" outlineLevel="0" r="101">
      <c r="A101" s="26" t="s">
        <v>709</v>
      </c>
      <c r="B101" s="26" t="s">
        <v>709</v>
      </c>
      <c r="C101" s="46" t="s">
        <v>710</v>
      </c>
      <c r="D101" s="53" t="s">
        <v>711</v>
      </c>
      <c r="E101" s="26" t="s">
        <v>712</v>
      </c>
      <c r="F101" s="26" t="s">
        <v>710</v>
      </c>
      <c r="G101" s="26"/>
      <c r="H101" s="46" t="n">
        <f aca="false">COUNTIF(PROJECT!F2:F100, "*GUY*")</f>
        <v>0</v>
      </c>
      <c r="I101" s="26"/>
      <c r="J101" s="26"/>
      <c r="K101" s="26"/>
      <c r="L101" s="26"/>
      <c r="M101" s="26"/>
      <c r="N101" s="26"/>
      <c r="O101" s="26"/>
      <c r="P101" s="26"/>
      <c r="Q101" s="26"/>
    </row>
    <row collapsed="false" customFormat="false" customHeight="false" hidden="false" ht="12.75" outlineLevel="0" r="102">
      <c r="A102" s="26" t="s">
        <v>713</v>
      </c>
      <c r="B102" s="26" t="s">
        <v>713</v>
      </c>
      <c r="C102" s="46" t="s">
        <v>714</v>
      </c>
      <c r="D102" s="53" t="s">
        <v>715</v>
      </c>
      <c r="E102" s="26" t="s">
        <v>716</v>
      </c>
      <c r="F102" s="26" t="s">
        <v>717</v>
      </c>
      <c r="G102" s="26"/>
      <c r="H102" s="46" t="n">
        <f aca="false">COUNTIF(PROJECT!F2:F100, "*HTI*")</f>
        <v>0</v>
      </c>
      <c r="I102" s="26"/>
      <c r="J102" s="26"/>
      <c r="K102" s="26"/>
      <c r="L102" s="26"/>
      <c r="M102" s="26"/>
      <c r="N102" s="26"/>
      <c r="O102" s="26"/>
      <c r="P102" s="26"/>
      <c r="Q102" s="26"/>
    </row>
    <row collapsed="false" customFormat="false" customHeight="false" hidden="false" ht="12.75" outlineLevel="0" r="103">
      <c r="A103" s="26" t="s">
        <v>718</v>
      </c>
      <c r="B103" s="26" t="s">
        <v>719</v>
      </c>
      <c r="C103" s="46" t="s">
        <v>720</v>
      </c>
      <c r="D103" s="53" t="s">
        <v>721</v>
      </c>
      <c r="E103" s="26" t="s">
        <v>722</v>
      </c>
      <c r="F103" s="26" t="s">
        <v>720</v>
      </c>
      <c r="G103" s="26"/>
      <c r="H103" s="46" t="n">
        <f aca="false">COUNTIF(PROJECT!F2:F100, "*HMD*")</f>
        <v>0</v>
      </c>
      <c r="I103" s="26"/>
      <c r="J103" s="26"/>
      <c r="K103" s="26"/>
      <c r="L103" s="26"/>
      <c r="M103" s="26"/>
      <c r="N103" s="26"/>
      <c r="O103" s="26"/>
      <c r="P103" s="26"/>
      <c r="Q103" s="26"/>
    </row>
    <row collapsed="false" customFormat="false" customHeight="false" hidden="false" ht="12.75" outlineLevel="0" r="104">
      <c r="A104" s="26" t="s">
        <v>723</v>
      </c>
      <c r="B104" s="26" t="s">
        <v>723</v>
      </c>
      <c r="C104" s="46" t="s">
        <v>724</v>
      </c>
      <c r="D104" s="53" t="s">
        <v>725</v>
      </c>
      <c r="E104" s="26" t="s">
        <v>726</v>
      </c>
      <c r="F104" s="26" t="s">
        <v>727</v>
      </c>
      <c r="G104" s="26"/>
      <c r="H104" s="46" t="n">
        <f aca="false">COUNTIF(PROJECT!F2:F100, "*HND*")</f>
        <v>0</v>
      </c>
      <c r="I104" s="26"/>
      <c r="J104" s="26"/>
      <c r="K104" s="26"/>
      <c r="L104" s="26"/>
      <c r="M104" s="26"/>
      <c r="N104" s="26"/>
      <c r="O104" s="26"/>
      <c r="P104" s="26"/>
      <c r="Q104" s="26"/>
    </row>
    <row collapsed="false" customFormat="false" customHeight="false" hidden="false" ht="12.75" outlineLevel="0" r="105">
      <c r="A105" s="26" t="s">
        <v>728</v>
      </c>
      <c r="B105" s="26" t="s">
        <v>729</v>
      </c>
      <c r="C105" s="46" t="s">
        <v>730</v>
      </c>
      <c r="D105" s="54"/>
      <c r="E105" s="54"/>
      <c r="F105" s="26" t="s">
        <v>731</v>
      </c>
      <c r="G105" s="46" t="s">
        <v>357</v>
      </c>
      <c r="H105" s="57"/>
      <c r="I105" s="26"/>
      <c r="J105" s="26"/>
      <c r="K105" s="26"/>
      <c r="L105" s="26"/>
      <c r="M105" s="26"/>
      <c r="N105" s="26"/>
      <c r="O105" s="26"/>
      <c r="P105" s="26"/>
      <c r="Q105" s="26"/>
    </row>
    <row collapsed="false" customFormat="false" customHeight="false" hidden="false" ht="12.75" outlineLevel="0" r="106">
      <c r="A106" s="26" t="s">
        <v>732</v>
      </c>
      <c r="B106" s="26" t="s">
        <v>732</v>
      </c>
      <c r="C106" s="46" t="s">
        <v>733</v>
      </c>
      <c r="D106" s="53" t="s">
        <v>734</v>
      </c>
      <c r="E106" s="26" t="s">
        <v>735</v>
      </c>
      <c r="F106" s="26" t="s">
        <v>733</v>
      </c>
      <c r="G106" s="26"/>
      <c r="H106" s="46" t="n">
        <f aca="false">COUNTIF(PROJECT!F2:F100, "*HUN*")</f>
        <v>0</v>
      </c>
      <c r="I106" s="26"/>
      <c r="J106" s="26"/>
      <c r="K106" s="26"/>
      <c r="L106" s="26"/>
      <c r="M106" s="26"/>
      <c r="N106" s="26"/>
      <c r="O106" s="26"/>
      <c r="P106" s="26"/>
      <c r="Q106" s="26"/>
    </row>
    <row collapsed="false" customFormat="false" customHeight="false" hidden="false" ht="12.75" outlineLevel="0" r="107">
      <c r="A107" s="26" t="s">
        <v>736</v>
      </c>
      <c r="B107" s="26" t="s">
        <v>736</v>
      </c>
      <c r="C107" s="46" t="s">
        <v>737</v>
      </c>
      <c r="D107" s="53" t="s">
        <v>738</v>
      </c>
      <c r="E107" s="26" t="s">
        <v>739</v>
      </c>
      <c r="F107" s="26" t="s">
        <v>740</v>
      </c>
      <c r="G107" s="26"/>
      <c r="H107" s="46" t="n">
        <f aca="false">COUNTIF(PROJECT!F2:F100, "*ISL*")</f>
        <v>0</v>
      </c>
      <c r="I107" s="26"/>
      <c r="J107" s="26"/>
      <c r="K107" s="26"/>
      <c r="L107" s="26"/>
      <c r="M107" s="26"/>
      <c r="N107" s="26"/>
      <c r="O107" s="26"/>
      <c r="P107" s="26"/>
      <c r="Q107" s="26"/>
    </row>
    <row collapsed="false" customFormat="false" customHeight="false" hidden="false" ht="12.75" outlineLevel="0" r="108">
      <c r="A108" s="26" t="s">
        <v>741</v>
      </c>
      <c r="B108" s="26" t="s">
        <v>741</v>
      </c>
      <c r="C108" s="46" t="s">
        <v>742</v>
      </c>
      <c r="D108" s="53" t="s">
        <v>743</v>
      </c>
      <c r="E108" s="26" t="s">
        <v>744</v>
      </c>
      <c r="F108" s="26" t="s">
        <v>742</v>
      </c>
      <c r="G108" s="26"/>
      <c r="H108" s="46" t="n">
        <f aca="false">COUNTIF(PROJECT!F2:F100, "*IND*")</f>
        <v>0</v>
      </c>
      <c r="I108" s="26"/>
      <c r="J108" s="26"/>
      <c r="K108" s="26"/>
      <c r="L108" s="26"/>
      <c r="M108" s="26"/>
      <c r="N108" s="26"/>
      <c r="O108" s="26"/>
      <c r="P108" s="26"/>
      <c r="Q108" s="26"/>
    </row>
    <row collapsed="false" customFormat="false" customHeight="false" hidden="false" ht="12.75" outlineLevel="0" r="109">
      <c r="A109" s="26" t="s">
        <v>745</v>
      </c>
      <c r="B109" s="26" t="s">
        <v>746</v>
      </c>
      <c r="C109" s="46" t="s">
        <v>747</v>
      </c>
      <c r="D109" s="53" t="s">
        <v>748</v>
      </c>
      <c r="E109" s="26" t="s">
        <v>749</v>
      </c>
      <c r="F109" s="26" t="s">
        <v>747</v>
      </c>
      <c r="G109" s="26"/>
      <c r="H109" s="46" t="n">
        <f aca="false">COUNTIF(PROJECT!F2:F100, "*IDN*")</f>
        <v>0</v>
      </c>
      <c r="I109" s="26"/>
      <c r="J109" s="26"/>
      <c r="K109" s="26"/>
      <c r="L109" s="26"/>
      <c r="M109" s="26"/>
      <c r="N109" s="26"/>
      <c r="O109" s="26"/>
      <c r="P109" s="26"/>
      <c r="Q109" s="26"/>
    </row>
    <row collapsed="false" customFormat="false" customHeight="false" hidden="false" ht="12.75" outlineLevel="0" r="110">
      <c r="A110" s="55" t="s">
        <v>750</v>
      </c>
      <c r="B110" s="26" t="s">
        <v>751</v>
      </c>
      <c r="C110" s="46" t="s">
        <v>752</v>
      </c>
      <c r="D110" s="53" t="s">
        <v>753</v>
      </c>
      <c r="E110" s="26" t="s">
        <v>754</v>
      </c>
      <c r="F110" s="26" t="s">
        <v>752</v>
      </c>
      <c r="G110" s="26"/>
      <c r="H110" s="46" t="n">
        <f aca="false">COUNTIF(PROJECT!F2:F100, "*IRN*")</f>
        <v>0</v>
      </c>
      <c r="I110" s="26"/>
      <c r="J110" s="26"/>
      <c r="K110" s="26"/>
      <c r="L110" s="26"/>
      <c r="M110" s="26"/>
      <c r="N110" s="26"/>
      <c r="O110" s="26"/>
      <c r="P110" s="26"/>
      <c r="Q110" s="26"/>
    </row>
    <row collapsed="false" customFormat="false" customHeight="false" hidden="false" ht="12.75" outlineLevel="0" r="111">
      <c r="A111" s="26" t="s">
        <v>755</v>
      </c>
      <c r="B111" s="26" t="s">
        <v>755</v>
      </c>
      <c r="C111" s="46" t="s">
        <v>756</v>
      </c>
      <c r="D111" s="53" t="s">
        <v>757</v>
      </c>
      <c r="E111" s="26" t="s">
        <v>758</v>
      </c>
      <c r="F111" s="26" t="s">
        <v>759</v>
      </c>
      <c r="G111" s="26"/>
      <c r="H111" s="46" t="n">
        <f aca="false">COUNTIF(PROJECT!F2:F100, "*IRQ*")</f>
        <v>0</v>
      </c>
      <c r="I111" s="26"/>
      <c r="J111" s="26"/>
      <c r="K111" s="26"/>
      <c r="L111" s="26"/>
      <c r="M111" s="26"/>
      <c r="N111" s="26"/>
      <c r="O111" s="26"/>
      <c r="P111" s="26"/>
      <c r="Q111" s="26"/>
    </row>
    <row collapsed="false" customFormat="false" customHeight="false" hidden="false" ht="12.75" outlineLevel="0" r="112">
      <c r="A112" s="26" t="s">
        <v>760</v>
      </c>
      <c r="B112" s="26" t="s">
        <v>760</v>
      </c>
      <c r="C112" s="46" t="s">
        <v>761</v>
      </c>
      <c r="D112" s="53" t="s">
        <v>762</v>
      </c>
      <c r="E112" s="26" t="s">
        <v>763</v>
      </c>
      <c r="F112" s="26" t="s">
        <v>764</v>
      </c>
      <c r="G112" s="26"/>
      <c r="H112" s="46" t="n">
        <f aca="false">COUNTIF(PROJECT!F2:F100, "*IRL*")</f>
        <v>0</v>
      </c>
      <c r="I112" s="26"/>
      <c r="J112" s="26"/>
      <c r="K112" s="26"/>
      <c r="L112" s="26"/>
      <c r="M112" s="26"/>
      <c r="N112" s="26"/>
      <c r="O112" s="26"/>
      <c r="P112" s="26"/>
      <c r="Q112" s="26"/>
    </row>
    <row collapsed="false" customFormat="false" customHeight="false" hidden="false" ht="12.75" outlineLevel="0" r="113">
      <c r="A113" s="26" t="s">
        <v>765</v>
      </c>
      <c r="B113" s="26" t="s">
        <v>765</v>
      </c>
      <c r="C113" s="46" t="s">
        <v>766</v>
      </c>
      <c r="D113" s="53" t="s">
        <v>767</v>
      </c>
      <c r="E113" s="26" t="s">
        <v>768</v>
      </c>
      <c r="F113" s="26" t="s">
        <v>766</v>
      </c>
      <c r="G113" s="26"/>
      <c r="H113" s="46" t="n">
        <f aca="false">COUNTIF(PROJECT!F2:F100, "*IMN*")</f>
        <v>0</v>
      </c>
      <c r="I113" s="26"/>
      <c r="J113" s="26"/>
      <c r="K113" s="26"/>
      <c r="L113" s="26"/>
      <c r="M113" s="26"/>
      <c r="N113" s="26"/>
      <c r="O113" s="26"/>
      <c r="P113" s="26"/>
      <c r="Q113" s="26"/>
    </row>
    <row collapsed="false" customFormat="false" customHeight="false" hidden="false" ht="12.75" outlineLevel="0" r="114">
      <c r="A114" s="26" t="s">
        <v>769</v>
      </c>
      <c r="B114" s="26" t="s">
        <v>769</v>
      </c>
      <c r="C114" s="46" t="s">
        <v>740</v>
      </c>
      <c r="D114" s="53" t="s">
        <v>770</v>
      </c>
      <c r="E114" s="26" t="s">
        <v>771</v>
      </c>
      <c r="F114" s="26" t="s">
        <v>772</v>
      </c>
      <c r="G114" s="26"/>
      <c r="H114" s="46" t="n">
        <f aca="false">COUNTIF(PROJECT!F2:F100, "*ISR*")</f>
        <v>0</v>
      </c>
      <c r="I114" s="26"/>
      <c r="J114" s="26"/>
      <c r="K114" s="26"/>
      <c r="L114" s="26"/>
      <c r="M114" s="26"/>
      <c r="N114" s="26"/>
      <c r="O114" s="26"/>
      <c r="P114" s="26"/>
      <c r="Q114" s="26"/>
    </row>
    <row collapsed="false" customFormat="false" customHeight="false" hidden="false" ht="12.75" outlineLevel="0" r="115">
      <c r="A115" s="26" t="s">
        <v>773</v>
      </c>
      <c r="B115" s="26" t="s">
        <v>773</v>
      </c>
      <c r="C115" s="46" t="s">
        <v>774</v>
      </c>
      <c r="D115" s="53" t="s">
        <v>775</v>
      </c>
      <c r="E115" s="26" t="s">
        <v>776</v>
      </c>
      <c r="F115" s="26" t="s">
        <v>774</v>
      </c>
      <c r="G115" s="26"/>
      <c r="H115" s="46" t="n">
        <f aca="false">COUNTIF(PROJECT!F2:F100, "*ITA*")</f>
        <v>0</v>
      </c>
      <c r="I115" s="26"/>
      <c r="J115" s="26"/>
      <c r="K115" s="26"/>
      <c r="L115" s="26"/>
      <c r="M115" s="26"/>
      <c r="N115" s="26"/>
      <c r="O115" s="26"/>
      <c r="P115" s="26"/>
      <c r="Q115" s="26"/>
    </row>
    <row collapsed="false" customFormat="false" customHeight="false" hidden="false" ht="12.75" outlineLevel="0" r="116">
      <c r="A116" s="26" t="s">
        <v>777</v>
      </c>
      <c r="B116" s="26" t="s">
        <v>777</v>
      </c>
      <c r="C116" s="46" t="s">
        <v>778</v>
      </c>
      <c r="D116" s="53" t="s">
        <v>779</v>
      </c>
      <c r="E116" s="26" t="s">
        <v>780</v>
      </c>
      <c r="F116" s="26" t="s">
        <v>778</v>
      </c>
      <c r="G116" s="26"/>
      <c r="H116" s="46" t="n">
        <f aca="false">COUNTIF(PROJECT!F2:F100, "*JAM*")</f>
        <v>0</v>
      </c>
      <c r="I116" s="26"/>
      <c r="J116" s="26"/>
      <c r="K116" s="26"/>
      <c r="L116" s="26"/>
      <c r="M116" s="26"/>
      <c r="N116" s="26"/>
      <c r="O116" s="26"/>
      <c r="P116" s="26"/>
      <c r="Q116" s="26"/>
    </row>
    <row collapsed="false" customFormat="false" customHeight="false" hidden="false" ht="12.75" outlineLevel="0" r="117">
      <c r="A117" s="26" t="s">
        <v>781</v>
      </c>
      <c r="B117" s="26" t="s">
        <v>781</v>
      </c>
      <c r="C117" s="46" t="s">
        <v>782</v>
      </c>
      <c r="D117" s="53" t="s">
        <v>783</v>
      </c>
      <c r="E117" s="55" t="s">
        <v>784</v>
      </c>
      <c r="F117" s="26" t="s">
        <v>785</v>
      </c>
      <c r="G117" s="26" t="s">
        <v>786</v>
      </c>
      <c r="H117" s="46" t="n">
        <f aca="false">COUNTIF(PROJECT!F2:F100, "*SJM*")</f>
        <v>0</v>
      </c>
      <c r="I117" s="26"/>
      <c r="J117" s="26"/>
      <c r="K117" s="26"/>
      <c r="L117" s="26"/>
      <c r="M117" s="26"/>
      <c r="N117" s="26"/>
      <c r="O117" s="26"/>
      <c r="P117" s="26"/>
      <c r="Q117" s="26"/>
    </row>
    <row collapsed="false" customFormat="false" customHeight="false" hidden="false" ht="12.75" outlineLevel="0" r="118">
      <c r="A118" s="26" t="s">
        <v>787</v>
      </c>
      <c r="B118" s="26" t="s">
        <v>787</v>
      </c>
      <c r="C118" s="46" t="s">
        <v>788</v>
      </c>
      <c r="D118" s="53" t="s">
        <v>789</v>
      </c>
      <c r="E118" s="26" t="s">
        <v>790</v>
      </c>
      <c r="F118" s="26" t="s">
        <v>791</v>
      </c>
      <c r="G118" s="26"/>
      <c r="H118" s="46" t="n">
        <f aca="false">COUNTIF(PROJECT!F2:F100, "*JPN*")</f>
        <v>0</v>
      </c>
      <c r="I118" s="26"/>
      <c r="J118" s="26"/>
      <c r="K118" s="26"/>
      <c r="L118" s="26"/>
      <c r="M118" s="26"/>
      <c r="N118" s="26"/>
      <c r="O118" s="26"/>
      <c r="P118" s="26"/>
      <c r="Q118" s="26"/>
    </row>
    <row collapsed="false" customFormat="false" customHeight="false" hidden="false" ht="12.75" outlineLevel="0" r="119">
      <c r="A119" s="26" t="s">
        <v>792</v>
      </c>
      <c r="B119" s="26" t="s">
        <v>793</v>
      </c>
      <c r="C119" s="46" t="s">
        <v>794</v>
      </c>
      <c r="D119" s="54"/>
      <c r="E119" s="54"/>
      <c r="F119" s="26" t="s">
        <v>795</v>
      </c>
      <c r="G119" s="46" t="s">
        <v>357</v>
      </c>
      <c r="H119" s="57"/>
      <c r="I119" s="26"/>
      <c r="J119" s="26"/>
      <c r="K119" s="26"/>
      <c r="L119" s="26"/>
      <c r="M119" s="26"/>
      <c r="N119" s="26"/>
      <c r="O119" s="26"/>
      <c r="P119" s="26"/>
      <c r="Q119" s="26"/>
    </row>
    <row collapsed="false" customFormat="false" customHeight="false" hidden="false" ht="12.75" outlineLevel="0" r="120">
      <c r="A120" s="26" t="s">
        <v>796</v>
      </c>
      <c r="B120" s="26" t="s">
        <v>796</v>
      </c>
      <c r="C120" s="46" t="s">
        <v>797</v>
      </c>
      <c r="D120" s="53" t="s">
        <v>798</v>
      </c>
      <c r="E120" s="26" t="s">
        <v>799</v>
      </c>
      <c r="F120" s="26" t="s">
        <v>797</v>
      </c>
      <c r="G120" s="26"/>
      <c r="H120" s="46" t="n">
        <f aca="false">COUNTIF(PROJECT!F2:F100, "*JEY*")</f>
        <v>0</v>
      </c>
      <c r="I120" s="26"/>
      <c r="J120" s="26"/>
      <c r="K120" s="26"/>
      <c r="L120" s="26"/>
      <c r="M120" s="26"/>
      <c r="N120" s="26"/>
      <c r="O120" s="26"/>
      <c r="P120" s="26"/>
      <c r="Q120" s="26"/>
    </row>
    <row collapsed="false" customFormat="false" customHeight="false" hidden="false" ht="12.75" outlineLevel="0" r="121">
      <c r="A121" s="26" t="s">
        <v>800</v>
      </c>
      <c r="B121" s="26" t="s">
        <v>801</v>
      </c>
      <c r="C121" s="46" t="s">
        <v>802</v>
      </c>
      <c r="D121" s="56" t="s">
        <v>803</v>
      </c>
      <c r="E121" s="54"/>
      <c r="F121" s="26" t="s">
        <v>804</v>
      </c>
      <c r="G121" s="46" t="s">
        <v>357</v>
      </c>
      <c r="H121" s="57"/>
      <c r="I121" s="26"/>
      <c r="J121" s="26"/>
      <c r="K121" s="26"/>
      <c r="L121" s="26"/>
      <c r="M121" s="26"/>
      <c r="N121" s="26"/>
      <c r="O121" s="26"/>
      <c r="P121" s="26"/>
      <c r="Q121" s="26"/>
    </row>
    <row collapsed="false" customFormat="false" customHeight="false" hidden="false" ht="12.75" outlineLevel="0" r="122">
      <c r="A122" s="26" t="s">
        <v>805</v>
      </c>
      <c r="B122" s="26" t="s">
        <v>805</v>
      </c>
      <c r="C122" s="46" t="s">
        <v>806</v>
      </c>
      <c r="D122" s="53" t="s">
        <v>807</v>
      </c>
      <c r="E122" s="26" t="s">
        <v>808</v>
      </c>
      <c r="F122" s="26" t="s">
        <v>806</v>
      </c>
      <c r="G122" s="26"/>
      <c r="H122" s="46" t="n">
        <f aca="false">COUNTIF(PROJECT!F2:F100, "*JOR*")</f>
        <v>0</v>
      </c>
      <c r="I122" s="26"/>
      <c r="J122" s="26"/>
      <c r="K122" s="26"/>
      <c r="L122" s="26"/>
      <c r="M122" s="26"/>
      <c r="N122" s="26"/>
      <c r="O122" s="26"/>
      <c r="P122" s="26"/>
      <c r="Q122" s="26"/>
    </row>
    <row collapsed="false" customFormat="false" customHeight="false" hidden="false" ht="12.75" outlineLevel="0" r="123">
      <c r="A123" s="26" t="s">
        <v>809</v>
      </c>
      <c r="B123" s="26" t="s">
        <v>809</v>
      </c>
      <c r="C123" s="46" t="s">
        <v>782</v>
      </c>
      <c r="D123" s="54"/>
      <c r="E123" s="54"/>
      <c r="F123" s="55" t="s">
        <v>632</v>
      </c>
      <c r="G123" s="26" t="s">
        <v>669</v>
      </c>
      <c r="H123" s="57"/>
      <c r="I123" s="26"/>
      <c r="J123" s="26"/>
      <c r="K123" s="26"/>
      <c r="L123" s="26"/>
      <c r="M123" s="26"/>
      <c r="N123" s="26"/>
      <c r="O123" s="26"/>
      <c r="P123" s="26"/>
      <c r="Q123" s="26"/>
    </row>
    <row collapsed="false" customFormat="false" customHeight="false" hidden="false" ht="12.75" outlineLevel="0" r="124">
      <c r="A124" s="26" t="s">
        <v>810</v>
      </c>
      <c r="B124" s="26" t="s">
        <v>810</v>
      </c>
      <c r="C124" s="46" t="s">
        <v>811</v>
      </c>
      <c r="D124" s="53" t="s">
        <v>812</v>
      </c>
      <c r="E124" s="26" t="s">
        <v>813</v>
      </c>
      <c r="F124" s="26" t="s">
        <v>811</v>
      </c>
      <c r="G124" s="26"/>
      <c r="H124" s="46" t="n">
        <f aca="false">COUNTIF(PROJECT!F2:F100, "*KAZ*")</f>
        <v>0</v>
      </c>
      <c r="I124" s="26"/>
      <c r="J124" s="26"/>
      <c r="K124" s="26"/>
      <c r="L124" s="26"/>
      <c r="M124" s="26"/>
      <c r="N124" s="26"/>
      <c r="O124" s="26"/>
      <c r="P124" s="26"/>
      <c r="Q124" s="26"/>
    </row>
    <row collapsed="false" customFormat="false" customHeight="false" hidden="false" ht="12.75" outlineLevel="0" r="125">
      <c r="A125" s="26" t="s">
        <v>814</v>
      </c>
      <c r="B125" s="26" t="s">
        <v>814</v>
      </c>
      <c r="C125" s="46" t="s">
        <v>815</v>
      </c>
      <c r="D125" s="53" t="s">
        <v>816</v>
      </c>
      <c r="E125" s="26" t="s">
        <v>817</v>
      </c>
      <c r="F125" s="26" t="s">
        <v>815</v>
      </c>
      <c r="G125" s="26"/>
      <c r="H125" s="46" t="n">
        <f aca="false">COUNTIF(PROJECT!F2:F100, "*KEN*")</f>
        <v>0</v>
      </c>
      <c r="I125" s="26"/>
      <c r="J125" s="26"/>
      <c r="K125" s="26"/>
      <c r="L125" s="26"/>
      <c r="M125" s="26"/>
      <c r="N125" s="26"/>
      <c r="O125" s="26"/>
      <c r="P125" s="26"/>
      <c r="Q125" s="26"/>
    </row>
    <row collapsed="false" customFormat="false" customHeight="false" hidden="false" ht="12.75" outlineLevel="0" r="126">
      <c r="A126" s="55" t="s">
        <v>818</v>
      </c>
      <c r="B126" s="55" t="s">
        <v>818</v>
      </c>
      <c r="C126" s="26" t="s">
        <v>819</v>
      </c>
      <c r="D126" s="54"/>
      <c r="E126" s="54"/>
      <c r="F126" s="26" t="s">
        <v>820</v>
      </c>
      <c r="G126" s="46" t="s">
        <v>357</v>
      </c>
      <c r="H126" s="57"/>
      <c r="I126" s="26"/>
      <c r="J126" s="26"/>
      <c r="K126" s="26"/>
      <c r="L126" s="26"/>
      <c r="M126" s="26"/>
      <c r="N126" s="26"/>
      <c r="O126" s="26"/>
      <c r="P126" s="26"/>
      <c r="Q126" s="26"/>
    </row>
    <row collapsed="false" customFormat="false" customHeight="false" hidden="false" ht="12.75" outlineLevel="0" r="127">
      <c r="A127" s="26" t="s">
        <v>821</v>
      </c>
      <c r="B127" s="26" t="s">
        <v>821</v>
      </c>
      <c r="C127" s="46" t="s">
        <v>822</v>
      </c>
      <c r="D127" s="53" t="s">
        <v>823</v>
      </c>
      <c r="E127" s="26" t="s">
        <v>824</v>
      </c>
      <c r="F127" s="26" t="s">
        <v>825</v>
      </c>
      <c r="G127" s="26"/>
      <c r="H127" s="46" t="n">
        <f aca="false">COUNTIF(PROJECT!F2:F100, "*KIR*")</f>
        <v>0</v>
      </c>
      <c r="I127" s="26"/>
      <c r="J127" s="26"/>
      <c r="K127" s="26"/>
      <c r="L127" s="26"/>
      <c r="M127" s="26"/>
      <c r="N127" s="26"/>
      <c r="O127" s="26"/>
      <c r="P127" s="26"/>
      <c r="Q127" s="26"/>
    </row>
    <row collapsed="false" customFormat="false" customHeight="false" hidden="false" ht="12.75" outlineLevel="0" r="128">
      <c r="A128" s="55" t="s">
        <v>826</v>
      </c>
      <c r="B128" s="26" t="s">
        <v>827</v>
      </c>
      <c r="C128" s="46" t="s">
        <v>828</v>
      </c>
      <c r="D128" s="53" t="s">
        <v>829</v>
      </c>
      <c r="E128" s="26" t="s">
        <v>830</v>
      </c>
      <c r="F128" s="26" t="s">
        <v>831</v>
      </c>
      <c r="G128" s="26"/>
      <c r="H128" s="46" t="n">
        <f aca="false">COUNTIF(PROJECT!F2:F100, "*PRK*")</f>
        <v>0</v>
      </c>
      <c r="I128" s="26"/>
      <c r="J128" s="26"/>
      <c r="K128" s="26"/>
      <c r="L128" s="26"/>
      <c r="M128" s="26"/>
      <c r="N128" s="26"/>
      <c r="O128" s="26"/>
      <c r="P128" s="26"/>
      <c r="Q128" s="26"/>
    </row>
    <row collapsed="false" customFormat="false" customHeight="false" hidden="false" ht="12.75" outlineLevel="0" r="129">
      <c r="A129" s="55" t="s">
        <v>832</v>
      </c>
      <c r="B129" s="26" t="s">
        <v>833</v>
      </c>
      <c r="C129" s="46" t="s">
        <v>834</v>
      </c>
      <c r="D129" s="53" t="s">
        <v>835</v>
      </c>
      <c r="E129" s="26" t="s">
        <v>836</v>
      </c>
      <c r="F129" s="26" t="s">
        <v>822</v>
      </c>
      <c r="G129" s="26"/>
      <c r="H129" s="46" t="n">
        <f aca="false">COUNTIF(PROJECT!F2:F100, "*KOR*")</f>
        <v>0</v>
      </c>
      <c r="I129" s="26"/>
      <c r="J129" s="26"/>
      <c r="K129" s="26"/>
      <c r="L129" s="26"/>
      <c r="M129" s="26"/>
      <c r="N129" s="26"/>
      <c r="O129" s="26"/>
      <c r="P129" s="26"/>
      <c r="Q129" s="26"/>
    </row>
    <row collapsed="false" customFormat="false" customHeight="false" hidden="false" ht="12.75" outlineLevel="0" r="130">
      <c r="A130" s="26" t="s">
        <v>837</v>
      </c>
      <c r="B130" s="26" t="s">
        <v>837</v>
      </c>
      <c r="C130" s="46" t="s">
        <v>838</v>
      </c>
      <c r="D130" s="53" t="s">
        <v>839</v>
      </c>
      <c r="E130" s="26" t="s">
        <v>840</v>
      </c>
      <c r="F130" s="26" t="s">
        <v>841</v>
      </c>
      <c r="G130" s="26"/>
      <c r="H130" s="46" t="n">
        <f aca="false">COUNTIF(PROJECT!F2:F100, "*KWT*")</f>
        <v>0</v>
      </c>
      <c r="I130" s="26"/>
      <c r="J130" s="26"/>
      <c r="K130" s="26"/>
      <c r="L130" s="26"/>
      <c r="M130" s="26"/>
      <c r="N130" s="26"/>
      <c r="O130" s="26"/>
      <c r="P130" s="26"/>
      <c r="Q130" s="26"/>
    </row>
    <row collapsed="false" customFormat="false" customHeight="false" hidden="false" ht="12.75" outlineLevel="0" r="131">
      <c r="A131" s="26" t="s">
        <v>842</v>
      </c>
      <c r="B131" s="26" t="s">
        <v>842</v>
      </c>
      <c r="C131" s="46" t="s">
        <v>843</v>
      </c>
      <c r="D131" s="53" t="s">
        <v>844</v>
      </c>
      <c r="E131" s="26" t="s">
        <v>845</v>
      </c>
      <c r="F131" s="26" t="s">
        <v>843</v>
      </c>
      <c r="G131" s="26"/>
      <c r="H131" s="46" t="n">
        <f aca="false">COUNTIF(PROJECT!F2:F100, "*KGZ*")</f>
        <v>0</v>
      </c>
      <c r="I131" s="26"/>
      <c r="J131" s="26"/>
      <c r="K131" s="26"/>
      <c r="L131" s="26"/>
      <c r="M131" s="26"/>
      <c r="N131" s="26"/>
      <c r="O131" s="26"/>
      <c r="P131" s="26"/>
      <c r="Q131" s="26"/>
    </row>
    <row collapsed="false" customFormat="false" customHeight="false" hidden="false" ht="12.75" outlineLevel="0" r="132">
      <c r="A132" s="55" t="s">
        <v>846</v>
      </c>
      <c r="B132" s="26" t="s">
        <v>847</v>
      </c>
      <c r="C132" s="46" t="s">
        <v>848</v>
      </c>
      <c r="D132" s="53" t="s">
        <v>849</v>
      </c>
      <c r="E132" s="26" t="s">
        <v>850</v>
      </c>
      <c r="F132" s="26" t="s">
        <v>848</v>
      </c>
      <c r="G132" s="26"/>
      <c r="H132" s="46" t="n">
        <f aca="false">COUNTIF(PROJECT!F2:F100, "*LAO*")</f>
        <v>0</v>
      </c>
      <c r="I132" s="26"/>
      <c r="J132" s="26"/>
      <c r="K132" s="26"/>
      <c r="L132" s="26"/>
      <c r="M132" s="26"/>
      <c r="N132" s="26"/>
      <c r="O132" s="26"/>
      <c r="P132" s="26"/>
      <c r="Q132" s="26"/>
    </row>
    <row collapsed="false" customFormat="false" customHeight="false" hidden="false" ht="12.75" outlineLevel="0" r="133">
      <c r="A133" s="26" t="s">
        <v>851</v>
      </c>
      <c r="B133" s="26" t="s">
        <v>851</v>
      </c>
      <c r="C133" s="46" t="s">
        <v>852</v>
      </c>
      <c r="D133" s="53" t="s">
        <v>853</v>
      </c>
      <c r="E133" s="26" t="s">
        <v>854</v>
      </c>
      <c r="F133" s="26" t="s">
        <v>855</v>
      </c>
      <c r="G133" s="26"/>
      <c r="H133" s="46" t="n">
        <f aca="false">COUNTIF(PROJECT!F2:F100, "*LVA*")</f>
        <v>0</v>
      </c>
      <c r="I133" s="26"/>
      <c r="J133" s="26"/>
      <c r="K133" s="26"/>
      <c r="L133" s="26"/>
      <c r="M133" s="26"/>
      <c r="N133" s="26"/>
      <c r="O133" s="26"/>
      <c r="P133" s="26"/>
      <c r="Q133" s="26"/>
    </row>
    <row collapsed="false" customFormat="false" customHeight="false" hidden="false" ht="12.75" outlineLevel="0" r="134">
      <c r="A134" s="26" t="s">
        <v>856</v>
      </c>
      <c r="B134" s="26" t="s">
        <v>856</v>
      </c>
      <c r="C134" s="46" t="s">
        <v>857</v>
      </c>
      <c r="D134" s="53" t="s">
        <v>858</v>
      </c>
      <c r="E134" s="26" t="s">
        <v>859</v>
      </c>
      <c r="F134" s="26" t="s">
        <v>860</v>
      </c>
      <c r="G134" s="26"/>
      <c r="H134" s="46" t="n">
        <f aca="false">COUNTIF(PROJECT!F2:F100, "*LBN*")</f>
        <v>0</v>
      </c>
      <c r="I134" s="26"/>
      <c r="J134" s="26"/>
      <c r="K134" s="26"/>
      <c r="L134" s="26"/>
      <c r="M134" s="26"/>
      <c r="N134" s="26"/>
      <c r="O134" s="26"/>
      <c r="P134" s="26"/>
      <c r="Q134" s="26"/>
    </row>
    <row collapsed="false" customFormat="false" customHeight="false" hidden="false" ht="12.75" outlineLevel="0" r="135">
      <c r="A135" s="26" t="s">
        <v>861</v>
      </c>
      <c r="B135" s="26" t="s">
        <v>861</v>
      </c>
      <c r="C135" s="46" t="s">
        <v>862</v>
      </c>
      <c r="D135" s="53" t="s">
        <v>863</v>
      </c>
      <c r="E135" s="26" t="s">
        <v>864</v>
      </c>
      <c r="F135" s="26" t="s">
        <v>865</v>
      </c>
      <c r="G135" s="26"/>
      <c r="H135" s="46" t="n">
        <f aca="false">COUNTIF(PROJECT!F2:F100, "*LSO*")</f>
        <v>0</v>
      </c>
      <c r="I135" s="26"/>
      <c r="J135" s="26"/>
      <c r="K135" s="26"/>
      <c r="L135" s="26"/>
      <c r="M135" s="26"/>
      <c r="N135" s="26"/>
      <c r="O135" s="26"/>
      <c r="P135" s="26"/>
      <c r="Q135" s="26"/>
    </row>
    <row collapsed="false" customFormat="false" customHeight="false" hidden="false" ht="12.75" outlineLevel="0" r="136">
      <c r="A136" s="26" t="s">
        <v>866</v>
      </c>
      <c r="B136" s="26" t="s">
        <v>866</v>
      </c>
      <c r="C136" s="46" t="s">
        <v>867</v>
      </c>
      <c r="D136" s="53" t="s">
        <v>868</v>
      </c>
      <c r="E136" s="26" t="s">
        <v>869</v>
      </c>
      <c r="F136" s="26" t="s">
        <v>870</v>
      </c>
      <c r="G136" s="26"/>
      <c r="H136" s="46" t="n">
        <f aca="false">COUNTIF(PROJECT!F2:F100, "*LBR*")</f>
        <v>0</v>
      </c>
      <c r="I136" s="26"/>
      <c r="J136" s="26"/>
      <c r="K136" s="26"/>
      <c r="L136" s="26"/>
      <c r="M136" s="26"/>
      <c r="N136" s="26"/>
      <c r="O136" s="26"/>
      <c r="P136" s="26"/>
      <c r="Q136" s="26"/>
    </row>
    <row collapsed="false" customFormat="false" customHeight="false" hidden="false" ht="12.75" outlineLevel="0" r="137">
      <c r="A137" s="26" t="s">
        <v>871</v>
      </c>
      <c r="B137" s="26" t="s">
        <v>872</v>
      </c>
      <c r="C137" s="46" t="s">
        <v>873</v>
      </c>
      <c r="D137" s="53" t="s">
        <v>874</v>
      </c>
      <c r="E137" s="26" t="s">
        <v>875</v>
      </c>
      <c r="F137" s="26" t="s">
        <v>873</v>
      </c>
      <c r="G137" s="26"/>
      <c r="H137" s="46" t="n">
        <f aca="false">COUNTIF(PROJECT!F2:F100, "*LBY*")</f>
        <v>0</v>
      </c>
      <c r="I137" s="26"/>
      <c r="J137" s="26"/>
      <c r="K137" s="26"/>
      <c r="L137" s="26"/>
      <c r="M137" s="26"/>
      <c r="N137" s="26"/>
      <c r="O137" s="26"/>
      <c r="P137" s="26"/>
      <c r="Q137" s="26"/>
    </row>
    <row collapsed="false" customFormat="false" customHeight="false" hidden="false" ht="12.75" outlineLevel="0" r="138">
      <c r="A138" s="26" t="s">
        <v>876</v>
      </c>
      <c r="B138" s="26" t="s">
        <v>876</v>
      </c>
      <c r="C138" s="46" t="s">
        <v>865</v>
      </c>
      <c r="D138" s="53" t="s">
        <v>877</v>
      </c>
      <c r="E138" s="26" t="s">
        <v>878</v>
      </c>
      <c r="F138" s="26" t="s">
        <v>867</v>
      </c>
      <c r="G138" s="26"/>
      <c r="H138" s="46" t="n">
        <f aca="false">COUNTIF(PROJECT!F2:F100, "*LIE*")</f>
        <v>0</v>
      </c>
      <c r="I138" s="26"/>
      <c r="J138" s="26"/>
      <c r="K138" s="26"/>
      <c r="L138" s="26"/>
      <c r="M138" s="26"/>
      <c r="N138" s="26"/>
      <c r="O138" s="26"/>
      <c r="P138" s="26"/>
      <c r="Q138" s="26"/>
    </row>
    <row collapsed="false" customFormat="false" customHeight="false" hidden="false" ht="12.75" outlineLevel="0" r="139">
      <c r="A139" s="26" t="s">
        <v>879</v>
      </c>
      <c r="B139" s="26" t="s">
        <v>879</v>
      </c>
      <c r="C139" s="46" t="s">
        <v>880</v>
      </c>
      <c r="D139" s="53" t="s">
        <v>881</v>
      </c>
      <c r="E139" s="26" t="s">
        <v>882</v>
      </c>
      <c r="F139" s="26" t="s">
        <v>862</v>
      </c>
      <c r="G139" s="26"/>
      <c r="H139" s="46" t="n">
        <f aca="false">COUNTIF(PROJECT!F2:F100, "*LTU*")</f>
        <v>0</v>
      </c>
      <c r="I139" s="26"/>
      <c r="J139" s="26"/>
      <c r="K139" s="26"/>
      <c r="L139" s="26"/>
      <c r="M139" s="26"/>
      <c r="N139" s="26"/>
      <c r="O139" s="26"/>
      <c r="P139" s="26"/>
      <c r="Q139" s="26"/>
    </row>
    <row collapsed="false" customFormat="false" customHeight="false" hidden="false" ht="12.75" outlineLevel="0" r="140">
      <c r="A140" s="26" t="s">
        <v>883</v>
      </c>
      <c r="B140" s="26" t="s">
        <v>883</v>
      </c>
      <c r="C140" s="46" t="s">
        <v>884</v>
      </c>
      <c r="D140" s="53" t="s">
        <v>885</v>
      </c>
      <c r="E140" s="26" t="s">
        <v>886</v>
      </c>
      <c r="F140" s="26" t="s">
        <v>884</v>
      </c>
      <c r="G140" s="26"/>
      <c r="H140" s="46" t="n">
        <f aca="false">COUNTIF(PROJECT!F2:F100, "*LUX*")</f>
        <v>0</v>
      </c>
      <c r="I140" s="26"/>
      <c r="J140" s="26"/>
      <c r="K140" s="26"/>
      <c r="L140" s="26"/>
      <c r="M140" s="26"/>
      <c r="N140" s="26"/>
      <c r="O140" s="26"/>
      <c r="P140" s="26"/>
      <c r="Q140" s="26"/>
    </row>
    <row collapsed="false" customFormat="false" customHeight="false" hidden="false" ht="12.75" outlineLevel="0" r="141">
      <c r="A141" s="26" t="s">
        <v>887</v>
      </c>
      <c r="B141" s="26" t="s">
        <v>887</v>
      </c>
      <c r="C141" s="46" t="s">
        <v>888</v>
      </c>
      <c r="D141" s="53" t="s">
        <v>889</v>
      </c>
      <c r="E141" s="26" t="s">
        <v>890</v>
      </c>
      <c r="F141" s="26" t="s">
        <v>891</v>
      </c>
      <c r="G141" s="26"/>
      <c r="H141" s="46" t="n">
        <f aca="false">COUNTIF(PROJECT!F2:F100, "*MAC*")</f>
        <v>0</v>
      </c>
      <c r="I141" s="26"/>
      <c r="J141" s="26"/>
      <c r="K141" s="26"/>
      <c r="L141" s="26"/>
      <c r="M141" s="26"/>
      <c r="N141" s="26"/>
      <c r="O141" s="26"/>
      <c r="P141" s="26"/>
      <c r="Q141" s="26"/>
    </row>
    <row collapsed="false" customFormat="false" customHeight="false" hidden="false" ht="12.75" outlineLevel="0" r="142">
      <c r="A142" s="55" t="s">
        <v>892</v>
      </c>
      <c r="B142" s="26" t="s">
        <v>893</v>
      </c>
      <c r="C142" s="46" t="s">
        <v>894</v>
      </c>
      <c r="D142" s="53" t="s">
        <v>895</v>
      </c>
      <c r="E142" s="26" t="s">
        <v>896</v>
      </c>
      <c r="F142" s="26" t="s">
        <v>894</v>
      </c>
      <c r="G142" s="26"/>
      <c r="H142" s="46" t="n">
        <f aca="false">COUNTIF(PROJECT!F2:F100, "*MKD*")</f>
        <v>0</v>
      </c>
      <c r="I142" s="26"/>
      <c r="J142" s="26"/>
      <c r="K142" s="26"/>
      <c r="L142" s="26"/>
      <c r="M142" s="26"/>
      <c r="N142" s="26"/>
      <c r="O142" s="26"/>
      <c r="P142" s="26"/>
      <c r="Q142" s="26"/>
    </row>
    <row collapsed="false" customFormat="false" customHeight="false" hidden="false" ht="12.75" outlineLevel="0" r="143">
      <c r="A143" s="26" t="s">
        <v>897</v>
      </c>
      <c r="B143" s="26" t="s">
        <v>897</v>
      </c>
      <c r="C143" s="46" t="s">
        <v>898</v>
      </c>
      <c r="D143" s="53" t="s">
        <v>899</v>
      </c>
      <c r="E143" s="26" t="s">
        <v>900</v>
      </c>
      <c r="F143" s="26" t="s">
        <v>901</v>
      </c>
      <c r="G143" s="26"/>
      <c r="H143" s="46" t="n">
        <f aca="false">COUNTIF(PROJECT!F2:F100, "*MDG*")</f>
        <v>0</v>
      </c>
      <c r="I143" s="26"/>
      <c r="J143" s="26"/>
      <c r="K143" s="26"/>
      <c r="L143" s="26"/>
      <c r="M143" s="26"/>
      <c r="N143" s="26"/>
      <c r="O143" s="26"/>
      <c r="P143" s="26"/>
      <c r="Q143" s="26"/>
    </row>
    <row collapsed="false" customFormat="false" customHeight="false" hidden="false" ht="12.75" outlineLevel="0" r="144">
      <c r="A144" s="26" t="s">
        <v>902</v>
      </c>
      <c r="B144" s="26" t="s">
        <v>902</v>
      </c>
      <c r="C144" s="46" t="s">
        <v>903</v>
      </c>
      <c r="D144" s="53" t="s">
        <v>904</v>
      </c>
      <c r="E144" s="26" t="s">
        <v>905</v>
      </c>
      <c r="F144" s="26" t="s">
        <v>906</v>
      </c>
      <c r="G144" s="26"/>
      <c r="H144" s="46" t="n">
        <f aca="false">COUNTIF(PROJECT!F2:F100, "*MWI*")</f>
        <v>0</v>
      </c>
      <c r="I144" s="26"/>
      <c r="J144" s="26"/>
      <c r="K144" s="26"/>
      <c r="L144" s="26"/>
      <c r="M144" s="26"/>
      <c r="N144" s="26"/>
      <c r="O144" s="26"/>
      <c r="P144" s="26"/>
      <c r="Q144" s="26"/>
    </row>
    <row collapsed="false" customFormat="false" customHeight="false" hidden="false" ht="12.75" outlineLevel="0" r="145">
      <c r="A145" s="26" t="s">
        <v>907</v>
      </c>
      <c r="B145" s="26" t="s">
        <v>907</v>
      </c>
      <c r="C145" s="46" t="s">
        <v>908</v>
      </c>
      <c r="D145" s="53" t="s">
        <v>909</v>
      </c>
      <c r="E145" s="26" t="s">
        <v>910</v>
      </c>
      <c r="F145" s="26" t="s">
        <v>908</v>
      </c>
      <c r="G145" s="26"/>
      <c r="H145" s="46" t="n">
        <f aca="false">COUNTIF(PROJECT!F2:F100, "*MYS*")</f>
        <v>0</v>
      </c>
      <c r="I145" s="26"/>
      <c r="J145" s="26"/>
      <c r="K145" s="26"/>
      <c r="L145" s="26"/>
      <c r="M145" s="26"/>
      <c r="N145" s="26"/>
      <c r="O145" s="26"/>
      <c r="P145" s="26"/>
      <c r="Q145" s="26"/>
    </row>
    <row collapsed="false" customFormat="false" customHeight="false" hidden="false" ht="12.75" outlineLevel="0" r="146">
      <c r="A146" s="26" t="s">
        <v>911</v>
      </c>
      <c r="B146" s="26" t="s">
        <v>911</v>
      </c>
      <c r="C146" s="46" t="s">
        <v>912</v>
      </c>
      <c r="D146" s="53" t="s">
        <v>913</v>
      </c>
      <c r="E146" s="26" t="s">
        <v>914</v>
      </c>
      <c r="F146" s="26" t="s">
        <v>912</v>
      </c>
      <c r="G146" s="26"/>
      <c r="H146" s="46" t="n">
        <f aca="false">COUNTIF(PROJECT!F2:F100, "*MDV*")</f>
        <v>0</v>
      </c>
      <c r="I146" s="26"/>
      <c r="J146" s="26"/>
      <c r="K146" s="26"/>
      <c r="L146" s="26"/>
      <c r="M146" s="26"/>
      <c r="N146" s="26"/>
      <c r="O146" s="26"/>
      <c r="P146" s="26"/>
      <c r="Q146" s="26"/>
    </row>
    <row collapsed="false" customFormat="false" customHeight="false" hidden="false" ht="12.75" outlineLevel="0" r="147">
      <c r="A147" s="26" t="s">
        <v>915</v>
      </c>
      <c r="B147" s="26" t="s">
        <v>915</v>
      </c>
      <c r="C147" s="46" t="s">
        <v>916</v>
      </c>
      <c r="D147" s="53" t="s">
        <v>917</v>
      </c>
      <c r="E147" s="26" t="s">
        <v>918</v>
      </c>
      <c r="F147" s="26" t="s">
        <v>916</v>
      </c>
      <c r="G147" s="26"/>
      <c r="H147" s="46" t="n">
        <f aca="false">COUNTIF(PROJECT!F2:F100, "*MLI*")</f>
        <v>0</v>
      </c>
      <c r="I147" s="26"/>
      <c r="J147" s="26"/>
      <c r="K147" s="26"/>
      <c r="L147" s="26"/>
      <c r="M147" s="26"/>
      <c r="N147" s="26"/>
      <c r="O147" s="26"/>
      <c r="P147" s="26"/>
      <c r="Q147" s="26"/>
    </row>
    <row collapsed="false" customFormat="false" customHeight="false" hidden="false" ht="12.75" outlineLevel="0" r="148">
      <c r="A148" s="26" t="s">
        <v>919</v>
      </c>
      <c r="B148" s="26" t="s">
        <v>919</v>
      </c>
      <c r="C148" s="46" t="s">
        <v>920</v>
      </c>
      <c r="D148" s="53" t="s">
        <v>921</v>
      </c>
      <c r="E148" s="26" t="s">
        <v>922</v>
      </c>
      <c r="F148" s="26" t="s">
        <v>920</v>
      </c>
      <c r="G148" s="26"/>
      <c r="H148" s="46" t="n">
        <f aca="false">COUNTIF(PROJECT!F2:F100, "*MLT*")</f>
        <v>0</v>
      </c>
      <c r="I148" s="26"/>
      <c r="J148" s="26"/>
      <c r="K148" s="26"/>
      <c r="L148" s="26"/>
      <c r="M148" s="26"/>
      <c r="N148" s="26"/>
      <c r="O148" s="26"/>
      <c r="P148" s="26"/>
      <c r="Q148" s="26"/>
    </row>
    <row collapsed="false" customFormat="false" customHeight="false" hidden="false" ht="12.75" outlineLevel="0" r="149">
      <c r="A149" s="26" t="s">
        <v>923</v>
      </c>
      <c r="B149" s="26" t="s">
        <v>924</v>
      </c>
      <c r="C149" s="37" t="s">
        <v>925</v>
      </c>
      <c r="D149" s="53" t="s">
        <v>926</v>
      </c>
      <c r="E149" s="55" t="s">
        <v>927</v>
      </c>
      <c r="F149" s="26" t="s">
        <v>928</v>
      </c>
      <c r="G149" s="26"/>
      <c r="H149" s="46" t="n">
        <f aca="false">COUNTIF(PROJECT!F2:F100, "*MHL*")</f>
        <v>0</v>
      </c>
      <c r="I149" s="26"/>
      <c r="J149" s="26"/>
      <c r="K149" s="26"/>
      <c r="L149" s="26"/>
      <c r="M149" s="26"/>
      <c r="N149" s="26"/>
      <c r="O149" s="26"/>
      <c r="P149" s="26"/>
      <c r="Q149" s="26"/>
    </row>
    <row collapsed="false" customFormat="false" customHeight="false" hidden="false" ht="12.75" outlineLevel="0" r="150">
      <c r="A150" s="26" t="s">
        <v>929</v>
      </c>
      <c r="B150" s="26" t="s">
        <v>929</v>
      </c>
      <c r="C150" s="37" t="s">
        <v>930</v>
      </c>
      <c r="D150" s="53" t="s">
        <v>931</v>
      </c>
      <c r="E150" s="55" t="s">
        <v>932</v>
      </c>
      <c r="F150" s="26" t="s">
        <v>933</v>
      </c>
      <c r="G150" s="26"/>
      <c r="H150" s="46" t="n">
        <f aca="false">COUNTIF(PROJECT!F2:F100, "*MTQ*")</f>
        <v>0</v>
      </c>
      <c r="I150" s="26"/>
      <c r="J150" s="26"/>
      <c r="K150" s="26"/>
      <c r="L150" s="26"/>
      <c r="M150" s="26"/>
      <c r="N150" s="26"/>
      <c r="O150" s="26"/>
      <c r="P150" s="26"/>
      <c r="Q150" s="26"/>
    </row>
    <row collapsed="false" customFormat="false" customHeight="false" hidden="false" ht="12.75" outlineLevel="0" r="151">
      <c r="A151" s="26" t="s">
        <v>934</v>
      </c>
      <c r="B151" s="26" t="s">
        <v>934</v>
      </c>
      <c r="C151" s="46" t="s">
        <v>935</v>
      </c>
      <c r="D151" s="53" t="s">
        <v>936</v>
      </c>
      <c r="E151" s="26" t="s">
        <v>937</v>
      </c>
      <c r="F151" s="26" t="s">
        <v>935</v>
      </c>
      <c r="G151" s="26"/>
      <c r="H151" s="46" t="n">
        <f aca="false">COUNTIF(PROJECT!F2:F100, "*MRT*")</f>
        <v>0</v>
      </c>
      <c r="I151" s="26"/>
      <c r="J151" s="26"/>
      <c r="K151" s="26"/>
      <c r="L151" s="26"/>
      <c r="M151" s="26"/>
      <c r="N151" s="26"/>
      <c r="O151" s="26"/>
      <c r="P151" s="26"/>
      <c r="Q151" s="26"/>
    </row>
    <row collapsed="false" customFormat="false" customHeight="false" hidden="false" ht="12.75" outlineLevel="0" r="152">
      <c r="A152" s="26" t="s">
        <v>938</v>
      </c>
      <c r="B152" s="26" t="s">
        <v>938</v>
      </c>
      <c r="C152" s="37" t="s">
        <v>939</v>
      </c>
      <c r="D152" s="53" t="s">
        <v>940</v>
      </c>
      <c r="E152" s="55" t="s">
        <v>941</v>
      </c>
      <c r="F152" s="26" t="s">
        <v>942</v>
      </c>
      <c r="G152" s="26"/>
      <c r="H152" s="46" t="n">
        <f aca="false">COUNTIF(PROJECT!F2:F100, "*MUS*")</f>
        <v>0</v>
      </c>
      <c r="I152" s="26"/>
      <c r="J152" s="26"/>
      <c r="K152" s="26"/>
      <c r="L152" s="26"/>
      <c r="M152" s="26"/>
      <c r="N152" s="26"/>
      <c r="O152" s="26"/>
      <c r="P152" s="26"/>
      <c r="Q152" s="26"/>
    </row>
    <row collapsed="false" customFormat="false" customHeight="false" hidden="false" ht="12.75" outlineLevel="0" r="153">
      <c r="A153" s="26" t="s">
        <v>943</v>
      </c>
      <c r="B153" s="26" t="s">
        <v>943</v>
      </c>
      <c r="C153" s="46" t="s">
        <v>944</v>
      </c>
      <c r="D153" s="53" t="s">
        <v>945</v>
      </c>
      <c r="E153" s="26" t="s">
        <v>946</v>
      </c>
      <c r="F153" s="26" t="s">
        <v>947</v>
      </c>
      <c r="G153" s="26"/>
      <c r="H153" s="46" t="n">
        <f aca="false">COUNTIF(PROJECT!F2:F100, "*MYT*")</f>
        <v>0</v>
      </c>
      <c r="I153" s="26"/>
      <c r="J153" s="26"/>
      <c r="K153" s="26"/>
      <c r="L153" s="26"/>
      <c r="M153" s="26"/>
      <c r="N153" s="26"/>
      <c r="O153" s="26"/>
      <c r="P153" s="26"/>
      <c r="Q153" s="26"/>
    </row>
    <row collapsed="false" customFormat="false" customHeight="false" hidden="false" ht="12.75" outlineLevel="0" r="154">
      <c r="A154" s="26" t="s">
        <v>948</v>
      </c>
      <c r="B154" s="26" t="s">
        <v>948</v>
      </c>
      <c r="C154" s="46" t="s">
        <v>949</v>
      </c>
      <c r="D154" s="53" t="s">
        <v>950</v>
      </c>
      <c r="E154" s="55" t="s">
        <v>951</v>
      </c>
      <c r="F154" s="26" t="s">
        <v>949</v>
      </c>
      <c r="G154" s="26"/>
      <c r="H154" s="46" t="n">
        <f aca="false">COUNTIF(PROJECT!F2:F100, "*MEX*")</f>
        <v>0</v>
      </c>
      <c r="I154" s="26"/>
      <c r="J154" s="26"/>
      <c r="K154" s="26"/>
      <c r="L154" s="26"/>
      <c r="M154" s="26"/>
      <c r="N154" s="26"/>
      <c r="O154" s="26"/>
      <c r="P154" s="26"/>
      <c r="Q154" s="26"/>
    </row>
    <row collapsed="false" customFormat="false" customHeight="false" hidden="false" ht="12.75" outlineLevel="0" r="155">
      <c r="A155" s="26" t="s">
        <v>952</v>
      </c>
      <c r="B155" s="26" t="s">
        <v>953</v>
      </c>
      <c r="C155" s="46" t="s">
        <v>954</v>
      </c>
      <c r="D155" s="53" t="s">
        <v>955</v>
      </c>
      <c r="E155" s="26" t="s">
        <v>956</v>
      </c>
      <c r="F155" s="26" t="s">
        <v>954</v>
      </c>
      <c r="G155" s="26"/>
      <c r="H155" s="46" t="n">
        <f aca="false">COUNTIF(PROJECT!F2:F100, "*FSM*")</f>
        <v>0</v>
      </c>
      <c r="I155" s="26"/>
      <c r="J155" s="26"/>
      <c r="K155" s="26"/>
      <c r="L155" s="26"/>
      <c r="M155" s="26"/>
      <c r="N155" s="26"/>
      <c r="O155" s="26"/>
      <c r="P155" s="26"/>
      <c r="Q155" s="26"/>
    </row>
    <row collapsed="false" customFormat="false" customHeight="false" hidden="false" ht="12.75" outlineLevel="0" r="156">
      <c r="A156" s="26" t="s">
        <v>957</v>
      </c>
      <c r="B156" s="26" t="s">
        <v>958</v>
      </c>
      <c r="C156" s="46" t="s">
        <v>933</v>
      </c>
      <c r="D156" s="56" t="s">
        <v>959</v>
      </c>
      <c r="E156" s="54"/>
      <c r="F156" s="26" t="s">
        <v>960</v>
      </c>
      <c r="G156" s="46" t="s">
        <v>357</v>
      </c>
      <c r="H156" s="57"/>
      <c r="I156" s="26"/>
      <c r="J156" s="26"/>
      <c r="K156" s="26"/>
      <c r="L156" s="26"/>
      <c r="M156" s="26"/>
      <c r="N156" s="26"/>
      <c r="O156" s="26"/>
      <c r="P156" s="26"/>
      <c r="Q156" s="26"/>
    </row>
    <row collapsed="false" customFormat="false" customHeight="false" hidden="false" ht="12.75" outlineLevel="0" r="157">
      <c r="A157" s="26" t="s">
        <v>961</v>
      </c>
      <c r="B157" s="26" t="s">
        <v>962</v>
      </c>
      <c r="C157" s="46" t="s">
        <v>963</v>
      </c>
      <c r="D157" s="53" t="s">
        <v>964</v>
      </c>
      <c r="E157" s="26" t="s">
        <v>965</v>
      </c>
      <c r="F157" s="26" t="s">
        <v>963</v>
      </c>
      <c r="G157" s="26"/>
      <c r="H157" s="46" t="n">
        <f aca="false">COUNTIF(PROJECT!F2:F100, "*MDA*")</f>
        <v>0</v>
      </c>
      <c r="I157" s="26"/>
      <c r="J157" s="26"/>
      <c r="K157" s="26"/>
      <c r="L157" s="26"/>
      <c r="M157" s="26"/>
      <c r="N157" s="26"/>
      <c r="O157" s="26"/>
      <c r="P157" s="26"/>
      <c r="Q157" s="26"/>
    </row>
    <row collapsed="false" customFormat="false" customHeight="false" hidden="false" ht="12.75" outlineLevel="0" r="158">
      <c r="A158" s="26" t="s">
        <v>966</v>
      </c>
      <c r="B158" s="26" t="s">
        <v>966</v>
      </c>
      <c r="C158" s="37" t="s">
        <v>967</v>
      </c>
      <c r="D158" s="53" t="s">
        <v>968</v>
      </c>
      <c r="E158" s="55" t="s">
        <v>969</v>
      </c>
      <c r="F158" s="26" t="s">
        <v>888</v>
      </c>
      <c r="G158" s="26"/>
      <c r="H158" s="46" t="n">
        <f aca="false">COUNTIF(PROJECT!F2:F100, "*MCO*")</f>
        <v>0</v>
      </c>
      <c r="I158" s="26"/>
      <c r="J158" s="26"/>
      <c r="K158" s="26"/>
      <c r="L158" s="26"/>
      <c r="M158" s="26"/>
      <c r="N158" s="26"/>
      <c r="O158" s="26"/>
      <c r="P158" s="26"/>
      <c r="Q158" s="26"/>
    </row>
    <row collapsed="false" customFormat="false" customHeight="false" hidden="false" ht="12.75" outlineLevel="0" r="159">
      <c r="A159" s="26" t="s">
        <v>970</v>
      </c>
      <c r="B159" s="26" t="s">
        <v>970</v>
      </c>
      <c r="C159" s="46" t="s">
        <v>901</v>
      </c>
      <c r="D159" s="53" t="s">
        <v>971</v>
      </c>
      <c r="E159" s="26" t="s">
        <v>972</v>
      </c>
      <c r="F159" s="26" t="s">
        <v>967</v>
      </c>
      <c r="G159" s="26"/>
      <c r="H159" s="46" t="n">
        <f aca="false">COUNTIF(PROJECT!F2:F100, "*MNG*")</f>
        <v>0</v>
      </c>
      <c r="I159" s="26"/>
      <c r="J159" s="26"/>
      <c r="K159" s="26"/>
      <c r="L159" s="26"/>
      <c r="M159" s="26"/>
      <c r="N159" s="26"/>
      <c r="O159" s="26"/>
      <c r="P159" s="26"/>
      <c r="Q159" s="26"/>
    </row>
    <row collapsed="false" customFormat="false" customHeight="false" hidden="false" ht="12.75" outlineLevel="0" r="160">
      <c r="A160" s="26" t="s">
        <v>973</v>
      </c>
      <c r="B160" s="26" t="s">
        <v>973</v>
      </c>
      <c r="C160" s="37" t="s">
        <v>974</v>
      </c>
      <c r="D160" s="53" t="s">
        <v>975</v>
      </c>
      <c r="E160" s="55" t="s">
        <v>976</v>
      </c>
      <c r="F160" s="26" t="s">
        <v>977</v>
      </c>
      <c r="G160" s="26"/>
      <c r="H160" s="46" t="n">
        <f aca="false">COUNTIF(PROJECT!F2:F100, "*MNE*")</f>
        <v>0</v>
      </c>
      <c r="I160" s="26"/>
      <c r="J160" s="26"/>
      <c r="K160" s="26"/>
      <c r="L160" s="26"/>
      <c r="M160" s="26"/>
      <c r="N160" s="26"/>
      <c r="O160" s="26"/>
      <c r="P160" s="26"/>
      <c r="Q160" s="26"/>
    </row>
    <row collapsed="false" customFormat="false" customHeight="false" hidden="false" ht="12.75" outlineLevel="0" r="161">
      <c r="A161" s="26" t="s">
        <v>978</v>
      </c>
      <c r="B161" s="26" t="s">
        <v>978</v>
      </c>
      <c r="C161" s="46" t="s">
        <v>928</v>
      </c>
      <c r="D161" s="53" t="s">
        <v>979</v>
      </c>
      <c r="E161" s="26" t="s">
        <v>980</v>
      </c>
      <c r="F161" s="26" t="s">
        <v>981</v>
      </c>
      <c r="G161" s="26"/>
      <c r="H161" s="46" t="n">
        <f aca="false">COUNTIF(PROJECT!F2:F100, "*MSR*")</f>
        <v>0</v>
      </c>
      <c r="I161" s="26"/>
      <c r="J161" s="26"/>
      <c r="K161" s="26"/>
      <c r="L161" s="26"/>
      <c r="M161" s="26"/>
      <c r="N161" s="26"/>
      <c r="O161" s="26"/>
      <c r="P161" s="26"/>
      <c r="Q161" s="26"/>
    </row>
    <row collapsed="false" customFormat="false" customHeight="false" hidden="false" ht="12.75" outlineLevel="0" r="162">
      <c r="A162" s="26" t="s">
        <v>982</v>
      </c>
      <c r="B162" s="26" t="s">
        <v>982</v>
      </c>
      <c r="C162" s="37" t="s">
        <v>891</v>
      </c>
      <c r="D162" s="53" t="s">
        <v>983</v>
      </c>
      <c r="E162" s="55" t="s">
        <v>984</v>
      </c>
      <c r="F162" s="26" t="s">
        <v>898</v>
      </c>
      <c r="G162" s="26"/>
      <c r="H162" s="46" t="n">
        <f aca="false">COUNTIF(PROJECT!F2:F100, "*MAR*")</f>
        <v>0</v>
      </c>
      <c r="I162" s="26"/>
      <c r="J162" s="26"/>
      <c r="K162" s="26"/>
      <c r="L162" s="26"/>
      <c r="M162" s="26"/>
      <c r="N162" s="26"/>
      <c r="O162" s="26"/>
      <c r="P162" s="26"/>
      <c r="Q162" s="26"/>
    </row>
    <row collapsed="false" customFormat="false" customHeight="false" hidden="false" ht="12.75" outlineLevel="0" r="163">
      <c r="A163" s="26" t="s">
        <v>985</v>
      </c>
      <c r="B163" s="26" t="s">
        <v>985</v>
      </c>
      <c r="C163" s="46" t="s">
        <v>986</v>
      </c>
      <c r="D163" s="53" t="s">
        <v>987</v>
      </c>
      <c r="E163" s="26" t="s">
        <v>988</v>
      </c>
      <c r="F163" s="26" t="s">
        <v>986</v>
      </c>
      <c r="G163" s="26"/>
      <c r="H163" s="46" t="n">
        <f aca="false">COUNTIF(PROJECT!F2:F100, "*MOZ*")</f>
        <v>0</v>
      </c>
      <c r="I163" s="26"/>
      <c r="J163" s="26"/>
      <c r="K163" s="26"/>
      <c r="L163" s="26"/>
      <c r="M163" s="26"/>
      <c r="N163" s="26"/>
      <c r="O163" s="26"/>
      <c r="P163" s="26"/>
      <c r="Q163" s="26"/>
    </row>
    <row collapsed="false" customFormat="false" customHeight="false" hidden="false" ht="12.75" outlineLevel="0" r="164">
      <c r="A164" s="26" t="s">
        <v>989</v>
      </c>
      <c r="B164" s="26" t="s">
        <v>989</v>
      </c>
      <c r="C164" s="37" t="s">
        <v>388</v>
      </c>
      <c r="D164" s="53" t="s">
        <v>990</v>
      </c>
      <c r="E164" s="55" t="s">
        <v>991</v>
      </c>
      <c r="F164" s="26" t="s">
        <v>992</v>
      </c>
      <c r="G164" s="26" t="s">
        <v>993</v>
      </c>
      <c r="H164" s="46" t="n">
        <f aca="false">COUNTIF(PROJECT!F2:F100, "*MMR*")</f>
        <v>0</v>
      </c>
      <c r="I164" s="26"/>
      <c r="J164" s="26"/>
      <c r="K164" s="26"/>
      <c r="L164" s="26"/>
      <c r="M164" s="26"/>
      <c r="N164" s="26"/>
      <c r="O164" s="26"/>
      <c r="P164" s="26"/>
      <c r="Q164" s="26"/>
    </row>
    <row collapsed="false" customFormat="false" customHeight="false" hidden="false" ht="12.75" outlineLevel="0" r="165">
      <c r="A165" s="26" t="s">
        <v>994</v>
      </c>
      <c r="B165" s="26" t="s">
        <v>994</v>
      </c>
      <c r="C165" s="46" t="s">
        <v>995</v>
      </c>
      <c r="D165" s="53" t="s">
        <v>996</v>
      </c>
      <c r="E165" s="26" t="s">
        <v>997</v>
      </c>
      <c r="F165" s="26" t="s">
        <v>998</v>
      </c>
      <c r="G165" s="26"/>
      <c r="H165" s="46" t="n">
        <f aca="false">COUNTIF(PROJECT!F2:F100, "*NAM*")</f>
        <v>0</v>
      </c>
      <c r="I165" s="26"/>
      <c r="J165" s="26"/>
      <c r="K165" s="26"/>
      <c r="L165" s="26"/>
      <c r="M165" s="26"/>
      <c r="N165" s="26"/>
      <c r="O165" s="26"/>
      <c r="P165" s="26"/>
      <c r="Q165" s="26"/>
    </row>
    <row collapsed="false" customFormat="false" customHeight="false" hidden="false" ht="12.75" outlineLevel="0" r="166">
      <c r="A166" s="26" t="s">
        <v>999</v>
      </c>
      <c r="B166" s="26" t="s">
        <v>999</v>
      </c>
      <c r="C166" s="46" t="s">
        <v>1000</v>
      </c>
      <c r="D166" s="53" t="s">
        <v>1001</v>
      </c>
      <c r="E166" s="26" t="s">
        <v>1002</v>
      </c>
      <c r="F166" s="26" t="s">
        <v>1000</v>
      </c>
      <c r="G166" s="26"/>
      <c r="H166" s="46" t="n">
        <f aca="false">COUNTIF(PROJECT!F2:F100, "*NRU*")</f>
        <v>0</v>
      </c>
      <c r="I166" s="26"/>
      <c r="J166" s="26"/>
      <c r="K166" s="26"/>
      <c r="L166" s="26"/>
      <c r="M166" s="26"/>
      <c r="N166" s="26"/>
      <c r="O166" s="26"/>
      <c r="P166" s="26"/>
      <c r="Q166" s="26"/>
    </row>
    <row collapsed="false" customFormat="false" customHeight="false" hidden="false" ht="12.75" outlineLevel="0" r="167">
      <c r="A167" s="55" t="s">
        <v>1003</v>
      </c>
      <c r="B167" s="55" t="s">
        <v>1003</v>
      </c>
      <c r="C167" s="26" t="s">
        <v>401</v>
      </c>
      <c r="D167" s="54"/>
      <c r="E167" s="54"/>
      <c r="F167" s="26" t="s">
        <v>1004</v>
      </c>
      <c r="G167" s="46" t="s">
        <v>357</v>
      </c>
      <c r="H167" s="57"/>
      <c r="I167" s="26"/>
      <c r="J167" s="26"/>
      <c r="K167" s="26"/>
      <c r="L167" s="26"/>
      <c r="M167" s="26"/>
      <c r="N167" s="26"/>
      <c r="O167" s="26"/>
      <c r="P167" s="26"/>
      <c r="Q167" s="26"/>
    </row>
    <row collapsed="false" customFormat="false" customHeight="false" hidden="false" ht="12.75" outlineLevel="0" r="168">
      <c r="A168" s="26" t="s">
        <v>1005</v>
      </c>
      <c r="B168" s="26" t="s">
        <v>1005</v>
      </c>
      <c r="C168" s="46" t="s">
        <v>1006</v>
      </c>
      <c r="D168" s="53" t="s">
        <v>1007</v>
      </c>
      <c r="E168" s="26" t="s">
        <v>1008</v>
      </c>
      <c r="F168" s="26" t="s">
        <v>1006</v>
      </c>
      <c r="G168" s="26"/>
      <c r="H168" s="46" t="n">
        <f aca="false">COUNTIF(PROJECT!F2:F100, "*NPL*")</f>
        <v>0</v>
      </c>
      <c r="I168" s="26"/>
      <c r="J168" s="26"/>
      <c r="K168" s="26"/>
      <c r="L168" s="26"/>
      <c r="M168" s="26"/>
      <c r="N168" s="26"/>
      <c r="O168" s="26"/>
      <c r="P168" s="26"/>
      <c r="Q168" s="26"/>
    </row>
    <row collapsed="false" customFormat="false" customHeight="false" hidden="false" ht="12.75" outlineLevel="0" r="169">
      <c r="A169" s="26" t="s">
        <v>1009</v>
      </c>
      <c r="B169" s="26" t="s">
        <v>1009</v>
      </c>
      <c r="C169" s="46" t="s">
        <v>1010</v>
      </c>
      <c r="D169" s="53" t="s">
        <v>1011</v>
      </c>
      <c r="E169" s="26" t="s">
        <v>1012</v>
      </c>
      <c r="F169" s="26" t="s">
        <v>1010</v>
      </c>
      <c r="G169" s="26"/>
      <c r="H169" s="46" t="n">
        <f aca="false">COUNTIF(PROJECT!F2:F100, "*NLD*")</f>
        <v>0</v>
      </c>
      <c r="I169" s="26"/>
      <c r="J169" s="26"/>
      <c r="K169" s="26"/>
      <c r="L169" s="26"/>
      <c r="M169" s="26"/>
      <c r="N169" s="26"/>
      <c r="O169" s="26"/>
      <c r="P169" s="26"/>
      <c r="Q169" s="26"/>
    </row>
    <row collapsed="false" customFormat="false" customHeight="false" hidden="false" ht="12.75" outlineLevel="0" r="170">
      <c r="A170" s="58" t="s">
        <v>1013</v>
      </c>
      <c r="B170" s="58" t="s">
        <v>1014</v>
      </c>
      <c r="C170" s="43" t="s">
        <v>1015</v>
      </c>
      <c r="D170" s="59" t="s">
        <v>1016</v>
      </c>
      <c r="E170" s="58" t="s">
        <v>1017</v>
      </c>
      <c r="F170" s="58" t="s">
        <v>301</v>
      </c>
      <c r="G170" s="26" t="s">
        <v>1018</v>
      </c>
      <c r="H170" s="60" t="n">
        <f aca="false">COUNTIF(PROJECT!F2:F100, "*ANT*")</f>
        <v>0</v>
      </c>
      <c r="I170" s="26"/>
      <c r="J170" s="26"/>
      <c r="K170" s="26"/>
      <c r="L170" s="26"/>
      <c r="M170" s="26"/>
      <c r="N170" s="26"/>
      <c r="O170" s="26"/>
      <c r="P170" s="26"/>
      <c r="Q170" s="26"/>
    </row>
    <row collapsed="false" customFormat="false" customHeight="false" hidden="false" ht="12.75" outlineLevel="0" r="171">
      <c r="A171" s="26" t="s">
        <v>1019</v>
      </c>
      <c r="B171" s="26" t="s">
        <v>1019</v>
      </c>
      <c r="C171" s="46" t="s">
        <v>1020</v>
      </c>
      <c r="D171" s="53" t="s">
        <v>1021</v>
      </c>
      <c r="E171" s="26" t="s">
        <v>1022</v>
      </c>
      <c r="F171" s="26" t="s">
        <v>1020</v>
      </c>
      <c r="G171" s="26"/>
      <c r="H171" s="46" t="n">
        <f aca="false">COUNTIF(PROJECT!F2:F100, "*NCL*")</f>
        <v>0</v>
      </c>
      <c r="I171" s="26"/>
      <c r="J171" s="26"/>
      <c r="K171" s="26"/>
      <c r="L171" s="26"/>
      <c r="M171" s="26"/>
      <c r="N171" s="26"/>
      <c r="O171" s="26"/>
      <c r="P171" s="26"/>
      <c r="Q171" s="26"/>
    </row>
    <row collapsed="false" customFormat="false" customHeight="false" hidden="false" ht="12.75" outlineLevel="0" r="172">
      <c r="A172" s="26" t="s">
        <v>1023</v>
      </c>
      <c r="B172" s="26" t="s">
        <v>1023</v>
      </c>
      <c r="C172" s="46" t="s">
        <v>1024</v>
      </c>
      <c r="D172" s="53" t="s">
        <v>1025</v>
      </c>
      <c r="E172" s="26" t="s">
        <v>1026</v>
      </c>
      <c r="F172" s="26" t="s">
        <v>1024</v>
      </c>
      <c r="G172" s="26"/>
      <c r="H172" s="46" t="n">
        <f aca="false">COUNTIF(PROJECT!F2:F100, "*NZL*")</f>
        <v>0</v>
      </c>
      <c r="I172" s="26"/>
      <c r="J172" s="26"/>
      <c r="K172" s="26"/>
      <c r="L172" s="26"/>
      <c r="M172" s="26"/>
      <c r="N172" s="26"/>
      <c r="O172" s="26"/>
      <c r="P172" s="26"/>
      <c r="Q172" s="26"/>
    </row>
    <row collapsed="false" customFormat="false" customHeight="false" hidden="false" ht="12.75" outlineLevel="0" r="173">
      <c r="A173" s="26" t="s">
        <v>1027</v>
      </c>
      <c r="B173" s="26" t="s">
        <v>1027</v>
      </c>
      <c r="C173" s="37" t="s">
        <v>1028</v>
      </c>
      <c r="D173" s="53" t="s">
        <v>1029</v>
      </c>
      <c r="E173" s="55" t="s">
        <v>1030</v>
      </c>
      <c r="F173" s="26" t="s">
        <v>1031</v>
      </c>
      <c r="G173" s="26"/>
      <c r="H173" s="46" t="n">
        <f aca="false">COUNTIF(PROJECT!F2:F100, "*NIC*")</f>
        <v>0</v>
      </c>
      <c r="I173" s="26"/>
      <c r="J173" s="26"/>
      <c r="K173" s="26"/>
      <c r="L173" s="26"/>
      <c r="M173" s="26"/>
      <c r="N173" s="26"/>
      <c r="O173" s="26"/>
      <c r="P173" s="26"/>
      <c r="Q173" s="26"/>
    </row>
    <row collapsed="false" customFormat="false" customHeight="false" hidden="false" ht="12.75" outlineLevel="0" r="174">
      <c r="A174" s="26" t="s">
        <v>1032</v>
      </c>
      <c r="B174" s="26" t="s">
        <v>1032</v>
      </c>
      <c r="C174" s="46" t="s">
        <v>1033</v>
      </c>
      <c r="D174" s="53" t="s">
        <v>1034</v>
      </c>
      <c r="E174" s="26" t="s">
        <v>1035</v>
      </c>
      <c r="F174" s="26" t="s">
        <v>1036</v>
      </c>
      <c r="G174" s="26"/>
      <c r="H174" s="46" t="n">
        <f aca="false">COUNTIF(PROJECT!F2:F100, "*NER*")</f>
        <v>0</v>
      </c>
      <c r="I174" s="26"/>
      <c r="J174" s="26"/>
      <c r="K174" s="26"/>
      <c r="L174" s="26"/>
      <c r="M174" s="26"/>
      <c r="N174" s="26"/>
      <c r="O174" s="26"/>
      <c r="P174" s="26"/>
      <c r="Q174" s="26"/>
    </row>
    <row collapsed="false" customFormat="false" customHeight="false" hidden="false" ht="12.75" outlineLevel="0" r="175">
      <c r="A175" s="26" t="s">
        <v>1037</v>
      </c>
      <c r="B175" s="26" t="s">
        <v>1037</v>
      </c>
      <c r="C175" s="46" t="s">
        <v>1031</v>
      </c>
      <c r="D175" s="53" t="s">
        <v>1038</v>
      </c>
      <c r="E175" s="26" t="s">
        <v>1035</v>
      </c>
      <c r="F175" s="26" t="s">
        <v>1033</v>
      </c>
      <c r="G175" s="26"/>
      <c r="H175" s="46" t="n">
        <f aca="false">COUNTIF(PROJECT!F2:F100, "*NER*")</f>
        <v>0</v>
      </c>
      <c r="I175" s="26"/>
      <c r="J175" s="26"/>
      <c r="K175" s="26"/>
      <c r="L175" s="26"/>
      <c r="M175" s="26"/>
      <c r="N175" s="26"/>
      <c r="O175" s="26"/>
      <c r="P175" s="26"/>
      <c r="Q175" s="26"/>
    </row>
    <row collapsed="false" customFormat="false" customHeight="false" hidden="false" ht="12.75" outlineLevel="0" r="176">
      <c r="A176" s="26" t="s">
        <v>1039</v>
      </c>
      <c r="B176" s="26" t="s">
        <v>1039</v>
      </c>
      <c r="C176" s="46" t="s">
        <v>1036</v>
      </c>
      <c r="D176" s="53" t="s">
        <v>1040</v>
      </c>
      <c r="E176" s="26" t="s">
        <v>1041</v>
      </c>
      <c r="F176" s="26" t="s">
        <v>1028</v>
      </c>
      <c r="G176" s="26"/>
      <c r="H176" s="46" t="n">
        <f aca="false">COUNTIF(PROJECT!F2:F100, "*NIU*")</f>
        <v>0</v>
      </c>
      <c r="I176" s="26"/>
      <c r="J176" s="26"/>
      <c r="K176" s="26"/>
      <c r="L176" s="26"/>
      <c r="M176" s="26"/>
      <c r="N176" s="26"/>
      <c r="O176" s="26"/>
      <c r="P176" s="26"/>
      <c r="Q176" s="26"/>
    </row>
    <row collapsed="false" customFormat="false" customHeight="false" hidden="false" ht="12.75" outlineLevel="0" r="177">
      <c r="A177" s="26" t="s">
        <v>1042</v>
      </c>
      <c r="B177" s="26" t="s">
        <v>1043</v>
      </c>
      <c r="C177" s="46" t="s">
        <v>1044</v>
      </c>
      <c r="D177" s="53" t="s">
        <v>1045</v>
      </c>
      <c r="E177" s="26" t="s">
        <v>1046</v>
      </c>
      <c r="F177" s="26" t="s">
        <v>1044</v>
      </c>
      <c r="G177" s="26"/>
      <c r="H177" s="46" t="n">
        <f aca="false">COUNTIF(PROJECT!F2:F100, "*NFK*")</f>
        <v>0</v>
      </c>
      <c r="I177" s="26"/>
      <c r="J177" s="26"/>
      <c r="K177" s="26"/>
      <c r="L177" s="26"/>
      <c r="M177" s="26"/>
      <c r="N177" s="26"/>
      <c r="O177" s="26"/>
      <c r="P177" s="26"/>
      <c r="Q177" s="26"/>
    </row>
    <row collapsed="false" customFormat="false" customHeight="false" hidden="false" ht="12.75" outlineLevel="0" r="178">
      <c r="A178" s="26" t="s">
        <v>1047</v>
      </c>
      <c r="B178" s="26" t="s">
        <v>1048</v>
      </c>
      <c r="C178" s="46" t="s">
        <v>1049</v>
      </c>
      <c r="D178" s="53" t="s">
        <v>1050</v>
      </c>
      <c r="E178" s="26" t="s">
        <v>1051</v>
      </c>
      <c r="F178" s="26" t="s">
        <v>939</v>
      </c>
      <c r="G178" s="26"/>
      <c r="H178" s="46" t="n">
        <f aca="false">COUNTIF(PROJECT!F2:F100, "*MNP*")</f>
        <v>0</v>
      </c>
      <c r="I178" s="26"/>
      <c r="J178" s="26"/>
      <c r="K178" s="26"/>
      <c r="L178" s="26"/>
      <c r="M178" s="26"/>
      <c r="N178" s="26"/>
      <c r="O178" s="26"/>
      <c r="P178" s="26"/>
      <c r="Q178" s="26"/>
    </row>
    <row collapsed="false" customFormat="false" customHeight="false" hidden="false" ht="12.75" outlineLevel="0" r="179">
      <c r="A179" s="26" t="s">
        <v>1052</v>
      </c>
      <c r="B179" s="26" t="s">
        <v>1052</v>
      </c>
      <c r="C179" s="46" t="s">
        <v>1053</v>
      </c>
      <c r="D179" s="53" t="s">
        <v>1054</v>
      </c>
      <c r="E179" s="26" t="s">
        <v>1055</v>
      </c>
      <c r="F179" s="26" t="s">
        <v>1053</v>
      </c>
      <c r="G179" s="26"/>
      <c r="H179" s="46" t="n">
        <f aca="false">COUNTIF(PROJECT!F2:F100, "*NOR*")</f>
        <v>0</v>
      </c>
      <c r="I179" s="26"/>
      <c r="J179" s="26"/>
      <c r="K179" s="26"/>
      <c r="L179" s="26"/>
      <c r="M179" s="26"/>
      <c r="N179" s="26"/>
      <c r="O179" s="26"/>
      <c r="P179" s="26"/>
      <c r="Q179" s="26"/>
    </row>
    <row collapsed="false" customFormat="false" customHeight="false" hidden="false" ht="12.75" outlineLevel="0" r="180">
      <c r="A180" s="26" t="s">
        <v>1056</v>
      </c>
      <c r="B180" s="26" t="s">
        <v>1056</v>
      </c>
      <c r="C180" s="37" t="s">
        <v>942</v>
      </c>
      <c r="D180" s="53" t="s">
        <v>1057</v>
      </c>
      <c r="E180" s="55" t="s">
        <v>1058</v>
      </c>
      <c r="F180" s="26" t="s">
        <v>1059</v>
      </c>
      <c r="G180" s="26"/>
      <c r="H180" s="46" t="n">
        <f aca="false">COUNTIF(PROJECT!F2:F100, "*OMN*")</f>
        <v>0</v>
      </c>
      <c r="I180" s="26"/>
      <c r="J180" s="26"/>
      <c r="K180" s="26"/>
      <c r="L180" s="26"/>
      <c r="M180" s="26"/>
      <c r="N180" s="26"/>
      <c r="O180" s="26"/>
      <c r="P180" s="26"/>
      <c r="Q180" s="26"/>
    </row>
    <row collapsed="false" customFormat="false" customHeight="false" hidden="false" ht="12.75" outlineLevel="0" r="181">
      <c r="A181" s="26" t="s">
        <v>1060</v>
      </c>
      <c r="B181" s="26" t="s">
        <v>1060</v>
      </c>
      <c r="C181" s="46" t="s">
        <v>1061</v>
      </c>
      <c r="D181" s="53" t="s">
        <v>1062</v>
      </c>
      <c r="E181" s="26" t="s">
        <v>1063</v>
      </c>
      <c r="F181" s="26" t="s">
        <v>1061</v>
      </c>
      <c r="G181" s="26"/>
      <c r="H181" s="46" t="n">
        <f aca="false">COUNTIF(PROJECT!F2:F100, "*PAK*")</f>
        <v>0</v>
      </c>
      <c r="I181" s="26"/>
      <c r="J181" s="26"/>
      <c r="K181" s="26"/>
      <c r="L181" s="26"/>
      <c r="M181" s="26"/>
      <c r="N181" s="26"/>
      <c r="O181" s="26"/>
      <c r="P181" s="26"/>
      <c r="Q181" s="26"/>
    </row>
    <row collapsed="false" customFormat="false" customHeight="false" hidden="false" ht="12.75" outlineLevel="0" r="182">
      <c r="A182" s="26" t="s">
        <v>1064</v>
      </c>
      <c r="B182" s="26" t="s">
        <v>1064</v>
      </c>
      <c r="C182" s="46" t="s">
        <v>1065</v>
      </c>
      <c r="D182" s="53" t="s">
        <v>1066</v>
      </c>
      <c r="E182" s="26" t="s">
        <v>1067</v>
      </c>
      <c r="F182" s="26" t="s">
        <v>1068</v>
      </c>
      <c r="G182" s="26"/>
      <c r="H182" s="46" t="n">
        <f aca="false">COUNTIF(PROJECT!F2:F100, "*PLW*")</f>
        <v>0</v>
      </c>
      <c r="I182" s="26"/>
      <c r="J182" s="26"/>
      <c r="K182" s="26"/>
      <c r="L182" s="26"/>
      <c r="M182" s="26"/>
      <c r="N182" s="26"/>
      <c r="O182" s="26"/>
      <c r="P182" s="26"/>
      <c r="Q182" s="26"/>
    </row>
    <row collapsed="false" customFormat="false" customHeight="false" hidden="false" ht="12.75" outlineLevel="0" r="183">
      <c r="A183" s="26" t="s">
        <v>1069</v>
      </c>
      <c r="B183" s="26" t="s">
        <v>1069</v>
      </c>
      <c r="C183" s="54"/>
      <c r="D183" s="56" t="s">
        <v>1070</v>
      </c>
      <c r="E183" s="26" t="s">
        <v>1071</v>
      </c>
      <c r="F183" s="26" t="s">
        <v>1065</v>
      </c>
      <c r="G183" s="26" t="s">
        <v>1072</v>
      </c>
      <c r="H183" s="46" t="n">
        <f aca="false">COUNTIF(PROJECT!F2:F100, "*PSE*")</f>
        <v>0</v>
      </c>
      <c r="I183" s="26"/>
      <c r="J183" s="26"/>
      <c r="K183" s="26"/>
      <c r="L183" s="26"/>
      <c r="M183" s="26"/>
      <c r="N183" s="26"/>
      <c r="O183" s="26"/>
      <c r="P183" s="26"/>
      <c r="Q183" s="26"/>
    </row>
    <row collapsed="false" customFormat="false" customHeight="false" hidden="false" ht="12.75" outlineLevel="0" r="184">
      <c r="A184" s="26" t="s">
        <v>1073</v>
      </c>
      <c r="B184" s="26" t="s">
        <v>1073</v>
      </c>
      <c r="C184" s="26" t="s">
        <v>1074</v>
      </c>
      <c r="D184" s="54"/>
      <c r="E184" s="54"/>
      <c r="F184" s="26" t="s">
        <v>1075</v>
      </c>
      <c r="G184" s="46" t="s">
        <v>357</v>
      </c>
      <c r="H184" s="57"/>
      <c r="I184" s="26"/>
      <c r="J184" s="26"/>
      <c r="K184" s="26"/>
      <c r="L184" s="26"/>
      <c r="M184" s="26"/>
      <c r="N184" s="26"/>
      <c r="O184" s="26"/>
      <c r="P184" s="26"/>
      <c r="Q184" s="26"/>
    </row>
    <row collapsed="false" customFormat="false" customHeight="false" hidden="false" ht="12.75" outlineLevel="0" r="185">
      <c r="A185" s="26" t="s">
        <v>1076</v>
      </c>
      <c r="B185" s="26" t="s">
        <v>1076</v>
      </c>
      <c r="C185" s="37" t="s">
        <v>1077</v>
      </c>
      <c r="D185" s="53" t="s">
        <v>1078</v>
      </c>
      <c r="E185" s="55" t="s">
        <v>1079</v>
      </c>
      <c r="F185" s="26" t="s">
        <v>1080</v>
      </c>
      <c r="G185" s="26"/>
      <c r="H185" s="46" t="n">
        <f aca="false">COUNTIF(PROJECT!F2:F100, "*PAN*")</f>
        <v>0</v>
      </c>
      <c r="I185" s="26"/>
      <c r="J185" s="26"/>
      <c r="K185" s="26"/>
      <c r="L185" s="26"/>
      <c r="M185" s="26"/>
      <c r="N185" s="26"/>
      <c r="O185" s="26"/>
      <c r="P185" s="26"/>
      <c r="Q185" s="26"/>
    </row>
    <row collapsed="false" customFormat="false" customHeight="false" hidden="false" ht="12.75" outlineLevel="0" r="186">
      <c r="A186" s="26" t="s">
        <v>1081</v>
      </c>
      <c r="B186" s="26" t="s">
        <v>1081</v>
      </c>
      <c r="C186" s="37" t="s">
        <v>1082</v>
      </c>
      <c r="D186" s="53" t="s">
        <v>1083</v>
      </c>
      <c r="E186" s="55" t="s">
        <v>1084</v>
      </c>
      <c r="F186" s="26" t="s">
        <v>1085</v>
      </c>
      <c r="G186" s="26"/>
      <c r="H186" s="46" t="n">
        <f aca="false">COUNTIF(PROJECT!F2:F100, "*PNG*")</f>
        <v>0</v>
      </c>
      <c r="I186" s="26"/>
      <c r="J186" s="26"/>
      <c r="K186" s="26"/>
      <c r="L186" s="26"/>
      <c r="M186" s="26"/>
      <c r="N186" s="26"/>
      <c r="O186" s="26"/>
      <c r="P186" s="26"/>
      <c r="Q186" s="26"/>
    </row>
    <row collapsed="false" customFormat="false" customHeight="false" hidden="false" ht="12.75" outlineLevel="0" r="187">
      <c r="A187" s="26" t="s">
        <v>1086</v>
      </c>
      <c r="B187" s="26" t="s">
        <v>1087</v>
      </c>
      <c r="C187" s="46" t="s">
        <v>626</v>
      </c>
      <c r="D187" s="54"/>
      <c r="E187" s="54"/>
      <c r="F187" s="54"/>
      <c r="G187" s="26"/>
      <c r="H187" s="57"/>
      <c r="I187" s="26"/>
      <c r="J187" s="26"/>
      <c r="K187" s="26"/>
      <c r="L187" s="26"/>
      <c r="M187" s="26"/>
      <c r="N187" s="26"/>
      <c r="O187" s="26"/>
      <c r="P187" s="26"/>
      <c r="Q187" s="26"/>
    </row>
    <row collapsed="false" customFormat="false" customHeight="false" hidden="false" ht="12.75" outlineLevel="0" r="188">
      <c r="A188" s="26" t="s">
        <v>1088</v>
      </c>
      <c r="B188" s="26" t="s">
        <v>1088</v>
      </c>
      <c r="C188" s="37" t="s">
        <v>1080</v>
      </c>
      <c r="D188" s="53" t="s">
        <v>1089</v>
      </c>
      <c r="E188" s="55" t="s">
        <v>1090</v>
      </c>
      <c r="F188" s="26" t="s">
        <v>1091</v>
      </c>
      <c r="G188" s="26"/>
      <c r="H188" s="46" t="n">
        <f aca="false">COUNTIF(PROJECT!F2:F100, "*PRY*")</f>
        <v>0</v>
      </c>
      <c r="I188" s="26"/>
      <c r="J188" s="26"/>
      <c r="K188" s="26"/>
      <c r="L188" s="26"/>
      <c r="M188" s="26"/>
      <c r="N188" s="26"/>
      <c r="O188" s="26"/>
      <c r="P188" s="26"/>
      <c r="Q188" s="26"/>
    </row>
    <row collapsed="false" customFormat="false" customHeight="false" hidden="false" ht="12.75" outlineLevel="0" r="189">
      <c r="A189" s="26" t="s">
        <v>1092</v>
      </c>
      <c r="B189" s="26" t="s">
        <v>1092</v>
      </c>
      <c r="C189" s="46" t="s">
        <v>1093</v>
      </c>
      <c r="D189" s="53" t="s">
        <v>1094</v>
      </c>
      <c r="E189" s="26" t="s">
        <v>1095</v>
      </c>
      <c r="F189" s="26" t="s">
        <v>1093</v>
      </c>
      <c r="G189" s="26"/>
      <c r="H189" s="46" t="n">
        <f aca="false">COUNTIF(PROJECT!F2:F100, "*PER*")</f>
        <v>0</v>
      </c>
      <c r="I189" s="26"/>
      <c r="J189" s="26"/>
      <c r="K189" s="26"/>
      <c r="L189" s="26"/>
      <c r="M189" s="26"/>
      <c r="N189" s="26"/>
      <c r="O189" s="26"/>
      <c r="P189" s="26"/>
      <c r="Q189" s="26"/>
    </row>
    <row collapsed="false" customFormat="false" customHeight="false" hidden="false" ht="12.75" outlineLevel="0" r="190">
      <c r="A190" s="55" t="s">
        <v>1096</v>
      </c>
      <c r="B190" s="26" t="s">
        <v>1097</v>
      </c>
      <c r="C190" s="37" t="s">
        <v>1098</v>
      </c>
      <c r="D190" s="53" t="s">
        <v>1099</v>
      </c>
      <c r="E190" s="55" t="s">
        <v>1100</v>
      </c>
      <c r="F190" s="26" t="s">
        <v>1101</v>
      </c>
      <c r="G190" s="26"/>
      <c r="H190" s="46" t="n">
        <f aca="false">COUNTIF(PROJECT!F2:F100, "*PHL*")</f>
        <v>0</v>
      </c>
      <c r="I190" s="26"/>
      <c r="J190" s="26"/>
      <c r="K190" s="26"/>
      <c r="L190" s="26"/>
      <c r="M190" s="26"/>
      <c r="N190" s="26"/>
      <c r="O190" s="26"/>
      <c r="P190" s="26"/>
      <c r="Q190" s="26"/>
    </row>
    <row collapsed="false" customFormat="false" customHeight="false" hidden="false" ht="12.75" outlineLevel="0" r="191">
      <c r="A191" s="26" t="s">
        <v>1102</v>
      </c>
      <c r="B191" s="26" t="s">
        <v>1103</v>
      </c>
      <c r="C191" s="46" t="s">
        <v>1104</v>
      </c>
      <c r="D191" s="53" t="s">
        <v>1105</v>
      </c>
      <c r="E191" s="26" t="s">
        <v>1106</v>
      </c>
      <c r="F191" s="26" t="s">
        <v>1107</v>
      </c>
      <c r="G191" s="26"/>
      <c r="H191" s="46" t="n">
        <f aca="false">COUNTIF(PROJECT!F2:F100, "*PCN*")</f>
        <v>0</v>
      </c>
      <c r="I191" s="26"/>
      <c r="J191" s="26"/>
      <c r="K191" s="26"/>
      <c r="L191" s="26"/>
      <c r="M191" s="26"/>
      <c r="N191" s="26"/>
      <c r="O191" s="26"/>
      <c r="P191" s="26"/>
      <c r="Q191" s="26"/>
    </row>
    <row collapsed="false" customFormat="false" customHeight="false" hidden="false" ht="12.75" outlineLevel="0" r="192">
      <c r="A192" s="26" t="s">
        <v>1108</v>
      </c>
      <c r="B192" s="26" t="s">
        <v>1108</v>
      </c>
      <c r="C192" s="46" t="s">
        <v>1109</v>
      </c>
      <c r="D192" s="53" t="s">
        <v>1110</v>
      </c>
      <c r="E192" s="26" t="s">
        <v>1111</v>
      </c>
      <c r="F192" s="26" t="s">
        <v>1109</v>
      </c>
      <c r="G192" s="26"/>
      <c r="H192" s="46" t="n">
        <f aca="false">COUNTIF(PROJECT!F2:F100, "*POL*")</f>
        <v>0</v>
      </c>
      <c r="I192" s="26"/>
      <c r="J192" s="26"/>
      <c r="K192" s="26"/>
      <c r="L192" s="26"/>
      <c r="M192" s="26"/>
      <c r="N192" s="26"/>
      <c r="O192" s="26"/>
      <c r="P192" s="26"/>
      <c r="Q192" s="26"/>
    </row>
    <row collapsed="false" customFormat="false" customHeight="false" hidden="false" ht="12.75" outlineLevel="0" r="193">
      <c r="A193" s="26" t="s">
        <v>1112</v>
      </c>
      <c r="B193" s="26" t="s">
        <v>1112</v>
      </c>
      <c r="C193" s="37" t="s">
        <v>1113</v>
      </c>
      <c r="D193" s="53" t="s">
        <v>1114</v>
      </c>
      <c r="E193" s="55" t="s">
        <v>1115</v>
      </c>
      <c r="F193" s="26" t="s">
        <v>1116</v>
      </c>
      <c r="G193" s="26"/>
      <c r="H193" s="46" t="n">
        <f aca="false">COUNTIF(PROJECT!F2:F100, "*PRT*")</f>
        <v>0</v>
      </c>
      <c r="I193" s="26"/>
      <c r="J193" s="26"/>
      <c r="K193" s="26"/>
      <c r="L193" s="26"/>
      <c r="M193" s="26"/>
      <c r="N193" s="26"/>
      <c r="O193" s="26"/>
      <c r="P193" s="26"/>
      <c r="Q193" s="26"/>
    </row>
    <row collapsed="false" customFormat="false" customHeight="false" hidden="false" ht="12.75" outlineLevel="0" r="194">
      <c r="A194" s="26" t="s">
        <v>1117</v>
      </c>
      <c r="B194" s="26" t="s">
        <v>1117</v>
      </c>
      <c r="C194" s="37" t="s">
        <v>1118</v>
      </c>
      <c r="D194" s="53" t="s">
        <v>1119</v>
      </c>
      <c r="E194" s="55" t="s">
        <v>1120</v>
      </c>
      <c r="F194" s="26" t="s">
        <v>1121</v>
      </c>
      <c r="G194" s="26"/>
      <c r="H194" s="46" t="n">
        <f aca="false">COUNTIF(PROJECT!F2:F100, "*PRI*")</f>
        <v>0</v>
      </c>
      <c r="I194" s="26"/>
      <c r="J194" s="26"/>
      <c r="K194" s="26"/>
      <c r="L194" s="26"/>
      <c r="M194" s="26"/>
      <c r="N194" s="26"/>
      <c r="O194" s="26"/>
      <c r="P194" s="26"/>
      <c r="Q194" s="26"/>
    </row>
    <row collapsed="false" customFormat="false" customHeight="false" hidden="false" ht="12.75" outlineLevel="0" r="195">
      <c r="A195" s="26" t="s">
        <v>1122</v>
      </c>
      <c r="B195" s="26" t="s">
        <v>1122</v>
      </c>
      <c r="C195" s="46" t="s">
        <v>1123</v>
      </c>
      <c r="D195" s="53" t="s">
        <v>1124</v>
      </c>
      <c r="E195" s="26" t="s">
        <v>1125</v>
      </c>
      <c r="F195" s="26" t="s">
        <v>1123</v>
      </c>
      <c r="G195" s="26"/>
      <c r="H195" s="46" t="n">
        <f aca="false">COUNTIF(PROJECT!F2:F100, "*QAT*")</f>
        <v>0</v>
      </c>
      <c r="I195" s="26"/>
      <c r="J195" s="26"/>
      <c r="K195" s="26"/>
      <c r="L195" s="26"/>
      <c r="M195" s="26"/>
      <c r="N195" s="26"/>
      <c r="O195" s="26"/>
      <c r="P195" s="26"/>
      <c r="Q195" s="26"/>
    </row>
    <row collapsed="false" customFormat="false" customHeight="false" hidden="false" ht="12.75" outlineLevel="0" r="196">
      <c r="A196" s="26" t="s">
        <v>1126</v>
      </c>
      <c r="B196" s="26" t="s">
        <v>1126</v>
      </c>
      <c r="C196" s="46" t="s">
        <v>1127</v>
      </c>
      <c r="D196" s="53" t="s">
        <v>1128</v>
      </c>
      <c r="E196" s="26" t="s">
        <v>1129</v>
      </c>
      <c r="F196" s="26" t="s">
        <v>1127</v>
      </c>
      <c r="G196" s="26"/>
      <c r="H196" s="46" t="n">
        <f aca="false">COUNTIF(PROJECT!F2:F100, "*REU*")</f>
        <v>0</v>
      </c>
      <c r="I196" s="26"/>
      <c r="J196" s="26"/>
      <c r="K196" s="26"/>
      <c r="L196" s="26"/>
      <c r="M196" s="26"/>
      <c r="N196" s="26"/>
      <c r="O196" s="26"/>
      <c r="P196" s="26"/>
      <c r="Q196" s="26"/>
    </row>
    <row collapsed="false" customFormat="false" customHeight="false" hidden="false" ht="12.75" outlineLevel="0" r="197">
      <c r="A197" s="26" t="s">
        <v>1130</v>
      </c>
      <c r="B197" s="26" t="s">
        <v>1130</v>
      </c>
      <c r="C197" s="46" t="s">
        <v>1131</v>
      </c>
      <c r="D197" s="53" t="s">
        <v>1132</v>
      </c>
      <c r="E197" s="26" t="s">
        <v>1133</v>
      </c>
      <c r="F197" s="26" t="s">
        <v>1131</v>
      </c>
      <c r="G197" s="26"/>
      <c r="H197" s="46" t="n">
        <f aca="false">COUNTIF(PROJECT!F2:F100, "*ROU*")</f>
        <v>0</v>
      </c>
      <c r="I197" s="26"/>
      <c r="J197" s="26"/>
      <c r="K197" s="26"/>
      <c r="L197" s="26"/>
      <c r="M197" s="26"/>
      <c r="N197" s="26"/>
      <c r="O197" s="26"/>
      <c r="P197" s="26"/>
      <c r="Q197" s="26"/>
    </row>
    <row collapsed="false" customFormat="false" customHeight="false" hidden="false" ht="12.75" outlineLevel="0" r="198">
      <c r="A198" s="55" t="s">
        <v>1134</v>
      </c>
      <c r="B198" s="26" t="s">
        <v>1135</v>
      </c>
      <c r="C198" s="37" t="s">
        <v>1136</v>
      </c>
      <c r="D198" s="53" t="s">
        <v>1137</v>
      </c>
      <c r="E198" s="55" t="s">
        <v>1138</v>
      </c>
      <c r="F198" s="26" t="s">
        <v>1139</v>
      </c>
      <c r="G198" s="26"/>
      <c r="H198" s="46" t="n">
        <f aca="false">COUNTIF(PROJECT!F2:F100, "*RUS*")</f>
        <v>0</v>
      </c>
      <c r="I198" s="26"/>
      <c r="J198" s="26"/>
      <c r="K198" s="26"/>
      <c r="L198" s="26"/>
      <c r="M198" s="26"/>
      <c r="N198" s="26"/>
      <c r="O198" s="26"/>
      <c r="P198" s="26"/>
      <c r="Q198" s="26"/>
    </row>
    <row collapsed="false" customFormat="false" customHeight="false" hidden="false" ht="12.75" outlineLevel="0" r="199">
      <c r="A199" s="26" t="s">
        <v>1140</v>
      </c>
      <c r="B199" s="26" t="s">
        <v>1140</v>
      </c>
      <c r="C199" s="46" t="s">
        <v>1141</v>
      </c>
      <c r="D199" s="53" t="s">
        <v>1142</v>
      </c>
      <c r="E199" s="26" t="s">
        <v>1143</v>
      </c>
      <c r="F199" s="26" t="s">
        <v>1141</v>
      </c>
      <c r="G199" s="26"/>
      <c r="H199" s="46" t="n">
        <f aca="false">COUNTIF(PROJECT!F2:F100, "*RWA*")</f>
        <v>0</v>
      </c>
      <c r="I199" s="26"/>
      <c r="J199" s="26"/>
      <c r="K199" s="26"/>
      <c r="L199" s="26"/>
      <c r="M199" s="26"/>
      <c r="N199" s="26"/>
      <c r="O199" s="26"/>
      <c r="P199" s="26"/>
      <c r="Q199" s="26"/>
    </row>
    <row collapsed="false" customFormat="false" customHeight="false" hidden="false" ht="12.75" outlineLevel="0" r="200">
      <c r="A200" s="26" t="s">
        <v>1144</v>
      </c>
      <c r="B200" s="26" t="s">
        <v>1144</v>
      </c>
      <c r="C200" s="46" t="s">
        <v>1145</v>
      </c>
      <c r="D200" s="53" t="s">
        <v>1146</v>
      </c>
      <c r="E200" s="26" t="s">
        <v>1147</v>
      </c>
      <c r="F200" s="26" t="s">
        <v>395</v>
      </c>
      <c r="G200" s="26"/>
      <c r="H200" s="46" t="n">
        <f aca="false">COUNTIF(PROJECT!F2:F100, "*BLM*")</f>
        <v>0</v>
      </c>
      <c r="I200" s="26"/>
      <c r="J200" s="26"/>
      <c r="K200" s="26"/>
      <c r="L200" s="26"/>
      <c r="M200" s="26"/>
      <c r="N200" s="26"/>
      <c r="O200" s="26"/>
      <c r="P200" s="26"/>
      <c r="Q200" s="26"/>
    </row>
    <row collapsed="false" customFormat="false" customHeight="false" hidden="false" ht="12.75" outlineLevel="0" r="201">
      <c r="A201" s="55" t="s">
        <v>1148</v>
      </c>
      <c r="B201" s="55" t="s">
        <v>1148</v>
      </c>
      <c r="C201" s="37" t="s">
        <v>1149</v>
      </c>
      <c r="D201" s="56" t="s">
        <v>1150</v>
      </c>
      <c r="E201" s="55" t="s">
        <v>1151</v>
      </c>
      <c r="F201" s="55" t="s">
        <v>944</v>
      </c>
      <c r="G201" s="55"/>
      <c r="H201" s="37" t="n">
        <f aca="false">COUNTIF(PROJECT!F2:F100, "*MAF*")</f>
        <v>0</v>
      </c>
      <c r="I201" s="55"/>
      <c r="J201" s="55"/>
      <c r="K201" s="55"/>
      <c r="L201" s="55"/>
      <c r="M201" s="55"/>
      <c r="N201" s="55"/>
      <c r="O201" s="55"/>
      <c r="P201" s="55"/>
      <c r="Q201" s="55"/>
    </row>
    <row collapsed="false" customFormat="false" customHeight="false" hidden="false" ht="12.75" outlineLevel="0" r="202">
      <c r="A202" s="26" t="s">
        <v>1152</v>
      </c>
      <c r="B202" s="26" t="s">
        <v>1152</v>
      </c>
      <c r="C202" s="46" t="s">
        <v>1153</v>
      </c>
      <c r="D202" s="53" t="s">
        <v>1154</v>
      </c>
      <c r="E202" s="26" t="s">
        <v>1155</v>
      </c>
      <c r="F202" s="26" t="s">
        <v>1153</v>
      </c>
      <c r="G202" s="26"/>
      <c r="H202" s="46" t="n">
        <f aca="false">COUNTIF(PROJECT!F2:F100, "*WSM*")</f>
        <v>0</v>
      </c>
      <c r="I202" s="26"/>
      <c r="J202" s="26"/>
      <c r="K202" s="26"/>
      <c r="L202" s="26"/>
      <c r="M202" s="26"/>
      <c r="N202" s="26"/>
      <c r="O202" s="26"/>
      <c r="P202" s="26"/>
      <c r="Q202" s="26"/>
    </row>
    <row collapsed="false" customFormat="false" customHeight="false" hidden="false" ht="12.75" outlineLevel="0" r="203">
      <c r="A203" s="26" t="s">
        <v>1156</v>
      </c>
      <c r="B203" s="26" t="s">
        <v>1156</v>
      </c>
      <c r="C203" s="46" t="s">
        <v>1157</v>
      </c>
      <c r="D203" s="53" t="s">
        <v>1158</v>
      </c>
      <c r="E203" s="26" t="s">
        <v>1159</v>
      </c>
      <c r="F203" s="26" t="s">
        <v>1157</v>
      </c>
      <c r="G203" s="26"/>
      <c r="H203" s="46" t="n">
        <f aca="false">COUNTIF(PROJECT!F2:F100, "*SMR*")</f>
        <v>0</v>
      </c>
      <c r="I203" s="26"/>
      <c r="J203" s="26"/>
      <c r="K203" s="26"/>
      <c r="L203" s="26"/>
      <c r="M203" s="26"/>
      <c r="N203" s="26"/>
      <c r="O203" s="26"/>
      <c r="P203" s="26"/>
      <c r="Q203" s="26"/>
    </row>
    <row collapsed="false" customFormat="false" customHeight="false" hidden="false" ht="12.75" outlineLevel="0" r="204">
      <c r="A204" s="26" t="s">
        <v>1160</v>
      </c>
      <c r="B204" s="26" t="s">
        <v>1161</v>
      </c>
      <c r="C204" s="46" t="s">
        <v>1162</v>
      </c>
      <c r="D204" s="53" t="s">
        <v>1163</v>
      </c>
      <c r="E204" s="26" t="s">
        <v>1164</v>
      </c>
      <c r="F204" s="26" t="s">
        <v>1165</v>
      </c>
      <c r="G204" s="26"/>
      <c r="H204" s="46" t="n">
        <f aca="false">COUNTIF(PROJECT!F2:F100, "*STP*")</f>
        <v>0</v>
      </c>
      <c r="I204" s="26"/>
      <c r="J204" s="26"/>
      <c r="K204" s="26"/>
      <c r="L204" s="26"/>
      <c r="M204" s="26"/>
      <c r="N204" s="26"/>
      <c r="O204" s="26"/>
      <c r="P204" s="26"/>
      <c r="Q204" s="26"/>
    </row>
    <row collapsed="false" customFormat="false" customHeight="false" hidden="false" ht="12.75" outlineLevel="0" r="205">
      <c r="A205" s="26" t="s">
        <v>1166</v>
      </c>
      <c r="B205" s="26" t="s">
        <v>1166</v>
      </c>
      <c r="C205" s="46" t="s">
        <v>1167</v>
      </c>
      <c r="D205" s="53" t="s">
        <v>1168</v>
      </c>
      <c r="E205" s="26" t="s">
        <v>1169</v>
      </c>
      <c r="F205" s="26" t="s">
        <v>1167</v>
      </c>
      <c r="G205" s="26"/>
      <c r="H205" s="46" t="n">
        <f aca="false">COUNTIF(PROJECT!F2:F100, "*SAU*")</f>
        <v>0</v>
      </c>
      <c r="I205" s="26"/>
      <c r="J205" s="26"/>
      <c r="K205" s="26"/>
      <c r="L205" s="26"/>
      <c r="M205" s="26"/>
      <c r="N205" s="26"/>
      <c r="O205" s="26"/>
      <c r="P205" s="26"/>
      <c r="Q205" s="26"/>
    </row>
    <row collapsed="false" customFormat="false" customHeight="false" hidden="false" ht="12.75" outlineLevel="0" r="206">
      <c r="A206" s="26" t="s">
        <v>1170</v>
      </c>
      <c r="B206" s="26" t="s">
        <v>1170</v>
      </c>
      <c r="C206" s="37" t="s">
        <v>1171</v>
      </c>
      <c r="D206" s="53" t="s">
        <v>1172</v>
      </c>
      <c r="E206" s="55" t="s">
        <v>1173</v>
      </c>
      <c r="F206" s="26" t="s">
        <v>1174</v>
      </c>
      <c r="G206" s="26"/>
      <c r="H206" s="46" t="n">
        <f aca="false">COUNTIF(PROJECT!F2:F100, "*SEN*")</f>
        <v>0</v>
      </c>
      <c r="I206" s="26"/>
      <c r="J206" s="26"/>
      <c r="K206" s="26"/>
      <c r="L206" s="26"/>
      <c r="M206" s="26"/>
      <c r="N206" s="26"/>
      <c r="O206" s="26"/>
      <c r="P206" s="26"/>
      <c r="Q206" s="26"/>
    </row>
    <row collapsed="false" customFormat="false" customHeight="false" hidden="false" ht="12.75" outlineLevel="0" r="207">
      <c r="A207" s="26" t="s">
        <v>1175</v>
      </c>
      <c r="B207" s="26" t="s">
        <v>1175</v>
      </c>
      <c r="C207" s="46" t="s">
        <v>1176</v>
      </c>
      <c r="D207" s="53" t="s">
        <v>1177</v>
      </c>
      <c r="E207" s="26" t="s">
        <v>1178</v>
      </c>
      <c r="F207" s="26" t="s">
        <v>1136</v>
      </c>
      <c r="G207" s="26"/>
      <c r="H207" s="46" t="n">
        <f aca="false">COUNTIF(PROJECT!F2:F100, "*SRB*")</f>
        <v>0</v>
      </c>
      <c r="I207" s="26"/>
      <c r="J207" s="26"/>
      <c r="K207" s="26"/>
      <c r="L207" s="26"/>
      <c r="M207" s="26"/>
      <c r="N207" s="26"/>
      <c r="O207" s="26"/>
      <c r="P207" s="26"/>
      <c r="Q207" s="26"/>
    </row>
    <row collapsed="false" customFormat="false" customHeight="false" hidden="false" ht="12.75" outlineLevel="0" r="208">
      <c r="A208" s="26" t="s">
        <v>1179</v>
      </c>
      <c r="B208" s="26" t="s">
        <v>1179</v>
      </c>
      <c r="C208" s="37" t="s">
        <v>1180</v>
      </c>
      <c r="D208" s="53" t="s">
        <v>1181</v>
      </c>
      <c r="E208" s="55" t="s">
        <v>1182</v>
      </c>
      <c r="F208" s="26" t="s">
        <v>1183</v>
      </c>
      <c r="G208" s="26"/>
      <c r="H208" s="46" t="n">
        <f aca="false">COUNTIF(PROJECT!F2:F100, "*SYC*")</f>
        <v>0</v>
      </c>
      <c r="I208" s="26"/>
      <c r="J208" s="26"/>
      <c r="K208" s="26"/>
      <c r="L208" s="26"/>
      <c r="M208" s="26"/>
      <c r="N208" s="26"/>
      <c r="O208" s="26"/>
      <c r="P208" s="26"/>
      <c r="Q208" s="26"/>
    </row>
    <row collapsed="false" customFormat="false" customHeight="false" hidden="false" ht="12.75" outlineLevel="0" r="209">
      <c r="A209" s="26" t="s">
        <v>1184</v>
      </c>
      <c r="B209" s="26" t="s">
        <v>1184</v>
      </c>
      <c r="C209" s="46" t="s">
        <v>1185</v>
      </c>
      <c r="D209" s="53" t="s">
        <v>1186</v>
      </c>
      <c r="E209" s="26" t="s">
        <v>1187</v>
      </c>
      <c r="F209" s="26" t="s">
        <v>1185</v>
      </c>
      <c r="G209" s="26"/>
      <c r="H209" s="46" t="n">
        <f aca="false">COUNTIF(PROJECT!F2:F100, "*SLE*")</f>
        <v>0</v>
      </c>
      <c r="I209" s="26"/>
      <c r="J209" s="26"/>
      <c r="K209" s="26"/>
      <c r="L209" s="26"/>
      <c r="M209" s="26"/>
      <c r="N209" s="26"/>
      <c r="O209" s="26"/>
      <c r="P209" s="26"/>
      <c r="Q209" s="26"/>
    </row>
    <row collapsed="false" customFormat="false" customHeight="false" hidden="false" ht="12.75" outlineLevel="0" r="210">
      <c r="A210" s="26" t="s">
        <v>1188</v>
      </c>
      <c r="B210" s="26" t="s">
        <v>1188</v>
      </c>
      <c r="C210" s="37" t="s">
        <v>1174</v>
      </c>
      <c r="D210" s="53" t="s">
        <v>1189</v>
      </c>
      <c r="E210" s="55" t="s">
        <v>1190</v>
      </c>
      <c r="F210" s="26" t="s">
        <v>1171</v>
      </c>
      <c r="G210" s="26"/>
      <c r="H210" s="46" t="n">
        <f aca="false">COUNTIF(PROJECT!F2:F100, "*SGP*")</f>
        <v>0</v>
      </c>
      <c r="I210" s="26"/>
      <c r="J210" s="26"/>
      <c r="K210" s="26"/>
      <c r="L210" s="26"/>
      <c r="M210" s="26"/>
      <c r="N210" s="26"/>
      <c r="O210" s="26"/>
      <c r="P210" s="26"/>
      <c r="Q210" s="26"/>
    </row>
    <row collapsed="false" customFormat="false" customHeight="false" hidden="false" ht="12.75" outlineLevel="0" r="211">
      <c r="A211" s="26" t="s">
        <v>1191</v>
      </c>
      <c r="B211" s="26" t="s">
        <v>1191</v>
      </c>
      <c r="C211" s="37" t="s">
        <v>1192</v>
      </c>
      <c r="D211" s="53" t="s">
        <v>1193</v>
      </c>
      <c r="E211" s="26" t="s">
        <v>1194</v>
      </c>
      <c r="F211" s="26" t="s">
        <v>1195</v>
      </c>
      <c r="G211" s="26"/>
      <c r="H211" s="46" t="n">
        <f aca="false">COUNTIF(PROJECT!F2:F100, "*SXM*")</f>
        <v>0</v>
      </c>
      <c r="I211" s="26"/>
      <c r="J211" s="26"/>
      <c r="K211" s="26"/>
      <c r="L211" s="26"/>
      <c r="M211" s="26"/>
      <c r="N211" s="26"/>
      <c r="O211" s="26"/>
      <c r="P211" s="26"/>
      <c r="Q211" s="26"/>
    </row>
    <row collapsed="false" customFormat="false" customHeight="false" hidden="false" ht="12.75" outlineLevel="0" r="212">
      <c r="A212" s="26" t="s">
        <v>1196</v>
      </c>
      <c r="B212" s="26" t="s">
        <v>1196</v>
      </c>
      <c r="C212" s="37" t="s">
        <v>1197</v>
      </c>
      <c r="D212" s="53" t="s">
        <v>1198</v>
      </c>
      <c r="E212" s="55" t="s">
        <v>1199</v>
      </c>
      <c r="F212" s="26" t="s">
        <v>1200</v>
      </c>
      <c r="G212" s="26"/>
      <c r="H212" s="46" t="n">
        <f aca="false">COUNTIF(PROJECT!F2:F100, "*SVK*")</f>
        <v>0</v>
      </c>
      <c r="I212" s="26"/>
      <c r="J212" s="26"/>
      <c r="K212" s="26"/>
      <c r="L212" s="26"/>
      <c r="M212" s="26"/>
      <c r="N212" s="26"/>
      <c r="O212" s="26"/>
      <c r="P212" s="26"/>
      <c r="Q212" s="26"/>
    </row>
    <row collapsed="false" customFormat="false" customHeight="false" hidden="false" ht="12.75" outlineLevel="0" r="213">
      <c r="A213" s="26" t="s">
        <v>1201</v>
      </c>
      <c r="B213" s="26" t="s">
        <v>1201</v>
      </c>
      <c r="C213" s="37" t="s">
        <v>1202</v>
      </c>
      <c r="D213" s="53" t="s">
        <v>1203</v>
      </c>
      <c r="E213" s="55" t="s">
        <v>1204</v>
      </c>
      <c r="F213" s="26" t="s">
        <v>1202</v>
      </c>
      <c r="G213" s="26"/>
      <c r="H213" s="46" t="n">
        <f aca="false">COUNTIF(PROJECT!F2:F100, "*SVN*")</f>
        <v>0</v>
      </c>
      <c r="I213" s="26"/>
      <c r="J213" s="26"/>
      <c r="K213" s="26"/>
      <c r="L213" s="26"/>
      <c r="M213" s="26"/>
      <c r="N213" s="26"/>
      <c r="O213" s="26"/>
      <c r="P213" s="26"/>
      <c r="Q213" s="26"/>
    </row>
    <row collapsed="false" customFormat="false" customHeight="false" hidden="false" ht="12.75" outlineLevel="0" r="214">
      <c r="A214" s="26" t="s">
        <v>1205</v>
      </c>
      <c r="B214" s="26" t="s">
        <v>1206</v>
      </c>
      <c r="C214" s="37" t="s">
        <v>1207</v>
      </c>
      <c r="D214" s="53" t="s">
        <v>1208</v>
      </c>
      <c r="E214" s="55" t="s">
        <v>1209</v>
      </c>
      <c r="F214" s="26" t="s">
        <v>1210</v>
      </c>
      <c r="G214" s="26"/>
      <c r="H214" s="46" t="n">
        <f aca="false">COUNTIF(PROJECT!F2:F100, "*SLB*")</f>
        <v>0</v>
      </c>
      <c r="I214" s="26"/>
      <c r="J214" s="26"/>
      <c r="K214" s="26"/>
      <c r="L214" s="26"/>
      <c r="M214" s="26"/>
      <c r="N214" s="26"/>
      <c r="O214" s="26"/>
      <c r="P214" s="26"/>
      <c r="Q214" s="26"/>
    </row>
    <row collapsed="false" customFormat="false" customHeight="false" hidden="false" ht="12.75" outlineLevel="0" r="215">
      <c r="A215" s="26" t="s">
        <v>1211</v>
      </c>
      <c r="B215" s="26" t="s">
        <v>1211</v>
      </c>
      <c r="C215" s="46" t="s">
        <v>1212</v>
      </c>
      <c r="D215" s="53" t="s">
        <v>1213</v>
      </c>
      <c r="E215" s="26" t="s">
        <v>1214</v>
      </c>
      <c r="F215" s="26" t="s">
        <v>1212</v>
      </c>
      <c r="G215" s="26"/>
      <c r="H215" s="46" t="n">
        <f aca="false">COUNTIF(PROJECT!F2:F100, "*SOM*")</f>
        <v>0</v>
      </c>
      <c r="I215" s="26"/>
      <c r="J215" s="26"/>
      <c r="K215" s="26"/>
      <c r="L215" s="26"/>
      <c r="M215" s="26"/>
      <c r="N215" s="26"/>
      <c r="O215" s="26"/>
      <c r="P215" s="26"/>
      <c r="Q215" s="26"/>
    </row>
    <row collapsed="false" customFormat="false" customHeight="false" hidden="false" ht="12.75" outlineLevel="0" r="216">
      <c r="A216" s="26" t="s">
        <v>1215</v>
      </c>
      <c r="B216" s="26" t="s">
        <v>1215</v>
      </c>
      <c r="C216" s="37" t="s">
        <v>1216</v>
      </c>
      <c r="D216" s="53" t="s">
        <v>1217</v>
      </c>
      <c r="E216" s="55" t="s">
        <v>1218</v>
      </c>
      <c r="F216" s="26" t="s">
        <v>1219</v>
      </c>
      <c r="G216" s="26"/>
      <c r="H216" s="46" t="n">
        <f aca="false">COUNTIF(PROJECT!F2:F100, "*ZAF*")</f>
        <v>0</v>
      </c>
      <c r="I216" s="26"/>
      <c r="J216" s="26"/>
      <c r="K216" s="26"/>
      <c r="L216" s="26"/>
      <c r="M216" s="26"/>
      <c r="N216" s="26"/>
      <c r="O216" s="26"/>
      <c r="P216" s="26"/>
      <c r="Q216" s="26"/>
    </row>
    <row collapsed="false" customFormat="false" customHeight="false" hidden="false" ht="12.75" outlineLevel="0" r="217">
      <c r="A217" s="26" t="s">
        <v>1220</v>
      </c>
      <c r="B217" s="26" t="s">
        <v>1221</v>
      </c>
      <c r="C217" s="46" t="s">
        <v>1195</v>
      </c>
      <c r="D217" s="53" t="s">
        <v>1222</v>
      </c>
      <c r="E217" s="26" t="s">
        <v>1223</v>
      </c>
      <c r="F217" s="26" t="s">
        <v>1224</v>
      </c>
      <c r="G217" s="26"/>
      <c r="H217" s="46" t="n">
        <f aca="false">COUNTIF(PROJECT!F2:F100, "*SGS*")</f>
        <v>0</v>
      </c>
      <c r="I217" s="26"/>
      <c r="J217" s="26"/>
      <c r="K217" s="26"/>
      <c r="L217" s="26"/>
      <c r="M217" s="26"/>
      <c r="N217" s="26"/>
      <c r="O217" s="26"/>
      <c r="P217" s="26"/>
      <c r="Q217" s="26"/>
    </row>
    <row collapsed="false" customFormat="false" customHeight="false" hidden="false" ht="12.75" outlineLevel="0" r="218">
      <c r="A218" s="26" t="s">
        <v>1225</v>
      </c>
      <c r="B218" s="26" t="s">
        <v>1225</v>
      </c>
      <c r="C218" s="37" t="s">
        <v>1226</v>
      </c>
      <c r="D218" s="53" t="s">
        <v>1227</v>
      </c>
      <c r="E218" s="26" t="s">
        <v>1228</v>
      </c>
      <c r="F218" s="26" t="s">
        <v>1229</v>
      </c>
      <c r="G218" s="26"/>
      <c r="H218" s="46" t="n">
        <f aca="false">COUNTIF(PROJECT!F2:F100, "*SSD*")</f>
        <v>0</v>
      </c>
      <c r="I218" s="26"/>
      <c r="J218" s="26"/>
      <c r="K218" s="26"/>
      <c r="L218" s="26"/>
      <c r="M218" s="26"/>
      <c r="N218" s="26"/>
      <c r="O218" s="26"/>
      <c r="P218" s="26"/>
      <c r="Q218" s="26"/>
    </row>
    <row collapsed="false" customFormat="false" customHeight="false" hidden="false" ht="12.75" outlineLevel="0" r="219">
      <c r="A219" s="26" t="s">
        <v>1230</v>
      </c>
      <c r="B219" s="26" t="s">
        <v>1230</v>
      </c>
      <c r="C219" s="37" t="s">
        <v>1231</v>
      </c>
      <c r="D219" s="53" t="s">
        <v>1232</v>
      </c>
      <c r="E219" s="55" t="s">
        <v>1233</v>
      </c>
      <c r="F219" s="26" t="s">
        <v>574</v>
      </c>
      <c r="G219" s="26"/>
      <c r="H219" s="46" t="n">
        <f aca="false">COUNTIF(PROJECT!F2:F100, "*ESP*")</f>
        <v>0</v>
      </c>
      <c r="I219" s="26"/>
      <c r="J219" s="26"/>
      <c r="K219" s="26"/>
      <c r="L219" s="26"/>
      <c r="M219" s="26"/>
      <c r="N219" s="26"/>
      <c r="O219" s="26"/>
      <c r="P219" s="26"/>
      <c r="Q219" s="26"/>
    </row>
    <row collapsed="false" customFormat="false" customHeight="false" hidden="false" ht="12.75" outlineLevel="0" r="220">
      <c r="A220" s="26" t="s">
        <v>1234</v>
      </c>
      <c r="B220" s="26" t="s">
        <v>1234</v>
      </c>
      <c r="C220" s="46" t="s">
        <v>1085</v>
      </c>
      <c r="D220" s="54"/>
      <c r="E220" s="54"/>
      <c r="F220" s="26" t="s">
        <v>1235</v>
      </c>
      <c r="G220" s="26"/>
      <c r="H220" s="57"/>
      <c r="I220" s="26"/>
      <c r="J220" s="26"/>
      <c r="K220" s="26"/>
      <c r="L220" s="26"/>
      <c r="M220" s="26"/>
      <c r="N220" s="26"/>
      <c r="O220" s="26"/>
      <c r="P220" s="26"/>
      <c r="Q220" s="26"/>
    </row>
    <row collapsed="false" customFormat="false" customHeight="false" hidden="false" ht="12.75" outlineLevel="0" r="221">
      <c r="A221" s="26" t="s">
        <v>1236</v>
      </c>
      <c r="B221" s="26" t="s">
        <v>1236</v>
      </c>
      <c r="C221" s="37" t="s">
        <v>1237</v>
      </c>
      <c r="D221" s="53" t="s">
        <v>1238</v>
      </c>
      <c r="E221" s="55" t="s">
        <v>1239</v>
      </c>
      <c r="F221" s="26" t="s">
        <v>1240</v>
      </c>
      <c r="G221" s="26"/>
      <c r="H221" s="46" t="n">
        <f aca="false">COUNTIF(PROJECT!F2:F100, "*LKA*")</f>
        <v>0</v>
      </c>
      <c r="I221" s="26"/>
      <c r="J221" s="26"/>
      <c r="K221" s="26"/>
      <c r="L221" s="26"/>
      <c r="M221" s="26"/>
      <c r="N221" s="26"/>
      <c r="O221" s="26"/>
      <c r="P221" s="26"/>
      <c r="Q221" s="26"/>
    </row>
    <row collapsed="false" customFormat="false" customHeight="false" hidden="false" ht="12.75" outlineLevel="0" r="222">
      <c r="A222" s="55" t="s">
        <v>1241</v>
      </c>
      <c r="B222" s="55" t="s">
        <v>1242</v>
      </c>
      <c r="C222" s="37" t="s">
        <v>1243</v>
      </c>
      <c r="D222" s="56" t="s">
        <v>1244</v>
      </c>
      <c r="E222" s="55" t="s">
        <v>1245</v>
      </c>
      <c r="F222" s="55" t="s">
        <v>1243</v>
      </c>
      <c r="G222" s="55"/>
      <c r="H222" s="37" t="n">
        <f aca="false">COUNTIF(PROJECT!F2:F100, "*SHN*")</f>
        <v>0</v>
      </c>
      <c r="I222" s="55"/>
      <c r="J222" s="55"/>
      <c r="K222" s="55"/>
      <c r="L222" s="55"/>
      <c r="M222" s="55"/>
      <c r="N222" s="55"/>
      <c r="O222" s="55"/>
      <c r="P222" s="55"/>
      <c r="Q222" s="55"/>
    </row>
    <row collapsed="false" customFormat="false" customHeight="false" hidden="false" ht="12.75" outlineLevel="0" r="223">
      <c r="A223" s="55" t="s">
        <v>1246</v>
      </c>
      <c r="B223" s="55" t="s">
        <v>1247</v>
      </c>
      <c r="C223" s="37" t="s">
        <v>1183</v>
      </c>
      <c r="D223" s="56" t="s">
        <v>1248</v>
      </c>
      <c r="E223" s="55" t="s">
        <v>1249</v>
      </c>
      <c r="F223" s="55" t="s">
        <v>828</v>
      </c>
      <c r="G223" s="55"/>
      <c r="H223" s="37" t="n">
        <f aca="false">COUNTIF(PROJECT!F2:F100, "*KNA*")</f>
        <v>0</v>
      </c>
      <c r="I223" s="55"/>
      <c r="J223" s="55"/>
      <c r="K223" s="55"/>
      <c r="L223" s="55"/>
      <c r="M223" s="55"/>
      <c r="N223" s="55"/>
      <c r="O223" s="55"/>
      <c r="P223" s="55"/>
      <c r="Q223" s="55"/>
    </row>
    <row collapsed="false" customFormat="false" customHeight="false" hidden="false" ht="12.75" outlineLevel="0" r="224">
      <c r="A224" s="55" t="s">
        <v>1250</v>
      </c>
      <c r="B224" s="55" t="s">
        <v>1251</v>
      </c>
      <c r="C224" s="37" t="s">
        <v>1165</v>
      </c>
      <c r="D224" s="56" t="s">
        <v>1252</v>
      </c>
      <c r="E224" s="55" t="s">
        <v>1253</v>
      </c>
      <c r="F224" s="55" t="s">
        <v>1254</v>
      </c>
      <c r="G224" s="55"/>
      <c r="H224" s="37" t="n">
        <f aca="false">COUNTIF(PROJECT!F2:F100, "*LCA*")</f>
        <v>0</v>
      </c>
      <c r="I224" s="55"/>
      <c r="J224" s="55"/>
      <c r="K224" s="55"/>
      <c r="L224" s="55"/>
      <c r="M224" s="55"/>
      <c r="N224" s="55"/>
      <c r="O224" s="55"/>
      <c r="P224" s="55"/>
      <c r="Q224" s="55"/>
    </row>
    <row collapsed="false" customFormat="false" customHeight="false" hidden="false" ht="12.75" outlineLevel="0" r="225">
      <c r="A225" s="55" t="s">
        <v>1255</v>
      </c>
      <c r="B225" s="55" t="s">
        <v>1256</v>
      </c>
      <c r="C225" s="37" t="s">
        <v>1210</v>
      </c>
      <c r="D225" s="56" t="s">
        <v>1257</v>
      </c>
      <c r="E225" s="55" t="s">
        <v>1258</v>
      </c>
      <c r="F225" s="55" t="s">
        <v>1077</v>
      </c>
      <c r="G225" s="55"/>
      <c r="H225" s="37" t="n">
        <f aca="false">COUNTIF(PROJECT!F2:F100, "*SPM*")</f>
        <v>0</v>
      </c>
      <c r="I225" s="55"/>
      <c r="J225" s="55"/>
      <c r="K225" s="55"/>
      <c r="L225" s="55"/>
      <c r="M225" s="55"/>
      <c r="N225" s="55"/>
      <c r="O225" s="55"/>
      <c r="P225" s="55"/>
      <c r="Q225" s="55"/>
    </row>
    <row collapsed="false" customFormat="false" customHeight="false" hidden="false" ht="12.75" outlineLevel="0" r="226">
      <c r="A226" s="55" t="s">
        <v>1259</v>
      </c>
      <c r="B226" s="55" t="s">
        <v>1260</v>
      </c>
      <c r="C226" s="37" t="s">
        <v>1261</v>
      </c>
      <c r="D226" s="56" t="s">
        <v>1262</v>
      </c>
      <c r="E226" s="55" t="s">
        <v>1263</v>
      </c>
      <c r="F226" s="55" t="s">
        <v>1261</v>
      </c>
      <c r="G226" s="55"/>
      <c r="H226" s="37" t="n">
        <f aca="false">COUNTIF(PROJECT!F2:F100, "*VCT*")</f>
        <v>0</v>
      </c>
      <c r="I226" s="55"/>
      <c r="J226" s="55"/>
      <c r="K226" s="55"/>
      <c r="L226" s="55"/>
      <c r="M226" s="55"/>
      <c r="N226" s="55"/>
      <c r="O226" s="55"/>
      <c r="P226" s="55"/>
      <c r="Q226" s="55"/>
    </row>
    <row collapsed="false" customFormat="false" customHeight="false" hidden="false" ht="12.75" outlineLevel="0" r="227">
      <c r="A227" s="26" t="s">
        <v>1264</v>
      </c>
      <c r="B227" s="26" t="s">
        <v>1264</v>
      </c>
      <c r="C227" s="46" t="s">
        <v>1265</v>
      </c>
      <c r="D227" s="53" t="s">
        <v>1266</v>
      </c>
      <c r="E227" s="26" t="s">
        <v>1267</v>
      </c>
      <c r="F227" s="26" t="s">
        <v>1268</v>
      </c>
      <c r="G227" s="26"/>
      <c r="H227" s="46" t="n">
        <f aca="false">COUNTIF(PROJECT!F2:F100, "*SDN*")</f>
        <v>0</v>
      </c>
      <c r="I227" s="26"/>
      <c r="J227" s="26"/>
      <c r="K227" s="26"/>
      <c r="L227" s="26"/>
      <c r="M227" s="26"/>
      <c r="N227" s="26"/>
      <c r="O227" s="26"/>
      <c r="P227" s="26"/>
      <c r="Q227" s="26"/>
    </row>
    <row collapsed="false" customFormat="false" customHeight="false" hidden="false" ht="12.75" outlineLevel="0" r="228">
      <c r="A228" s="26" t="s">
        <v>1269</v>
      </c>
      <c r="B228" s="26" t="s">
        <v>1269</v>
      </c>
      <c r="C228" s="37" t="s">
        <v>1270</v>
      </c>
      <c r="D228" s="53" t="s">
        <v>1271</v>
      </c>
      <c r="E228" s="55" t="s">
        <v>1272</v>
      </c>
      <c r="F228" s="26" t="s">
        <v>1176</v>
      </c>
      <c r="G228" s="26"/>
      <c r="H228" s="46" t="n">
        <f aca="false">COUNTIF(PROJECT!F2:F100, "*SUR*")</f>
        <v>0</v>
      </c>
      <c r="I228" s="26"/>
      <c r="J228" s="26"/>
      <c r="K228" s="26"/>
      <c r="L228" s="26"/>
      <c r="M228" s="26"/>
      <c r="N228" s="26"/>
      <c r="O228" s="26"/>
      <c r="P228" s="26"/>
      <c r="Q228" s="26"/>
    </row>
    <row collapsed="false" customFormat="false" customHeight="false" hidden="false" ht="12.75" outlineLevel="0" r="229">
      <c r="A229" s="55" t="s">
        <v>1273</v>
      </c>
      <c r="B229" s="55" t="s">
        <v>1274</v>
      </c>
      <c r="C229" s="37" t="s">
        <v>577</v>
      </c>
      <c r="D229" s="53" t="s">
        <v>783</v>
      </c>
      <c r="E229" s="55" t="s">
        <v>784</v>
      </c>
      <c r="F229" s="26" t="s">
        <v>785</v>
      </c>
      <c r="G229" s="26" t="s">
        <v>1275</v>
      </c>
      <c r="H229" s="46" t="n">
        <f aca="false">COUNTIF(PROJECT!F2:F100, "*SJM*")</f>
        <v>0</v>
      </c>
      <c r="I229" s="26"/>
      <c r="J229" s="26"/>
      <c r="K229" s="26"/>
      <c r="L229" s="26"/>
      <c r="M229" s="26"/>
      <c r="N229" s="26"/>
      <c r="O229" s="26"/>
      <c r="P229" s="26"/>
      <c r="Q229" s="26"/>
    </row>
    <row collapsed="false" customFormat="false" customHeight="false" hidden="false" ht="12.75" outlineLevel="0" r="230">
      <c r="A230" s="26" t="s">
        <v>1276</v>
      </c>
      <c r="B230" s="26" t="s">
        <v>1276</v>
      </c>
      <c r="C230" s="46" t="s">
        <v>1277</v>
      </c>
      <c r="D230" s="53" t="s">
        <v>1278</v>
      </c>
      <c r="E230" s="26" t="s">
        <v>1279</v>
      </c>
      <c r="F230" s="26" t="s">
        <v>1280</v>
      </c>
      <c r="G230" s="26"/>
      <c r="H230" s="46" t="n">
        <f aca="false">COUNTIF(PROJECT!F2:F100, "*SWZ*")</f>
        <v>0</v>
      </c>
      <c r="I230" s="26"/>
      <c r="J230" s="26"/>
      <c r="K230" s="26"/>
      <c r="L230" s="26"/>
      <c r="M230" s="26"/>
      <c r="N230" s="26"/>
      <c r="O230" s="26"/>
      <c r="P230" s="26"/>
      <c r="Q230" s="26"/>
    </row>
    <row collapsed="false" customFormat="false" customHeight="false" hidden="false" ht="12.75" outlineLevel="0" r="231">
      <c r="A231" s="26" t="s">
        <v>1281</v>
      </c>
      <c r="B231" s="26" t="s">
        <v>1281</v>
      </c>
      <c r="C231" s="46" t="s">
        <v>1282</v>
      </c>
      <c r="D231" s="53" t="s">
        <v>1283</v>
      </c>
      <c r="E231" s="26" t="s">
        <v>1284</v>
      </c>
      <c r="F231" s="26" t="s">
        <v>1180</v>
      </c>
      <c r="G231" s="26"/>
      <c r="H231" s="46" t="n">
        <f aca="false">COUNTIF(PROJECT!F2:F100, "*SWE*")</f>
        <v>0</v>
      </c>
      <c r="I231" s="26"/>
      <c r="J231" s="26"/>
      <c r="K231" s="26"/>
      <c r="L231" s="26"/>
      <c r="M231" s="26"/>
      <c r="N231" s="26"/>
      <c r="O231" s="26"/>
      <c r="P231" s="26"/>
      <c r="Q231" s="26"/>
    </row>
    <row collapsed="false" customFormat="false" customHeight="false" hidden="false" ht="12.75" outlineLevel="0" r="232">
      <c r="A232" s="55" t="s">
        <v>1285</v>
      </c>
      <c r="B232" s="26" t="s">
        <v>1285</v>
      </c>
      <c r="C232" s="37" t="s">
        <v>1280</v>
      </c>
      <c r="D232" s="53" t="s">
        <v>1286</v>
      </c>
      <c r="E232" s="55" t="s">
        <v>1287</v>
      </c>
      <c r="F232" s="26" t="s">
        <v>479</v>
      </c>
      <c r="G232" s="26"/>
      <c r="H232" s="46" t="n">
        <f aca="false">COUNTIF(PROJECT!F2:F100, "*CHE*")</f>
        <v>0</v>
      </c>
      <c r="I232" s="26"/>
      <c r="J232" s="26"/>
      <c r="K232" s="26"/>
      <c r="L232" s="26"/>
      <c r="M232" s="26"/>
      <c r="N232" s="26"/>
      <c r="O232" s="26"/>
      <c r="P232" s="26"/>
      <c r="Q232" s="26"/>
    </row>
    <row collapsed="false" customFormat="false" customHeight="false" hidden="false" ht="12.75" outlineLevel="0" r="233">
      <c r="A233" s="55" t="s">
        <v>1288</v>
      </c>
      <c r="B233" s="26" t="s">
        <v>1289</v>
      </c>
      <c r="C233" s="46" t="s">
        <v>1290</v>
      </c>
      <c r="D233" s="53" t="s">
        <v>1291</v>
      </c>
      <c r="E233" s="26" t="s">
        <v>1292</v>
      </c>
      <c r="F233" s="26" t="s">
        <v>1290</v>
      </c>
      <c r="G233" s="26"/>
      <c r="H233" s="46" t="n">
        <f aca="false">COUNTIF(PROJECT!F2:F100, "*SYR*")</f>
        <v>0</v>
      </c>
      <c r="I233" s="26"/>
      <c r="J233" s="26"/>
      <c r="K233" s="26"/>
      <c r="L233" s="26"/>
      <c r="M233" s="26"/>
      <c r="N233" s="26"/>
      <c r="O233" s="26"/>
      <c r="P233" s="26"/>
      <c r="Q233" s="26"/>
    </row>
    <row collapsed="false" customFormat="false" customHeight="false" hidden="false" ht="12.75" outlineLevel="0" r="234">
      <c r="A234" s="55" t="s">
        <v>1293</v>
      </c>
      <c r="B234" s="26" t="s">
        <v>1294</v>
      </c>
      <c r="C234" s="46" t="s">
        <v>1295</v>
      </c>
      <c r="D234" s="53" t="s">
        <v>1296</v>
      </c>
      <c r="E234" s="26" t="s">
        <v>1297</v>
      </c>
      <c r="F234" s="26" t="s">
        <v>1295</v>
      </c>
      <c r="G234" s="26"/>
      <c r="H234" s="46" t="n">
        <f aca="false">COUNTIF(PROJECT!F2:F100, "*TWN*")</f>
        <v>0</v>
      </c>
      <c r="I234" s="26"/>
      <c r="J234" s="26"/>
      <c r="K234" s="26"/>
      <c r="L234" s="26"/>
      <c r="M234" s="26"/>
      <c r="N234" s="26"/>
      <c r="O234" s="26"/>
      <c r="P234" s="26"/>
      <c r="Q234" s="26"/>
    </row>
    <row collapsed="false" customFormat="false" customHeight="false" hidden="false" ht="12.75" outlineLevel="0" r="235">
      <c r="A235" s="55" t="s">
        <v>1298</v>
      </c>
      <c r="B235" s="26" t="s">
        <v>1298</v>
      </c>
      <c r="C235" s="46" t="s">
        <v>1299</v>
      </c>
      <c r="D235" s="53" t="s">
        <v>1300</v>
      </c>
      <c r="E235" s="26" t="s">
        <v>1301</v>
      </c>
      <c r="F235" s="26" t="s">
        <v>1302</v>
      </c>
      <c r="G235" s="26"/>
      <c r="H235" s="46" t="n">
        <f aca="false">COUNTIF(PROJECT!F2:F100, "*TJK*")</f>
        <v>0</v>
      </c>
      <c r="I235" s="26"/>
      <c r="J235" s="26"/>
      <c r="K235" s="26"/>
      <c r="L235" s="26"/>
      <c r="M235" s="26"/>
      <c r="N235" s="26"/>
      <c r="O235" s="26"/>
      <c r="P235" s="26"/>
      <c r="Q235" s="26"/>
    </row>
    <row collapsed="false" customFormat="false" customHeight="false" hidden="false" ht="12.75" outlineLevel="0" r="236">
      <c r="A236" s="55" t="s">
        <v>1303</v>
      </c>
      <c r="B236" s="26" t="s">
        <v>1304</v>
      </c>
      <c r="C236" s="46" t="s">
        <v>1305</v>
      </c>
      <c r="D236" s="53" t="s">
        <v>1306</v>
      </c>
      <c r="E236" s="26" t="s">
        <v>1307</v>
      </c>
      <c r="F236" s="26" t="s">
        <v>1305</v>
      </c>
      <c r="G236" s="26"/>
      <c r="H236" s="46" t="n">
        <f aca="false">COUNTIF(PROJECT!F2:F100, "*TZA*")</f>
        <v>0</v>
      </c>
      <c r="I236" s="26"/>
      <c r="J236" s="26"/>
      <c r="K236" s="26"/>
      <c r="L236" s="26"/>
      <c r="M236" s="26"/>
      <c r="N236" s="26"/>
      <c r="O236" s="26"/>
      <c r="P236" s="26"/>
      <c r="Q236" s="26"/>
    </row>
    <row collapsed="false" customFormat="false" customHeight="false" hidden="false" ht="12.75" outlineLevel="0" r="237">
      <c r="A237" s="26" t="s">
        <v>1308</v>
      </c>
      <c r="B237" s="26" t="s">
        <v>1308</v>
      </c>
      <c r="C237" s="46" t="s">
        <v>1309</v>
      </c>
      <c r="D237" s="53" t="s">
        <v>1310</v>
      </c>
      <c r="E237" s="26" t="s">
        <v>1311</v>
      </c>
      <c r="F237" s="26" t="s">
        <v>1309</v>
      </c>
      <c r="G237" s="26"/>
      <c r="H237" s="46" t="n">
        <f aca="false">COUNTIF(PROJECT!F2:F100, "*THA*")</f>
        <v>0</v>
      </c>
      <c r="I237" s="26"/>
      <c r="J237" s="26"/>
      <c r="K237" s="26"/>
      <c r="L237" s="26"/>
      <c r="M237" s="26"/>
      <c r="N237" s="26"/>
      <c r="O237" s="26"/>
      <c r="P237" s="26"/>
      <c r="Q237" s="26"/>
    </row>
    <row collapsed="false" customFormat="false" customHeight="false" hidden="false" ht="12.75" outlineLevel="0" r="238">
      <c r="A238" s="26" t="s">
        <v>1312</v>
      </c>
      <c r="B238" s="26" t="s">
        <v>1313</v>
      </c>
      <c r="C238" s="46" t="s">
        <v>438</v>
      </c>
      <c r="D238" s="53" t="s">
        <v>1314</v>
      </c>
      <c r="E238" s="26" t="s">
        <v>1315</v>
      </c>
      <c r="F238" s="26" t="s">
        <v>1316</v>
      </c>
      <c r="G238" s="26"/>
      <c r="H238" s="46" t="n">
        <f aca="false">COUNTIF(PROJECT!F2:F100, "*BHS*")</f>
        <v>0</v>
      </c>
      <c r="I238" s="26"/>
      <c r="J238" s="26"/>
      <c r="K238" s="26"/>
      <c r="L238" s="26"/>
      <c r="M238" s="26"/>
      <c r="N238" s="26"/>
      <c r="O238" s="26"/>
      <c r="P238" s="26"/>
      <c r="Q238" s="26"/>
    </row>
    <row collapsed="false" customFormat="false" customHeight="false" hidden="false" ht="12.75" outlineLevel="0" r="239">
      <c r="A239" s="26" t="s">
        <v>1317</v>
      </c>
      <c r="B239" s="26" t="s">
        <v>1318</v>
      </c>
      <c r="C239" s="46" t="s">
        <v>1319</v>
      </c>
      <c r="D239" s="53" t="s">
        <v>1320</v>
      </c>
      <c r="E239" s="26" t="s">
        <v>1321</v>
      </c>
      <c r="F239" s="26" t="s">
        <v>1322</v>
      </c>
      <c r="G239" s="26"/>
      <c r="H239" s="46" t="n">
        <f aca="false">COUNTIF(PROJECT!F2:F100, "*TLS*")</f>
        <v>0</v>
      </c>
      <c r="I239" s="26"/>
      <c r="J239" s="26"/>
      <c r="K239" s="26"/>
      <c r="L239" s="26"/>
      <c r="M239" s="26"/>
      <c r="N239" s="26"/>
      <c r="O239" s="26"/>
      <c r="P239" s="26"/>
      <c r="Q239" s="26"/>
    </row>
    <row collapsed="false" customFormat="false" customHeight="false" hidden="false" ht="12.75" outlineLevel="0" r="240">
      <c r="A240" s="26" t="s">
        <v>1323</v>
      </c>
      <c r="B240" s="26" t="s">
        <v>1323</v>
      </c>
      <c r="C240" s="46" t="s">
        <v>1324</v>
      </c>
      <c r="D240" s="53" t="s">
        <v>1325</v>
      </c>
      <c r="E240" s="26" t="s">
        <v>1326</v>
      </c>
      <c r="F240" s="26" t="s">
        <v>1327</v>
      </c>
      <c r="G240" s="26"/>
      <c r="H240" s="46" t="n">
        <f aca="false">COUNTIF(PROJECT!F2:F100, "*TGO*")</f>
        <v>0</v>
      </c>
      <c r="I240" s="26"/>
      <c r="J240" s="26"/>
      <c r="K240" s="26"/>
      <c r="L240" s="26"/>
      <c r="M240" s="26"/>
      <c r="N240" s="26"/>
      <c r="O240" s="26"/>
      <c r="P240" s="26"/>
      <c r="Q240" s="26"/>
    </row>
    <row collapsed="false" customFormat="false" customHeight="false" hidden="false" ht="12.75" outlineLevel="0" r="241">
      <c r="A241" s="26" t="s">
        <v>1328</v>
      </c>
      <c r="B241" s="26" t="s">
        <v>1328</v>
      </c>
      <c r="C241" s="46" t="s">
        <v>1322</v>
      </c>
      <c r="D241" s="53" t="s">
        <v>1329</v>
      </c>
      <c r="E241" s="26" t="s">
        <v>1330</v>
      </c>
      <c r="F241" s="26" t="s">
        <v>1331</v>
      </c>
      <c r="G241" s="26"/>
      <c r="H241" s="46" t="n">
        <f aca="false">COUNTIF(PROJECT!F2:F100, "*TKL*")</f>
        <v>0</v>
      </c>
      <c r="I241" s="26"/>
      <c r="J241" s="26"/>
      <c r="K241" s="26"/>
      <c r="L241" s="26"/>
      <c r="M241" s="26"/>
      <c r="N241" s="26"/>
      <c r="O241" s="26"/>
      <c r="P241" s="26"/>
      <c r="Q241" s="26"/>
    </row>
    <row collapsed="false" customFormat="false" customHeight="false" hidden="false" ht="12.75" outlineLevel="0" r="242">
      <c r="A242" s="26" t="s">
        <v>1332</v>
      </c>
      <c r="B242" s="26" t="s">
        <v>1332</v>
      </c>
      <c r="C242" s="46" t="s">
        <v>1333</v>
      </c>
      <c r="D242" s="53" t="s">
        <v>1334</v>
      </c>
      <c r="E242" s="26" t="s">
        <v>1335</v>
      </c>
      <c r="F242" s="26" t="s">
        <v>1324</v>
      </c>
      <c r="G242" s="26"/>
      <c r="H242" s="46" t="n">
        <f aca="false">COUNTIF(PROJECT!F2:F100, "*TON*")</f>
        <v>0</v>
      </c>
      <c r="I242" s="26"/>
      <c r="J242" s="26"/>
      <c r="K242" s="26"/>
      <c r="L242" s="26"/>
      <c r="M242" s="26"/>
      <c r="N242" s="26"/>
      <c r="O242" s="26"/>
      <c r="P242" s="26"/>
      <c r="Q242" s="26"/>
    </row>
    <row collapsed="false" customFormat="false" customHeight="false" hidden="false" ht="12.75" outlineLevel="0" r="243">
      <c r="A243" s="26" t="s">
        <v>1336</v>
      </c>
      <c r="B243" s="26" t="s">
        <v>1337</v>
      </c>
      <c r="C243" s="46" t="s">
        <v>472</v>
      </c>
      <c r="D243" s="53" t="s">
        <v>1338</v>
      </c>
      <c r="E243" s="26" t="s">
        <v>1339</v>
      </c>
      <c r="F243" s="26" t="s">
        <v>1319</v>
      </c>
      <c r="G243" s="26"/>
      <c r="H243" s="46" t="n">
        <f aca="false">COUNTIF(PROJECT!F2:F100, "*TTO*")</f>
        <v>0</v>
      </c>
      <c r="I243" s="26"/>
      <c r="J243" s="26"/>
      <c r="K243" s="26"/>
      <c r="L243" s="26"/>
      <c r="M243" s="26"/>
      <c r="N243" s="26"/>
      <c r="O243" s="26"/>
      <c r="P243" s="26"/>
      <c r="Q243" s="26"/>
    </row>
    <row collapsed="false" customFormat="false" customHeight="false" hidden="false" ht="12.75" outlineLevel="0" r="244">
      <c r="A244" s="26" t="s">
        <v>1340</v>
      </c>
      <c r="B244" s="26" t="s">
        <v>1340</v>
      </c>
      <c r="C244" s="46" t="s">
        <v>1341</v>
      </c>
      <c r="D244" s="53" t="s">
        <v>1342</v>
      </c>
      <c r="E244" s="26" t="s">
        <v>1343</v>
      </c>
      <c r="F244" s="26" t="s">
        <v>1333</v>
      </c>
      <c r="G244" s="26"/>
      <c r="H244" s="46" t="n">
        <f aca="false">COUNTIF(PROJECT!F2:F100, "*TUN*")</f>
        <v>0</v>
      </c>
      <c r="I244" s="26"/>
      <c r="J244" s="26"/>
      <c r="K244" s="26"/>
      <c r="L244" s="26"/>
      <c r="M244" s="26"/>
      <c r="N244" s="26"/>
      <c r="O244" s="26"/>
      <c r="P244" s="26"/>
      <c r="Q244" s="26"/>
    </row>
    <row collapsed="false" customFormat="false" customHeight="false" hidden="false" ht="12.75" outlineLevel="0" r="245">
      <c r="A245" s="26" t="s">
        <v>1344</v>
      </c>
      <c r="B245" s="26" t="s">
        <v>1344</v>
      </c>
      <c r="C245" s="46" t="s">
        <v>1345</v>
      </c>
      <c r="D245" s="53" t="s">
        <v>1346</v>
      </c>
      <c r="E245" s="26" t="s">
        <v>1347</v>
      </c>
      <c r="F245" s="26" t="s">
        <v>1348</v>
      </c>
      <c r="G245" s="26"/>
      <c r="H245" s="46" t="n">
        <f aca="false">COUNTIF(PROJECT!F2:F100, "*TUR*")</f>
        <v>0</v>
      </c>
      <c r="I245" s="26"/>
      <c r="J245" s="26"/>
      <c r="K245" s="26"/>
      <c r="L245" s="26"/>
      <c r="M245" s="26"/>
      <c r="N245" s="26"/>
      <c r="O245" s="26"/>
      <c r="P245" s="26"/>
      <c r="Q245" s="26"/>
    </row>
    <row collapsed="false" customFormat="false" customHeight="false" hidden="false" ht="12.75" outlineLevel="0" r="246">
      <c r="A246" s="26" t="s">
        <v>1349</v>
      </c>
      <c r="B246" s="26" t="s">
        <v>1349</v>
      </c>
      <c r="C246" s="46" t="s">
        <v>1350</v>
      </c>
      <c r="D246" s="53" t="s">
        <v>1351</v>
      </c>
      <c r="E246" s="26" t="s">
        <v>1352</v>
      </c>
      <c r="F246" s="26" t="s">
        <v>1353</v>
      </c>
      <c r="G246" s="26"/>
      <c r="H246" s="46" t="n">
        <f aca="false">COUNTIF(PROJECT!F2:F100, "*TKM*")</f>
        <v>0</v>
      </c>
      <c r="I246" s="26"/>
      <c r="J246" s="26"/>
      <c r="K246" s="26"/>
      <c r="L246" s="26"/>
      <c r="M246" s="26"/>
      <c r="N246" s="26"/>
      <c r="O246" s="26"/>
      <c r="P246" s="26"/>
      <c r="Q246" s="26"/>
    </row>
    <row collapsed="false" customFormat="false" customHeight="false" hidden="false" ht="12.75" outlineLevel="0" r="247">
      <c r="A247" s="26" t="s">
        <v>1354</v>
      </c>
      <c r="B247" s="26" t="s">
        <v>1355</v>
      </c>
      <c r="C247" s="46" t="s">
        <v>1331</v>
      </c>
      <c r="D247" s="53" t="s">
        <v>1356</v>
      </c>
      <c r="E247" s="26" t="s">
        <v>1357</v>
      </c>
      <c r="F247" s="26" t="s">
        <v>1358</v>
      </c>
      <c r="G247" s="26"/>
      <c r="H247" s="46" t="n">
        <f aca="false">COUNTIF(PROJECT!F2:F100, "*TCA*")</f>
        <v>0</v>
      </c>
      <c r="I247" s="26"/>
      <c r="J247" s="26"/>
      <c r="K247" s="26"/>
      <c r="L247" s="26"/>
      <c r="M247" s="26"/>
      <c r="N247" s="26"/>
      <c r="O247" s="26"/>
      <c r="P247" s="26"/>
      <c r="Q247" s="26"/>
    </row>
    <row collapsed="false" customFormat="false" customHeight="false" hidden="false" ht="12.75" outlineLevel="0" r="248">
      <c r="A248" s="26" t="s">
        <v>1359</v>
      </c>
      <c r="B248" s="26" t="s">
        <v>1359</v>
      </c>
      <c r="C248" s="46" t="s">
        <v>1360</v>
      </c>
      <c r="D248" s="53" t="s">
        <v>1361</v>
      </c>
      <c r="E248" s="26" t="s">
        <v>1362</v>
      </c>
      <c r="F248" s="26" t="s">
        <v>1360</v>
      </c>
      <c r="G248" s="26"/>
      <c r="H248" s="46" t="n">
        <f aca="false">COUNTIF(PROJECT!F2:F100, "*TUV*")</f>
        <v>0</v>
      </c>
      <c r="I248" s="26"/>
      <c r="J248" s="26"/>
      <c r="K248" s="26"/>
      <c r="L248" s="26"/>
      <c r="M248" s="26"/>
      <c r="N248" s="26"/>
      <c r="O248" s="26"/>
      <c r="P248" s="26"/>
      <c r="Q248" s="26"/>
    </row>
    <row collapsed="false" customFormat="false" customHeight="false" hidden="false" ht="12.75" outlineLevel="0" r="249">
      <c r="A249" s="26" t="s">
        <v>1363</v>
      </c>
      <c r="B249" s="26" t="s">
        <v>1363</v>
      </c>
      <c r="C249" s="46" t="s">
        <v>1364</v>
      </c>
      <c r="D249" s="53" t="s">
        <v>1365</v>
      </c>
      <c r="E249" s="26" t="s">
        <v>1366</v>
      </c>
      <c r="F249" s="26" t="s">
        <v>1364</v>
      </c>
      <c r="G249" s="26"/>
      <c r="H249" s="46" t="n">
        <f aca="false">COUNTIF(PROJECT!F2:F100, "*UGA*")</f>
        <v>0</v>
      </c>
      <c r="I249" s="26"/>
      <c r="J249" s="26"/>
      <c r="K249" s="26"/>
      <c r="L249" s="26"/>
      <c r="M249" s="26"/>
      <c r="N249" s="26"/>
      <c r="O249" s="26"/>
      <c r="P249" s="26"/>
      <c r="Q249" s="26"/>
    </row>
    <row collapsed="false" customFormat="false" customHeight="false" hidden="false" ht="12.75" outlineLevel="0" r="250">
      <c r="A250" s="26" t="s">
        <v>1367</v>
      </c>
      <c r="B250" s="26" t="s">
        <v>1367</v>
      </c>
      <c r="C250" s="46" t="s">
        <v>1368</v>
      </c>
      <c r="D250" s="53" t="s">
        <v>1369</v>
      </c>
      <c r="E250" s="26" t="s">
        <v>1370</v>
      </c>
      <c r="F250" s="26" t="s">
        <v>1371</v>
      </c>
      <c r="G250" s="26"/>
      <c r="H250" s="46" t="n">
        <f aca="false">COUNTIF(PROJECT!F2:F100, "*UKR*")</f>
        <v>0</v>
      </c>
      <c r="I250" s="26"/>
      <c r="J250" s="26"/>
      <c r="K250" s="26"/>
      <c r="L250" s="26"/>
      <c r="M250" s="26"/>
      <c r="N250" s="26"/>
      <c r="O250" s="26"/>
      <c r="P250" s="26"/>
      <c r="Q250" s="26"/>
    </row>
    <row collapsed="false" customFormat="false" customHeight="false" hidden="false" ht="12.75" outlineLevel="0" r="251">
      <c r="A251" s="26" t="s">
        <v>1372</v>
      </c>
      <c r="B251" s="26" t="s">
        <v>1372</v>
      </c>
      <c r="C251" s="46" t="s">
        <v>1373</v>
      </c>
      <c r="D251" s="53" t="s">
        <v>1374</v>
      </c>
      <c r="E251" s="26" t="s">
        <v>1375</v>
      </c>
      <c r="F251" s="26" t="s">
        <v>1373</v>
      </c>
      <c r="G251" s="26"/>
      <c r="H251" s="46" t="n">
        <f aca="false">COUNTIF(PROJECT!F2:F100, "*ARE*")</f>
        <v>0</v>
      </c>
      <c r="I251" s="26"/>
      <c r="J251" s="26"/>
      <c r="K251" s="26"/>
      <c r="L251" s="26"/>
      <c r="M251" s="26"/>
      <c r="N251" s="26"/>
      <c r="O251" s="26"/>
      <c r="P251" s="26"/>
      <c r="Q251" s="26"/>
    </row>
    <row collapsed="false" customFormat="false" customHeight="false" hidden="false" ht="12.75" outlineLevel="0" r="252">
      <c r="A252" s="26" t="s">
        <v>1376</v>
      </c>
      <c r="B252" s="26" t="s">
        <v>1376</v>
      </c>
      <c r="C252" s="46" t="s">
        <v>1377</v>
      </c>
      <c r="D252" s="53" t="s">
        <v>1378</v>
      </c>
      <c r="E252" s="26" t="s">
        <v>1379</v>
      </c>
      <c r="F252" s="26" t="s">
        <v>635</v>
      </c>
      <c r="G252" s="26"/>
      <c r="H252" s="46" t="n">
        <f aca="false">COUNTIF(PROJECT!F2:F100, "*GBR*")</f>
        <v>0</v>
      </c>
      <c r="I252" s="26"/>
      <c r="J252" s="26"/>
      <c r="K252" s="26"/>
      <c r="L252" s="26"/>
      <c r="M252" s="26"/>
      <c r="N252" s="26"/>
      <c r="O252" s="26"/>
      <c r="P252" s="26"/>
      <c r="Q252" s="26"/>
    </row>
    <row collapsed="false" customFormat="false" customHeight="false" hidden="false" ht="12.75" outlineLevel="0" r="253">
      <c r="A253" s="26" t="s">
        <v>1380</v>
      </c>
      <c r="B253" s="26" t="s">
        <v>1380</v>
      </c>
      <c r="C253" s="46" t="s">
        <v>1381</v>
      </c>
      <c r="D253" s="53" t="s">
        <v>1382</v>
      </c>
      <c r="E253" s="26" t="s">
        <v>1383</v>
      </c>
      <c r="F253" s="26" t="s">
        <v>1381</v>
      </c>
      <c r="G253" s="26"/>
      <c r="H253" s="46" t="n">
        <f aca="false">COUNTIF(PROJECT!F2:F100, "*USA*")</f>
        <v>0</v>
      </c>
      <c r="I253" s="26"/>
      <c r="J253" s="26"/>
      <c r="K253" s="26"/>
      <c r="L253" s="26"/>
      <c r="M253" s="26"/>
      <c r="N253" s="26"/>
      <c r="O253" s="26"/>
      <c r="P253" s="26"/>
      <c r="Q253" s="26"/>
    </row>
    <row collapsed="false" customFormat="false" customHeight="false" hidden="false" ht="12.75" outlineLevel="0" r="254">
      <c r="A254" s="26" t="s">
        <v>357</v>
      </c>
      <c r="B254" s="26" t="s">
        <v>357</v>
      </c>
      <c r="C254" s="46" t="s">
        <v>1384</v>
      </c>
      <c r="D254" s="53" t="s">
        <v>1385</v>
      </c>
      <c r="E254" s="26" t="s">
        <v>1386</v>
      </c>
      <c r="F254" s="26" t="s">
        <v>1384</v>
      </c>
      <c r="G254" s="46" t="s">
        <v>357</v>
      </c>
      <c r="H254" s="46" t="n">
        <f aca="false">COUNTIF(PROJECT!F2:F100, "*UMI*")</f>
        <v>0</v>
      </c>
      <c r="I254" s="26"/>
      <c r="J254" s="26"/>
      <c r="K254" s="26"/>
      <c r="L254" s="26"/>
      <c r="M254" s="26"/>
      <c r="N254" s="26"/>
      <c r="O254" s="26"/>
      <c r="P254" s="26"/>
      <c r="Q254" s="26"/>
    </row>
    <row collapsed="false" customFormat="false" customHeight="false" hidden="false" ht="12.75" outlineLevel="0" r="255">
      <c r="A255" s="26" t="s">
        <v>1387</v>
      </c>
      <c r="B255" s="26" t="s">
        <v>1387</v>
      </c>
      <c r="C255" s="46" t="s">
        <v>1388</v>
      </c>
      <c r="D255" s="53" t="s">
        <v>1389</v>
      </c>
      <c r="E255" s="26" t="s">
        <v>1390</v>
      </c>
      <c r="F255" s="26" t="s">
        <v>1388</v>
      </c>
      <c r="G255" s="26"/>
      <c r="H255" s="46" t="n">
        <f aca="false">COUNTIF(PROJECT!F2:F100, "*URY*")</f>
        <v>0</v>
      </c>
      <c r="I255" s="26"/>
      <c r="J255" s="26"/>
      <c r="K255" s="26"/>
      <c r="L255" s="26"/>
      <c r="M255" s="26"/>
      <c r="N255" s="26"/>
      <c r="O255" s="26"/>
      <c r="P255" s="26"/>
      <c r="Q255" s="26"/>
    </row>
    <row collapsed="false" customFormat="false" customHeight="false" hidden="false" ht="12.75" outlineLevel="0" r="256">
      <c r="A256" s="26" t="s">
        <v>1391</v>
      </c>
      <c r="B256" s="26" t="s">
        <v>1391</v>
      </c>
      <c r="C256" s="46" t="s">
        <v>1392</v>
      </c>
      <c r="D256" s="53" t="s">
        <v>1393</v>
      </c>
      <c r="E256" s="26" t="s">
        <v>1394</v>
      </c>
      <c r="F256" s="26" t="s">
        <v>1392</v>
      </c>
      <c r="G256" s="26"/>
      <c r="H256" s="46" t="n">
        <f aca="false">COUNTIF(PROJECT!F2:F100, "*UZB*")</f>
        <v>0</v>
      </c>
      <c r="I256" s="26"/>
      <c r="J256" s="26"/>
      <c r="K256" s="26"/>
      <c r="L256" s="26"/>
      <c r="M256" s="26"/>
      <c r="N256" s="26"/>
      <c r="O256" s="26"/>
      <c r="P256" s="26"/>
      <c r="Q256" s="26"/>
    </row>
    <row collapsed="false" customFormat="false" customHeight="false" hidden="false" ht="12.75" outlineLevel="0" r="257">
      <c r="A257" s="26" t="s">
        <v>1395</v>
      </c>
      <c r="B257" s="26" t="s">
        <v>1395</v>
      </c>
      <c r="C257" s="46" t="s">
        <v>1396</v>
      </c>
      <c r="D257" s="53" t="s">
        <v>1397</v>
      </c>
      <c r="E257" s="26" t="s">
        <v>1398</v>
      </c>
      <c r="F257" s="26" t="s">
        <v>1399</v>
      </c>
      <c r="G257" s="26"/>
      <c r="H257" s="46" t="n">
        <f aca="false">COUNTIF(PROJECT!F2:F100, "*VUT*")</f>
        <v>0</v>
      </c>
      <c r="I257" s="26"/>
      <c r="J257" s="26"/>
      <c r="K257" s="26"/>
      <c r="L257" s="26"/>
      <c r="M257" s="26"/>
      <c r="N257" s="26"/>
      <c r="O257" s="26"/>
      <c r="P257" s="26"/>
      <c r="Q257" s="26"/>
    </row>
    <row collapsed="false" customFormat="false" customHeight="false" hidden="false" ht="12.75" outlineLevel="0" r="258">
      <c r="A258" s="26" t="s">
        <v>1400</v>
      </c>
      <c r="B258" s="26" t="s">
        <v>1401</v>
      </c>
      <c r="C258" s="46" t="s">
        <v>1402</v>
      </c>
      <c r="D258" s="53" t="s">
        <v>1403</v>
      </c>
      <c r="E258" s="26" t="s">
        <v>1404</v>
      </c>
      <c r="F258" s="26" t="s">
        <v>1405</v>
      </c>
      <c r="G258" s="26"/>
      <c r="H258" s="46" t="n">
        <f aca="false">COUNTIF(PROJECT!F2:F100, "*VAT*")</f>
        <v>0</v>
      </c>
      <c r="I258" s="26"/>
      <c r="J258" s="26"/>
      <c r="K258" s="26"/>
      <c r="L258" s="26"/>
      <c r="M258" s="26"/>
      <c r="N258" s="26"/>
      <c r="O258" s="26"/>
      <c r="P258" s="26"/>
      <c r="Q258" s="26"/>
    </row>
    <row collapsed="false" customFormat="false" customHeight="false" hidden="false" ht="12.75" outlineLevel="0" r="259">
      <c r="A259" s="55" t="s">
        <v>1406</v>
      </c>
      <c r="B259" s="26" t="s">
        <v>1407</v>
      </c>
      <c r="C259" s="46" t="s">
        <v>1408</v>
      </c>
      <c r="D259" s="53" t="s">
        <v>1409</v>
      </c>
      <c r="E259" s="26" t="s">
        <v>1410</v>
      </c>
      <c r="F259" s="26" t="s">
        <v>1408</v>
      </c>
      <c r="G259" s="26"/>
      <c r="H259" s="46" t="n">
        <f aca="false">COUNTIF(PROJECT!F2:F100, "*VEN*")</f>
        <v>0</v>
      </c>
      <c r="I259" s="26"/>
      <c r="J259" s="26"/>
      <c r="K259" s="26"/>
      <c r="L259" s="26"/>
      <c r="M259" s="26"/>
      <c r="N259" s="26"/>
      <c r="O259" s="26"/>
      <c r="P259" s="26"/>
      <c r="Q259" s="26"/>
    </row>
    <row collapsed="false" customFormat="false" customHeight="false" hidden="false" ht="12.75" outlineLevel="0" r="260">
      <c r="A260" s="26" t="s">
        <v>1411</v>
      </c>
      <c r="B260" s="26" t="s">
        <v>1412</v>
      </c>
      <c r="C260" s="46" t="s">
        <v>1413</v>
      </c>
      <c r="D260" s="53" t="s">
        <v>1414</v>
      </c>
      <c r="E260" s="26" t="s">
        <v>1415</v>
      </c>
      <c r="F260" s="26" t="s">
        <v>1416</v>
      </c>
      <c r="G260" s="26"/>
      <c r="H260" s="46" t="n">
        <f aca="false">COUNTIF(PROJECT!F2:F100, "*VNM*")</f>
        <v>0</v>
      </c>
      <c r="I260" s="26"/>
      <c r="J260" s="26"/>
      <c r="K260" s="26"/>
      <c r="L260" s="26"/>
      <c r="M260" s="26"/>
      <c r="N260" s="26"/>
      <c r="O260" s="26"/>
      <c r="P260" s="26"/>
      <c r="Q260" s="26"/>
    </row>
    <row collapsed="false" customFormat="false" customHeight="false" hidden="false" ht="12.75" outlineLevel="0" r="261">
      <c r="A261" s="55" t="s">
        <v>1417</v>
      </c>
      <c r="B261" s="55" t="s">
        <v>1417</v>
      </c>
      <c r="C261" s="46" t="s">
        <v>1418</v>
      </c>
      <c r="D261" s="53" t="s">
        <v>1419</v>
      </c>
      <c r="E261" s="26" t="s">
        <v>1420</v>
      </c>
      <c r="F261" s="26" t="s">
        <v>1421</v>
      </c>
      <c r="G261" s="26"/>
      <c r="H261" s="46" t="n">
        <f aca="false">COUNTIF(PROJECT!F2:F100, "*VBG*")</f>
        <v>0</v>
      </c>
      <c r="I261" s="26"/>
      <c r="J261" s="26"/>
      <c r="K261" s="26"/>
      <c r="L261" s="26"/>
      <c r="M261" s="26"/>
      <c r="N261" s="26"/>
      <c r="O261" s="26"/>
      <c r="P261" s="26"/>
      <c r="Q261" s="26"/>
    </row>
    <row collapsed="false" customFormat="false" customHeight="false" hidden="false" ht="12.75" outlineLevel="0" r="262">
      <c r="A262" s="55" t="s">
        <v>1422</v>
      </c>
      <c r="B262" s="55" t="s">
        <v>1422</v>
      </c>
      <c r="C262" s="46" t="s">
        <v>1423</v>
      </c>
      <c r="D262" s="53" t="s">
        <v>1424</v>
      </c>
      <c r="E262" s="26" t="s">
        <v>1425</v>
      </c>
      <c r="F262" s="26" t="s">
        <v>1418</v>
      </c>
      <c r="G262" s="26"/>
      <c r="H262" s="46" t="n">
        <f aca="false">COUNTIF(PROJECT!F2:F100, "*VIR*")</f>
        <v>0</v>
      </c>
      <c r="I262" s="26"/>
      <c r="J262" s="26"/>
      <c r="K262" s="26"/>
      <c r="L262" s="26"/>
      <c r="M262" s="26"/>
      <c r="N262" s="26"/>
      <c r="O262" s="26"/>
      <c r="P262" s="26"/>
      <c r="Q262" s="26"/>
    </row>
    <row collapsed="false" customFormat="false" customHeight="false" hidden="false" ht="12.75" outlineLevel="0" r="263">
      <c r="A263" s="26" t="s">
        <v>1426</v>
      </c>
      <c r="B263" s="26" t="s">
        <v>1427</v>
      </c>
      <c r="C263" s="46" t="s">
        <v>1428</v>
      </c>
      <c r="D263" s="56" t="s">
        <v>1429</v>
      </c>
      <c r="E263" s="54"/>
      <c r="F263" s="26" t="s">
        <v>1430</v>
      </c>
      <c r="G263" s="46" t="s">
        <v>357</v>
      </c>
      <c r="H263" s="57"/>
      <c r="I263" s="26"/>
      <c r="J263" s="26"/>
      <c r="K263" s="26"/>
      <c r="L263" s="26"/>
      <c r="M263" s="26"/>
      <c r="N263" s="26"/>
      <c r="O263" s="26"/>
      <c r="P263" s="26"/>
      <c r="Q263" s="26"/>
    </row>
    <row collapsed="false" customFormat="false" customHeight="false" hidden="false" ht="12.75" outlineLevel="0" r="264">
      <c r="A264" s="26" t="s">
        <v>1431</v>
      </c>
      <c r="B264" s="26" t="s">
        <v>1432</v>
      </c>
      <c r="C264" s="46" t="s">
        <v>1433</v>
      </c>
      <c r="D264" s="53" t="s">
        <v>1434</v>
      </c>
      <c r="E264" s="26" t="s">
        <v>1435</v>
      </c>
      <c r="F264" s="26" t="s">
        <v>1433</v>
      </c>
      <c r="G264" s="26"/>
      <c r="H264" s="46" t="n">
        <f aca="false">COUNTIF(PROJECT!F2:F100, "*WLF*")</f>
        <v>0</v>
      </c>
      <c r="I264" s="26"/>
      <c r="J264" s="26"/>
      <c r="K264" s="26"/>
      <c r="L264" s="26"/>
      <c r="M264" s="26"/>
      <c r="N264" s="26"/>
      <c r="O264" s="26"/>
      <c r="P264" s="26"/>
      <c r="Q264" s="26"/>
    </row>
    <row collapsed="false" customFormat="false" customHeight="false" hidden="false" ht="12.75" outlineLevel="0" r="265">
      <c r="A265" s="26" t="s">
        <v>1436</v>
      </c>
      <c r="B265" s="26" t="s">
        <v>1436</v>
      </c>
      <c r="C265" s="46" t="s">
        <v>1437</v>
      </c>
      <c r="D265" s="53" t="s">
        <v>1070</v>
      </c>
      <c r="E265" s="54"/>
      <c r="F265" s="26"/>
      <c r="G265" s="26"/>
      <c r="H265" s="57" t="n">
        <f aca="false">COUNTIF(PROJECT!F2:F100,"*PSE*")</f>
        <v>0</v>
      </c>
      <c r="I265" s="26"/>
      <c r="J265" s="26"/>
      <c r="K265" s="26"/>
      <c r="L265" s="26"/>
      <c r="M265" s="26"/>
      <c r="N265" s="26"/>
      <c r="O265" s="26"/>
      <c r="P265" s="26"/>
      <c r="Q265" s="26"/>
    </row>
    <row collapsed="false" customFormat="false" customHeight="false" hidden="false" ht="12.75" outlineLevel="0" r="266">
      <c r="A266" s="26" t="s">
        <v>1438</v>
      </c>
      <c r="B266" s="26" t="s">
        <v>1438</v>
      </c>
      <c r="C266" s="37" t="s">
        <v>1439</v>
      </c>
      <c r="D266" s="53" t="s">
        <v>1440</v>
      </c>
      <c r="E266" s="55" t="s">
        <v>1441</v>
      </c>
      <c r="F266" s="26" t="s">
        <v>1442</v>
      </c>
      <c r="G266" s="26"/>
      <c r="H266" s="46" t="n">
        <f aca="false">COUNTIF(PROJECT!F2:F100, "*ESH*")</f>
        <v>0</v>
      </c>
      <c r="I266" s="26"/>
      <c r="J266" s="26"/>
      <c r="K266" s="26"/>
      <c r="L266" s="26"/>
      <c r="M266" s="26"/>
      <c r="N266" s="26"/>
      <c r="O266" s="26"/>
      <c r="P266" s="26"/>
      <c r="Q266" s="26"/>
    </row>
    <row collapsed="false" customFormat="false" customHeight="false" hidden="false" ht="12.75" outlineLevel="0" r="267">
      <c r="A267" s="26" t="s">
        <v>1443</v>
      </c>
      <c r="B267" s="26" t="s">
        <v>1443</v>
      </c>
      <c r="C267" s="46" t="s">
        <v>1444</v>
      </c>
      <c r="D267" s="53" t="s">
        <v>1445</v>
      </c>
      <c r="E267" s="26" t="s">
        <v>1446</v>
      </c>
      <c r="F267" s="26" t="s">
        <v>1447</v>
      </c>
      <c r="G267" s="26"/>
      <c r="H267" s="46" t="n">
        <f aca="false">COUNTIF(PROJECT!F2:F100, "*YEM*")</f>
        <v>0</v>
      </c>
      <c r="I267" s="26"/>
      <c r="J267" s="26"/>
      <c r="K267" s="26"/>
      <c r="L267" s="26"/>
      <c r="M267" s="26"/>
      <c r="N267" s="26"/>
      <c r="O267" s="26"/>
      <c r="P267" s="26"/>
      <c r="Q267" s="26"/>
    </row>
    <row collapsed="false" customFormat="false" customHeight="false" hidden="false" ht="12.75" outlineLevel="0" r="268">
      <c r="A268" s="26" t="s">
        <v>1448</v>
      </c>
      <c r="B268" s="26" t="s">
        <v>1448</v>
      </c>
      <c r="C268" s="46" t="s">
        <v>1219</v>
      </c>
      <c r="D268" s="53" t="s">
        <v>1449</v>
      </c>
      <c r="E268" s="26" t="s">
        <v>1450</v>
      </c>
      <c r="F268" s="26" t="s">
        <v>1451</v>
      </c>
      <c r="G268" s="26"/>
      <c r="H268" s="46" t="n">
        <f aca="false">COUNTIF(PROJECT!F2:F100, "*ZMB*")</f>
        <v>0</v>
      </c>
      <c r="I268" s="26"/>
      <c r="J268" s="26"/>
      <c r="K268" s="26"/>
      <c r="L268" s="26"/>
      <c r="M268" s="26"/>
      <c r="N268" s="26"/>
      <c r="O268" s="26"/>
      <c r="P268" s="26"/>
      <c r="Q268" s="26"/>
    </row>
    <row collapsed="false" customFormat="false" customHeight="false" hidden="false" ht="12.75" outlineLevel="0" r="269">
      <c r="A269" s="26" t="s">
        <v>1452</v>
      </c>
      <c r="B269" s="26" t="s">
        <v>1452</v>
      </c>
      <c r="C269" s="46" t="s">
        <v>1453</v>
      </c>
      <c r="D269" s="53" t="s">
        <v>1454</v>
      </c>
      <c r="E269" s="26" t="s">
        <v>1455</v>
      </c>
      <c r="F269" s="26" t="s">
        <v>1456</v>
      </c>
      <c r="G269" s="26"/>
      <c r="H269" s="46" t="n">
        <f aca="false">COUNTIF(PROJECT!F2:F100, "*ZWE*")</f>
        <v>0</v>
      </c>
      <c r="I269" s="26"/>
      <c r="J269" s="26"/>
      <c r="K269" s="26"/>
      <c r="L269" s="26"/>
      <c r="M269" s="26"/>
      <c r="N269" s="26"/>
      <c r="O269" s="26"/>
      <c r="P269" s="26"/>
      <c r="Q269" s="26"/>
    </row>
    <row collapsed="false" customFormat="false" customHeight="false" hidden="false" ht="12.75" outlineLevel="0" r="270">
      <c r="A270" s="26"/>
      <c r="B270" s="26"/>
      <c r="C270" s="46"/>
      <c r="D270" s="53"/>
      <c r="E270" s="26"/>
      <c r="F270" s="26"/>
      <c r="G270" s="26"/>
      <c r="H270" s="46"/>
      <c r="I270" s="26"/>
      <c r="J270" s="26"/>
      <c r="K270" s="26"/>
      <c r="L270" s="26"/>
      <c r="M270" s="26"/>
      <c r="N270" s="26"/>
      <c r="O270" s="26"/>
      <c r="P270" s="26"/>
      <c r="Q270" s="26"/>
    </row>
    <row collapsed="false" customFormat="false" customHeight="false" hidden="false" ht="12.75" outlineLevel="0" r="271">
      <c r="A271" s="55"/>
      <c r="B271" s="26"/>
      <c r="C271" s="26"/>
      <c r="D271" s="53"/>
      <c r="E271" s="26"/>
      <c r="F271" s="26"/>
      <c r="G271" s="26"/>
      <c r="H271" s="61"/>
      <c r="I271" s="26"/>
      <c r="J271" s="26"/>
      <c r="K271" s="26"/>
      <c r="L271" s="26"/>
      <c r="M271" s="26"/>
      <c r="N271" s="26"/>
      <c r="O271" s="26"/>
      <c r="P271" s="26"/>
      <c r="Q271" s="26"/>
    </row>
    <row collapsed="false" customFormat="false" customHeight="false" hidden="false" ht="12.75" outlineLevel="0" r="272">
      <c r="A272" s="55"/>
      <c r="B272" s="26"/>
      <c r="C272" s="26"/>
      <c r="D272" s="53"/>
      <c r="E272" s="26"/>
      <c r="F272" s="26"/>
      <c r="G272" s="26"/>
      <c r="H272" s="61"/>
      <c r="I272" s="26"/>
      <c r="J272" s="26"/>
      <c r="K272" s="26"/>
      <c r="L272" s="26"/>
      <c r="M272" s="26"/>
      <c r="N272" s="26"/>
      <c r="O272" s="26"/>
      <c r="P272" s="26"/>
      <c r="Q272" s="26"/>
    </row>
    <row collapsed="false" customFormat="false" customHeight="false" hidden="false" ht="12.75" outlineLevel="0" r="273">
      <c r="A273" s="55"/>
      <c r="B273" s="26"/>
      <c r="C273" s="26"/>
      <c r="D273" s="53"/>
      <c r="E273" s="26"/>
      <c r="F273" s="26"/>
      <c r="G273" s="26"/>
      <c r="H273" s="61"/>
      <c r="I273" s="26"/>
      <c r="J273" s="26"/>
      <c r="K273" s="26"/>
      <c r="L273" s="26"/>
      <c r="M273" s="26"/>
      <c r="N273" s="26"/>
      <c r="O273" s="26"/>
      <c r="P273" s="26"/>
      <c r="Q273" s="26"/>
    </row>
    <row collapsed="false" customFormat="false" customHeight="false" hidden="false" ht="12.75" outlineLevel="0" r="274">
      <c r="A274" s="55"/>
      <c r="B274" s="26"/>
      <c r="C274" s="26"/>
      <c r="D274" s="53"/>
      <c r="E274" s="26"/>
      <c r="F274" s="26"/>
      <c r="G274" s="26"/>
      <c r="H274" s="61"/>
      <c r="I274" s="26"/>
      <c r="J274" s="26"/>
      <c r="K274" s="26"/>
      <c r="L274" s="26"/>
      <c r="M274" s="26"/>
      <c r="N274" s="26"/>
      <c r="O274" s="26"/>
      <c r="P274" s="26"/>
      <c r="Q274" s="26"/>
    </row>
    <row collapsed="false" customFormat="false" customHeight="false" hidden="false" ht="12.75" outlineLevel="0" r="275">
      <c r="A275" s="55"/>
      <c r="B275" s="26"/>
      <c r="C275" s="26"/>
      <c r="D275" s="53"/>
      <c r="E275" s="26"/>
      <c r="F275" s="26"/>
      <c r="G275" s="26"/>
      <c r="H275" s="61"/>
      <c r="I275" s="26"/>
      <c r="J275" s="26"/>
      <c r="K275" s="26"/>
      <c r="L275" s="26"/>
      <c r="M275" s="26"/>
      <c r="N275" s="26"/>
      <c r="O275" s="26"/>
      <c r="P275" s="26"/>
      <c r="Q275" s="26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125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sheetFormatPr defaultRowHeight="12.75"/>
  <cols>
    <col collapsed="false" hidden="false" max="3" min="1" style="0" width="17.1326530612245"/>
    <col collapsed="false" hidden="false" max="4" min="4" style="0" width="32.4234693877551"/>
    <col collapsed="false" hidden="false" max="5" min="5" style="0" width="47.2908163265306"/>
    <col collapsed="false" hidden="false" max="6" min="6" style="0" width="3.42857142857143"/>
    <col collapsed="false" hidden="false" max="7" min="7" style="0" width="3.86224489795918"/>
    <col collapsed="false" hidden="false" max="1025" min="8" style="0" width="17.1326530612245"/>
  </cols>
  <sheetData>
    <row collapsed="false" customFormat="false" customHeight="false" hidden="false" ht="12.75" outlineLevel="0" r="1">
      <c r="A1" s="62" t="s">
        <v>1457</v>
      </c>
      <c r="B1" s="62" t="s">
        <v>1458</v>
      </c>
      <c r="C1" s="62" t="s">
        <v>1459</v>
      </c>
      <c r="D1" s="63" t="s">
        <v>1460</v>
      </c>
      <c r="E1" s="63" t="s">
        <v>1461</v>
      </c>
      <c r="F1" s="63"/>
      <c r="G1" s="63"/>
      <c r="H1" s="63" t="s">
        <v>1462</v>
      </c>
      <c r="I1" s="63" t="s">
        <v>1463</v>
      </c>
      <c r="J1" s="63" t="s">
        <v>1464</v>
      </c>
      <c r="K1" s="63" t="s">
        <v>1465</v>
      </c>
      <c r="L1" s="46"/>
      <c r="M1" s="46"/>
      <c r="N1" s="46"/>
      <c r="O1" s="46"/>
      <c r="P1" s="46"/>
      <c r="Q1" s="46"/>
      <c r="R1" s="46"/>
      <c r="S1" s="46"/>
      <c r="T1" s="46"/>
    </row>
    <row collapsed="false" customFormat="false" customHeight="false" hidden="false" ht="12.75" outlineLevel="0" r="2">
      <c r="A2" s="46" t="s">
        <v>1466</v>
      </c>
      <c r="B2" s="46" t="n">
        <f aca="false">H2</f>
        <v>0</v>
      </c>
      <c r="C2" s="46" t="n">
        <f aca="false">J2</f>
        <v>0</v>
      </c>
      <c r="D2" s="46" t="s">
        <v>1466</v>
      </c>
      <c r="E2" s="46" t="s">
        <v>1467</v>
      </c>
      <c r="F2" s="46" t="n">
        <v>1</v>
      </c>
      <c r="G2" s="46" t="n">
        <v>1</v>
      </c>
      <c r="H2" s="46" t="n">
        <f aca="false">COUNTIF(EXPERTISE!E4:E50,"*Capacity-Building*")</f>
        <v>0</v>
      </c>
      <c r="I2" s="46" t="n">
        <f aca="false">COUNTIF(EXPERTISE!F4:F50,"*Client Relations, Network, and Partnership Development*")</f>
        <v>0</v>
      </c>
      <c r="J2" s="46" t="n">
        <f aca="false">COUNTIF(PROJECT!T2:T100,"*Capacity-Building*")</f>
        <v>0</v>
      </c>
      <c r="K2" s="46" t="n">
        <f aca="false">COUNTIF(PROJECT!U2:U100,"*Client Relations, Network, and Partnership Development*")</f>
        <v>0</v>
      </c>
      <c r="L2" s="46"/>
      <c r="M2" s="46"/>
      <c r="N2" s="46"/>
      <c r="O2" s="46"/>
      <c r="P2" s="46"/>
      <c r="Q2" s="46"/>
      <c r="R2" s="46"/>
      <c r="S2" s="46"/>
      <c r="T2" s="46"/>
    </row>
    <row collapsed="false" customFormat="false" customHeight="false" hidden="false" ht="12.75" outlineLevel="0" r="3">
      <c r="A3" s="46" t="s">
        <v>1468</v>
      </c>
      <c r="B3" s="46" t="n">
        <f aca="false">H4</f>
        <v>0</v>
      </c>
      <c r="C3" s="46" t="n">
        <f aca="false">J4</f>
        <v>0</v>
      </c>
      <c r="D3" s="46" t="s">
        <v>1466</v>
      </c>
      <c r="E3" s="46" t="s">
        <v>1469</v>
      </c>
      <c r="F3" s="46" t="n">
        <v>0</v>
      </c>
      <c r="G3" s="46" t="n">
        <v>1</v>
      </c>
      <c r="H3" s="46" t="s">
        <v>1470</v>
      </c>
      <c r="I3" s="46" t="n">
        <f aca="false">COUNTIF(EXPERTISE!F4:F50,"*Skills-Sharings*")</f>
        <v>0</v>
      </c>
      <c r="J3" s="46" t="s">
        <v>1470</v>
      </c>
      <c r="K3" s="46" t="n">
        <f aca="false">COUNTIF(PROJECT!U2:U100,"*Skills-Sharings*")</f>
        <v>0</v>
      </c>
      <c r="L3" s="46"/>
      <c r="M3" s="46"/>
      <c r="N3" s="46"/>
      <c r="O3" s="46"/>
      <c r="P3" s="46"/>
      <c r="Q3" s="46"/>
      <c r="R3" s="46"/>
      <c r="S3" s="46"/>
      <c r="T3" s="46"/>
    </row>
    <row collapsed="false" customFormat="false" customHeight="false" hidden="false" ht="12.75" outlineLevel="0" r="4">
      <c r="A4" s="46" t="s">
        <v>1471</v>
      </c>
      <c r="B4" s="46" t="n">
        <f aca="false">H9</f>
        <v>0</v>
      </c>
      <c r="C4" s="46" t="n">
        <f aca="false">J9</f>
        <v>0</v>
      </c>
      <c r="D4" s="46" t="s">
        <v>1468</v>
      </c>
      <c r="E4" s="46" t="s">
        <v>1472</v>
      </c>
      <c r="F4" s="46" t="n">
        <v>1</v>
      </c>
      <c r="G4" s="46" t="n">
        <v>1</v>
      </c>
      <c r="H4" s="46" t="n">
        <f aca="false">COUNTIF(EXPERTISE!E4:E50,"*Corporate Social Responsibility*")</f>
        <v>0</v>
      </c>
      <c r="I4" s="46" t="n">
        <f aca="false">COUNTIF(EXPERTISE!F4:F50,"*Civic Engagement*")</f>
        <v>0</v>
      </c>
      <c r="J4" s="46" t="n">
        <f aca="false">COUNTIF(PROJECT!T2:T100,"*Corporate Social Responsibility*")</f>
        <v>0</v>
      </c>
      <c r="K4" s="46" t="n">
        <f aca="false">COUNTIF(PROJECT!U2:U100,"*Civic Engagement*")</f>
        <v>0</v>
      </c>
      <c r="L4" s="46"/>
      <c r="M4" s="46"/>
      <c r="N4" s="46"/>
      <c r="O4" s="46"/>
      <c r="P4" s="46"/>
      <c r="Q4" s="46"/>
      <c r="R4" s="46"/>
      <c r="S4" s="46"/>
      <c r="T4" s="46"/>
    </row>
    <row collapsed="false" customFormat="false" customHeight="false" hidden="false" ht="12.75" outlineLevel="0" r="5">
      <c r="A5" s="46" t="s">
        <v>97</v>
      </c>
      <c r="B5" s="46" t="n">
        <f aca="false">H20</f>
        <v>1</v>
      </c>
      <c r="C5" s="46" t="n">
        <f aca="false">J20</f>
        <v>0</v>
      </c>
      <c r="D5" s="46" t="s">
        <v>1468</v>
      </c>
      <c r="E5" s="46" t="s">
        <v>1473</v>
      </c>
      <c r="F5" s="46" t="n">
        <v>0</v>
      </c>
      <c r="G5" s="46" t="n">
        <v>1</v>
      </c>
      <c r="H5" s="46" t="s">
        <v>1470</v>
      </c>
      <c r="I5" s="46" t="n">
        <f aca="false">COUNTIF(EXPERTISE!F4:F50,"*Conflict Prevention and Post-Conflict Reconstruction*")</f>
        <v>0</v>
      </c>
      <c r="J5" s="46" t="s">
        <v>1470</v>
      </c>
      <c r="K5" s="46" t="n">
        <f aca="false">COUNTIF(PROJECT!U2:U100,"*Conflict Prevention and Post-Conflict Reconstruction*")</f>
        <v>0</v>
      </c>
      <c r="L5" s="46"/>
      <c r="M5" s="46"/>
      <c r="N5" s="46"/>
      <c r="O5" s="46"/>
      <c r="P5" s="46"/>
      <c r="Q5" s="46"/>
      <c r="R5" s="46"/>
      <c r="S5" s="46"/>
      <c r="T5" s="46"/>
    </row>
    <row collapsed="false" customFormat="false" customHeight="false" hidden="false" ht="12.75" outlineLevel="0" r="6">
      <c r="A6" s="46" t="s">
        <v>104</v>
      </c>
      <c r="B6" s="46" t="n">
        <f aca="false">H30</f>
        <v>1</v>
      </c>
      <c r="C6" s="46" t="n">
        <f aca="false">J30</f>
        <v>0</v>
      </c>
      <c r="D6" s="46" t="s">
        <v>1468</v>
      </c>
      <c r="E6" s="46" t="s">
        <v>1474</v>
      </c>
      <c r="F6" s="46" t="n">
        <v>0</v>
      </c>
      <c r="G6" s="46" t="n">
        <v>1</v>
      </c>
      <c r="H6" s="46" t="s">
        <v>1470</v>
      </c>
      <c r="I6" s="46" t="n">
        <f aca="false">COUNTIF(EXPERTISE!F4:F50,"*Gender Equity Initiatives -regional*")</f>
        <v>0</v>
      </c>
      <c r="J6" s="46" t="s">
        <v>1470</v>
      </c>
      <c r="K6" s="46" t="n">
        <f aca="false">COUNTIF(PROJECT!U2:U100,"*Gender Equity Initiatives -regional*")</f>
        <v>0</v>
      </c>
      <c r="L6" s="46"/>
      <c r="M6" s="46"/>
      <c r="N6" s="46"/>
      <c r="O6" s="46"/>
      <c r="P6" s="46"/>
      <c r="Q6" s="46"/>
      <c r="R6" s="46"/>
      <c r="S6" s="46"/>
      <c r="T6" s="46"/>
    </row>
    <row collapsed="false" customFormat="false" customHeight="false" hidden="false" ht="12.75" outlineLevel="0" r="7">
      <c r="A7" s="46" t="s">
        <v>1475</v>
      </c>
      <c r="B7" s="46" t="n">
        <f aca="false">H39</f>
        <v>0</v>
      </c>
      <c r="C7" s="46" t="n">
        <f aca="false">J39</f>
        <v>0</v>
      </c>
      <c r="D7" s="46" t="s">
        <v>1468</v>
      </c>
      <c r="E7" s="46" t="s">
        <v>1476</v>
      </c>
      <c r="F7" s="46" t="n">
        <v>0</v>
      </c>
      <c r="G7" s="46" t="n">
        <v>1</v>
      </c>
      <c r="H7" s="46" t="s">
        <v>1470</v>
      </c>
      <c r="I7" s="46" t="n">
        <f aca="false">COUNTIF(EXPERTISE!F4:F50,"*Social Development*")</f>
        <v>0</v>
      </c>
      <c r="J7" s="46" t="s">
        <v>1470</v>
      </c>
      <c r="K7" s="46" t="n">
        <f aca="false">COUNTIF(PROJECT!U2:U100,"*Social Development*")</f>
        <v>0</v>
      </c>
      <c r="L7" s="46"/>
      <c r="M7" s="46"/>
      <c r="N7" s="46"/>
      <c r="O7" s="46"/>
      <c r="P7" s="46"/>
      <c r="Q7" s="46"/>
      <c r="R7" s="46"/>
      <c r="S7" s="46"/>
      <c r="T7" s="46"/>
    </row>
    <row collapsed="false" customFormat="false" customHeight="false" hidden="false" ht="12.75" outlineLevel="0" r="8">
      <c r="A8" s="46" t="s">
        <v>1477</v>
      </c>
      <c r="B8" s="46" t="n">
        <f aca="false">H63</f>
        <v>0</v>
      </c>
      <c r="C8" s="46" t="n">
        <f aca="false">J63</f>
        <v>0</v>
      </c>
      <c r="D8" s="46" t="s">
        <v>1468</v>
      </c>
      <c r="E8" s="46" t="s">
        <v>1478</v>
      </c>
      <c r="F8" s="46" t="n">
        <v>0</v>
      </c>
      <c r="G8" s="46" t="n">
        <v>1</v>
      </c>
      <c r="H8" s="46" t="s">
        <v>1470</v>
      </c>
      <c r="I8" s="46" t="n">
        <f aca="false">COUNTIF(EXPERTISE!F4:F50,"*Stakeholder Participation*")</f>
        <v>0</v>
      </c>
      <c r="J8" s="46" t="s">
        <v>1470</v>
      </c>
      <c r="K8" s="46" t="n">
        <f aca="false">COUNTIF(PROJECT!U2:U100,"*Stakeholder Participation*")</f>
        <v>0</v>
      </c>
      <c r="L8" s="46"/>
      <c r="M8" s="46"/>
      <c r="N8" s="46"/>
      <c r="O8" s="46"/>
      <c r="P8" s="46"/>
      <c r="Q8" s="46"/>
      <c r="R8" s="46"/>
      <c r="S8" s="46"/>
      <c r="T8" s="46"/>
    </row>
    <row collapsed="false" customFormat="false" customHeight="false" hidden="false" ht="12.75" outlineLevel="0" r="9">
      <c r="A9" s="46" t="s">
        <v>1479</v>
      </c>
      <c r="B9" s="46" t="n">
        <f aca="false">H75</f>
        <v>0</v>
      </c>
      <c r="C9" s="46" t="n">
        <f aca="false">J75</f>
        <v>0</v>
      </c>
      <c r="D9" s="46" t="s">
        <v>1471</v>
      </c>
      <c r="E9" s="46" t="s">
        <v>1480</v>
      </c>
      <c r="F9" s="46" t="n">
        <v>1</v>
      </c>
      <c r="G9" s="46" t="n">
        <v>1</v>
      </c>
      <c r="H9" s="46" t="n">
        <f aca="false">COUNTIF(EXPERTISE!E4:E50,"*Economic Growth*")</f>
        <v>0</v>
      </c>
      <c r="I9" s="46" t="n">
        <f aca="false">COUNTIF(EXPERTISE!F4:F50,"*Analysis of Economic Growth*")</f>
        <v>0</v>
      </c>
      <c r="J9" s="46" t="n">
        <f aca="false">COUNTIF(PROJECT!T2:T100,"*Economic Growth*")</f>
        <v>0</v>
      </c>
      <c r="K9" s="46" t="n">
        <f aca="false">COUNTIF(PROJECT!U2:U100,"*Analysis of Economic Growth*")</f>
        <v>0</v>
      </c>
      <c r="L9" s="46"/>
      <c r="M9" s="46"/>
      <c r="N9" s="46"/>
      <c r="O9" s="46"/>
      <c r="P9" s="46"/>
      <c r="Q9" s="46"/>
      <c r="R9" s="46"/>
      <c r="S9" s="46"/>
      <c r="T9" s="46"/>
    </row>
    <row collapsed="false" customFormat="false" customHeight="false" hidden="false" ht="12.75" outlineLevel="0" r="10">
      <c r="A10" s="46" t="s">
        <v>1481</v>
      </c>
      <c r="B10" s="64" t="n">
        <f aca="false">H81</f>
        <v>0</v>
      </c>
      <c r="C10" s="64" t="n">
        <f aca="false">J81</f>
        <v>0</v>
      </c>
      <c r="D10" s="46" t="s">
        <v>1471</v>
      </c>
      <c r="E10" s="46" t="s">
        <v>1482</v>
      </c>
      <c r="F10" s="46" t="n">
        <v>0</v>
      </c>
      <c r="G10" s="46" t="n">
        <v>1</v>
      </c>
      <c r="H10" s="46" t="s">
        <v>1470</v>
      </c>
      <c r="I10" s="46" t="n">
        <f aca="false">COUNTIF(EXPERTISE!F4:F50,"*Economic Statistics, Modeling and Forecasting*")</f>
        <v>0</v>
      </c>
      <c r="J10" s="46" t="s">
        <v>1470</v>
      </c>
      <c r="K10" s="46" t="n">
        <f aca="false">COUNTIF(PROJECT!U2:U100,"*Economic Statistics, Modeling and Forecasting*")</f>
        <v>0</v>
      </c>
      <c r="L10" s="46"/>
      <c r="M10" s="46"/>
      <c r="N10" s="46"/>
      <c r="O10" s="46"/>
      <c r="P10" s="46"/>
      <c r="Q10" s="46"/>
      <c r="R10" s="46"/>
      <c r="S10" s="46"/>
      <c r="T10" s="46"/>
    </row>
    <row collapsed="false" customFormat="false" customHeight="false" hidden="false" ht="12.75" outlineLevel="0" r="11">
      <c r="A11" s="46" t="s">
        <v>110</v>
      </c>
      <c r="B11" s="64" t="n">
        <f aca="false">H84</f>
        <v>0</v>
      </c>
      <c r="C11" s="64" t="n">
        <f aca="false">J84</f>
        <v>0</v>
      </c>
      <c r="D11" s="46" t="s">
        <v>1471</v>
      </c>
      <c r="E11" s="46" t="s">
        <v>1483</v>
      </c>
      <c r="F11" s="46" t="n">
        <v>0</v>
      </c>
      <c r="G11" s="46" t="n">
        <v>1</v>
      </c>
      <c r="H11" s="46" t="s">
        <v>1470</v>
      </c>
      <c r="I11" s="46" t="n">
        <f aca="false">COUNTIF(EXPERTISE!F4:F50,"*Fostering Physical Infrastructure Development*")</f>
        <v>0</v>
      </c>
      <c r="J11" s="46" t="s">
        <v>1470</v>
      </c>
      <c r="K11" s="46" t="n">
        <f aca="false">COUNTIF(PROJECT!U2:U100,"*Fostering Physical Infrastructure Development*")</f>
        <v>0</v>
      </c>
      <c r="L11" s="46"/>
      <c r="M11" s="46"/>
      <c r="N11" s="46"/>
      <c r="O11" s="46"/>
      <c r="P11" s="46"/>
      <c r="Q11" s="46"/>
      <c r="R11" s="46"/>
      <c r="S11" s="46"/>
      <c r="T11" s="46"/>
    </row>
    <row collapsed="false" customFormat="false" customHeight="false" hidden="false" ht="12.75" outlineLevel="0" r="12">
      <c r="A12" s="46" t="s">
        <v>1484</v>
      </c>
      <c r="B12" s="64" t="n">
        <f aca="false">H104</f>
        <v>0</v>
      </c>
      <c r="C12" s="64" t="n">
        <f aca="false">J104</f>
        <v>0</v>
      </c>
      <c r="D12" s="46" t="s">
        <v>1471</v>
      </c>
      <c r="E12" s="46" t="s">
        <v>1485</v>
      </c>
      <c r="F12" s="46" t="n">
        <v>0</v>
      </c>
      <c r="G12" s="46" t="n">
        <v>1</v>
      </c>
      <c r="H12" s="46" t="s">
        <v>1470</v>
      </c>
      <c r="I12" s="46" t="n">
        <f aca="false">COUNTIF(EXPERTISE!F4:F50,"*Information and Communication Technology*")</f>
        <v>0</v>
      </c>
      <c r="J12" s="46" t="s">
        <v>1470</v>
      </c>
      <c r="K12" s="46" t="n">
        <f aca="false">COUNTIF(PROJECT!U2:U100,"*Information and Communication Technology*")</f>
        <v>0</v>
      </c>
      <c r="L12" s="46"/>
      <c r="M12" s="46"/>
      <c r="N12" s="46"/>
      <c r="O12" s="46"/>
      <c r="P12" s="46"/>
      <c r="Q12" s="46"/>
      <c r="R12" s="46"/>
      <c r="S12" s="46"/>
      <c r="T12" s="46"/>
    </row>
    <row collapsed="false" customFormat="false" customHeight="false" hidden="false" ht="12.75" outlineLevel="0" r="13">
      <c r="A13" s="46" t="s">
        <v>1486</v>
      </c>
      <c r="B13" s="64" t="n">
        <f aca="false">H116</f>
        <v>0</v>
      </c>
      <c r="C13" s="64" t="n">
        <f aca="false">J116</f>
        <v>0</v>
      </c>
      <c r="D13" s="46" t="s">
        <v>1471</v>
      </c>
      <c r="E13" s="37" t="s">
        <v>1487</v>
      </c>
      <c r="F13" s="46" t="n">
        <v>0</v>
      </c>
      <c r="G13" s="46" t="n">
        <v>1</v>
      </c>
      <c r="H13" s="46" t="s">
        <v>1470</v>
      </c>
      <c r="I13" s="46" t="n">
        <f aca="false">COUNTIF(EXPERTISE!F4:F50,"*Infrastructure Services for Private-Sector Development*")</f>
        <v>0</v>
      </c>
      <c r="J13" s="46" t="s">
        <v>1470</v>
      </c>
      <c r="K13" s="46" t="n">
        <f aca="false">COUNTIF(PROJECT!U2:U100,"*Infrastructure Services for Private Sector-Development*")</f>
        <v>0</v>
      </c>
      <c r="L13" s="46"/>
      <c r="M13" s="46"/>
      <c r="N13" s="46"/>
      <c r="O13" s="46"/>
      <c r="P13" s="46"/>
      <c r="Q13" s="46"/>
      <c r="R13" s="46"/>
      <c r="S13" s="46"/>
      <c r="T13" s="46"/>
    </row>
    <row collapsed="false" customFormat="false" customHeight="false" hidden="false" ht="12.75" outlineLevel="0" r="14">
      <c r="D14" s="46" t="s">
        <v>1471</v>
      </c>
      <c r="E14" s="46" t="s">
        <v>1488</v>
      </c>
      <c r="F14" s="46" t="n">
        <v>0</v>
      </c>
      <c r="G14" s="46" t="n">
        <v>1</v>
      </c>
      <c r="H14" s="46" t="s">
        <v>1470</v>
      </c>
      <c r="I14" s="46" t="n">
        <f aca="false">COUNTIF(EXPERTISE!F4:F50,"*Micro, Small and Medium Enterprise Support*")</f>
        <v>0</v>
      </c>
      <c r="J14" s="46" t="s">
        <v>1470</v>
      </c>
      <c r="K14" s="46" t="n">
        <f aca="false">COUNTIF(PROJECT!U2:U100,"*Micro, Small and Medium Enterprise Support*")</f>
        <v>0</v>
      </c>
      <c r="L14" s="46"/>
      <c r="M14" s="46"/>
      <c r="N14" s="46"/>
      <c r="O14" s="46"/>
      <c r="P14" s="46"/>
      <c r="Q14" s="46"/>
      <c r="R14" s="46"/>
      <c r="S14" s="46"/>
      <c r="T14" s="46"/>
    </row>
    <row collapsed="false" customFormat="false" customHeight="false" hidden="false" ht="12.75" outlineLevel="0" r="15">
      <c r="D15" s="46" t="s">
        <v>1471</v>
      </c>
      <c r="E15" s="46" t="s">
        <v>1489</v>
      </c>
      <c r="F15" s="46" t="n">
        <v>0</v>
      </c>
      <c r="G15" s="46" t="n">
        <v>1</v>
      </c>
      <c r="H15" s="46" t="s">
        <v>1470</v>
      </c>
      <c r="I15" s="46" t="n">
        <f aca="false">COUNTIF(EXPERTISE!F4:F50,"*Other Economic Management*")</f>
        <v>0</v>
      </c>
      <c r="J15" s="46" t="s">
        <v>1470</v>
      </c>
      <c r="K15" s="46" t="n">
        <f aca="false">COUNTIF(PROJECT!U2:U100,"*Other Economic Management*")</f>
        <v>0</v>
      </c>
      <c r="L15" s="46"/>
      <c r="M15" s="46"/>
      <c r="N15" s="46"/>
      <c r="O15" s="46"/>
      <c r="P15" s="46"/>
      <c r="Q15" s="46"/>
      <c r="R15" s="46"/>
      <c r="S15" s="46"/>
      <c r="T15" s="46"/>
    </row>
    <row collapsed="false" customFormat="false" customHeight="false" hidden="false" ht="12.75" outlineLevel="0" r="16">
      <c r="D16" s="46" t="s">
        <v>1471</v>
      </c>
      <c r="E16" s="37" t="s">
        <v>1490</v>
      </c>
      <c r="F16" s="46" t="n">
        <v>0</v>
      </c>
      <c r="G16" s="46" t="n">
        <v>1</v>
      </c>
      <c r="H16" s="46" t="s">
        <v>1470</v>
      </c>
      <c r="I16" s="37" t="n">
        <f aca="false">COUNTIF(EXPERTISE!F4:F50,"*Private Sector Development*")</f>
        <v>0</v>
      </c>
      <c r="J16" s="46" t="s">
        <v>1470</v>
      </c>
      <c r="K16" s="37" t="n">
        <f aca="false">COUNTIF(PROJECT!U2:U100,"*Private Sector Development*")</f>
        <v>0</v>
      </c>
      <c r="L16" s="46"/>
      <c r="M16" s="46"/>
      <c r="N16" s="46"/>
      <c r="O16" s="46"/>
      <c r="P16" s="46"/>
      <c r="Q16" s="46"/>
      <c r="R16" s="46"/>
      <c r="S16" s="46"/>
      <c r="T16" s="46"/>
    </row>
    <row collapsed="false" customFormat="false" customHeight="false" hidden="false" ht="12.75" outlineLevel="0" r="17">
      <c r="D17" s="46" t="s">
        <v>1471</v>
      </c>
      <c r="E17" s="46" t="s">
        <v>1491</v>
      </c>
      <c r="F17" s="46" t="n">
        <v>0</v>
      </c>
      <c r="G17" s="46" t="n">
        <v>1</v>
      </c>
      <c r="H17" s="46" t="s">
        <v>1470</v>
      </c>
      <c r="I17" s="46" t="n">
        <f aca="false">COUNTIF(EXPERTISE!F4:F50,"*Promoting Economic Efficiency and Enabling Markets*")</f>
        <v>0</v>
      </c>
      <c r="J17" s="46" t="s">
        <v>1470</v>
      </c>
      <c r="K17" s="46" t="n">
        <f aca="false">COUNTIF(PROJECT!U2:U100,"*Promoting Economic Efficiency and Enabling Markets*")</f>
        <v>0</v>
      </c>
      <c r="L17" s="46"/>
      <c r="M17" s="46"/>
      <c r="N17" s="46"/>
      <c r="O17" s="46"/>
      <c r="P17" s="46"/>
      <c r="Q17" s="46"/>
      <c r="R17" s="46"/>
      <c r="S17" s="46"/>
      <c r="T17" s="46"/>
    </row>
    <row collapsed="false" customFormat="false" customHeight="false" hidden="false" ht="12.75" outlineLevel="0" r="18">
      <c r="D18" s="46" t="s">
        <v>1471</v>
      </c>
      <c r="E18" s="46" t="s">
        <v>1492</v>
      </c>
      <c r="F18" s="46" t="n">
        <v>0</v>
      </c>
      <c r="G18" s="46" t="n">
        <v>1</v>
      </c>
      <c r="H18" s="46" t="s">
        <v>1470</v>
      </c>
      <c r="I18" s="46" t="n">
        <f aca="false">COUNTIF(EXPERTISE!F4:F50,"*Promoting Macroeconomic Stability*")</f>
        <v>0</v>
      </c>
      <c r="J18" s="46" t="s">
        <v>1470</v>
      </c>
      <c r="K18" s="46" t="n">
        <f aca="false">COUNTIF(PROJECT!U2:U100,"*Promoting Macroeconomic Stability*")</f>
        <v>0</v>
      </c>
      <c r="L18" s="46"/>
      <c r="M18" s="46"/>
      <c r="N18" s="46"/>
      <c r="O18" s="46"/>
      <c r="P18" s="46"/>
      <c r="Q18" s="46"/>
      <c r="R18" s="46"/>
      <c r="S18" s="46"/>
      <c r="T18" s="46"/>
    </row>
    <row collapsed="false" customFormat="false" customHeight="false" hidden="false" ht="12.75" outlineLevel="0" r="19">
      <c r="D19" s="46" t="s">
        <v>1471</v>
      </c>
      <c r="E19" s="46" t="s">
        <v>1493</v>
      </c>
      <c r="F19" s="46" t="n">
        <v>0</v>
      </c>
      <c r="G19" s="46" t="n">
        <v>1</v>
      </c>
      <c r="H19" s="46" t="s">
        <v>1470</v>
      </c>
      <c r="I19" s="46" t="n">
        <f aca="false">COUNTIF(EXPERTISE!F4:F50,"*State-Owned Enterprise Restructuring and Privatization*")</f>
        <v>0</v>
      </c>
      <c r="J19" s="46" t="s">
        <v>1470</v>
      </c>
      <c r="K19" s="46" t="n">
        <f aca="false">COUNTIF(PROJECT!U2:U100,"*State-Owned Enterprise Restructuring and Privatization*")</f>
        <v>0</v>
      </c>
      <c r="L19" s="46"/>
      <c r="M19" s="46"/>
      <c r="N19" s="46"/>
      <c r="O19" s="46"/>
      <c r="P19" s="46"/>
      <c r="Q19" s="46"/>
      <c r="R19" s="46"/>
      <c r="S19" s="46"/>
      <c r="T19" s="46"/>
    </row>
    <row collapsed="false" customFormat="false" customHeight="false" hidden="false" ht="12.75" outlineLevel="0" r="20">
      <c r="D20" s="46" t="s">
        <v>97</v>
      </c>
      <c r="E20" s="46" t="s">
        <v>1494</v>
      </c>
      <c r="F20" s="46" t="n">
        <v>1</v>
      </c>
      <c r="G20" s="46" t="n">
        <v>1</v>
      </c>
      <c r="H20" s="46" t="n">
        <f aca="false">COUNTIF(EXPERTISE!E4:E50,"*Environment and Natural Resources*")</f>
        <v>1</v>
      </c>
      <c r="I20" s="46" t="n">
        <f aca="false">COUNTIF(EXPERTISE!F4:F50,"*Biodiversity*")</f>
        <v>0</v>
      </c>
      <c r="J20" s="46" t="n">
        <f aca="false">COUNTIF(PROJECT!T2:T100,"*Environment and Natural Resources*")</f>
        <v>0</v>
      </c>
      <c r="K20" s="46" t="n">
        <f aca="false">COUNTIF(PROJECT!U2:U100,"*Biodiversity*")</f>
        <v>0</v>
      </c>
      <c r="L20" s="46"/>
      <c r="M20" s="46"/>
      <c r="N20" s="46"/>
      <c r="O20" s="46"/>
      <c r="P20" s="46"/>
      <c r="Q20" s="46"/>
      <c r="R20" s="46"/>
      <c r="S20" s="46"/>
      <c r="T20" s="46"/>
    </row>
    <row collapsed="false" customFormat="false" customHeight="false" hidden="false" ht="12.75" outlineLevel="0" r="21">
      <c r="D21" s="46" t="s">
        <v>97</v>
      </c>
      <c r="E21" s="46" t="s">
        <v>98</v>
      </c>
      <c r="F21" s="46" t="n">
        <v>0</v>
      </c>
      <c r="G21" s="46" t="n">
        <v>1</v>
      </c>
      <c r="H21" s="46" t="s">
        <v>1470</v>
      </c>
      <c r="I21" s="46" t="n">
        <f aca="false">COUNTIF(EXPERTISE!F4:F50,"*Climate Change*")</f>
        <v>1</v>
      </c>
      <c r="J21" s="46" t="s">
        <v>1470</v>
      </c>
      <c r="K21" s="46" t="n">
        <f aca="false">COUNTIF(PROJECT!U2:U100,"*Climate Change*")</f>
        <v>0</v>
      </c>
      <c r="L21" s="46"/>
      <c r="M21" s="46"/>
      <c r="N21" s="46"/>
      <c r="O21" s="46"/>
      <c r="P21" s="46"/>
      <c r="Q21" s="46"/>
      <c r="R21" s="46"/>
      <c r="S21" s="46"/>
      <c r="T21" s="46"/>
    </row>
    <row collapsed="false" customFormat="false" customHeight="false" hidden="false" ht="12.75" outlineLevel="0" r="22">
      <c r="D22" s="46" t="s">
        <v>97</v>
      </c>
      <c r="E22" s="46" t="s">
        <v>1495</v>
      </c>
      <c r="F22" s="46" t="n">
        <v>0</v>
      </c>
      <c r="G22" s="46" t="n">
        <v>1</v>
      </c>
      <c r="H22" s="46" t="s">
        <v>1470</v>
      </c>
      <c r="I22" s="46" t="n">
        <f aca="false">COUNTIF(EXPERTISE!F4:F50,"*Environmental Policies and Legislation*")</f>
        <v>0</v>
      </c>
      <c r="J22" s="46" t="s">
        <v>1470</v>
      </c>
      <c r="K22" s="46" t="n">
        <f aca="false">COUNTIF(PROJECT!U2:U100,"*Environmental Policies and Legislation*")</f>
        <v>0</v>
      </c>
      <c r="L22" s="46"/>
      <c r="M22" s="46"/>
      <c r="N22" s="46"/>
      <c r="O22" s="46"/>
      <c r="P22" s="46"/>
      <c r="Q22" s="46"/>
      <c r="R22" s="46"/>
      <c r="S22" s="46"/>
      <c r="T22" s="46"/>
    </row>
    <row collapsed="false" customFormat="false" customHeight="false" hidden="false" ht="12.75" outlineLevel="0" r="23">
      <c r="D23" s="46" t="s">
        <v>97</v>
      </c>
      <c r="E23" s="46" t="s">
        <v>1496</v>
      </c>
      <c r="F23" s="46" t="n">
        <v>0</v>
      </c>
      <c r="G23" s="46" t="n">
        <v>1</v>
      </c>
      <c r="H23" s="46" t="s">
        <v>1470</v>
      </c>
      <c r="I23" s="46" t="n">
        <f aca="false">COUNTIF(EXPERTISE!F4:F50,"*Global and Regional Trans-Boundary Environmental Concerns and Issues*")</f>
        <v>0</v>
      </c>
      <c r="J23" s="46" t="s">
        <v>1470</v>
      </c>
      <c r="K23" s="46" t="n">
        <f aca="false">COUNTIF(PROJECT!U2:U100,"*Global and Regional Trans-Boundary Environmental Concerns and Issues*")</f>
        <v>0</v>
      </c>
      <c r="L23" s="46"/>
      <c r="M23" s="46"/>
      <c r="N23" s="46"/>
      <c r="O23" s="46"/>
      <c r="P23" s="46"/>
      <c r="Q23" s="46"/>
      <c r="R23" s="46"/>
      <c r="S23" s="46"/>
      <c r="T23" s="46"/>
    </row>
    <row collapsed="false" customFormat="false" customHeight="false" hidden="false" ht="12.75" outlineLevel="0" r="24">
      <c r="D24" s="46" t="s">
        <v>97</v>
      </c>
      <c r="E24" s="46" t="s">
        <v>1497</v>
      </c>
      <c r="F24" s="46" t="n">
        <v>0</v>
      </c>
      <c r="G24" s="46" t="n">
        <v>1</v>
      </c>
      <c r="H24" s="46" t="s">
        <v>1470</v>
      </c>
      <c r="I24" s="46" t="n">
        <f aca="false">COUNTIF(EXPERTISE!F4:F50,"*Land Administration and Management*")</f>
        <v>0</v>
      </c>
      <c r="J24" s="46" t="s">
        <v>1470</v>
      </c>
      <c r="K24" s="46" t="n">
        <f aca="false">COUNTIF(PROJECT!U2:U100,"*Land Administration and Management*")</f>
        <v>0</v>
      </c>
      <c r="L24" s="46"/>
      <c r="M24" s="46"/>
      <c r="N24" s="46"/>
      <c r="O24" s="46"/>
      <c r="P24" s="46"/>
      <c r="Q24" s="46"/>
      <c r="R24" s="46"/>
      <c r="S24" s="46"/>
      <c r="T24" s="46"/>
    </row>
    <row collapsed="false" customFormat="false" customHeight="false" hidden="false" ht="12.75" outlineLevel="0" r="25">
      <c r="D25" s="46" t="s">
        <v>97</v>
      </c>
      <c r="E25" s="46" t="s">
        <v>1498</v>
      </c>
      <c r="F25" s="46" t="n">
        <v>0</v>
      </c>
      <c r="G25" s="46" t="n">
        <v>1</v>
      </c>
      <c r="H25" s="46" t="s">
        <v>1470</v>
      </c>
      <c r="I25" s="46" t="n">
        <f aca="false">COUNTIF(EXPERTISE!F4:F50,"*Natural Resources Conservation*")</f>
        <v>0</v>
      </c>
      <c r="J25" s="46" t="s">
        <v>1470</v>
      </c>
      <c r="K25" s="46" t="n">
        <f aca="false">COUNTIF(PROJECT!U2:U100,"*Natural Resources Conservation*")</f>
        <v>0</v>
      </c>
      <c r="L25" s="46"/>
      <c r="M25" s="46"/>
      <c r="N25" s="46"/>
      <c r="O25" s="46"/>
      <c r="P25" s="46"/>
      <c r="Q25" s="46"/>
      <c r="R25" s="46"/>
      <c r="S25" s="46"/>
      <c r="T25" s="46"/>
    </row>
    <row collapsed="false" customFormat="false" customHeight="false" hidden="false" ht="12.75" outlineLevel="0" r="26">
      <c r="D26" s="46" t="s">
        <v>97</v>
      </c>
      <c r="E26" s="46" t="s">
        <v>1499</v>
      </c>
      <c r="F26" s="46" t="n">
        <v>0</v>
      </c>
      <c r="G26" s="46" t="n">
        <v>1</v>
      </c>
      <c r="H26" s="46" t="s">
        <v>1470</v>
      </c>
      <c r="I26" s="46" t="n">
        <f aca="false">COUNTIF(EXPERTISE!F4:F50,"*Other Environment and Natural Resources Management*")</f>
        <v>0</v>
      </c>
      <c r="J26" s="46" t="s">
        <v>1470</v>
      </c>
      <c r="K26" s="46" t="n">
        <f aca="false">COUNTIF(PROJECT!U2:U100,"*Other Environment and Natural Resources Management*")</f>
        <v>0</v>
      </c>
      <c r="L26" s="46"/>
      <c r="M26" s="46"/>
      <c r="N26" s="46"/>
      <c r="O26" s="46"/>
      <c r="P26" s="46"/>
      <c r="Q26" s="46"/>
      <c r="R26" s="46"/>
      <c r="S26" s="46"/>
      <c r="T26" s="46"/>
    </row>
    <row collapsed="false" customFormat="false" customHeight="false" hidden="false" ht="12.75" outlineLevel="0" r="27">
      <c r="D27" s="46" t="s">
        <v>97</v>
      </c>
      <c r="E27" s="46" t="s">
        <v>1500</v>
      </c>
      <c r="F27" s="46" t="n">
        <v>0</v>
      </c>
      <c r="G27" s="46" t="n">
        <v>1</v>
      </c>
      <c r="H27" s="46" t="s">
        <v>1470</v>
      </c>
      <c r="I27" s="46" t="n">
        <f aca="false">COUNTIF(EXPERTISE!F4:F50,"*Pollution Management and Environmental Health*")</f>
        <v>0</v>
      </c>
      <c r="J27" s="46" t="s">
        <v>1470</v>
      </c>
      <c r="K27" s="46" t="n">
        <f aca="false">COUNTIF(PROJECT!U2:U100,"*Pollution Management and Environmental Health*")</f>
        <v>0</v>
      </c>
      <c r="L27" s="46"/>
      <c r="M27" s="46"/>
      <c r="N27" s="46"/>
      <c r="O27" s="46"/>
      <c r="P27" s="46"/>
      <c r="Q27" s="46"/>
      <c r="R27" s="46"/>
      <c r="S27" s="46"/>
      <c r="T27" s="46"/>
    </row>
    <row collapsed="false" customFormat="false" customHeight="false" hidden="false" ht="12.75" outlineLevel="0" r="28">
      <c r="D28" s="46" t="s">
        <v>97</v>
      </c>
      <c r="E28" s="46" t="s">
        <v>1501</v>
      </c>
      <c r="F28" s="46" t="n">
        <v>0</v>
      </c>
      <c r="G28" s="46" t="n">
        <v>1</v>
      </c>
      <c r="H28" s="46" t="s">
        <v>1470</v>
      </c>
      <c r="I28" s="46" t="n">
        <f aca="false">COUNTIF(EXPERTISE!F4:F50,"*Urban Environmental Improvement*")</f>
        <v>0</v>
      </c>
      <c r="J28" s="46" t="s">
        <v>1470</v>
      </c>
      <c r="K28" s="46" t="n">
        <f aca="false">COUNTIF(PROJECT!U2:U100,"*Urban Environmental Improvement*")</f>
        <v>0</v>
      </c>
      <c r="L28" s="46"/>
      <c r="M28" s="46"/>
      <c r="N28" s="46"/>
      <c r="O28" s="46"/>
      <c r="P28" s="46"/>
      <c r="Q28" s="46"/>
      <c r="R28" s="46"/>
      <c r="S28" s="46"/>
      <c r="T28" s="46"/>
    </row>
    <row collapsed="false" customFormat="false" customHeight="false" hidden="false" ht="12.75" outlineLevel="0" r="29">
      <c r="D29" s="46" t="s">
        <v>97</v>
      </c>
      <c r="E29" s="46" t="s">
        <v>1502</v>
      </c>
      <c r="F29" s="46" t="n">
        <v>0</v>
      </c>
      <c r="G29" s="46" t="n">
        <v>1</v>
      </c>
      <c r="H29" s="46" t="s">
        <v>1470</v>
      </c>
      <c r="I29" s="46" t="n">
        <f aca="false">COUNTIF(EXPERTISE!F4:F50,"*Water Resource Management*")</f>
        <v>0</v>
      </c>
      <c r="J29" s="46" t="s">
        <v>1470</v>
      </c>
      <c r="K29" s="46" t="n">
        <f aca="false">COUNTIF(PROJECT!U2:U100,"*Water Resource Management*")</f>
        <v>0</v>
      </c>
      <c r="L29" s="46"/>
      <c r="M29" s="46"/>
      <c r="N29" s="46"/>
      <c r="O29" s="46"/>
      <c r="P29" s="46"/>
      <c r="Q29" s="46"/>
      <c r="R29" s="46"/>
      <c r="S29" s="46"/>
      <c r="T29" s="46"/>
    </row>
    <row collapsed="false" customFormat="false" customHeight="false" hidden="false" ht="12.75" outlineLevel="0" r="30">
      <c r="D30" s="46" t="s">
        <v>104</v>
      </c>
      <c r="E30" s="46" t="s">
        <v>1503</v>
      </c>
      <c r="F30" s="46" t="n">
        <v>1</v>
      </c>
      <c r="G30" s="46" t="n">
        <v>1</v>
      </c>
      <c r="H30" s="46" t="n">
        <f aca="false">COUNTIF(EXPERTISE!E4:E50,"*Financial Management*")</f>
        <v>1</v>
      </c>
      <c r="I30" s="46" t="n">
        <f aca="false">COUNTIF(EXPERTISE!F4:F50,"*Anti-Money Laundering and Combating the Financing of Terrorism*")</f>
        <v>0</v>
      </c>
      <c r="J30" s="46" t="n">
        <f aca="false">COUNTIF(PROJECT!T2:T100,"*Financial Management*")</f>
        <v>0</v>
      </c>
      <c r="K30" s="46" t="n">
        <f aca="false">COUNTIF(PROJECT!U2:U100,"*Anti-Money Laundering and Combating the Financing of Terrorism*")</f>
        <v>0</v>
      </c>
      <c r="L30" s="46"/>
      <c r="M30" s="46"/>
      <c r="N30" s="46"/>
      <c r="O30" s="46"/>
      <c r="P30" s="46"/>
      <c r="Q30" s="46"/>
      <c r="R30" s="46"/>
      <c r="S30" s="46"/>
      <c r="T30" s="46"/>
    </row>
    <row collapsed="false" customFormat="false" customHeight="false" hidden="false" ht="12.75" outlineLevel="0" r="31">
      <c r="D31" s="46" t="s">
        <v>104</v>
      </c>
      <c r="E31" s="46" t="s">
        <v>105</v>
      </c>
      <c r="F31" s="46" t="n">
        <v>0</v>
      </c>
      <c r="G31" s="46" t="n">
        <v>1</v>
      </c>
      <c r="H31" s="46" t="s">
        <v>1470</v>
      </c>
      <c r="I31" s="46" t="n">
        <f aca="false">COUNTIF(EXPERTISE!F4:F50,"*Corporate Governance*")</f>
        <v>1</v>
      </c>
      <c r="J31" s="46" t="s">
        <v>1470</v>
      </c>
      <c r="K31" s="46" t="n">
        <f aca="false">COUNTIF(PROJECT!U2:U100,"*Corporate Governance*")</f>
        <v>0</v>
      </c>
      <c r="L31" s="46"/>
      <c r="M31" s="46"/>
      <c r="N31" s="46"/>
      <c r="O31" s="46"/>
      <c r="P31" s="46"/>
      <c r="Q31" s="46"/>
      <c r="R31" s="46"/>
      <c r="S31" s="46"/>
      <c r="T31" s="46"/>
    </row>
    <row collapsed="false" customFormat="false" customHeight="false" hidden="false" ht="12.75" outlineLevel="0" r="32">
      <c r="D32" s="46" t="s">
        <v>104</v>
      </c>
      <c r="E32" s="46" t="s">
        <v>1504</v>
      </c>
      <c r="F32" s="46" t="n">
        <v>0</v>
      </c>
      <c r="G32" s="46" t="n">
        <v>1</v>
      </c>
      <c r="H32" s="46" t="s">
        <v>1470</v>
      </c>
      <c r="I32" s="46" t="n">
        <f aca="false">COUNTIF(EXPERTISE!F4:F50,"*Debt Management and Fiscal Sustainability*")</f>
        <v>0</v>
      </c>
      <c r="J32" s="46" t="s">
        <v>1470</v>
      </c>
      <c r="K32" s="46" t="n">
        <f aca="false">COUNTIF(PROJECT!U2:U100,"*Debt Management and Fiscal Sustainability*")</f>
        <v>0</v>
      </c>
      <c r="L32" s="46"/>
      <c r="M32" s="46"/>
      <c r="N32" s="46"/>
      <c r="O32" s="46"/>
      <c r="P32" s="46"/>
      <c r="Q32" s="46"/>
      <c r="R32" s="46"/>
      <c r="S32" s="46"/>
      <c r="T32" s="46"/>
    </row>
    <row collapsed="false" customFormat="false" customHeight="false" hidden="false" ht="12.75" outlineLevel="0" r="33">
      <c r="D33" s="46" t="s">
        <v>104</v>
      </c>
      <c r="E33" s="46" t="s">
        <v>1505</v>
      </c>
      <c r="F33" s="46" t="n">
        <v>0</v>
      </c>
      <c r="G33" s="46" t="n">
        <v>1</v>
      </c>
      <c r="H33" s="46" t="s">
        <v>1470</v>
      </c>
      <c r="I33" s="46" t="n">
        <f aca="false">COUNTIF(EXPERTISE!F4:F50,"*e-Services*")</f>
        <v>0</v>
      </c>
      <c r="J33" s="46" t="s">
        <v>1470</v>
      </c>
      <c r="K33" s="46" t="n">
        <f aca="false">COUNTIF(PROJECT!U2:U100,"*e-Services*")</f>
        <v>0</v>
      </c>
      <c r="L33" s="46"/>
      <c r="M33" s="46"/>
      <c r="N33" s="46"/>
      <c r="O33" s="46"/>
      <c r="P33" s="46"/>
      <c r="Q33" s="46"/>
      <c r="R33" s="46"/>
      <c r="S33" s="46"/>
      <c r="T33" s="46"/>
    </row>
    <row collapsed="false" customFormat="false" customHeight="false" hidden="false" ht="12.75" outlineLevel="0" r="34">
      <c r="D34" s="46" t="s">
        <v>104</v>
      </c>
      <c r="E34" s="46" t="s">
        <v>1506</v>
      </c>
      <c r="F34" s="46" t="n">
        <v>0</v>
      </c>
      <c r="G34" s="46" t="n">
        <v>1</v>
      </c>
      <c r="H34" s="46" t="s">
        <v>1470</v>
      </c>
      <c r="I34" s="46" t="n">
        <f aca="false">COUNTIF(EXPERTISE!F4:F50,"*Financial Consumer Protection and Financial Literacy*")</f>
        <v>0</v>
      </c>
      <c r="J34" s="46" t="s">
        <v>1470</v>
      </c>
      <c r="K34" s="46" t="n">
        <f aca="false">COUNTIF(PROJECT!U2:U100,"*Financial Consumer Protection and Financial Literacy*")</f>
        <v>0</v>
      </c>
      <c r="L34" s="46"/>
      <c r="M34" s="46"/>
      <c r="N34" s="46"/>
      <c r="O34" s="46"/>
      <c r="P34" s="46"/>
      <c r="Q34" s="46"/>
      <c r="R34" s="46"/>
      <c r="S34" s="46"/>
      <c r="T34" s="46"/>
    </row>
    <row collapsed="false" customFormat="false" customHeight="false" hidden="false" ht="12.75" outlineLevel="0" r="35">
      <c r="D35" s="46" t="s">
        <v>104</v>
      </c>
      <c r="E35" s="46" t="s">
        <v>1507</v>
      </c>
      <c r="F35" s="46" t="n">
        <v>0</v>
      </c>
      <c r="G35" s="46" t="n">
        <v>1</v>
      </c>
      <c r="H35" s="46" t="s">
        <v>1470</v>
      </c>
      <c r="I35" s="46" t="n">
        <f aca="false">COUNTIF(EXPERTISE!F4:F50,"*Macroeconomic Management*")</f>
        <v>0</v>
      </c>
      <c r="J35" s="46" t="s">
        <v>1470</v>
      </c>
      <c r="K35" s="46" t="n">
        <f aca="false">COUNTIF(PROJECT!U2:U100,"*Macroeconomic Management*")</f>
        <v>0</v>
      </c>
      <c r="L35" s="46"/>
      <c r="M35" s="46"/>
      <c r="N35" s="46"/>
      <c r="O35" s="46"/>
      <c r="P35" s="46"/>
      <c r="Q35" s="46"/>
      <c r="R35" s="46"/>
      <c r="S35" s="46"/>
      <c r="T35" s="46"/>
    </row>
    <row collapsed="false" customFormat="false" customHeight="false" hidden="false" ht="12.75" outlineLevel="0" r="36">
      <c r="D36" s="46" t="s">
        <v>104</v>
      </c>
      <c r="E36" s="37" t="s">
        <v>1508</v>
      </c>
      <c r="F36" s="46" t="n">
        <v>0</v>
      </c>
      <c r="G36" s="46" t="n">
        <v>1</v>
      </c>
      <c r="H36" s="46" t="s">
        <v>1470</v>
      </c>
      <c r="I36" s="46" t="n">
        <f aca="false">COUNTIF(EXPERTISE!F4:F50,"*Other Financial and Private-Sector Development*")</f>
        <v>0</v>
      </c>
      <c r="J36" s="46" t="s">
        <v>1470</v>
      </c>
      <c r="K36" s="46" t="n">
        <f aca="false">COUNTIF(PROJECT!U2:U100,"*Other Financial and Private-Sector Development*")</f>
        <v>0</v>
      </c>
      <c r="L36" s="46"/>
      <c r="M36" s="46"/>
      <c r="N36" s="46"/>
      <c r="O36" s="46"/>
      <c r="P36" s="46"/>
      <c r="Q36" s="46"/>
      <c r="R36" s="46"/>
      <c r="S36" s="46"/>
      <c r="T36" s="46"/>
    </row>
    <row collapsed="false" customFormat="false" customHeight="false" hidden="false" ht="12.75" outlineLevel="0" r="37">
      <c r="D37" s="46" t="s">
        <v>104</v>
      </c>
      <c r="E37" s="46" t="s">
        <v>1509</v>
      </c>
      <c r="F37" s="46" t="n">
        <v>0</v>
      </c>
      <c r="G37" s="46" t="n">
        <v>1</v>
      </c>
      <c r="H37" s="46" t="s">
        <v>1470</v>
      </c>
      <c r="I37" s="46" t="n">
        <f aca="false">COUNTIF(EXPERTISE!F4:F50,"*Other Financial Sector Development*")</f>
        <v>0</v>
      </c>
      <c r="J37" s="46" t="s">
        <v>1470</v>
      </c>
      <c r="K37" s="46" t="n">
        <f aca="false">COUNTIF(PROJECT!U2:U100,"*Other Financial Sector Development*")</f>
        <v>0</v>
      </c>
      <c r="L37" s="46"/>
      <c r="M37" s="46"/>
      <c r="N37" s="46"/>
      <c r="O37" s="46"/>
      <c r="P37" s="46"/>
      <c r="Q37" s="46"/>
      <c r="R37" s="46"/>
      <c r="S37" s="46"/>
      <c r="T37" s="46"/>
    </row>
    <row collapsed="false" customFormat="false" customHeight="false" hidden="false" ht="12.75" outlineLevel="0" r="38">
      <c r="D38" s="46" t="s">
        <v>104</v>
      </c>
      <c r="E38" s="46" t="s">
        <v>1510</v>
      </c>
      <c r="F38" s="46" t="n">
        <v>0</v>
      </c>
      <c r="G38" s="46" t="n">
        <v>1</v>
      </c>
      <c r="H38" s="46" t="s">
        <v>1470</v>
      </c>
      <c r="I38" s="46" t="n">
        <f aca="false">COUNTIF(EXPERTISE!F4:F50,"*Regulation and Competition Policy*")</f>
        <v>0</v>
      </c>
      <c r="J38" s="46" t="s">
        <v>1470</v>
      </c>
      <c r="K38" s="46" t="n">
        <f aca="false">COUNTIF(PROJECT!U2:U100,"*Regulation and Competition Policy*")</f>
        <v>0</v>
      </c>
      <c r="L38" s="46"/>
      <c r="M38" s="46"/>
      <c r="N38" s="46"/>
      <c r="O38" s="46"/>
      <c r="P38" s="46"/>
      <c r="Q38" s="46"/>
      <c r="R38" s="46"/>
      <c r="S38" s="46"/>
      <c r="T38" s="46"/>
    </row>
    <row collapsed="false" customFormat="false" customHeight="false" hidden="false" ht="12.75" outlineLevel="0" r="39">
      <c r="D39" s="46" t="s">
        <v>1475</v>
      </c>
      <c r="E39" s="46" t="s">
        <v>1511</v>
      </c>
      <c r="F39" s="46" t="n">
        <v>1</v>
      </c>
      <c r="G39" s="46" t="n">
        <v>1</v>
      </c>
      <c r="H39" s="46" t="n">
        <f aca="false">COUNTIF(EXPERTISE!E4:E50,"*Governance*")</f>
        <v>0</v>
      </c>
      <c r="I39" s="46" t="n">
        <f aca="false">COUNTIF(EXPERTISE!F4:F50,"*Access to Law and Justice*")</f>
        <v>0</v>
      </c>
      <c r="J39" s="46" t="n">
        <f aca="false">COUNTIF(PROJECT!T2:T100,"*Governance*")</f>
        <v>0</v>
      </c>
      <c r="K39" s="46" t="n">
        <f aca="false">COUNTIF(PROJECT!U2:U100,"*Access to Law and Justice*")</f>
        <v>0</v>
      </c>
      <c r="L39" s="46"/>
      <c r="M39" s="46"/>
      <c r="N39" s="46"/>
      <c r="O39" s="46"/>
      <c r="P39" s="46"/>
      <c r="Q39" s="46"/>
      <c r="R39" s="46"/>
      <c r="S39" s="46"/>
      <c r="T39" s="46"/>
    </row>
    <row collapsed="false" customFormat="false" customHeight="false" hidden="false" ht="12.75" outlineLevel="0" r="40">
      <c r="D40" s="46" t="s">
        <v>1475</v>
      </c>
      <c r="E40" s="37" t="s">
        <v>1512</v>
      </c>
      <c r="F40" s="46" t="n">
        <v>0</v>
      </c>
      <c r="G40" s="46" t="n">
        <v>1</v>
      </c>
      <c r="H40" s="46" t="s">
        <v>1470</v>
      </c>
      <c r="I40" s="46" t="n">
        <f aca="false">COUNTIF(EXPERTISE!F4:F50,"*Accountability/Transparency*")</f>
        <v>0</v>
      </c>
      <c r="J40" s="46" t="s">
        <v>1470</v>
      </c>
      <c r="K40" s="46" t="n">
        <f aca="false">COUNTIF(PROJECT!U2:U100,"*Accountability/Transparency*")</f>
        <v>0</v>
      </c>
      <c r="L40" s="46"/>
      <c r="M40" s="46"/>
      <c r="N40" s="46"/>
      <c r="O40" s="46"/>
      <c r="P40" s="46"/>
      <c r="Q40" s="46"/>
      <c r="R40" s="46"/>
      <c r="S40" s="46"/>
      <c r="T40" s="46"/>
    </row>
    <row collapsed="false" customFormat="false" customHeight="false" hidden="false" ht="12.75" outlineLevel="0" r="41">
      <c r="D41" s="46" t="s">
        <v>1475</v>
      </c>
      <c r="E41" s="46" t="s">
        <v>1513</v>
      </c>
      <c r="F41" s="46" t="n">
        <v>0</v>
      </c>
      <c r="G41" s="46" t="n">
        <v>1</v>
      </c>
      <c r="H41" s="46" t="s">
        <v>1470</v>
      </c>
      <c r="I41" s="46" t="n">
        <f aca="false">COUNTIF(EXPERTISE!F4:F50,"*Administrative and Civil Service Reform*")</f>
        <v>0</v>
      </c>
      <c r="J41" s="46" t="s">
        <v>1470</v>
      </c>
      <c r="K41" s="46" t="n">
        <f aca="false">COUNTIF(PROJECT!U2:U100,"*Administrative and Civil Service Reform*")</f>
        <v>0</v>
      </c>
      <c r="L41" s="46"/>
      <c r="M41" s="46"/>
      <c r="N41" s="46"/>
      <c r="O41" s="46"/>
      <c r="P41" s="46"/>
      <c r="Q41" s="46"/>
      <c r="R41" s="46"/>
      <c r="S41" s="46"/>
      <c r="T41" s="46"/>
    </row>
    <row collapsed="false" customFormat="false" customHeight="false" hidden="false" ht="12.75" outlineLevel="0" r="42">
      <c r="D42" s="46" t="s">
        <v>1475</v>
      </c>
      <c r="E42" s="37" t="s">
        <v>1514</v>
      </c>
      <c r="F42" s="46" t="n">
        <v>0</v>
      </c>
      <c r="G42" s="46" t="n">
        <v>1</v>
      </c>
      <c r="H42" s="46" t="s">
        <v>1470</v>
      </c>
      <c r="I42" s="37" t="n">
        <f aca="false">COUNTIF(EXPERTISE!F4:F50,"*Anti-Corruption*")</f>
        <v>0</v>
      </c>
      <c r="J42" s="46" t="s">
        <v>1470</v>
      </c>
      <c r="K42" s="37" t="n">
        <f aca="false">COUNTIF(PROJECT!U2:U100,"*Anti-Corruption*")</f>
        <v>0</v>
      </c>
      <c r="L42" s="46"/>
      <c r="M42" s="46"/>
      <c r="N42" s="46"/>
      <c r="O42" s="46"/>
      <c r="P42" s="46"/>
      <c r="Q42" s="46"/>
      <c r="R42" s="46"/>
      <c r="S42" s="46"/>
      <c r="T42" s="46"/>
    </row>
    <row collapsed="false" customFormat="false" customHeight="false" hidden="false" ht="12.75" outlineLevel="0" r="43">
      <c r="D43" s="46" t="s">
        <v>1475</v>
      </c>
      <c r="E43" s="46" t="s">
        <v>1515</v>
      </c>
      <c r="F43" s="46" t="n">
        <v>0</v>
      </c>
      <c r="G43" s="46" t="n">
        <v>1</v>
      </c>
      <c r="H43" s="46" t="s">
        <v>1470</v>
      </c>
      <c r="I43" s="46" t="n">
        <f aca="false">COUNTIF(EXPERTISE!F4:F50,"*Civil Society Participation*")</f>
        <v>0</v>
      </c>
      <c r="J43" s="46" t="s">
        <v>1470</v>
      </c>
      <c r="K43" s="46" t="n">
        <f aca="false">COUNTIF(PROJECT!U2:U100,"*Civil Society Participation*")</f>
        <v>0</v>
      </c>
      <c r="L43" s="46"/>
      <c r="M43" s="46"/>
      <c r="N43" s="46"/>
      <c r="O43" s="46"/>
      <c r="P43" s="46"/>
      <c r="Q43" s="46"/>
      <c r="R43" s="46"/>
      <c r="S43" s="46"/>
      <c r="T43" s="46"/>
    </row>
    <row collapsed="false" customFormat="false" customHeight="false" hidden="false" ht="12.75" outlineLevel="0" r="44">
      <c r="D44" s="46" t="s">
        <v>1475</v>
      </c>
      <c r="E44" s="46" t="s">
        <v>1516</v>
      </c>
      <c r="F44" s="46" t="n">
        <v>0</v>
      </c>
      <c r="G44" s="46" t="n">
        <v>1</v>
      </c>
      <c r="H44" s="46" t="s">
        <v>1470</v>
      </c>
      <c r="I44" s="46" t="n">
        <f aca="false">COUNTIF(EXPERTISE!F4:F50,"*Decentralization*")</f>
        <v>0</v>
      </c>
      <c r="J44" s="46" t="s">
        <v>1470</v>
      </c>
      <c r="K44" s="46" t="n">
        <f aca="false">COUNTIF(PROJECT!U2:U100,"*Decentralization*")</f>
        <v>0</v>
      </c>
      <c r="L44" s="46"/>
      <c r="M44" s="46"/>
      <c r="N44" s="46"/>
      <c r="O44" s="46"/>
      <c r="P44" s="46"/>
      <c r="Q44" s="46"/>
      <c r="R44" s="46"/>
      <c r="S44" s="46"/>
      <c r="T44" s="46"/>
    </row>
    <row collapsed="false" customFormat="false" customHeight="false" hidden="false" ht="12.75" outlineLevel="0" r="45">
      <c r="D45" s="46" t="s">
        <v>1475</v>
      </c>
      <c r="E45" s="46" t="s">
        <v>1517</v>
      </c>
      <c r="F45" s="46" t="n">
        <v>0</v>
      </c>
      <c r="G45" s="46" t="n">
        <v>1</v>
      </c>
      <c r="H45" s="46" t="s">
        <v>1470</v>
      </c>
      <c r="I45" s="46" t="n">
        <f aca="false">COUNTIF(EXPERTISE!F4:F50,"*e-Government*")</f>
        <v>0</v>
      </c>
      <c r="J45" s="46" t="s">
        <v>1470</v>
      </c>
      <c r="K45" s="46" t="n">
        <f aca="false">COUNTIF(PROJECT!U2:U100,"*e-Government*")</f>
        <v>0</v>
      </c>
      <c r="L45" s="46"/>
      <c r="M45" s="46"/>
      <c r="N45" s="46"/>
      <c r="O45" s="46"/>
      <c r="P45" s="46"/>
      <c r="Q45" s="46"/>
      <c r="R45" s="46"/>
      <c r="S45" s="46"/>
      <c r="T45" s="46"/>
    </row>
    <row collapsed="false" customFormat="false" customHeight="false" hidden="false" ht="12.75" outlineLevel="0" r="46">
      <c r="D46" s="46" t="s">
        <v>1475</v>
      </c>
      <c r="E46" s="46" t="s">
        <v>1518</v>
      </c>
      <c r="F46" s="46" t="n">
        <v>0</v>
      </c>
      <c r="G46" s="46" t="n">
        <v>1</v>
      </c>
      <c r="H46" s="46" t="s">
        <v>1470</v>
      </c>
      <c r="I46" s="46" t="n">
        <f aca="false">COUNTIF(EXPERTISE!F4:F50,"*Financial and Economic Governance*")</f>
        <v>0</v>
      </c>
      <c r="J46" s="46" t="s">
        <v>1470</v>
      </c>
      <c r="K46" s="46" t="n">
        <f aca="false">COUNTIF(PROJECT!U2:U100,"*Financial and Economic Governance*")</f>
        <v>0</v>
      </c>
      <c r="L46" s="46"/>
      <c r="M46" s="46"/>
      <c r="N46" s="46"/>
      <c r="O46" s="46"/>
      <c r="P46" s="46"/>
      <c r="Q46" s="46"/>
      <c r="R46" s="46"/>
      <c r="S46" s="46"/>
      <c r="T46" s="46"/>
    </row>
    <row collapsed="false" customFormat="false" customHeight="false" hidden="false" ht="12.75" outlineLevel="0" r="47">
      <c r="D47" s="46" t="s">
        <v>1475</v>
      </c>
      <c r="E47" s="46" t="s">
        <v>1519</v>
      </c>
      <c r="F47" s="46" t="n">
        <v>0</v>
      </c>
      <c r="G47" s="46" t="n">
        <v>1</v>
      </c>
      <c r="H47" s="46" t="s">
        <v>1470</v>
      </c>
      <c r="I47" s="46" t="n">
        <f aca="false">COUNTIF(EXPERTISE!F4:F50,"*Human Rights*")</f>
        <v>0</v>
      </c>
      <c r="J47" s="46" t="s">
        <v>1470</v>
      </c>
      <c r="K47" s="46" t="n">
        <f aca="false">COUNTIF(PROJECT!U2:U100,"*Human Rights*")</f>
        <v>0</v>
      </c>
      <c r="L47" s="46"/>
      <c r="M47" s="46"/>
      <c r="N47" s="46"/>
      <c r="O47" s="46"/>
      <c r="P47" s="46"/>
      <c r="Q47" s="46"/>
      <c r="R47" s="46"/>
      <c r="S47" s="46"/>
      <c r="T47" s="46"/>
    </row>
    <row collapsed="false" customFormat="false" customHeight="false" hidden="false" ht="12.75" outlineLevel="0" r="48">
      <c r="D48" s="46" t="s">
        <v>1475</v>
      </c>
      <c r="E48" s="46" t="s">
        <v>1520</v>
      </c>
      <c r="F48" s="46" t="n">
        <v>0</v>
      </c>
      <c r="G48" s="46" t="n">
        <v>1</v>
      </c>
      <c r="H48" s="46" t="s">
        <v>1470</v>
      </c>
      <c r="I48" s="46" t="n">
        <f aca="false">COUNTIF(EXPERTISE!F4:F50,"*Judicial and Other Dispute Resolution Mechanisms*")</f>
        <v>0</v>
      </c>
      <c r="J48" s="46" t="s">
        <v>1470</v>
      </c>
      <c r="K48" s="46" t="n">
        <f aca="false">COUNTIF(PROJECT!U2:U100,"*Judicial and Other Dispute Resolution Mechanisms*")</f>
        <v>0</v>
      </c>
      <c r="L48" s="46"/>
      <c r="M48" s="46"/>
      <c r="N48" s="46"/>
      <c r="O48" s="46"/>
      <c r="P48" s="46"/>
      <c r="Q48" s="46"/>
      <c r="R48" s="46"/>
      <c r="S48" s="46"/>
      <c r="T48" s="46"/>
    </row>
    <row collapsed="false" customFormat="false" customHeight="false" hidden="false" ht="12.75" outlineLevel="0" r="49">
      <c r="D49" s="46" t="s">
        <v>1475</v>
      </c>
      <c r="E49" s="46" t="s">
        <v>1521</v>
      </c>
      <c r="F49" s="46" t="n">
        <v>0</v>
      </c>
      <c r="G49" s="46" t="n">
        <v>1</v>
      </c>
      <c r="H49" s="46" t="s">
        <v>1470</v>
      </c>
      <c r="I49" s="46" t="n">
        <f aca="false">COUNTIF(EXPERTISE!F4:F50,"*Legal Institutions for a Market Economy*")</f>
        <v>0</v>
      </c>
      <c r="J49" s="46" t="s">
        <v>1470</v>
      </c>
      <c r="K49" s="46" t="n">
        <f aca="false">COUNTIF(PROJECT!U2:U100,"*Legal Institutions for a Market Economy*")</f>
        <v>0</v>
      </c>
      <c r="L49" s="46"/>
      <c r="M49" s="46"/>
      <c r="N49" s="46"/>
      <c r="O49" s="46"/>
      <c r="P49" s="46"/>
      <c r="Q49" s="46"/>
      <c r="R49" s="46"/>
      <c r="S49" s="46"/>
      <c r="T49" s="46"/>
    </row>
    <row collapsed="false" customFormat="false" customHeight="false" hidden="false" ht="12.75" outlineLevel="0" r="50">
      <c r="D50" s="46" t="s">
        <v>1475</v>
      </c>
      <c r="E50" s="46" t="s">
        <v>1522</v>
      </c>
      <c r="F50" s="46" t="n">
        <v>0</v>
      </c>
      <c r="G50" s="46" t="n">
        <v>1</v>
      </c>
      <c r="H50" s="46" t="s">
        <v>1470</v>
      </c>
      <c r="I50" s="46" t="n">
        <f aca="false">COUNTIF(EXPERTISE!F4:F50,"*Legal Reform*")</f>
        <v>0</v>
      </c>
      <c r="J50" s="46" t="s">
        <v>1470</v>
      </c>
      <c r="K50" s="46" t="n">
        <f aca="false">COUNTIF(PROJECT!U2:U100,"*Legal Reform*")</f>
        <v>0</v>
      </c>
      <c r="L50" s="46"/>
      <c r="M50" s="46"/>
      <c r="N50" s="46"/>
      <c r="O50" s="46"/>
      <c r="P50" s="46"/>
      <c r="Q50" s="46"/>
      <c r="R50" s="46"/>
      <c r="S50" s="46"/>
      <c r="T50" s="46"/>
    </row>
    <row collapsed="false" customFormat="false" customHeight="false" hidden="false" ht="12.75" outlineLevel="0" r="51">
      <c r="D51" s="46" t="s">
        <v>1475</v>
      </c>
      <c r="E51" s="46" t="s">
        <v>1523</v>
      </c>
      <c r="F51" s="46" t="n">
        <v>0</v>
      </c>
      <c r="G51" s="46" t="n">
        <v>1</v>
      </c>
      <c r="H51" s="46" t="s">
        <v>1470</v>
      </c>
      <c r="I51" s="46" t="n">
        <f aca="false">COUNTIF(EXPERTISE!F4:F50,"*Legal Services*")</f>
        <v>0</v>
      </c>
      <c r="J51" s="46" t="s">
        <v>1470</v>
      </c>
      <c r="K51" s="46" t="n">
        <f aca="false">COUNTIF(PROJECT!U2:U100,"*Legal Services*")</f>
        <v>0</v>
      </c>
      <c r="L51" s="46"/>
      <c r="M51" s="46"/>
      <c r="N51" s="46"/>
      <c r="O51" s="46"/>
      <c r="P51" s="46"/>
      <c r="Q51" s="46"/>
      <c r="R51" s="46"/>
      <c r="S51" s="46"/>
      <c r="T51" s="46"/>
    </row>
    <row collapsed="false" customFormat="false" customHeight="false" hidden="false" ht="12.75" outlineLevel="0" r="52">
      <c r="D52" s="46" t="s">
        <v>1475</v>
      </c>
      <c r="E52" s="46" t="s">
        <v>1524</v>
      </c>
      <c r="F52" s="46" t="n">
        <v>0</v>
      </c>
      <c r="G52" s="46" t="n">
        <v>1</v>
      </c>
      <c r="H52" s="46" t="s">
        <v>1470</v>
      </c>
      <c r="I52" s="46" t="n">
        <f aca="false">COUNTIF(EXPERTISE!F4:F50,"*Managing for Development Results*")</f>
        <v>0</v>
      </c>
      <c r="J52" s="46" t="s">
        <v>1470</v>
      </c>
      <c r="K52" s="46" t="n">
        <f aca="false">COUNTIF(PROJECT!U2:U100,"*Managing for Development Results*")</f>
        <v>0</v>
      </c>
      <c r="L52" s="46"/>
      <c r="M52" s="46"/>
      <c r="N52" s="46"/>
      <c r="O52" s="46"/>
      <c r="P52" s="46"/>
      <c r="Q52" s="46"/>
      <c r="R52" s="46"/>
      <c r="S52" s="46"/>
      <c r="T52" s="46"/>
    </row>
    <row collapsed="false" customFormat="false" customHeight="false" hidden="false" ht="12.75" outlineLevel="0" r="53">
      <c r="D53" s="46" t="s">
        <v>1475</v>
      </c>
      <c r="E53" s="46" t="s">
        <v>1525</v>
      </c>
      <c r="F53" s="46" t="n">
        <v>0</v>
      </c>
      <c r="G53" s="46" t="n">
        <v>1</v>
      </c>
      <c r="H53" s="46" t="s">
        <v>1470</v>
      </c>
      <c r="I53" s="46" t="n">
        <f aca="false">COUNTIF(EXPERTISE!F4:F50,"*Other Rule of Law*")</f>
        <v>0</v>
      </c>
      <c r="J53" s="46" t="s">
        <v>1470</v>
      </c>
      <c r="K53" s="46" t="n">
        <f aca="false">COUNTIF(PROJECT!U2:U100,"*Other Rule of Law*")</f>
        <v>0</v>
      </c>
      <c r="L53" s="46"/>
      <c r="M53" s="46"/>
      <c r="N53" s="46"/>
      <c r="O53" s="46"/>
      <c r="P53" s="46"/>
      <c r="Q53" s="46"/>
      <c r="R53" s="46"/>
      <c r="S53" s="46"/>
      <c r="T53" s="46"/>
    </row>
    <row collapsed="false" customFormat="false" customHeight="false" hidden="false" ht="12.75" outlineLevel="0" r="54">
      <c r="D54" s="46" t="s">
        <v>1475</v>
      </c>
      <c r="E54" s="46" t="s">
        <v>1526</v>
      </c>
      <c r="F54" s="46" t="n">
        <v>0</v>
      </c>
      <c r="G54" s="46" t="n">
        <v>1</v>
      </c>
      <c r="H54" s="46" t="s">
        <v>1470</v>
      </c>
      <c r="I54" s="46" t="n">
        <f aca="false">COUNTIF(EXPERTISE!F4:F50,"*Personal and Property Rights*")</f>
        <v>0</v>
      </c>
      <c r="J54" s="46" t="s">
        <v>1470</v>
      </c>
      <c r="K54" s="46" t="n">
        <f aca="false">COUNTIF(PROJECT!U2:U100,"*Personal and Property Rights*")</f>
        <v>0</v>
      </c>
      <c r="L54" s="46"/>
      <c r="M54" s="46"/>
      <c r="N54" s="46"/>
      <c r="O54" s="46"/>
      <c r="P54" s="46"/>
      <c r="Q54" s="46"/>
      <c r="R54" s="46"/>
      <c r="S54" s="46"/>
      <c r="T54" s="46"/>
    </row>
    <row collapsed="false" customFormat="false" customHeight="false" hidden="false" ht="12.75" outlineLevel="0" r="55">
      <c r="D55" s="46" t="s">
        <v>1475</v>
      </c>
      <c r="E55" s="46" t="s">
        <v>1527</v>
      </c>
      <c r="F55" s="46" t="n">
        <v>0</v>
      </c>
      <c r="G55" s="46" t="n">
        <v>1</v>
      </c>
      <c r="H55" s="46" t="s">
        <v>1470</v>
      </c>
      <c r="I55" s="46" t="n">
        <f aca="false">COUNTIF(EXPERTISE!F4:F50,"*Policy/Institutional/Legal/Regulatory Reforms*")</f>
        <v>0</v>
      </c>
      <c r="J55" s="46" t="s">
        <v>1470</v>
      </c>
      <c r="K55" s="46" t="n">
        <f aca="false">COUNTIF(PROJECT!U2:U100,"*Policy/Institutional/Legal/Regulatory Reforms*")</f>
        <v>0</v>
      </c>
      <c r="L55" s="46"/>
      <c r="M55" s="46"/>
      <c r="N55" s="46"/>
      <c r="O55" s="46"/>
      <c r="P55" s="46"/>
      <c r="Q55" s="46"/>
      <c r="R55" s="46"/>
      <c r="S55" s="46"/>
      <c r="T55" s="46"/>
    </row>
    <row collapsed="false" customFormat="false" customHeight="false" hidden="false" ht="12.75" outlineLevel="0" r="56">
      <c r="D56" s="46" t="s">
        <v>1475</v>
      </c>
      <c r="E56" s="46" t="s">
        <v>1528</v>
      </c>
      <c r="F56" s="46" t="n">
        <v>0</v>
      </c>
      <c r="G56" s="46" t="n">
        <v>1</v>
      </c>
      <c r="H56" s="46" t="s">
        <v>1470</v>
      </c>
      <c r="I56" s="46" t="n">
        <f aca="false">COUNTIF(EXPERTISE!F4:F50,"*Private Sector Investment*")</f>
        <v>0</v>
      </c>
      <c r="J56" s="46" t="s">
        <v>1470</v>
      </c>
      <c r="K56" s="46" t="n">
        <f aca="false">COUNTIF(PROJECT!U2:U100,"*Private Sector Investment*")</f>
        <v>0</v>
      </c>
      <c r="L56" s="46"/>
      <c r="M56" s="46"/>
      <c r="N56" s="46"/>
      <c r="O56" s="46"/>
      <c r="P56" s="46"/>
      <c r="Q56" s="46"/>
      <c r="R56" s="46"/>
      <c r="S56" s="46"/>
      <c r="T56" s="46"/>
    </row>
    <row collapsed="false" customFormat="false" customHeight="false" hidden="false" ht="12.75" outlineLevel="0" r="57">
      <c r="D57" s="46" t="s">
        <v>1475</v>
      </c>
      <c r="E57" s="37" t="s">
        <v>1529</v>
      </c>
      <c r="F57" s="46" t="n">
        <v>0</v>
      </c>
      <c r="G57" s="46" t="n">
        <v>1</v>
      </c>
      <c r="H57" s="46" t="s">
        <v>1470</v>
      </c>
      <c r="I57" s="37" t="n">
        <f aca="false">COUNTIF(EXPERTISE!F4:F50,"*Privatization -general*")</f>
        <v>0</v>
      </c>
      <c r="J57" s="46" t="s">
        <v>1470</v>
      </c>
      <c r="K57" s="37" t="n">
        <f aca="false">COUNTIF(PROJECT!U2:U100,"*Privatization -general*")</f>
        <v>0</v>
      </c>
      <c r="L57" s="46"/>
      <c r="M57" s="46"/>
      <c r="N57" s="46"/>
      <c r="O57" s="46"/>
      <c r="P57" s="46"/>
      <c r="Q57" s="46"/>
      <c r="R57" s="46"/>
      <c r="S57" s="46"/>
      <c r="T57" s="46"/>
    </row>
    <row collapsed="false" customFormat="false" customHeight="false" hidden="false" ht="12.75" outlineLevel="0" r="58">
      <c r="D58" s="46" t="s">
        <v>1475</v>
      </c>
      <c r="E58" s="46" t="s">
        <v>1530</v>
      </c>
      <c r="F58" s="46" t="n">
        <v>0</v>
      </c>
      <c r="G58" s="46" t="n">
        <v>1</v>
      </c>
      <c r="H58" s="46" t="s">
        <v>1470</v>
      </c>
      <c r="I58" s="46" t="n">
        <f aca="false">COUNTIF(EXPERTISE!F4:F50,"*Public Expenditure, Financial Management and Procurement*")</f>
        <v>0</v>
      </c>
      <c r="J58" s="46" t="s">
        <v>1470</v>
      </c>
      <c r="K58" s="46" t="n">
        <f aca="false">COUNTIF(PROJECT!U2:U100,"*Public Expenditure, Financial Management and Procurement*")</f>
        <v>0</v>
      </c>
      <c r="L58" s="46"/>
      <c r="M58" s="46"/>
      <c r="N58" s="46"/>
      <c r="O58" s="46"/>
      <c r="P58" s="46"/>
      <c r="Q58" s="46"/>
      <c r="R58" s="46"/>
      <c r="S58" s="46"/>
      <c r="T58" s="46"/>
    </row>
    <row collapsed="false" customFormat="false" customHeight="false" hidden="false" ht="12.75" outlineLevel="0" r="59">
      <c r="D59" s="46" t="s">
        <v>1475</v>
      </c>
      <c r="E59" s="46" t="s">
        <v>1531</v>
      </c>
      <c r="F59" s="46" t="n">
        <v>0</v>
      </c>
      <c r="G59" s="46" t="n">
        <v>1</v>
      </c>
      <c r="H59" s="46" t="s">
        <v>1470</v>
      </c>
      <c r="I59" s="46" t="n">
        <f aca="false">COUNTIF(EXPERTISE!F4:F50,"*Public Governance*")</f>
        <v>0</v>
      </c>
      <c r="J59" s="46" t="s">
        <v>1470</v>
      </c>
      <c r="K59" s="46" t="n">
        <f aca="false">COUNTIF(PROJECT!U2:U100,"*Public Governance*")</f>
        <v>0</v>
      </c>
      <c r="L59" s="46"/>
      <c r="M59" s="46"/>
      <c r="N59" s="46"/>
      <c r="O59" s="46"/>
      <c r="P59" s="46"/>
      <c r="Q59" s="46"/>
      <c r="R59" s="46"/>
      <c r="S59" s="46"/>
      <c r="T59" s="46"/>
    </row>
    <row collapsed="false" customFormat="false" customHeight="false" hidden="false" ht="12.75" outlineLevel="0" r="60">
      <c r="D60" s="46" t="s">
        <v>1475</v>
      </c>
      <c r="E60" s="46" t="s">
        <v>1532</v>
      </c>
      <c r="F60" s="46" t="n">
        <v>0</v>
      </c>
      <c r="G60" s="46" t="n">
        <v>1</v>
      </c>
      <c r="H60" s="46" t="s">
        <v>1470</v>
      </c>
      <c r="I60" s="46" t="n">
        <f aca="false">COUNTIF(EXPERTISE!F4:F50,"*Public Sector Governance*")</f>
        <v>0</v>
      </c>
      <c r="J60" s="46" t="s">
        <v>1470</v>
      </c>
      <c r="K60" s="46" t="n">
        <f aca="false">COUNTIF(PROJECT!U2:U100,"*Public Sector Governance*")</f>
        <v>0</v>
      </c>
      <c r="L60" s="46"/>
      <c r="M60" s="46"/>
      <c r="N60" s="46"/>
      <c r="O60" s="46"/>
      <c r="P60" s="46"/>
      <c r="Q60" s="46"/>
      <c r="R60" s="46"/>
      <c r="S60" s="46"/>
      <c r="T60" s="46"/>
    </row>
    <row collapsed="false" customFormat="false" customHeight="false" hidden="false" ht="12.75" outlineLevel="0" r="61">
      <c r="D61" s="46" t="s">
        <v>1475</v>
      </c>
      <c r="E61" s="46" t="s">
        <v>1533</v>
      </c>
      <c r="F61" s="46" t="n">
        <v>0</v>
      </c>
      <c r="G61" s="46" t="n">
        <v>1</v>
      </c>
      <c r="H61" s="46" t="s">
        <v>1470</v>
      </c>
      <c r="I61" s="46" t="n">
        <f aca="false">COUNTIF(EXPERTISE!F4:F50,"*Public-Private Partnerships*")</f>
        <v>0</v>
      </c>
      <c r="J61" s="46" t="s">
        <v>1470</v>
      </c>
      <c r="K61" s="46" t="n">
        <f aca="false">COUNTIF(PROJECT!U2:U100,"*Public-Private Partnerships*")</f>
        <v>0</v>
      </c>
      <c r="L61" s="46"/>
      <c r="M61" s="46"/>
      <c r="N61" s="46"/>
      <c r="O61" s="46"/>
      <c r="P61" s="46"/>
      <c r="Q61" s="46"/>
      <c r="R61" s="46"/>
      <c r="S61" s="46"/>
      <c r="T61" s="46"/>
    </row>
    <row collapsed="false" customFormat="false" customHeight="false" hidden="false" ht="12.75" outlineLevel="0" r="62">
      <c r="D62" s="46" t="s">
        <v>1475</v>
      </c>
      <c r="E62" s="46" t="s">
        <v>1534</v>
      </c>
      <c r="F62" s="46" t="n">
        <v>0</v>
      </c>
      <c r="G62" s="46" t="n">
        <v>1</v>
      </c>
      <c r="H62" s="46" t="s">
        <v>1470</v>
      </c>
      <c r="I62" s="46" t="n">
        <f aca="false">COUNTIF(EXPERTISE!F4:F50,"*Tax Policy and Administration*")</f>
        <v>0</v>
      </c>
      <c r="J62" s="46" t="s">
        <v>1470</v>
      </c>
      <c r="K62" s="46" t="n">
        <f aca="false">COUNTIF(PROJECT!U2:U100,"*Tax Policy and Administration*")</f>
        <v>0</v>
      </c>
      <c r="L62" s="46"/>
      <c r="M62" s="46"/>
      <c r="N62" s="46"/>
      <c r="O62" s="46"/>
      <c r="P62" s="46"/>
      <c r="Q62" s="46"/>
      <c r="R62" s="46"/>
      <c r="S62" s="46"/>
      <c r="T62" s="46"/>
    </row>
    <row collapsed="false" customFormat="false" customHeight="false" hidden="false" ht="12.75" outlineLevel="0" r="63">
      <c r="D63" s="46" t="s">
        <v>1477</v>
      </c>
      <c r="E63" s="46" t="s">
        <v>1535</v>
      </c>
      <c r="F63" s="46" t="n">
        <v>1</v>
      </c>
      <c r="G63" s="46" t="n">
        <v>1</v>
      </c>
      <c r="H63" s="46" t="n">
        <f aca="false">COUNTIF(EXPERTISE!E4:E50,"*Health and Human Welfare*")</f>
        <v>0</v>
      </c>
      <c r="I63" s="46" t="n">
        <f aca="false">COUNTIF(EXPERTISE!F4:F50,"*Child Health*")</f>
        <v>0</v>
      </c>
      <c r="J63" s="46" t="n">
        <f aca="false">COUNTIF(PROJECT!T2:T100,"*Health and Human Welfare*")</f>
        <v>0</v>
      </c>
      <c r="K63" s="46" t="n">
        <f aca="false">COUNTIF(PROJECT!U2:U100,"*Child Health*")</f>
        <v>0</v>
      </c>
      <c r="L63" s="46"/>
      <c r="M63" s="46"/>
      <c r="N63" s="46"/>
      <c r="O63" s="46"/>
      <c r="P63" s="46"/>
      <c r="Q63" s="46"/>
      <c r="R63" s="46"/>
      <c r="S63" s="46"/>
      <c r="T63" s="46"/>
    </row>
    <row collapsed="false" customFormat="false" customHeight="false" hidden="false" ht="12.75" outlineLevel="0" r="64">
      <c r="D64" s="46" t="s">
        <v>1477</v>
      </c>
      <c r="E64" s="46" t="s">
        <v>1536</v>
      </c>
      <c r="F64" s="46" t="n">
        <v>0</v>
      </c>
      <c r="G64" s="46" t="n">
        <v>1</v>
      </c>
      <c r="H64" s="46" t="s">
        <v>1470</v>
      </c>
      <c r="I64" s="46" t="n">
        <f aca="false">COUNTIF(EXPERTISE!F4:F50,"*Education for All*")</f>
        <v>0</v>
      </c>
      <c r="J64" s="46" t="s">
        <v>1470</v>
      </c>
      <c r="K64" s="46" t="n">
        <f aca="false">COUNTIF(PROJECT!U2:U100,"*Education for All*")</f>
        <v>0</v>
      </c>
      <c r="L64" s="46"/>
      <c r="M64" s="46"/>
      <c r="N64" s="46"/>
      <c r="O64" s="46"/>
      <c r="P64" s="46"/>
      <c r="Q64" s="46"/>
      <c r="R64" s="46"/>
      <c r="S64" s="46"/>
      <c r="T64" s="46"/>
    </row>
    <row collapsed="false" customFormat="false" customHeight="false" hidden="false" ht="12.75" outlineLevel="0" r="65">
      <c r="D65" s="46" t="s">
        <v>1477</v>
      </c>
      <c r="E65" s="46" t="s">
        <v>1537</v>
      </c>
      <c r="F65" s="46" t="n">
        <v>0</v>
      </c>
      <c r="G65" s="46" t="n">
        <v>1</v>
      </c>
      <c r="H65" s="46" t="s">
        <v>1470</v>
      </c>
      <c r="I65" s="46" t="n">
        <f aca="false">COUNTIF(EXPERTISE!F4:F50,"*Education for the Knowledge Economy*")</f>
        <v>0</v>
      </c>
      <c r="J65" s="46" t="s">
        <v>1470</v>
      </c>
      <c r="K65" s="46" t="n">
        <f aca="false">COUNTIF(PROJECT!U2:U100,"*Education for the Knowledge Economy*")</f>
        <v>0</v>
      </c>
      <c r="L65" s="46"/>
      <c r="M65" s="46"/>
      <c r="N65" s="46"/>
      <c r="O65" s="46"/>
      <c r="P65" s="46"/>
      <c r="Q65" s="46"/>
      <c r="R65" s="46"/>
      <c r="S65" s="46"/>
      <c r="T65" s="46"/>
    </row>
    <row collapsed="false" customFormat="false" customHeight="false" hidden="false" ht="12.75" outlineLevel="0" r="66">
      <c r="D66" s="46" t="s">
        <v>1477</v>
      </c>
      <c r="E66" s="46" t="s">
        <v>1538</v>
      </c>
      <c r="F66" s="46" t="n">
        <v>0</v>
      </c>
      <c r="G66" s="46" t="n">
        <v>1</v>
      </c>
      <c r="H66" s="46" t="s">
        <v>1470</v>
      </c>
      <c r="I66" s="46" t="n">
        <f aca="false">COUNTIF(EXPERTISE!F4:F50,"*Health System Performance*")</f>
        <v>0</v>
      </c>
      <c r="J66" s="46" t="s">
        <v>1470</v>
      </c>
      <c r="K66" s="46" t="n">
        <f aca="false">COUNTIF(PROJECT!U2:U100,"*Health System Performance*")</f>
        <v>0</v>
      </c>
      <c r="L66" s="46"/>
      <c r="M66" s="46"/>
      <c r="N66" s="46"/>
      <c r="O66" s="46"/>
      <c r="P66" s="46"/>
      <c r="Q66" s="46"/>
      <c r="R66" s="46"/>
      <c r="S66" s="46"/>
      <c r="T66" s="46"/>
    </row>
    <row collapsed="false" customFormat="false" customHeight="false" hidden="false" ht="12.75" outlineLevel="0" r="67">
      <c r="D67" s="46" t="s">
        <v>1477</v>
      </c>
      <c r="E67" s="46" t="s">
        <v>1539</v>
      </c>
      <c r="F67" s="46" t="n">
        <v>0</v>
      </c>
      <c r="G67" s="46" t="n">
        <v>1</v>
      </c>
      <c r="H67" s="46" t="s">
        <v>1470</v>
      </c>
      <c r="I67" s="46" t="n">
        <f aca="false">COUNTIF(EXPERTISE!F4:F50,"*HIV/AIDS*")</f>
        <v>0</v>
      </c>
      <c r="J67" s="46" t="s">
        <v>1470</v>
      </c>
      <c r="K67" s="46" t="n">
        <f aca="false">COUNTIF(PROJECT!U2:U100,"*HIV/AIDS*")</f>
        <v>0</v>
      </c>
      <c r="L67" s="46"/>
      <c r="M67" s="46"/>
      <c r="N67" s="46"/>
      <c r="O67" s="46"/>
      <c r="P67" s="46"/>
      <c r="Q67" s="46"/>
      <c r="R67" s="46"/>
      <c r="S67" s="46"/>
      <c r="T67" s="46"/>
    </row>
    <row collapsed="false" customFormat="false" customHeight="false" hidden="false" ht="12.75" outlineLevel="0" r="68">
      <c r="D68" s="46" t="s">
        <v>1477</v>
      </c>
      <c r="E68" s="46" t="s">
        <v>1540</v>
      </c>
      <c r="F68" s="46" t="n">
        <v>0</v>
      </c>
      <c r="G68" s="46" t="n">
        <v>1</v>
      </c>
      <c r="H68" s="46" t="s">
        <v>1470</v>
      </c>
      <c r="I68" s="46" t="n">
        <f aca="false">COUNTIF(EXPERTISE!F4:F50,"*Injuries and Non-Communicable Diseases*")</f>
        <v>0</v>
      </c>
      <c r="J68" s="46" t="s">
        <v>1470</v>
      </c>
      <c r="K68" s="46" t="n">
        <f aca="false">COUNTIF(PROJECT!U2:U100,"*Injuries and Non-Communicable Diseases*")</f>
        <v>0</v>
      </c>
      <c r="L68" s="46"/>
      <c r="M68" s="46"/>
      <c r="N68" s="46"/>
      <c r="O68" s="46"/>
      <c r="P68" s="46"/>
      <c r="Q68" s="46"/>
      <c r="R68" s="46"/>
      <c r="S68" s="46"/>
      <c r="T68" s="46"/>
    </row>
    <row collapsed="false" customFormat="false" customHeight="false" hidden="false" ht="12.75" outlineLevel="0" r="69">
      <c r="D69" s="46" t="s">
        <v>1477</v>
      </c>
      <c r="E69" s="46" t="s">
        <v>1541</v>
      </c>
      <c r="F69" s="46" t="n">
        <v>0</v>
      </c>
      <c r="G69" s="46" t="n">
        <v>1</v>
      </c>
      <c r="H69" s="46" t="s">
        <v>1470</v>
      </c>
      <c r="I69" s="46" t="n">
        <f aca="false">COUNTIF(EXPERTISE!F4:F50,"*Malaria*")</f>
        <v>0</v>
      </c>
      <c r="J69" s="46" t="s">
        <v>1470</v>
      </c>
      <c r="K69" s="46" t="n">
        <f aca="false">COUNTIF(PROJECT!U2:U100,"*Malaria*")</f>
        <v>0</v>
      </c>
      <c r="L69" s="46"/>
      <c r="M69" s="46"/>
      <c r="N69" s="46"/>
      <c r="O69" s="46"/>
      <c r="P69" s="46"/>
      <c r="Q69" s="46"/>
      <c r="R69" s="46"/>
      <c r="S69" s="46"/>
      <c r="T69" s="46"/>
    </row>
    <row collapsed="false" customFormat="false" customHeight="false" hidden="false" ht="12.75" outlineLevel="0" r="70">
      <c r="D70" s="46" t="s">
        <v>1477</v>
      </c>
      <c r="E70" s="46" t="s">
        <v>116</v>
      </c>
      <c r="F70" s="46" t="n">
        <v>0</v>
      </c>
      <c r="G70" s="46" t="n">
        <v>1</v>
      </c>
      <c r="H70" s="46" t="s">
        <v>1470</v>
      </c>
      <c r="I70" s="46" t="n">
        <f aca="false">COUNTIF(EXPERTISE!F4:F50,"*Nutrition and Food Security*")</f>
        <v>1</v>
      </c>
      <c r="J70" s="46" t="s">
        <v>1470</v>
      </c>
      <c r="K70" s="46" t="n">
        <f aca="false">COUNTIF(PROJECT!U2:U100,"*Nutrition and Food Security*")</f>
        <v>0</v>
      </c>
      <c r="L70" s="46"/>
      <c r="M70" s="46"/>
      <c r="N70" s="46"/>
      <c r="O70" s="46"/>
      <c r="P70" s="46"/>
      <c r="Q70" s="46"/>
      <c r="R70" s="46"/>
      <c r="S70" s="46"/>
      <c r="T70" s="46"/>
    </row>
    <row collapsed="false" customFormat="false" customHeight="false" hidden="false" ht="12.75" outlineLevel="0" r="71">
      <c r="D71" s="46" t="s">
        <v>1477</v>
      </c>
      <c r="E71" s="46" t="s">
        <v>1542</v>
      </c>
      <c r="F71" s="46" t="n">
        <v>0</v>
      </c>
      <c r="G71" s="46" t="n">
        <v>1</v>
      </c>
      <c r="H71" s="46" t="s">
        <v>1470</v>
      </c>
      <c r="I71" s="46" t="n">
        <f aca="false">COUNTIF(EXPERTISE!F4:F50,"*Other Communicable Diseases*")</f>
        <v>0</v>
      </c>
      <c r="J71" s="46" t="s">
        <v>1470</v>
      </c>
      <c r="K71" s="46" t="n">
        <f aca="false">COUNTIF(PROJECT!U2:U100,"*Other Communicable Diseases*")</f>
        <v>0</v>
      </c>
      <c r="L71" s="46"/>
      <c r="M71" s="46"/>
      <c r="N71" s="46"/>
      <c r="O71" s="46"/>
      <c r="P71" s="46"/>
      <c r="Q71" s="46"/>
      <c r="R71" s="46"/>
      <c r="S71" s="46"/>
      <c r="T71" s="46"/>
    </row>
    <row collapsed="false" customFormat="false" customHeight="false" hidden="false" ht="12.75" outlineLevel="0" r="72">
      <c r="D72" s="46" t="s">
        <v>1477</v>
      </c>
      <c r="E72" s="46" t="s">
        <v>1543</v>
      </c>
      <c r="F72" s="46" t="n">
        <v>0</v>
      </c>
      <c r="G72" s="46" t="n">
        <v>1</v>
      </c>
      <c r="H72" s="46" t="s">
        <v>1470</v>
      </c>
      <c r="I72" s="46" t="n">
        <f aca="false">COUNTIF(EXPERTISE!F4:F50,"*Other Human Development*")</f>
        <v>0</v>
      </c>
      <c r="J72" s="46" t="s">
        <v>1470</v>
      </c>
      <c r="K72" s="46" t="n">
        <f aca="false">COUNTIF(PROJECT!U2:U100,"*Other Human Development*")</f>
        <v>0</v>
      </c>
      <c r="L72" s="46"/>
      <c r="M72" s="46"/>
      <c r="N72" s="46"/>
      <c r="O72" s="46"/>
      <c r="P72" s="46"/>
      <c r="Q72" s="46"/>
      <c r="R72" s="46"/>
      <c r="S72" s="46"/>
      <c r="T72" s="46"/>
    </row>
    <row collapsed="false" customFormat="false" customHeight="false" hidden="false" ht="12.75" outlineLevel="0" r="73">
      <c r="D73" s="46" t="s">
        <v>1477</v>
      </c>
      <c r="E73" s="46" t="s">
        <v>1544</v>
      </c>
      <c r="F73" s="46" t="n">
        <v>0</v>
      </c>
      <c r="G73" s="46" t="n">
        <v>1</v>
      </c>
      <c r="H73" s="46" t="s">
        <v>1470</v>
      </c>
      <c r="I73" s="46" t="n">
        <f aca="false">COUNTIF(EXPERTISE!F4:F50,"*Population and Reproductive Health*")</f>
        <v>0</v>
      </c>
      <c r="J73" s="46" t="s">
        <v>1470</v>
      </c>
      <c r="K73" s="46" t="n">
        <f aca="false">COUNTIF(PROJECT!U2:U100,"*Population and Reproductive Health*")</f>
        <v>0</v>
      </c>
      <c r="L73" s="46"/>
      <c r="M73" s="46"/>
      <c r="N73" s="46"/>
      <c r="O73" s="46"/>
      <c r="P73" s="46"/>
      <c r="Q73" s="46"/>
      <c r="R73" s="46"/>
      <c r="S73" s="46"/>
      <c r="T73" s="46"/>
    </row>
    <row collapsed="false" customFormat="false" customHeight="false" hidden="false" ht="12.75" outlineLevel="0" r="74">
      <c r="D74" s="46" t="s">
        <v>1477</v>
      </c>
      <c r="E74" s="46" t="s">
        <v>1545</v>
      </c>
      <c r="F74" s="46" t="n">
        <v>0</v>
      </c>
      <c r="G74" s="46" t="n">
        <v>1</v>
      </c>
      <c r="H74" s="46" t="s">
        <v>1470</v>
      </c>
      <c r="I74" s="46" t="n">
        <f aca="false">COUNTIF(EXPERTISE!F4:F50,"*Tuberculosis*")</f>
        <v>0</v>
      </c>
      <c r="J74" s="46" t="s">
        <v>1470</v>
      </c>
      <c r="K74" s="46" t="n">
        <f aca="false">COUNTIF(PROJECT!U2:U100,"*Tuberculosis*")</f>
        <v>0</v>
      </c>
      <c r="L74" s="46"/>
      <c r="M74" s="46"/>
      <c r="N74" s="46"/>
      <c r="O74" s="46"/>
      <c r="P74" s="46"/>
      <c r="Q74" s="46"/>
      <c r="R74" s="46"/>
      <c r="S74" s="46"/>
      <c r="T74" s="46"/>
    </row>
    <row collapsed="false" customFormat="false" customHeight="false" hidden="false" ht="12.75" outlineLevel="0" r="75">
      <c r="D75" s="46" t="s">
        <v>1479</v>
      </c>
      <c r="E75" s="46" t="s">
        <v>1546</v>
      </c>
      <c r="F75" s="46" t="n">
        <v>1</v>
      </c>
      <c r="G75" s="46" t="n">
        <v>1</v>
      </c>
      <c r="H75" s="46" t="n">
        <f aca="false">COUNTIF(EXPERTISE!E4:E50,"*Rural Development*")</f>
        <v>0</v>
      </c>
      <c r="I75" s="46" t="n">
        <f aca="false">COUNTIF(EXPERTISE!F4:F50,"*Global Food Crisis Response*")</f>
        <v>0</v>
      </c>
      <c r="J75" s="46" t="n">
        <f aca="false">COUNTIF(PROJECT!T2:T100,"*Rural Development*")</f>
        <v>0</v>
      </c>
      <c r="K75" s="46" t="n">
        <f aca="false">COUNTIF(PROJECT!U2:U100,"*Global Food Crisis Response*")</f>
        <v>0</v>
      </c>
      <c r="L75" s="46"/>
      <c r="M75" s="46"/>
      <c r="N75" s="46"/>
      <c r="O75" s="46"/>
      <c r="P75" s="46"/>
      <c r="Q75" s="46"/>
      <c r="R75" s="46"/>
      <c r="S75" s="46"/>
      <c r="T75" s="46"/>
    </row>
    <row collapsed="false" customFormat="false" customHeight="false" hidden="false" ht="12.75" outlineLevel="0" r="76">
      <c r="D76" s="46" t="s">
        <v>1479</v>
      </c>
      <c r="E76" s="46" t="s">
        <v>1547</v>
      </c>
      <c r="F76" s="46" t="n">
        <v>0</v>
      </c>
      <c r="G76" s="46" t="n">
        <v>1</v>
      </c>
      <c r="H76" s="46" t="s">
        <v>1470</v>
      </c>
      <c r="I76" s="46" t="n">
        <f aca="false">COUNTIF(EXPERTISE!F4:F50,"*Other Rural Development*")</f>
        <v>0</v>
      </c>
      <c r="J76" s="46" t="s">
        <v>1470</v>
      </c>
      <c r="K76" s="46" t="n">
        <f aca="false">COUNTIF(PROJECT!U2:U100,"*Other Rural Development*")</f>
        <v>0</v>
      </c>
      <c r="L76" s="46"/>
      <c r="M76" s="46"/>
      <c r="N76" s="46"/>
      <c r="O76" s="46"/>
      <c r="P76" s="46"/>
      <c r="Q76" s="46"/>
      <c r="R76" s="46"/>
      <c r="S76" s="46"/>
      <c r="T76" s="46"/>
    </row>
    <row collapsed="false" customFormat="false" customHeight="false" hidden="false" ht="12.75" outlineLevel="0" r="77">
      <c r="D77" s="46" t="s">
        <v>1479</v>
      </c>
      <c r="E77" s="46" t="s">
        <v>1548</v>
      </c>
      <c r="F77" s="46" t="n">
        <v>0</v>
      </c>
      <c r="G77" s="46" t="n">
        <v>1</v>
      </c>
      <c r="H77" s="46" t="s">
        <v>1470</v>
      </c>
      <c r="I77" s="46" t="n">
        <f aca="false">COUNTIF(EXPERTISE!F4:F50,"*Rural Markets*")</f>
        <v>0</v>
      </c>
      <c r="J77" s="46" t="s">
        <v>1470</v>
      </c>
      <c r="K77" s="46" t="n">
        <f aca="false">COUNTIF(PROJECT!U2:U100,"*Rural Markets*")</f>
        <v>0</v>
      </c>
      <c r="L77" s="46"/>
      <c r="M77" s="46"/>
      <c r="N77" s="46"/>
      <c r="O77" s="46"/>
      <c r="P77" s="46"/>
      <c r="Q77" s="46"/>
      <c r="R77" s="46"/>
      <c r="S77" s="46"/>
      <c r="T77" s="46"/>
    </row>
    <row collapsed="false" customFormat="false" customHeight="false" hidden="false" ht="12.75" outlineLevel="0" r="78">
      <c r="D78" s="46" t="s">
        <v>1479</v>
      </c>
      <c r="E78" s="46" t="s">
        <v>1549</v>
      </c>
      <c r="F78" s="46" t="n">
        <v>0</v>
      </c>
      <c r="G78" s="46" t="n">
        <v>1</v>
      </c>
      <c r="H78" s="46" t="s">
        <v>1470</v>
      </c>
      <c r="I78" s="46" t="n">
        <f aca="false">COUNTIF(EXPERTISE!F4:F50,"*Rural Non-Farm Income Generation*")</f>
        <v>0</v>
      </c>
      <c r="J78" s="46" t="s">
        <v>1470</v>
      </c>
      <c r="K78" s="46" t="n">
        <f aca="false">COUNTIF(PROJECT!U2:U100,"*Rural Non-Farm Income Generation*")</f>
        <v>0</v>
      </c>
      <c r="L78" s="46"/>
      <c r="M78" s="46"/>
      <c r="N78" s="46"/>
      <c r="O78" s="46"/>
      <c r="P78" s="46"/>
      <c r="Q78" s="46"/>
      <c r="R78" s="46"/>
      <c r="S78" s="46"/>
      <c r="T78" s="46"/>
    </row>
    <row collapsed="false" customFormat="false" customHeight="false" hidden="false" ht="12.75" outlineLevel="0" r="79">
      <c r="D79" s="46" t="s">
        <v>1479</v>
      </c>
      <c r="E79" s="46" t="s">
        <v>1550</v>
      </c>
      <c r="F79" s="46" t="n">
        <v>0</v>
      </c>
      <c r="G79" s="46" t="n">
        <v>1</v>
      </c>
      <c r="H79" s="46" t="s">
        <v>1470</v>
      </c>
      <c r="I79" s="46" t="n">
        <f aca="false">COUNTIF(EXPERTISE!F4:F50,"*Rural Policies and Institutions*")</f>
        <v>0</v>
      </c>
      <c r="J79" s="46" t="s">
        <v>1470</v>
      </c>
      <c r="K79" s="46" t="n">
        <f aca="false">COUNTIF(PROJECT!U2:U100,"*Rural Policies and Institutions*")</f>
        <v>0</v>
      </c>
      <c r="L79" s="46"/>
      <c r="M79" s="46"/>
      <c r="N79" s="46"/>
      <c r="O79" s="46"/>
      <c r="P79" s="46"/>
      <c r="Q79" s="46"/>
      <c r="R79" s="46"/>
      <c r="S79" s="46"/>
      <c r="T79" s="46"/>
    </row>
    <row collapsed="false" customFormat="false" customHeight="false" hidden="false" ht="12.75" outlineLevel="0" r="80">
      <c r="D80" s="46" t="s">
        <v>1479</v>
      </c>
      <c r="E80" s="46" t="s">
        <v>1551</v>
      </c>
      <c r="F80" s="46" t="n">
        <v>0</v>
      </c>
      <c r="G80" s="46" t="n">
        <v>1</v>
      </c>
      <c r="H80" s="46" t="s">
        <v>1470</v>
      </c>
      <c r="I80" s="46" t="n">
        <f aca="false">COUNTIF(EXPERTISE!F4:F50,"*Rural Services and Infrastructure*")</f>
        <v>0</v>
      </c>
      <c r="J80" s="46" t="s">
        <v>1470</v>
      </c>
      <c r="K80" s="46" t="n">
        <f aca="false">COUNTIF(PROJECT!U2:U100,"*Rural Services and Infrastructure*")</f>
        <v>0</v>
      </c>
      <c r="L80" s="46"/>
      <c r="M80" s="46"/>
      <c r="N80" s="46"/>
      <c r="O80" s="46"/>
      <c r="P80" s="46"/>
      <c r="Q80" s="46"/>
      <c r="R80" s="46"/>
      <c r="S80" s="46"/>
      <c r="T80" s="46"/>
    </row>
    <row collapsed="false" customFormat="false" customHeight="false" hidden="false" ht="12.75" outlineLevel="0" r="81">
      <c r="D81" s="46" t="s">
        <v>1481</v>
      </c>
      <c r="E81" s="46" t="s">
        <v>1552</v>
      </c>
      <c r="F81" s="46" t="n">
        <v>1</v>
      </c>
      <c r="G81" s="46" t="n">
        <v>1</v>
      </c>
      <c r="H81" s="46" t="n">
        <f aca="false">COUNTIF(EXPERTISE!E4:E50,"*Social Investment*")</f>
        <v>0</v>
      </c>
      <c r="I81" s="46" t="n">
        <f aca="false">COUNTIF(EXPERTISE!F4:F50,"*Communication Infrastructure*")</f>
        <v>0</v>
      </c>
      <c r="J81" s="46" t="n">
        <f aca="false">COUNTIF(PROJECT!T2:T100,"*Social Investment*")</f>
        <v>0</v>
      </c>
      <c r="K81" s="46" t="n">
        <f aca="false">COUNTIF(PROJECT!U2:U100,"*Communication Infrastructure*")</f>
        <v>0</v>
      </c>
      <c r="L81" s="46"/>
      <c r="M81" s="46"/>
      <c r="N81" s="46"/>
      <c r="O81" s="46"/>
      <c r="P81" s="46"/>
      <c r="Q81" s="46"/>
      <c r="R81" s="46"/>
      <c r="S81" s="46"/>
      <c r="T81" s="46"/>
    </row>
    <row collapsed="false" customFormat="false" customHeight="false" hidden="false" ht="12.75" outlineLevel="0" r="82">
      <c r="D82" s="46" t="s">
        <v>1481</v>
      </c>
      <c r="E82" s="46" t="s">
        <v>1553</v>
      </c>
      <c r="F82" s="46" t="n">
        <v>0</v>
      </c>
      <c r="G82" s="46" t="n">
        <v>1</v>
      </c>
      <c r="H82" s="46" t="s">
        <v>1470</v>
      </c>
      <c r="I82" s="46" t="n">
        <f aca="false">COUNTIF(EXPERTISE!F4:F50,"*Improving Labor Markets*")</f>
        <v>0</v>
      </c>
      <c r="J82" s="46" t="s">
        <v>1470</v>
      </c>
      <c r="K82" s="46" t="n">
        <f aca="false">COUNTIF(PROJECT!U2:U100,"*Improving Labor Markets*")</f>
        <v>0</v>
      </c>
      <c r="L82" s="46"/>
      <c r="M82" s="46"/>
      <c r="N82" s="46"/>
      <c r="O82" s="46"/>
      <c r="P82" s="46"/>
      <c r="Q82" s="46"/>
      <c r="R82" s="46"/>
      <c r="S82" s="46"/>
      <c r="T82" s="46"/>
    </row>
    <row collapsed="false" customFormat="false" customHeight="false" hidden="false" ht="12.75" outlineLevel="0" r="83">
      <c r="D83" s="46" t="s">
        <v>1481</v>
      </c>
      <c r="E83" s="46" t="s">
        <v>1554</v>
      </c>
      <c r="F83" s="46" t="n">
        <v>0</v>
      </c>
      <c r="G83" s="46" t="n">
        <v>1</v>
      </c>
      <c r="H83" s="46" t="s">
        <v>1470</v>
      </c>
      <c r="I83" s="46" t="n">
        <f aca="false">COUNTIF(EXPERTISE!F4:F50,"*Local Business Investment*")</f>
        <v>0</v>
      </c>
      <c r="J83" s="46" t="s">
        <v>1470</v>
      </c>
      <c r="K83" s="46" t="n">
        <f aca="false">COUNTIF(PROJECT!U2:U100,"*Local Business Investment*")</f>
        <v>0</v>
      </c>
      <c r="L83" s="46"/>
      <c r="M83" s="46"/>
      <c r="N83" s="46"/>
      <c r="O83" s="46"/>
      <c r="P83" s="46"/>
      <c r="Q83" s="46"/>
      <c r="R83" s="46"/>
      <c r="S83" s="46"/>
      <c r="T83" s="46"/>
    </row>
    <row collapsed="false" customFormat="false" customHeight="false" hidden="false" ht="12.75" outlineLevel="0" r="84">
      <c r="D84" s="46" t="s">
        <v>110</v>
      </c>
      <c r="E84" s="46" t="s">
        <v>1555</v>
      </c>
      <c r="F84" s="46" t="n">
        <v>0</v>
      </c>
      <c r="G84" s="46" t="n">
        <v>1</v>
      </c>
      <c r="H84" s="46" t="n">
        <f aca="false">COUNTIF(EXPERTISE!E7:E53,"*Social Protection*")</f>
        <v>0</v>
      </c>
      <c r="I84" s="46" t="n">
        <f aca="false">COUNTIF(EXPERTISE!F4:F50,"*Cultural Heritage*")</f>
        <v>0</v>
      </c>
      <c r="J84" s="46" t="n">
        <f aca="false">COUNTIF(PROJECT!T2:T100,"*Social Protection*")</f>
        <v>0</v>
      </c>
      <c r="K84" s="46" t="n">
        <f aca="false">COUNTIF(PROJECT!U2:U100,"*Cultural Heritage*")</f>
        <v>0</v>
      </c>
      <c r="L84" s="46"/>
      <c r="M84" s="46"/>
      <c r="N84" s="46"/>
      <c r="O84" s="46"/>
      <c r="P84" s="46"/>
      <c r="Q84" s="46"/>
      <c r="R84" s="46"/>
      <c r="S84" s="46"/>
      <c r="T84" s="46"/>
    </row>
    <row collapsed="false" customFormat="false" customHeight="false" hidden="false" ht="12.75" outlineLevel="0" r="85">
      <c r="D85" s="46" t="s">
        <v>110</v>
      </c>
      <c r="E85" s="37" t="s">
        <v>1556</v>
      </c>
      <c r="F85" s="46" t="n">
        <v>0</v>
      </c>
      <c r="G85" s="46" t="n">
        <v>1</v>
      </c>
      <c r="H85" s="46" t="s">
        <v>1470</v>
      </c>
      <c r="I85" s="37" t="n">
        <f aca="false">COUNTIF(EXPERTISE!F4:F50,"*Gender -general*")</f>
        <v>0</v>
      </c>
      <c r="J85" s="46" t="s">
        <v>1470</v>
      </c>
      <c r="K85" s="37" t="n">
        <f aca="false">COUNTIF(PROJECT!U2:U100,"*Gender -general*")</f>
        <v>0</v>
      </c>
      <c r="L85" s="46"/>
      <c r="M85" s="46"/>
      <c r="N85" s="46"/>
      <c r="O85" s="46"/>
      <c r="P85" s="46"/>
      <c r="Q85" s="46"/>
      <c r="R85" s="46"/>
      <c r="S85" s="46"/>
      <c r="T85" s="46"/>
    </row>
    <row collapsed="false" customFormat="false" customHeight="false" hidden="false" ht="12.75" outlineLevel="0" r="86">
      <c r="D86" s="46" t="s">
        <v>110</v>
      </c>
      <c r="E86" s="46" t="s">
        <v>1557</v>
      </c>
      <c r="F86" s="46" t="n">
        <v>0</v>
      </c>
      <c r="G86" s="46" t="n">
        <v>1</v>
      </c>
      <c r="H86" s="46" t="s">
        <v>1470</v>
      </c>
      <c r="I86" s="46" t="n">
        <f aca="false">COUNTIF(EXPERTISE!F4:F50,"*Gender Equity in Capabilities*")</f>
        <v>0</v>
      </c>
      <c r="J86" s="46" t="s">
        <v>1470</v>
      </c>
      <c r="K86" s="46" t="n">
        <f aca="false">COUNTIF(PROJECT!U2:U100,"*Gender Equity in Capabilities*")</f>
        <v>0</v>
      </c>
      <c r="L86" s="46"/>
      <c r="M86" s="46"/>
      <c r="N86" s="46"/>
      <c r="O86" s="46"/>
      <c r="P86" s="46"/>
      <c r="Q86" s="46"/>
      <c r="R86" s="46"/>
      <c r="S86" s="46"/>
      <c r="T86" s="46"/>
    </row>
    <row collapsed="false" customFormat="false" customHeight="false" hidden="false" ht="12.75" outlineLevel="0" r="87">
      <c r="D87" s="46" t="s">
        <v>110</v>
      </c>
      <c r="E87" s="46" t="s">
        <v>111</v>
      </c>
      <c r="F87" s="46" t="n">
        <v>0</v>
      </c>
      <c r="G87" s="46" t="n">
        <v>1</v>
      </c>
      <c r="H87" s="46" t="s">
        <v>1470</v>
      </c>
      <c r="I87" s="46" t="n">
        <f aca="false">COUNTIF(EXPERTISE!F4:F50,"*Gender Equity in Empowerment and Rights*")</f>
        <v>1</v>
      </c>
      <c r="J87" s="46" t="s">
        <v>1470</v>
      </c>
      <c r="K87" s="46" t="n">
        <f aca="false">COUNTIF(PROJECT!U2:U100,"*Gender Equity in Empowerment and Rights*")</f>
        <v>0</v>
      </c>
      <c r="L87" s="46"/>
      <c r="M87" s="46"/>
      <c r="N87" s="46"/>
      <c r="O87" s="46"/>
      <c r="P87" s="46"/>
      <c r="Q87" s="46"/>
      <c r="R87" s="46"/>
      <c r="S87" s="46"/>
      <c r="T87" s="46"/>
    </row>
    <row collapsed="false" customFormat="false" customHeight="false" hidden="false" ht="12.75" outlineLevel="0" r="88">
      <c r="D88" s="46" t="s">
        <v>110</v>
      </c>
      <c r="E88" s="46" t="s">
        <v>1558</v>
      </c>
      <c r="F88" s="46" t="n">
        <v>0</v>
      </c>
      <c r="G88" s="46" t="n">
        <v>1</v>
      </c>
      <c r="H88" s="46" t="s">
        <v>1470</v>
      </c>
      <c r="I88" s="46" t="n">
        <f aca="false">COUNTIF(EXPERTISE!F4:F50,"*Gender Equity in Opportunities*")</f>
        <v>0</v>
      </c>
      <c r="J88" s="46" t="s">
        <v>1470</v>
      </c>
      <c r="K88" s="46" t="n">
        <f aca="false">COUNTIF(PROJECT!U2:U100,"*Gender Equity in Opportunities*")</f>
        <v>0</v>
      </c>
      <c r="L88" s="46"/>
      <c r="M88" s="46"/>
      <c r="N88" s="46"/>
      <c r="O88" s="46"/>
      <c r="P88" s="46"/>
      <c r="Q88" s="46"/>
      <c r="R88" s="46"/>
      <c r="S88" s="46"/>
      <c r="T88" s="46"/>
    </row>
    <row collapsed="false" customFormat="false" customHeight="false" hidden="false" ht="12.75" outlineLevel="0" r="89">
      <c r="D89" s="46" t="s">
        <v>110</v>
      </c>
      <c r="E89" s="46" t="s">
        <v>1559</v>
      </c>
      <c r="F89" s="46" t="n">
        <v>0</v>
      </c>
      <c r="G89" s="46" t="n">
        <v>1</v>
      </c>
      <c r="H89" s="46" t="s">
        <v>1470</v>
      </c>
      <c r="I89" s="46" t="n">
        <f aca="false">COUNTIF(EXPERTISE!F4:F50,"*Indigenous Peoples*")</f>
        <v>0</v>
      </c>
      <c r="J89" s="46" t="s">
        <v>1470</v>
      </c>
      <c r="K89" s="46" t="n">
        <f aca="false">COUNTIF(PROJECT!U2:U100,"*Indigenous Peoples*")</f>
        <v>0</v>
      </c>
      <c r="L89" s="46"/>
      <c r="M89" s="46"/>
      <c r="N89" s="46"/>
      <c r="O89" s="46"/>
      <c r="P89" s="46"/>
      <c r="Q89" s="46"/>
      <c r="R89" s="46"/>
      <c r="S89" s="46"/>
      <c r="T89" s="46"/>
    </row>
    <row collapsed="false" customFormat="false" customHeight="false" hidden="false" ht="12.75" outlineLevel="0" r="90">
      <c r="D90" s="46" t="s">
        <v>110</v>
      </c>
      <c r="E90" s="46" t="s">
        <v>1560</v>
      </c>
      <c r="F90" s="46" t="n">
        <v>0</v>
      </c>
      <c r="G90" s="46" t="n">
        <v>1</v>
      </c>
      <c r="H90" s="46" t="s">
        <v>1470</v>
      </c>
      <c r="I90" s="46" t="n">
        <f aca="false">COUNTIF(EXPERTISE!F4:F50,"*Involuntary Resettlement*")</f>
        <v>0</v>
      </c>
      <c r="J90" s="46" t="s">
        <v>1470</v>
      </c>
      <c r="K90" s="46" t="n">
        <f aca="false">COUNTIF(PROJECT!U2:U100,"*Involuntary Resettlement*")</f>
        <v>0</v>
      </c>
      <c r="L90" s="46"/>
      <c r="M90" s="46"/>
      <c r="N90" s="46"/>
      <c r="O90" s="46"/>
      <c r="P90" s="46"/>
      <c r="Q90" s="46"/>
      <c r="R90" s="46"/>
      <c r="S90" s="46"/>
      <c r="T90" s="46"/>
    </row>
    <row collapsed="false" customFormat="false" customHeight="false" hidden="false" ht="12.75" outlineLevel="0" r="91">
      <c r="D91" s="46" t="s">
        <v>110</v>
      </c>
      <c r="E91" s="46" t="s">
        <v>1561</v>
      </c>
      <c r="F91" s="46" t="n">
        <v>0</v>
      </c>
      <c r="G91" s="46" t="n">
        <v>1</v>
      </c>
      <c r="H91" s="46" t="s">
        <v>1470</v>
      </c>
      <c r="I91" s="46" t="n">
        <f aca="false">COUNTIF(EXPERTISE!F4:F50,"*Natural Disaster Management*")</f>
        <v>0</v>
      </c>
      <c r="J91" s="46" t="s">
        <v>1470</v>
      </c>
      <c r="K91" s="46" t="n">
        <f aca="false">COUNTIF(PROJECT!U2:U100,"*Natural Disaster Management*")</f>
        <v>0</v>
      </c>
      <c r="L91" s="46"/>
      <c r="M91" s="46"/>
      <c r="N91" s="46"/>
      <c r="O91" s="46"/>
      <c r="P91" s="46"/>
      <c r="Q91" s="46"/>
      <c r="R91" s="46"/>
      <c r="S91" s="46"/>
      <c r="T91" s="46"/>
    </row>
    <row collapsed="false" customFormat="false" customHeight="false" hidden="false" ht="12.75" outlineLevel="0" r="92">
      <c r="D92" s="46" t="s">
        <v>110</v>
      </c>
      <c r="E92" s="46" t="s">
        <v>1562</v>
      </c>
      <c r="F92" s="46" t="n">
        <v>0</v>
      </c>
      <c r="G92" s="46" t="n">
        <v>1</v>
      </c>
      <c r="H92" s="46" t="s">
        <v>1470</v>
      </c>
      <c r="I92" s="46" t="n">
        <f aca="false">COUNTIF(EXPERTISE!F4:F50,"*Poverty Analysis*")</f>
        <v>0</v>
      </c>
      <c r="J92" s="46" t="s">
        <v>1470</v>
      </c>
      <c r="K92" s="46" t="n">
        <f aca="false">COUNTIF(PROJECT!U2:U100,"*Poverty Analysis*")</f>
        <v>0</v>
      </c>
      <c r="L92" s="46"/>
      <c r="M92" s="46"/>
      <c r="N92" s="46"/>
      <c r="O92" s="46"/>
      <c r="P92" s="46"/>
      <c r="Q92" s="46"/>
      <c r="R92" s="46"/>
      <c r="S92" s="46"/>
      <c r="T92" s="46"/>
    </row>
    <row collapsed="false" customFormat="false" customHeight="false" hidden="false" ht="12.75" outlineLevel="0" r="93">
      <c r="D93" s="46" t="s">
        <v>110</v>
      </c>
      <c r="E93" s="46" t="s">
        <v>1563</v>
      </c>
      <c r="F93" s="46" t="n">
        <v>0</v>
      </c>
      <c r="G93" s="46" t="n">
        <v>1</v>
      </c>
      <c r="H93" s="46" t="s">
        <v>1470</v>
      </c>
      <c r="I93" s="46" t="n">
        <f aca="false">COUNTIF(EXPERTISE!F4:F50,"*Poverty Monitoring*")</f>
        <v>0</v>
      </c>
      <c r="J93" s="46" t="s">
        <v>1470</v>
      </c>
      <c r="K93" s="46" t="n">
        <f aca="false">COUNTIF(PROJECT!U2:U100,"*Poverty Monitoring*")</f>
        <v>0</v>
      </c>
      <c r="L93" s="46"/>
      <c r="M93" s="46"/>
      <c r="N93" s="46"/>
      <c r="O93" s="46"/>
      <c r="P93" s="46"/>
      <c r="Q93" s="46"/>
      <c r="R93" s="46"/>
      <c r="S93" s="46"/>
      <c r="T93" s="46"/>
    </row>
    <row collapsed="false" customFormat="false" customHeight="false" hidden="false" ht="12.75" outlineLevel="0" r="94">
      <c r="D94" s="46" t="s">
        <v>110</v>
      </c>
      <c r="E94" s="46" t="s">
        <v>121</v>
      </c>
      <c r="F94" s="46" t="n">
        <v>0</v>
      </c>
      <c r="G94" s="46" t="n">
        <v>1</v>
      </c>
      <c r="H94" s="46" t="s">
        <v>1470</v>
      </c>
      <c r="I94" s="46" t="n">
        <f aca="false">COUNTIF(EXPERTISE!F4:F50,"*Poverty Reduction Strategy*")</f>
        <v>1</v>
      </c>
      <c r="J94" s="46" t="s">
        <v>1470</v>
      </c>
      <c r="K94" s="46" t="n">
        <f aca="false">COUNTIF(PROJECT!U2:U100,"*Poverty Reduction Strategy*")</f>
        <v>0</v>
      </c>
      <c r="L94" s="46"/>
      <c r="M94" s="46"/>
      <c r="N94" s="46"/>
      <c r="O94" s="46"/>
      <c r="P94" s="46"/>
      <c r="Q94" s="46"/>
      <c r="R94" s="46"/>
      <c r="S94" s="46"/>
      <c r="T94" s="46"/>
    </row>
    <row collapsed="false" customFormat="false" customHeight="false" hidden="false" ht="12.75" outlineLevel="0" r="95">
      <c r="D95" s="46" t="s">
        <v>110</v>
      </c>
      <c r="E95" s="46" t="s">
        <v>1564</v>
      </c>
      <c r="F95" s="46" t="n">
        <v>0</v>
      </c>
      <c r="G95" s="46" t="n">
        <v>1</v>
      </c>
      <c r="H95" s="46" t="s">
        <v>1470</v>
      </c>
      <c r="I95" s="46" t="n">
        <f aca="false">COUNTIF(EXPERTISE!F4:F50,"*Risk Assessment*")</f>
        <v>0</v>
      </c>
      <c r="J95" s="46" t="s">
        <v>1470</v>
      </c>
      <c r="K95" s="46" t="n">
        <f aca="false">COUNTIF(PROJECT!U2:U100,"*Risk Assessment*")</f>
        <v>0</v>
      </c>
      <c r="L95" s="46"/>
      <c r="M95" s="46"/>
      <c r="N95" s="46"/>
      <c r="O95" s="46"/>
      <c r="P95" s="46"/>
      <c r="Q95" s="46"/>
      <c r="R95" s="46"/>
      <c r="S95" s="46"/>
      <c r="T95" s="46"/>
    </row>
    <row collapsed="false" customFormat="false" customHeight="false" hidden="false" ht="12.75" outlineLevel="0" r="96">
      <c r="D96" s="46" t="s">
        <v>110</v>
      </c>
      <c r="E96" s="46" t="s">
        <v>1565</v>
      </c>
      <c r="F96" s="46" t="n">
        <v>0</v>
      </c>
      <c r="G96" s="46" t="n">
        <v>1</v>
      </c>
      <c r="H96" s="46" t="s">
        <v>1470</v>
      </c>
      <c r="I96" s="46" t="n">
        <f aca="false">COUNTIF(EXPERTISE!F4:F50,"*Social Analysis and Monitoring*")</f>
        <v>0</v>
      </c>
      <c r="J96" s="46" t="s">
        <v>1470</v>
      </c>
      <c r="K96" s="46" t="n">
        <f aca="false">COUNTIF(PROJECT!U2:U100,"*Social Analysis and Monitoring*")</f>
        <v>0</v>
      </c>
      <c r="L96" s="46"/>
      <c r="M96" s="46"/>
      <c r="N96" s="46"/>
      <c r="O96" s="46"/>
      <c r="P96" s="46"/>
      <c r="Q96" s="46"/>
      <c r="R96" s="46"/>
      <c r="S96" s="46"/>
      <c r="T96" s="46"/>
    </row>
    <row collapsed="false" customFormat="false" customHeight="false" hidden="false" ht="12.75" outlineLevel="0" r="97">
      <c r="D97" s="46" t="s">
        <v>110</v>
      </c>
      <c r="E97" s="46" t="s">
        <v>1566</v>
      </c>
      <c r="F97" s="46" t="n">
        <v>0</v>
      </c>
      <c r="G97" s="46" t="n">
        <v>1</v>
      </c>
      <c r="H97" s="46" t="s">
        <v>1470</v>
      </c>
      <c r="I97" s="46" t="n">
        <f aca="false">COUNTIF(EXPERTISE!F4:F50,"*Social Inclusion*")</f>
        <v>0</v>
      </c>
      <c r="J97" s="46" t="s">
        <v>1470</v>
      </c>
      <c r="K97" s="46" t="n">
        <f aca="false">COUNTIF(PROJECT!U2:U100,"*Social Inclusion*")</f>
        <v>0</v>
      </c>
      <c r="L97" s="46"/>
      <c r="M97" s="46"/>
      <c r="N97" s="46"/>
      <c r="O97" s="46"/>
      <c r="P97" s="46"/>
      <c r="Q97" s="46"/>
      <c r="R97" s="46"/>
      <c r="S97" s="46"/>
      <c r="T97" s="46"/>
    </row>
    <row collapsed="false" customFormat="false" customHeight="false" hidden="false" ht="12.75" outlineLevel="0" r="98">
      <c r="D98" s="46" t="s">
        <v>110</v>
      </c>
      <c r="E98" s="46" t="s">
        <v>1567</v>
      </c>
      <c r="F98" s="46" t="n">
        <v>0</v>
      </c>
      <c r="G98" s="46" t="n">
        <v>1</v>
      </c>
      <c r="H98" s="46" t="s">
        <v>1470</v>
      </c>
      <c r="I98" s="46" t="n">
        <f aca="false">COUNTIF(EXPERTISE!F4:F50,"*Social Protection and Risk Management*")</f>
        <v>0</v>
      </c>
      <c r="J98" s="46" t="s">
        <v>1470</v>
      </c>
      <c r="K98" s="46" t="n">
        <f aca="false">COUNTIF(PROJECT!U2:U100,"*Social Protection and Risk Management*")</f>
        <v>0</v>
      </c>
      <c r="L98" s="46"/>
      <c r="M98" s="46"/>
      <c r="N98" s="46"/>
      <c r="O98" s="46"/>
      <c r="P98" s="46"/>
      <c r="Q98" s="46"/>
      <c r="R98" s="46"/>
      <c r="S98" s="46"/>
      <c r="T98" s="46"/>
    </row>
    <row collapsed="false" customFormat="false" customHeight="false" hidden="false" ht="12.75" outlineLevel="0" r="99">
      <c r="D99" s="46" t="s">
        <v>110</v>
      </c>
      <c r="E99" s="46" t="s">
        <v>1568</v>
      </c>
      <c r="F99" s="46" t="n">
        <v>0</v>
      </c>
      <c r="G99" s="46" t="n">
        <v>1</v>
      </c>
      <c r="H99" s="46" t="s">
        <v>1470</v>
      </c>
      <c r="I99" s="46" t="n">
        <f aca="false">COUNTIF(EXPERTISE!F4:F50,"*Social Risk Mitigation*")</f>
        <v>0</v>
      </c>
      <c r="J99" s="46" t="s">
        <v>1470</v>
      </c>
      <c r="K99" s="46" t="n">
        <f aca="false">COUNTIF(PROJECT!U2:U100,"*Social Risk Mitigation*")</f>
        <v>0</v>
      </c>
      <c r="L99" s="46"/>
      <c r="M99" s="46"/>
      <c r="N99" s="46"/>
      <c r="O99" s="46"/>
      <c r="P99" s="46"/>
      <c r="Q99" s="46"/>
      <c r="R99" s="46"/>
      <c r="S99" s="46"/>
      <c r="T99" s="46"/>
    </row>
    <row collapsed="false" customFormat="false" customHeight="false" hidden="false" ht="12.75" outlineLevel="0" r="100">
      <c r="D100" s="46" t="s">
        <v>110</v>
      </c>
      <c r="E100" s="46" t="s">
        <v>1569</v>
      </c>
      <c r="F100" s="46" t="n">
        <v>0</v>
      </c>
      <c r="G100" s="46" t="n">
        <v>1</v>
      </c>
      <c r="H100" s="46" t="s">
        <v>1470</v>
      </c>
      <c r="I100" s="46" t="n">
        <f aca="false">COUNTIF(EXPERTISE!F4:F50,"*Social Safety Nets*")</f>
        <v>0</v>
      </c>
      <c r="J100" s="46" t="s">
        <v>1470</v>
      </c>
      <c r="K100" s="46" t="n">
        <f aca="false">COUNTIF(PROJECT!U2:U100,"*Social Safety Nets*")</f>
        <v>0</v>
      </c>
      <c r="L100" s="46"/>
      <c r="M100" s="46"/>
      <c r="N100" s="46"/>
      <c r="O100" s="46"/>
      <c r="P100" s="46"/>
      <c r="Q100" s="46"/>
      <c r="R100" s="46"/>
      <c r="S100" s="46"/>
      <c r="T100" s="46"/>
    </row>
    <row collapsed="false" customFormat="false" customHeight="false" hidden="false" ht="12.75" outlineLevel="0" r="101">
      <c r="D101" s="46" t="s">
        <v>110</v>
      </c>
      <c r="E101" s="46" t="s">
        <v>1570</v>
      </c>
      <c r="F101" s="46" t="n">
        <v>0</v>
      </c>
      <c r="G101" s="46" t="n">
        <v>1</v>
      </c>
      <c r="H101" s="46" t="s">
        <v>1470</v>
      </c>
      <c r="I101" s="46" t="n">
        <f aca="false">COUNTIF(EXPERTISE!F4:F50,"*Vulnerability Assessment*")</f>
        <v>0</v>
      </c>
      <c r="J101" s="46" t="s">
        <v>1470</v>
      </c>
      <c r="K101" s="46" t="n">
        <f aca="false">COUNTIF(PROJECT!U2:U100,"*Vulnerability Assessment*")</f>
        <v>0</v>
      </c>
      <c r="L101" s="46"/>
      <c r="M101" s="46"/>
      <c r="N101" s="46"/>
      <c r="O101" s="46"/>
      <c r="P101" s="46"/>
      <c r="Q101" s="46"/>
      <c r="R101" s="46"/>
      <c r="S101" s="46"/>
      <c r="T101" s="46"/>
    </row>
    <row collapsed="false" customFormat="false" customHeight="false" hidden="false" ht="12.75" outlineLevel="0" r="102">
      <c r="D102" s="46" t="s">
        <v>110</v>
      </c>
      <c r="E102" s="46" t="s">
        <v>1571</v>
      </c>
      <c r="F102" s="46" t="n">
        <v>0</v>
      </c>
      <c r="G102" s="46" t="n">
        <v>1</v>
      </c>
      <c r="H102" s="46" t="s">
        <v>1470</v>
      </c>
      <c r="I102" s="46" t="n">
        <f aca="false">COUNTIF(EXPERTISE!F4:F50,"*Vulnerability Monitoring*")</f>
        <v>0</v>
      </c>
      <c r="J102" s="46" t="s">
        <v>1470</v>
      </c>
      <c r="K102" s="46" t="n">
        <f aca="false">COUNTIF(PROJECT!U2:U100,"*Vulnerability Monitoring*")</f>
        <v>0</v>
      </c>
      <c r="L102" s="46"/>
      <c r="M102" s="46"/>
      <c r="N102" s="46"/>
      <c r="O102" s="46"/>
      <c r="P102" s="46"/>
      <c r="Q102" s="46"/>
      <c r="R102" s="46"/>
      <c r="S102" s="46"/>
      <c r="T102" s="46"/>
    </row>
    <row collapsed="false" customFormat="false" customHeight="false" hidden="false" ht="12.75" outlineLevel="0" r="103">
      <c r="D103" s="46" t="s">
        <v>110</v>
      </c>
      <c r="E103" s="46" t="s">
        <v>122</v>
      </c>
      <c r="F103" s="46" t="n">
        <v>0</v>
      </c>
      <c r="G103" s="46" t="n">
        <v>1</v>
      </c>
      <c r="H103" s="46" t="s">
        <v>1470</v>
      </c>
      <c r="I103" s="46" t="n">
        <f aca="false">COUNTIF(EXPERTISE!F4:F50,"*Vulnerable Groups*")</f>
        <v>1</v>
      </c>
      <c r="J103" s="46" t="s">
        <v>1470</v>
      </c>
      <c r="K103" s="46" t="n">
        <f aca="false">COUNTIF(PROJECT!U2:U100,"*Vulnerable Groups*")</f>
        <v>0</v>
      </c>
      <c r="L103" s="46"/>
      <c r="M103" s="46"/>
      <c r="N103" s="46"/>
      <c r="O103" s="46"/>
      <c r="P103" s="46"/>
      <c r="Q103" s="46"/>
      <c r="R103" s="46"/>
      <c r="S103" s="46"/>
      <c r="T103" s="46"/>
    </row>
    <row collapsed="false" customFormat="false" customHeight="false" hidden="false" ht="12.75" outlineLevel="0" r="104">
      <c r="D104" s="46" t="s">
        <v>1484</v>
      </c>
      <c r="E104" s="46" t="s">
        <v>1572</v>
      </c>
      <c r="F104" s="46" t="n">
        <v>1</v>
      </c>
      <c r="G104" s="46" t="n">
        <v>1</v>
      </c>
      <c r="H104" s="46" t="n">
        <f aca="false">COUNTIF(EXPERTISE!E4:E50,"*Trade and Integration*")</f>
        <v>0</v>
      </c>
      <c r="I104" s="46" t="n">
        <f aca="false">COUNTIF(EXPERTISE!F4:F50,"*Cross-Border Infrastructure*")</f>
        <v>0</v>
      </c>
      <c r="J104" s="46" t="n">
        <f aca="false">COUNTIF(PROJECT!T2:T100,"*Trade and Integration*")</f>
        <v>0</v>
      </c>
      <c r="K104" s="46" t="n">
        <f aca="false">COUNTIF(PROJECT!U2:U100,"*Cross-Border Infrastructure*")</f>
        <v>0</v>
      </c>
      <c r="L104" s="46"/>
      <c r="M104" s="46"/>
      <c r="N104" s="46"/>
      <c r="O104" s="46"/>
      <c r="P104" s="46"/>
      <c r="Q104" s="46"/>
      <c r="R104" s="46"/>
      <c r="S104" s="46"/>
      <c r="T104" s="46"/>
    </row>
    <row collapsed="false" customFormat="false" customHeight="false" hidden="false" ht="12.75" outlineLevel="0" r="105">
      <c r="D105" s="46" t="s">
        <v>1484</v>
      </c>
      <c r="E105" s="46" t="s">
        <v>1573</v>
      </c>
      <c r="F105" s="46" t="n">
        <v>0</v>
      </c>
      <c r="G105" s="46" t="n">
        <v>1</v>
      </c>
      <c r="H105" s="46" t="s">
        <v>1470</v>
      </c>
      <c r="I105" s="46" t="n">
        <f aca="false">COUNTIF(EXPERTISE!F4:F50,"*Export Development and Competitiveness*")</f>
        <v>0</v>
      </c>
      <c r="J105" s="46" t="s">
        <v>1470</v>
      </c>
      <c r="K105" s="46" t="n">
        <f aca="false">COUNTIF(PROJECT!U2:U100,"*Export Development and Competitiveness*")</f>
        <v>0</v>
      </c>
      <c r="L105" s="46"/>
      <c r="M105" s="46"/>
      <c r="N105" s="46"/>
      <c r="O105" s="46"/>
      <c r="P105" s="46"/>
      <c r="Q105" s="46"/>
      <c r="R105" s="46"/>
      <c r="S105" s="46"/>
      <c r="T105" s="46"/>
    </row>
    <row collapsed="false" customFormat="false" customHeight="false" hidden="false" ht="12.75" outlineLevel="0" r="106">
      <c r="D106" s="46" t="s">
        <v>1484</v>
      </c>
      <c r="E106" s="46" t="s">
        <v>1574</v>
      </c>
      <c r="F106" s="46" t="n">
        <v>0</v>
      </c>
      <c r="G106" s="46" t="n">
        <v>1</v>
      </c>
      <c r="H106" s="46" t="s">
        <v>1470</v>
      </c>
      <c r="I106" s="46" t="n">
        <f aca="false">COUNTIF(EXPERTISE!F4:F50,"*International Financial Architecture*")</f>
        <v>0</v>
      </c>
      <c r="J106" s="46" t="s">
        <v>1470</v>
      </c>
      <c r="K106" s="46" t="n">
        <f aca="false">COUNTIF(PROJECT!U2:U100,"*International Financial Architecture*")</f>
        <v>0</v>
      </c>
      <c r="L106" s="46"/>
      <c r="M106" s="46"/>
      <c r="N106" s="46"/>
      <c r="O106" s="46"/>
      <c r="P106" s="46"/>
      <c r="Q106" s="46"/>
      <c r="R106" s="46"/>
      <c r="S106" s="46"/>
      <c r="T106" s="46"/>
    </row>
    <row collapsed="false" customFormat="false" customHeight="false" hidden="false" ht="12.75" outlineLevel="0" r="107">
      <c r="D107" s="46" t="s">
        <v>1484</v>
      </c>
      <c r="E107" s="46" t="s">
        <v>1575</v>
      </c>
      <c r="F107" s="46" t="n">
        <v>0</v>
      </c>
      <c r="G107" s="46" t="n">
        <v>1</v>
      </c>
      <c r="H107" s="46" t="s">
        <v>1470</v>
      </c>
      <c r="I107" s="46" t="n">
        <f aca="false">COUNTIF(EXPERTISE!F4:F50,"*International Financial Institutional Trade Networks and Systems*")</f>
        <v>0</v>
      </c>
      <c r="J107" s="46" t="s">
        <v>1470</v>
      </c>
      <c r="K107" s="46" t="n">
        <f aca="false">COUNTIF(PROJECT!U2:U100,"*International Financial Institutional Trade Networks and Systems*")</f>
        <v>0</v>
      </c>
      <c r="L107" s="46"/>
      <c r="M107" s="46"/>
      <c r="N107" s="46"/>
      <c r="O107" s="46"/>
      <c r="P107" s="46"/>
      <c r="Q107" s="46"/>
      <c r="R107" s="46"/>
      <c r="S107" s="46"/>
      <c r="T107" s="46"/>
    </row>
    <row collapsed="false" customFormat="false" customHeight="false" hidden="false" ht="12.75" outlineLevel="0" r="108">
      <c r="D108" s="46" t="s">
        <v>1484</v>
      </c>
      <c r="E108" s="46" t="s">
        <v>1576</v>
      </c>
      <c r="F108" s="46" t="n">
        <v>0</v>
      </c>
      <c r="G108" s="46" t="n">
        <v>1</v>
      </c>
      <c r="H108" s="46" t="s">
        <v>1470</v>
      </c>
      <c r="I108" s="46" t="n">
        <f aca="false">COUNTIF(EXPERTISE!F4:F50,"*International Financial Standards and Systems*")</f>
        <v>0</v>
      </c>
      <c r="J108" s="46" t="s">
        <v>1470</v>
      </c>
      <c r="K108" s="46" t="n">
        <f aca="false">COUNTIF(PROJECT!U2:U100,"*International Financial Standards and Systems*")</f>
        <v>0</v>
      </c>
      <c r="L108" s="46"/>
      <c r="M108" s="46"/>
      <c r="N108" s="46"/>
      <c r="O108" s="46"/>
      <c r="P108" s="46"/>
      <c r="Q108" s="46"/>
      <c r="R108" s="46"/>
      <c r="S108" s="46"/>
      <c r="T108" s="46"/>
    </row>
    <row collapsed="false" customFormat="false" customHeight="false" hidden="false" ht="12.75" outlineLevel="0" r="109">
      <c r="D109" s="46" t="s">
        <v>1484</v>
      </c>
      <c r="E109" s="46" t="s">
        <v>1577</v>
      </c>
      <c r="F109" s="46" t="n">
        <v>0</v>
      </c>
      <c r="G109" s="46" t="n">
        <v>1</v>
      </c>
      <c r="H109" s="46" t="s">
        <v>1470</v>
      </c>
      <c r="I109" s="46" t="n">
        <f aca="false">COUNTIF(EXPERTISE!F4:F50,"*Money and Finance*")</f>
        <v>0</v>
      </c>
      <c r="J109" s="46" t="s">
        <v>1470</v>
      </c>
      <c r="K109" s="46" t="n">
        <f aca="false">COUNTIF(PROJECT!U2:U100,"*Money and Finance*")</f>
        <v>0</v>
      </c>
      <c r="L109" s="46"/>
      <c r="M109" s="46"/>
      <c r="N109" s="46"/>
      <c r="O109" s="46"/>
      <c r="P109" s="46"/>
      <c r="Q109" s="46"/>
      <c r="R109" s="46"/>
      <c r="S109" s="46"/>
      <c r="T109" s="46"/>
    </row>
    <row collapsed="false" customFormat="false" customHeight="false" hidden="false" ht="12.75" outlineLevel="0" r="110">
      <c r="D110" s="46" t="s">
        <v>1484</v>
      </c>
      <c r="E110" s="46" t="s">
        <v>1578</v>
      </c>
      <c r="F110" s="46" t="n">
        <v>0</v>
      </c>
      <c r="G110" s="46" t="n">
        <v>1</v>
      </c>
      <c r="H110" s="46" t="s">
        <v>1470</v>
      </c>
      <c r="I110" s="46" t="n">
        <f aca="false">COUNTIF(EXPERTISE!F4:F50,"*Other Trade and Integration*")</f>
        <v>0</v>
      </c>
      <c r="J110" s="46" t="s">
        <v>1470</v>
      </c>
      <c r="K110" s="46" t="n">
        <f aca="false">COUNTIF(PROJECT!U2:U100,"*Other Trade and Integration*")</f>
        <v>0</v>
      </c>
      <c r="L110" s="46"/>
      <c r="M110" s="46"/>
      <c r="N110" s="46"/>
      <c r="O110" s="46"/>
      <c r="P110" s="46"/>
      <c r="Q110" s="46"/>
      <c r="R110" s="46"/>
      <c r="S110" s="46"/>
      <c r="T110" s="46"/>
    </row>
    <row collapsed="false" customFormat="false" customHeight="false" hidden="false" ht="12.75" outlineLevel="0" r="111">
      <c r="D111" s="46" t="s">
        <v>1484</v>
      </c>
      <c r="E111" s="46" t="s">
        <v>1579</v>
      </c>
      <c r="F111" s="46" t="n">
        <v>0</v>
      </c>
      <c r="G111" s="46" t="n">
        <v>1</v>
      </c>
      <c r="H111" s="46" t="s">
        <v>1470</v>
      </c>
      <c r="I111" s="46" t="n">
        <f aca="false">COUNTIF(EXPERTISE!F4:F50,"*Regional Integration*")</f>
        <v>0</v>
      </c>
      <c r="J111" s="46" t="s">
        <v>1470</v>
      </c>
      <c r="K111" s="46" t="n">
        <f aca="false">COUNTIF(PROJECT!U2:U100,"*Regional Integration*")</f>
        <v>0</v>
      </c>
      <c r="L111" s="46"/>
      <c r="M111" s="46"/>
      <c r="N111" s="46"/>
      <c r="O111" s="46"/>
      <c r="P111" s="46"/>
      <c r="Q111" s="46"/>
      <c r="R111" s="46"/>
      <c r="S111" s="46"/>
      <c r="T111" s="46"/>
    </row>
    <row collapsed="false" customFormat="false" customHeight="false" hidden="false" ht="12.75" outlineLevel="0" r="112">
      <c r="D112" s="46" t="s">
        <v>1484</v>
      </c>
      <c r="E112" s="46" t="s">
        <v>1580</v>
      </c>
      <c r="F112" s="46" t="n">
        <v>0</v>
      </c>
      <c r="G112" s="46" t="n">
        <v>1</v>
      </c>
      <c r="H112" s="46" t="s">
        <v>1470</v>
      </c>
      <c r="I112" s="46" t="n">
        <f aca="false">COUNTIF(EXPERTISE!F4:F50,"*Regional Public Goods*")</f>
        <v>0</v>
      </c>
      <c r="J112" s="46" t="s">
        <v>1470</v>
      </c>
      <c r="K112" s="46" t="n">
        <f aca="false">COUNTIF(PROJECT!U2:U100,"*Regional Public Goods*")</f>
        <v>0</v>
      </c>
      <c r="L112" s="46"/>
      <c r="M112" s="46"/>
      <c r="N112" s="46"/>
      <c r="O112" s="46"/>
      <c r="P112" s="46"/>
      <c r="Q112" s="46"/>
      <c r="R112" s="46"/>
      <c r="S112" s="46"/>
      <c r="T112" s="46"/>
    </row>
    <row collapsed="false" customFormat="false" customHeight="false" hidden="false" ht="12.75" outlineLevel="0" r="113">
      <c r="D113" s="46" t="s">
        <v>1484</v>
      </c>
      <c r="E113" s="46" t="s">
        <v>1581</v>
      </c>
      <c r="F113" s="46" t="n">
        <v>0</v>
      </c>
      <c r="G113" s="46" t="n">
        <v>1</v>
      </c>
      <c r="H113" s="46" t="s">
        <v>1470</v>
      </c>
      <c r="I113" s="46" t="n">
        <f aca="false">COUNTIF(EXPERTISE!F4:F50,"*Technology Diffusion*")</f>
        <v>0</v>
      </c>
      <c r="J113" s="46" t="s">
        <v>1470</v>
      </c>
      <c r="K113" s="46" t="n">
        <f aca="false">COUNTIF(PROJECT!U2:U100,"*Technology Diffusion*")</f>
        <v>0</v>
      </c>
      <c r="L113" s="46"/>
      <c r="M113" s="46"/>
      <c r="N113" s="46"/>
      <c r="O113" s="46"/>
      <c r="P113" s="46"/>
      <c r="Q113" s="46"/>
      <c r="R113" s="46"/>
      <c r="S113" s="46"/>
      <c r="T113" s="46"/>
    </row>
    <row collapsed="false" customFormat="false" customHeight="false" hidden="false" ht="12.75" outlineLevel="0" r="114">
      <c r="D114" s="46" t="s">
        <v>1484</v>
      </c>
      <c r="E114" s="46" t="s">
        <v>1582</v>
      </c>
      <c r="F114" s="46" t="n">
        <v>0</v>
      </c>
      <c r="G114" s="46" t="n">
        <v>1</v>
      </c>
      <c r="H114" s="46" t="s">
        <v>1470</v>
      </c>
      <c r="I114" s="46" t="n">
        <f aca="false">COUNTIF(EXPERTISE!F4:F50,"*Trade and Investments*")</f>
        <v>0</v>
      </c>
      <c r="J114" s="46" t="s">
        <v>1470</v>
      </c>
      <c r="K114" s="46" t="n">
        <f aca="false">COUNTIF(PROJECT!U2:U100,"*Trade and Investments*")</f>
        <v>0</v>
      </c>
      <c r="L114" s="46"/>
      <c r="M114" s="46"/>
      <c r="N114" s="46"/>
      <c r="O114" s="46"/>
      <c r="P114" s="46"/>
      <c r="Q114" s="46"/>
      <c r="R114" s="46"/>
      <c r="S114" s="46"/>
      <c r="T114" s="46"/>
    </row>
    <row collapsed="false" customFormat="false" customHeight="false" hidden="false" ht="12.75" outlineLevel="0" r="115">
      <c r="D115" s="46" t="s">
        <v>1484</v>
      </c>
      <c r="E115" s="46" t="s">
        <v>1583</v>
      </c>
      <c r="F115" s="46" t="n">
        <v>0</v>
      </c>
      <c r="G115" s="46" t="n">
        <v>1</v>
      </c>
      <c r="H115" s="46" t="s">
        <v>1470</v>
      </c>
      <c r="I115" s="46" t="n">
        <f aca="false">COUNTIF(EXPERTISE!F4:F50,"*Trade Facilitation and Market Access*")</f>
        <v>0</v>
      </c>
      <c r="J115" s="46" t="s">
        <v>1470</v>
      </c>
      <c r="K115" s="46" t="n">
        <f aca="false">COUNTIF(PROJECT!U2:U100,"*Trade Facilitation and Market Access*")</f>
        <v>0</v>
      </c>
      <c r="L115" s="46"/>
      <c r="M115" s="46"/>
      <c r="N115" s="46"/>
      <c r="O115" s="46"/>
      <c r="P115" s="46"/>
      <c r="Q115" s="46"/>
      <c r="R115" s="46"/>
      <c r="S115" s="46"/>
      <c r="T115" s="46"/>
    </row>
    <row collapsed="false" customFormat="false" customHeight="false" hidden="false" ht="12.75" outlineLevel="0" r="116">
      <c r="D116" s="46" t="s">
        <v>1486</v>
      </c>
      <c r="E116" s="46" t="s">
        <v>1584</v>
      </c>
      <c r="F116" s="46" t="n">
        <v>1</v>
      </c>
      <c r="G116" s="46" t="n">
        <v>1</v>
      </c>
      <c r="H116" s="46" t="n">
        <f aca="false">COUNTIF(EXPERTISE!E4:E50,"*Urban Development*")</f>
        <v>0</v>
      </c>
      <c r="I116" s="46" t="n">
        <f aca="false">COUNTIF(EXPERTISE!F4:F50,"*City-Wide Infrastructure*")</f>
        <v>0</v>
      </c>
      <c r="J116" s="46" t="n">
        <f aca="false">COUNTIF(PROJECT!T2:T100,"*Urban Development*")</f>
        <v>0</v>
      </c>
      <c r="K116" s="46" t="n">
        <f aca="false">COUNTIF(PROJECT!U2:U100,"*City-Wide Infrastructure*")</f>
        <v>0</v>
      </c>
      <c r="L116" s="46"/>
      <c r="M116" s="46"/>
      <c r="N116" s="46"/>
      <c r="O116" s="46"/>
      <c r="P116" s="46"/>
      <c r="Q116" s="46"/>
      <c r="R116" s="46"/>
      <c r="S116" s="46"/>
      <c r="T116" s="46"/>
    </row>
    <row collapsed="false" customFormat="false" customHeight="false" hidden="false" ht="12.75" outlineLevel="0" r="117">
      <c r="D117" s="46" t="s">
        <v>1486</v>
      </c>
      <c r="E117" s="46" t="s">
        <v>1585</v>
      </c>
      <c r="F117" s="46" t="n">
        <v>0</v>
      </c>
      <c r="G117" s="46" t="n">
        <v>1</v>
      </c>
      <c r="H117" s="46" t="s">
        <v>1470</v>
      </c>
      <c r="I117" s="46" t="n">
        <f aca="false">COUNTIF(EXPERTISE!F4:F50,"*Housing Construction for the Poor*")</f>
        <v>0</v>
      </c>
      <c r="J117" s="46" t="s">
        <v>1470</v>
      </c>
      <c r="K117" s="46" t="n">
        <f aca="false">COUNTIF(PROJECT!U2:U100,"*Housing Construction for the Poor*")</f>
        <v>0</v>
      </c>
      <c r="L117" s="46"/>
      <c r="M117" s="46"/>
      <c r="N117" s="46"/>
      <c r="O117" s="46"/>
      <c r="P117" s="46"/>
      <c r="Q117" s="46"/>
      <c r="R117" s="46"/>
      <c r="S117" s="46"/>
      <c r="T117" s="46"/>
    </row>
    <row collapsed="false" customFormat="false" customHeight="false" hidden="false" ht="12.75" outlineLevel="0" r="118">
      <c r="D118" s="46" t="s">
        <v>1486</v>
      </c>
      <c r="E118" s="46" t="s">
        <v>1586</v>
      </c>
      <c r="F118" s="46" t="n">
        <v>0</v>
      </c>
      <c r="G118" s="46" t="n">
        <v>1</v>
      </c>
      <c r="H118" s="46" t="s">
        <v>1470</v>
      </c>
      <c r="I118" s="46" t="n">
        <f aca="false">COUNTIF(EXPERTISE!F4:F50,"*Housing Policy for the Poor*")</f>
        <v>0</v>
      </c>
      <c r="J118" s="46" t="s">
        <v>1470</v>
      </c>
      <c r="K118" s="46" t="n">
        <f aca="false">COUNTIF(PROJECT!U2:U100,"*Housing Policy for the Poor*")</f>
        <v>0</v>
      </c>
      <c r="L118" s="46"/>
      <c r="M118" s="46"/>
      <c r="N118" s="46"/>
      <c r="O118" s="46"/>
      <c r="P118" s="46"/>
      <c r="Q118" s="46"/>
      <c r="R118" s="46"/>
      <c r="S118" s="46"/>
      <c r="T118" s="46"/>
    </row>
    <row collapsed="false" customFormat="false" customHeight="false" hidden="false" ht="12.75" outlineLevel="0" r="119">
      <c r="D119" s="46" t="s">
        <v>1486</v>
      </c>
      <c r="E119" s="46" t="s">
        <v>1587</v>
      </c>
      <c r="F119" s="46" t="n">
        <v>0</v>
      </c>
      <c r="G119" s="46" t="n">
        <v>1</v>
      </c>
      <c r="H119" s="46" t="s">
        <v>1470</v>
      </c>
      <c r="I119" s="46" t="n">
        <f aca="false">COUNTIF(EXPERTISE!F4:F50,"*Municipal Finance*")</f>
        <v>0</v>
      </c>
      <c r="J119" s="46" t="s">
        <v>1470</v>
      </c>
      <c r="K119" s="46" t="n">
        <f aca="false">COUNTIF(PROJECT!U2:U100,"*Municipal Finance*")</f>
        <v>0</v>
      </c>
      <c r="L119" s="46"/>
      <c r="M119" s="46"/>
      <c r="N119" s="46"/>
      <c r="O119" s="46"/>
      <c r="P119" s="46"/>
      <c r="Q119" s="46"/>
      <c r="R119" s="46"/>
      <c r="S119" s="46"/>
      <c r="T119" s="46"/>
    </row>
    <row collapsed="false" customFormat="false" customHeight="false" hidden="false" ht="12.75" outlineLevel="0" r="120">
      <c r="D120" s="46" t="s">
        <v>1486</v>
      </c>
      <c r="E120" s="46" t="s">
        <v>1588</v>
      </c>
      <c r="F120" s="46" t="n">
        <v>0</v>
      </c>
      <c r="G120" s="46" t="n">
        <v>1</v>
      </c>
      <c r="H120" s="46" t="s">
        <v>1470</v>
      </c>
      <c r="I120" s="46" t="n">
        <f aca="false">COUNTIF(EXPERTISE!F4:F50,"*Municipal Governance and Institution Building*")</f>
        <v>0</v>
      </c>
      <c r="J120" s="46" t="s">
        <v>1470</v>
      </c>
      <c r="K120" s="46" t="n">
        <f aca="false">COUNTIF(PROJECT!U2:U100,"*Municipal Governance and Institution Building*")</f>
        <v>0</v>
      </c>
      <c r="L120" s="46"/>
      <c r="M120" s="46"/>
      <c r="N120" s="46"/>
      <c r="O120" s="46"/>
      <c r="P120" s="46"/>
      <c r="Q120" s="46"/>
      <c r="R120" s="46"/>
      <c r="S120" s="46"/>
      <c r="T120" s="46"/>
    </row>
    <row collapsed="false" customFormat="false" customHeight="false" hidden="false" ht="12.75" outlineLevel="0" r="121">
      <c r="D121" s="46" t="s">
        <v>1486</v>
      </c>
      <c r="E121" s="46" t="s">
        <v>1589</v>
      </c>
      <c r="F121" s="46" t="n">
        <v>0</v>
      </c>
      <c r="G121" s="46" t="n">
        <v>1</v>
      </c>
      <c r="H121" s="46" t="s">
        <v>1470</v>
      </c>
      <c r="I121" s="46" t="n">
        <f aca="false">COUNTIF(EXPERTISE!F4:F50,"*Service Delivery*")</f>
        <v>0</v>
      </c>
      <c r="J121" s="46" t="s">
        <v>1470</v>
      </c>
      <c r="K121" s="46" t="n">
        <f aca="false">COUNTIF(PROJECT!U2:U100,"*Service Delivery*")</f>
        <v>0</v>
      </c>
      <c r="L121" s="46"/>
      <c r="M121" s="46"/>
      <c r="N121" s="46"/>
      <c r="O121" s="46"/>
      <c r="P121" s="46"/>
      <c r="Q121" s="46"/>
      <c r="R121" s="46"/>
      <c r="S121" s="46"/>
      <c r="T121" s="46"/>
    </row>
    <row collapsed="false" customFormat="false" customHeight="false" hidden="false" ht="12.75" outlineLevel="0" r="122">
      <c r="D122" s="46" t="s">
        <v>1486</v>
      </c>
      <c r="E122" s="46" t="s">
        <v>1590</v>
      </c>
      <c r="F122" s="46" t="n">
        <v>0</v>
      </c>
      <c r="G122" s="46" t="n">
        <v>1</v>
      </c>
      <c r="H122" s="46" t="s">
        <v>1470</v>
      </c>
      <c r="I122" s="46" t="n">
        <f aca="false">COUNTIF(EXPERTISE!F4:F50,"*Urban Development -regional*")</f>
        <v>0</v>
      </c>
      <c r="J122" s="46" t="s">
        <v>1470</v>
      </c>
      <c r="K122" s="46" t="n">
        <f aca="false">COUNTIF(PROJECT!U2:U100,"*Urban Development -regional*")</f>
        <v>0</v>
      </c>
      <c r="L122" s="46"/>
      <c r="M122" s="46"/>
      <c r="N122" s="46"/>
      <c r="O122" s="46"/>
      <c r="P122" s="46"/>
      <c r="Q122" s="46"/>
      <c r="R122" s="46"/>
      <c r="S122" s="46"/>
      <c r="T122" s="46"/>
    </row>
    <row collapsed="false" customFormat="false" customHeight="false" hidden="false" ht="12.75" outlineLevel="0" r="123">
      <c r="D123" s="46" t="s">
        <v>1486</v>
      </c>
      <c r="E123" s="46" t="s">
        <v>1591</v>
      </c>
      <c r="F123" s="46" t="n">
        <v>0</v>
      </c>
      <c r="G123" s="46" t="n">
        <v>1</v>
      </c>
      <c r="H123" s="46" t="s">
        <v>1470</v>
      </c>
      <c r="I123" s="46" t="n">
        <f aca="false">COUNTIF(EXPERTISE!F4:F50,"*Urban Economic Development*")</f>
        <v>0</v>
      </c>
      <c r="J123" s="46" t="s">
        <v>1470</v>
      </c>
      <c r="K123" s="46" t="n">
        <f aca="false">COUNTIF(PROJECT!U2:U100,"*Urban Economic Development*")</f>
        <v>0</v>
      </c>
      <c r="L123" s="46"/>
      <c r="M123" s="46"/>
      <c r="N123" s="46"/>
      <c r="O123" s="46"/>
      <c r="P123" s="46"/>
      <c r="Q123" s="46"/>
      <c r="R123" s="46"/>
      <c r="S123" s="46"/>
      <c r="T123" s="46"/>
    </row>
    <row collapsed="false" customFormat="false" customHeight="false" hidden="false" ht="12.75" outlineLevel="0" r="124">
      <c r="D124" s="46" t="s">
        <v>1486</v>
      </c>
      <c r="E124" s="46" t="s">
        <v>1592</v>
      </c>
      <c r="F124" s="46" t="n">
        <v>0</v>
      </c>
      <c r="G124" s="46" t="n">
        <v>1</v>
      </c>
      <c r="H124" s="46" t="s">
        <v>1470</v>
      </c>
      <c r="I124" s="46" t="n">
        <f aca="false">COUNTIF(EXPERTISE!F4:F50,"*Urban Planning*")</f>
        <v>0</v>
      </c>
      <c r="J124" s="46" t="s">
        <v>1470</v>
      </c>
      <c r="K124" s="46" t="n">
        <f aca="false">COUNTIF(PROJECT!U2:U100,"*Urban Planning*")</f>
        <v>0</v>
      </c>
      <c r="L124" s="46"/>
      <c r="M124" s="46"/>
      <c r="N124" s="46"/>
      <c r="O124" s="46"/>
      <c r="P124" s="46"/>
      <c r="Q124" s="46"/>
      <c r="R124" s="46"/>
      <c r="S124" s="46"/>
      <c r="T124" s="46"/>
    </row>
    <row collapsed="false" customFormat="false" customHeight="false" hidden="false" ht="12.75" outlineLevel="0" r="125">
      <c r="D125" s="46" t="s">
        <v>1486</v>
      </c>
      <c r="E125" s="46" t="s">
        <v>1593</v>
      </c>
      <c r="F125" s="46" t="n">
        <v>0</v>
      </c>
      <c r="G125" s="46" t="n">
        <v>1</v>
      </c>
      <c r="H125" s="46" t="s">
        <v>1470</v>
      </c>
      <c r="I125" s="46" t="n">
        <f aca="false">COUNTIF(EXPERTISE!F4:F50,"*Urban Services*")</f>
        <v>0</v>
      </c>
      <c r="J125" s="46" t="s">
        <v>1470</v>
      </c>
      <c r="K125" s="46" t="n">
        <f aca="false">COUNTIF(PROJECT!U2:U100,"*Urban Services*")</f>
        <v>0</v>
      </c>
      <c r="L125" s="46"/>
      <c r="M125" s="46"/>
      <c r="N125" s="46"/>
      <c r="O125" s="46"/>
      <c r="P125" s="46"/>
      <c r="Q125" s="46"/>
      <c r="R125" s="46"/>
      <c r="S125" s="46"/>
      <c r="T125" s="46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T139"/>
  <sheetViews>
    <sheetView colorId="64" defaultGridColor="true" rightToLeft="false" showFormulas="false" showGridLines="true" showOutlineSymbols="true" showRowColHeaders="true" showZeros="true" tabSelected="false" topLeftCell="A1" view="normal" windowProtection="true" workbookViewId="0" zoomScale="100" zoomScaleNormal="100" zoomScalePageLayoutView="100">
      <pane activePane="bottomLeft" state="frozen" topLeftCell="A3" xSplit="0" ySplit="2"/>
      <selection activeCell="A1" activeCellId="0" pane="topLeft" sqref="A1"/>
      <selection activeCell="A3" activeCellId="0" pane="bottomLeft" sqref="A3"/>
    </sheetView>
  </sheetViews>
  <sheetFormatPr defaultRowHeight="12.75"/>
  <cols>
    <col collapsed="false" hidden="false" max="1" min="1" style="0" width="1.86224489795918"/>
    <col collapsed="false" hidden="false" max="2" min="2" style="0" width="23.1377551020408"/>
    <col collapsed="false" hidden="false" max="3" min="3" style="0" width="33.8673469387755"/>
    <col collapsed="false" hidden="false" max="5" min="4" style="0" width="6.86734693877551"/>
    <col collapsed="false" hidden="false" max="1025" min="6" style="0" width="17.1326530612245"/>
  </cols>
  <sheetData>
    <row collapsed="false" customFormat="false" customHeight="false" hidden="false" ht="12.75" outlineLevel="0" r="2">
      <c r="B2" s="63" t="s">
        <v>1594</v>
      </c>
      <c r="C2" s="63" t="s">
        <v>1595</v>
      </c>
      <c r="D2" s="63"/>
      <c r="E2" s="63"/>
      <c r="F2" s="63" t="s">
        <v>1596</v>
      </c>
      <c r="G2" s="63" t="s">
        <v>1597</v>
      </c>
      <c r="H2" s="63" t="s">
        <v>1598</v>
      </c>
      <c r="I2" s="63" t="s">
        <v>1599</v>
      </c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</row>
    <row collapsed="false" customFormat="false" customHeight="false" hidden="false" ht="12.75" outlineLevel="0" r="3">
      <c r="B3" s="46" t="s">
        <v>95</v>
      </c>
      <c r="C3" s="46" t="s">
        <v>1600</v>
      </c>
      <c r="D3" s="46" t="n">
        <v>1</v>
      </c>
      <c r="E3" s="46" t="n">
        <v>1</v>
      </c>
      <c r="F3" s="46" t="n">
        <f aca="false">COUNTIF(EXPERTISE!C4:C50,"*Agriculture, Fishing, &amp; Forestry / Natural Resources*")</f>
        <v>1</v>
      </c>
      <c r="G3" s="46" t="n">
        <f aca="false">COUNTIF(EXPERTISE!D4:D50,"*Agricultural Extension and Research*")</f>
        <v>0</v>
      </c>
      <c r="H3" s="46" t="n">
        <f aca="false">COUNTIF(PROJECT!V2:V100,"*Agriculture, Fishing, &amp; Forestry / Natural Resources*")</f>
        <v>0</v>
      </c>
      <c r="I3" s="46" t="n">
        <f aca="false">COUNTIF(PROJECT!W2:W100,"*Agricultural Extension and Research*")</f>
        <v>0</v>
      </c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</row>
    <row collapsed="false" customFormat="false" customHeight="false" hidden="false" ht="12.75" outlineLevel="0" r="4">
      <c r="B4" s="46" t="s">
        <v>95</v>
      </c>
      <c r="C4" s="46" t="s">
        <v>96</v>
      </c>
      <c r="D4" s="46" t="n">
        <v>0</v>
      </c>
      <c r="E4" s="46" t="n">
        <v>1</v>
      </c>
      <c r="F4" s="46" t="s">
        <v>1470</v>
      </c>
      <c r="G4" s="46" t="n">
        <f aca="false">COUNTIF(EXPERTISE!D4:D50,"*Agriculture Production, Agro-Processing, and Agro-Business*")</f>
        <v>1</v>
      </c>
      <c r="H4" s="46"/>
      <c r="I4" s="46" t="n">
        <f aca="false">COUNTIF(PROJECT!W2:W100,"*Agriculture Production, Agro-Processing, and Agro-Business*")</f>
        <v>0</v>
      </c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</row>
    <row collapsed="false" customFormat="false" customHeight="false" hidden="false" ht="12.75" outlineLevel="0" r="5">
      <c r="B5" s="46" t="s">
        <v>95</v>
      </c>
      <c r="C5" s="46" t="s">
        <v>1601</v>
      </c>
      <c r="D5" s="46" t="n">
        <v>0</v>
      </c>
      <c r="E5" s="46" t="n">
        <v>1</v>
      </c>
      <c r="F5" s="46" t="s">
        <v>1470</v>
      </c>
      <c r="G5" s="46" t="n">
        <f aca="false">COUNTIF(EXPERTISE!D4:D50,"*Agriculture Sector Development*")</f>
        <v>0</v>
      </c>
      <c r="H5" s="46"/>
      <c r="I5" s="46" t="n">
        <f aca="false">COUNTIF(PROJECT!W2:W100,"*Agriculture Sector Development*")</f>
        <v>0</v>
      </c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</row>
    <row collapsed="false" customFormat="false" customHeight="false" hidden="false" ht="12.75" outlineLevel="0" r="6">
      <c r="B6" s="46" t="s">
        <v>95</v>
      </c>
      <c r="C6" s="46" t="s">
        <v>1602</v>
      </c>
      <c r="D6" s="46" t="n">
        <v>0</v>
      </c>
      <c r="E6" s="46" t="n">
        <v>1</v>
      </c>
      <c r="F6" s="46" t="s">
        <v>1470</v>
      </c>
      <c r="G6" s="46" t="n">
        <f aca="false">COUNTIF(EXPERTISE!D4:D50,"*Animal Production*")</f>
        <v>0</v>
      </c>
      <c r="H6" s="46"/>
      <c r="I6" s="46" t="n">
        <f aca="false">COUNTIF(PROJECT!W2:W100,"*Animal Production*")</f>
        <v>0</v>
      </c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</row>
    <row collapsed="false" customFormat="false" customHeight="false" hidden="false" ht="12.75" outlineLevel="0" r="7">
      <c r="B7" s="46" t="s">
        <v>95</v>
      </c>
      <c r="C7" s="46" t="s">
        <v>1603</v>
      </c>
      <c r="D7" s="46" t="n">
        <v>0</v>
      </c>
      <c r="E7" s="46" t="n">
        <v>1</v>
      </c>
      <c r="F7" s="46" t="s">
        <v>1470</v>
      </c>
      <c r="G7" s="46" t="n">
        <f aca="false">COUNTIF(EXPERTISE!D4:D50,"*Aquaculture*")</f>
        <v>0</v>
      </c>
      <c r="H7" s="46"/>
      <c r="I7" s="46" t="n">
        <f aca="false">COUNTIF(PROJECT!W2:W100,"*Aquaculture*")</f>
        <v>0</v>
      </c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</row>
    <row collapsed="false" customFormat="false" customHeight="false" hidden="false" ht="12.75" outlineLevel="0" r="8">
      <c r="B8" s="46" t="s">
        <v>95</v>
      </c>
      <c r="C8" s="46" t="s">
        <v>1604</v>
      </c>
      <c r="D8" s="46" t="n">
        <v>0</v>
      </c>
      <c r="E8" s="46" t="n">
        <v>1</v>
      </c>
      <c r="F8" s="46" t="s">
        <v>1470</v>
      </c>
      <c r="G8" s="46" t="n">
        <f aca="false">COUNTIF(EXPERTISE!D4:D50,"*Crops*")</f>
        <v>0</v>
      </c>
      <c r="H8" s="46"/>
      <c r="I8" s="46" t="n">
        <f aca="false">COUNTIF(PROJECT!W2:W100,"*Crops*")</f>
        <v>0</v>
      </c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</row>
    <row collapsed="false" customFormat="false" customHeight="false" hidden="false" ht="12.75" outlineLevel="0" r="9">
      <c r="B9" s="46" t="s">
        <v>95</v>
      </c>
      <c r="C9" s="46" t="s">
        <v>1605</v>
      </c>
      <c r="D9" s="46" t="n">
        <v>0</v>
      </c>
      <c r="E9" s="46" t="n">
        <v>1</v>
      </c>
      <c r="F9" s="46" t="s">
        <v>1470</v>
      </c>
      <c r="G9" s="46" t="n">
        <f aca="false">COUNTIF(EXPERTISE!D4:D50,"*Dairy*")</f>
        <v>0</v>
      </c>
      <c r="H9" s="46"/>
      <c r="I9" s="46" t="n">
        <f aca="false">COUNTIF(PROJECT!W2:W100,"*Dairy*")</f>
        <v>0</v>
      </c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</row>
    <row collapsed="false" customFormat="false" customHeight="false" hidden="false" ht="12.75" outlineLevel="0" r="10">
      <c r="B10" s="46" t="s">
        <v>95</v>
      </c>
      <c r="C10" s="46" t="s">
        <v>103</v>
      </c>
      <c r="D10" s="46" t="n">
        <v>0</v>
      </c>
      <c r="E10" s="46" t="n">
        <v>1</v>
      </c>
      <c r="F10" s="46" t="s">
        <v>1470</v>
      </c>
      <c r="G10" s="46" t="n">
        <f aca="false">COUNTIF(EXPERTISE!D4:D50,"*Environment and Biodiversity*")</f>
        <v>1</v>
      </c>
      <c r="H10" s="46"/>
      <c r="I10" s="46" t="n">
        <f aca="false">COUNTIF(PROJECT!W2:W100,"*Environment and Biodiversity*")</f>
        <v>0</v>
      </c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</row>
    <row collapsed="false" customFormat="false" customHeight="false" hidden="false" ht="12.75" outlineLevel="0" r="11">
      <c r="B11" s="46" t="s">
        <v>95</v>
      </c>
      <c r="C11" s="46" t="s">
        <v>1606</v>
      </c>
      <c r="D11" s="46" t="n">
        <v>0</v>
      </c>
      <c r="E11" s="46" t="n">
        <v>1</v>
      </c>
      <c r="F11" s="46" t="s">
        <v>1470</v>
      </c>
      <c r="G11" s="46" t="n">
        <f aca="false">COUNTIF(EXPERTISE!D4:D50,"*Fats and Oils*")</f>
        <v>0</v>
      </c>
      <c r="H11" s="46"/>
      <c r="I11" s="46" t="n">
        <f aca="false">COUNTIF(PROJECT!W2:W100,"*Fats and Oils*")</f>
        <v>0</v>
      </c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</row>
    <row collapsed="false" customFormat="false" customHeight="false" hidden="false" ht="12.75" outlineLevel="0" r="12">
      <c r="B12" s="46" t="s">
        <v>95</v>
      </c>
      <c r="C12" s="46" t="s">
        <v>1607</v>
      </c>
      <c r="D12" s="46" t="n">
        <v>0</v>
      </c>
      <c r="E12" s="46" t="n">
        <v>1</v>
      </c>
      <c r="F12" s="46" t="s">
        <v>1470</v>
      </c>
      <c r="G12" s="46" t="n">
        <f aca="false">COUNTIF(EXPERTISE!D4:D50,"*Fishery*")</f>
        <v>0</v>
      </c>
      <c r="H12" s="46"/>
      <c r="I12" s="46" t="n">
        <f aca="false">COUNTIF(PROJECT!W2:W100,"*Fishery*")</f>
        <v>0</v>
      </c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/>
    </row>
    <row collapsed="false" customFormat="false" customHeight="false" hidden="false" ht="12.75" outlineLevel="0" r="13">
      <c r="B13" s="46" t="s">
        <v>95</v>
      </c>
      <c r="C13" s="37" t="s">
        <v>1608</v>
      </c>
      <c r="D13" s="46" t="n">
        <v>0</v>
      </c>
      <c r="E13" s="46" t="n">
        <v>1</v>
      </c>
      <c r="F13" s="46" t="s">
        <v>1470</v>
      </c>
      <c r="G13" s="37" t="n">
        <f aca="false">COUNTIF(EXPERTISE!D4:D50,"*Forests*")</f>
        <v>0</v>
      </c>
      <c r="H13" s="46"/>
      <c r="I13" s="37" t="n">
        <f aca="false">COUNTIF(PROJECT!W2:W100,"*Forests*")</f>
        <v>0</v>
      </c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</row>
    <row collapsed="false" customFormat="false" customHeight="false" hidden="false" ht="12.75" outlineLevel="0" r="14">
      <c r="B14" s="46" t="s">
        <v>95</v>
      </c>
      <c r="C14" s="46" t="s">
        <v>1609</v>
      </c>
      <c r="D14" s="46" t="n">
        <v>0</v>
      </c>
      <c r="E14" s="46" t="n">
        <v>1</v>
      </c>
      <c r="F14" s="46" t="s">
        <v>1470</v>
      </c>
      <c r="G14" s="46" t="n">
        <f aca="false">COUNTIF(EXPERTISE!D4:D50,"*Fruits &amp; Vegetables*")</f>
        <v>0</v>
      </c>
      <c r="H14" s="46"/>
      <c r="I14" s="46" t="n">
        <f aca="false">COUNTIF(PROJECT!W2:W100,"*Fruits &amp; Vegetables*")</f>
        <v>0</v>
      </c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</row>
    <row collapsed="false" customFormat="false" customHeight="false" hidden="false" ht="12.75" outlineLevel="0" r="15">
      <c r="B15" s="46" t="s">
        <v>95</v>
      </c>
      <c r="C15" s="46" t="s">
        <v>1610</v>
      </c>
      <c r="D15" s="46" t="n">
        <v>0</v>
      </c>
      <c r="E15" s="46" t="n">
        <v>1</v>
      </c>
      <c r="F15" s="46" t="s">
        <v>1470</v>
      </c>
      <c r="G15" s="46" t="n">
        <f aca="false">COUNTIF(EXPERTISE!D4:D50,"*Grains*")</f>
        <v>0</v>
      </c>
      <c r="H15" s="46"/>
      <c r="I15" s="46" t="n">
        <f aca="false">COUNTIF(PROJECT!W2:W100,"*Grains*")</f>
        <v>0</v>
      </c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</row>
    <row collapsed="false" customFormat="false" customHeight="false" hidden="false" ht="12.75" outlineLevel="0" r="16">
      <c r="B16" s="46" t="s">
        <v>95</v>
      </c>
      <c r="C16" s="46" t="s">
        <v>1611</v>
      </c>
      <c r="D16" s="46" t="n">
        <v>0</v>
      </c>
      <c r="E16" s="46" t="n">
        <v>1</v>
      </c>
      <c r="F16" s="46" t="s">
        <v>1470</v>
      </c>
      <c r="G16" s="46" t="n">
        <f aca="false">COUNTIF(EXPERTISE!D4:D50,"*Irrigation and Drainage*")</f>
        <v>0</v>
      </c>
      <c r="H16" s="46"/>
      <c r="I16" s="46" t="n">
        <f aca="false">COUNTIF(PROJECT!W2:W100,"*Irrigation and Drainage*")</f>
        <v>0</v>
      </c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</row>
    <row collapsed="false" customFormat="false" customHeight="false" hidden="false" ht="12.75" outlineLevel="0" r="17">
      <c r="B17" s="46" t="s">
        <v>95</v>
      </c>
      <c r="C17" s="46" t="s">
        <v>1612</v>
      </c>
      <c r="D17" s="46" t="n">
        <v>0</v>
      </c>
      <c r="E17" s="46" t="n">
        <v>1</v>
      </c>
      <c r="F17" s="46" t="s">
        <v>1470</v>
      </c>
      <c r="G17" s="46" t="n">
        <f aca="false">COUNTIF(EXPERTISE!D4:D50,"*Livestock*")</f>
        <v>0</v>
      </c>
      <c r="H17" s="46"/>
      <c r="I17" s="46" t="n">
        <f aca="false">COUNTIF(PROJECT!W2:W100,"*Livestock*")</f>
        <v>0</v>
      </c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</row>
    <row collapsed="false" customFormat="false" customHeight="false" hidden="false" ht="12.75" outlineLevel="0" r="18">
      <c r="B18" s="46" t="s">
        <v>95</v>
      </c>
      <c r="C18" s="37" t="s">
        <v>1613</v>
      </c>
      <c r="D18" s="46" t="n">
        <v>0</v>
      </c>
      <c r="E18" s="46" t="n">
        <v>1</v>
      </c>
      <c r="F18" s="46" t="s">
        <v>1470</v>
      </c>
      <c r="G18" s="46" t="n">
        <f aca="false">COUNTIF(EXPERTISE!D4:D50,"*Mineral Resources*")</f>
        <v>0</v>
      </c>
      <c r="H18" s="46"/>
      <c r="I18" s="46" t="n">
        <f aca="false">COUNTIF(PROJECT!W2:W100,"*Mineral Resources*")</f>
        <v>0</v>
      </c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</row>
    <row collapsed="false" customFormat="false" customHeight="false" hidden="false" ht="12.75" outlineLevel="0" r="19">
      <c r="B19" s="46" t="s">
        <v>95</v>
      </c>
      <c r="C19" s="46" t="s">
        <v>1614</v>
      </c>
      <c r="D19" s="46" t="n">
        <v>0</v>
      </c>
      <c r="E19" s="46" t="n">
        <v>1</v>
      </c>
      <c r="F19" s="46" t="s">
        <v>1470</v>
      </c>
      <c r="G19" s="46" t="n">
        <f aca="false">COUNTIF(EXPERTISE!D4:D50,"*Processed Food &amp; Beverages*")</f>
        <v>0</v>
      </c>
      <c r="H19" s="46"/>
      <c r="I19" s="46" t="n">
        <f aca="false">COUNTIF(PROJECT!W2:W100,"*Processed Food &amp; Beverages*")</f>
        <v>0</v>
      </c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</row>
    <row collapsed="false" customFormat="false" customHeight="false" hidden="false" ht="12.75" outlineLevel="0" r="20">
      <c r="B20" s="46" t="s">
        <v>95</v>
      </c>
      <c r="C20" s="46" t="s">
        <v>1615</v>
      </c>
      <c r="D20" s="46" t="n">
        <v>0</v>
      </c>
      <c r="E20" s="46" t="n">
        <v>1</v>
      </c>
      <c r="F20" s="46" t="s">
        <v>1470</v>
      </c>
      <c r="G20" s="46" t="n">
        <f aca="false">COUNTIF(EXPERTISE!D4:D50,"*Sugar*")</f>
        <v>0</v>
      </c>
      <c r="H20" s="46"/>
      <c r="I20" s="46" t="n">
        <f aca="false">COUNTIF(PROJECT!W2:W100,"*Sugar*")</f>
        <v>0</v>
      </c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</row>
    <row collapsed="false" customFormat="false" customHeight="false" hidden="false" ht="12.75" outlineLevel="0" r="21">
      <c r="B21" s="46" t="s">
        <v>95</v>
      </c>
      <c r="C21" s="46" t="s">
        <v>1502</v>
      </c>
      <c r="D21" s="46" t="n">
        <v>0</v>
      </c>
      <c r="E21" s="46" t="n">
        <v>1</v>
      </c>
      <c r="F21" s="46" t="s">
        <v>1470</v>
      </c>
      <c r="G21" s="46" t="n">
        <f aca="false">COUNTIF(EXPERTISE!D4:D50,"*Water Resource Management*")</f>
        <v>0</v>
      </c>
      <c r="H21" s="46"/>
      <c r="I21" s="46" t="n">
        <f aca="false">COUNTIF(PROJECT!W2:W100,"*Water Resource Management*")</f>
        <v>0</v>
      </c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</row>
    <row collapsed="false" customFormat="false" customHeight="false" hidden="false" ht="12.75" outlineLevel="0" r="22">
      <c r="B22" s="46" t="s">
        <v>1616</v>
      </c>
      <c r="C22" s="46" t="s">
        <v>1616</v>
      </c>
      <c r="D22" s="46" t="n">
        <v>1</v>
      </c>
      <c r="E22" s="46" t="n">
        <v>1</v>
      </c>
      <c r="F22" s="46" t="n">
        <f aca="false">COUNTIF(EXPERTISE!C4:C50,"*Economic Management*")</f>
        <v>0</v>
      </c>
      <c r="G22" s="46" t="n">
        <f aca="false">COUNTIF(EXPERTISE!D4:D50,"*Economic Management*")</f>
        <v>0</v>
      </c>
      <c r="H22" s="46" t="n">
        <f aca="false">COUNTIF(PROJECT!V2:V100,"*Economic Management*")</f>
        <v>0</v>
      </c>
      <c r="I22" s="46" t="n">
        <f aca="false">COUNTIF(PROJECT!W2:W100,"*Economic Management*")</f>
        <v>0</v>
      </c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</row>
    <row collapsed="false" customFormat="false" customHeight="false" hidden="false" ht="12.75" outlineLevel="0" r="23">
      <c r="B23" s="46" t="s">
        <v>1616</v>
      </c>
      <c r="C23" s="46" t="s">
        <v>1617</v>
      </c>
      <c r="D23" s="46" t="n">
        <v>0</v>
      </c>
      <c r="E23" s="46" t="n">
        <v>1</v>
      </c>
      <c r="G23" s="46" t="n">
        <f aca="false">COUNTIF(EXPERTISE!D4:D50,"*Public Finance and Expenditure Management*")</f>
        <v>0</v>
      </c>
      <c r="H23" s="46"/>
      <c r="I23" s="46" t="n">
        <f aca="false">COUNTIF(PROJECT!W2:W100,"*Public Finance and Expenditure Management*")</f>
        <v>0</v>
      </c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</row>
    <row collapsed="false" customFormat="false" customHeight="false" hidden="false" ht="12.75" outlineLevel="0" r="24">
      <c r="B24" s="46" t="s">
        <v>1618</v>
      </c>
      <c r="C24" s="37" t="s">
        <v>1619</v>
      </c>
      <c r="D24" s="46" t="n">
        <v>1</v>
      </c>
      <c r="E24" s="46" t="n">
        <v>1</v>
      </c>
      <c r="F24" s="46" t="n">
        <f aca="false">COUNTIF(EXPERTISE!C4:C50,"*Education*")</f>
        <v>0</v>
      </c>
      <c r="G24" s="46" t="n">
        <f aca="false">COUNTIF(EXPERTISE!D4:D50,"*Adult Literacy*")</f>
        <v>0</v>
      </c>
      <c r="H24" s="46" t="n">
        <f aca="false">COUNTIF(PROJECT!V2:V100,"*Education*")</f>
        <v>0</v>
      </c>
      <c r="I24" s="46" t="n">
        <f aca="false">COUNTIF(PROJECT!W2:W100,"*Adult Literacy*")</f>
        <v>0</v>
      </c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</row>
    <row collapsed="false" customFormat="false" customHeight="false" hidden="false" ht="12.75" outlineLevel="0" r="25">
      <c r="B25" s="46" t="s">
        <v>1618</v>
      </c>
      <c r="C25" s="46" t="s">
        <v>1620</v>
      </c>
      <c r="D25" s="46" t="n">
        <v>0</v>
      </c>
      <c r="E25" s="46" t="n">
        <v>1</v>
      </c>
      <c r="F25" s="46" t="s">
        <v>1470</v>
      </c>
      <c r="G25" s="46" t="n">
        <f aca="false">COUNTIF(EXPERTISE!D4:D50,"*Basic Education*")</f>
        <v>0</v>
      </c>
      <c r="H25" s="46"/>
      <c r="I25" s="46" t="n">
        <f aca="false">COUNTIF(PROJECT!W2:W100,"*Basic Education*")</f>
        <v>0</v>
      </c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</row>
    <row collapsed="false" customFormat="false" customHeight="false" hidden="false" ht="12.75" outlineLevel="0" r="26">
      <c r="B26" s="46" t="s">
        <v>1618</v>
      </c>
      <c r="C26" s="46" t="s">
        <v>1621</v>
      </c>
      <c r="D26" s="46" t="n">
        <v>0</v>
      </c>
      <c r="E26" s="46" t="n">
        <v>1</v>
      </c>
      <c r="F26" s="46" t="s">
        <v>1470</v>
      </c>
      <c r="G26" s="46" t="n">
        <f aca="false">COUNTIF(EXPERTISE!D4:D50,"*Education Sector Development*")</f>
        <v>0</v>
      </c>
      <c r="H26" s="46"/>
      <c r="I26" s="46" t="n">
        <f aca="false">COUNTIF(PROJECT!W2:W100,"*Education Sector Development*")</f>
        <v>0</v>
      </c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</row>
    <row collapsed="false" customFormat="false" customHeight="false" hidden="false" ht="12.75" outlineLevel="0" r="27">
      <c r="B27" s="46" t="s">
        <v>1618</v>
      </c>
      <c r="C27" s="46" t="s">
        <v>1622</v>
      </c>
      <c r="D27" s="46" t="n">
        <v>0</v>
      </c>
      <c r="E27" s="46" t="n">
        <v>1</v>
      </c>
      <c r="F27" s="46" t="s">
        <v>1470</v>
      </c>
      <c r="G27" s="46" t="n">
        <f aca="false">COUNTIF(EXPERTISE!D4:D50,"*General Education Sector*")</f>
        <v>0</v>
      </c>
      <c r="H27" s="46"/>
      <c r="I27" s="46" t="n">
        <f aca="false">COUNTIF(PROJECT!W2:W100,"*General Education Sector*")</f>
        <v>0</v>
      </c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</row>
    <row collapsed="false" customFormat="false" customHeight="false" hidden="false" ht="12.75" outlineLevel="0" r="28">
      <c r="B28" s="46" t="s">
        <v>1618</v>
      </c>
      <c r="C28" s="37" t="s">
        <v>1623</v>
      </c>
      <c r="D28" s="46" t="n">
        <v>0</v>
      </c>
      <c r="E28" s="46" t="n">
        <v>1</v>
      </c>
      <c r="F28" s="46" t="s">
        <v>1470</v>
      </c>
      <c r="G28" s="37" t="n">
        <f aca="false">COUNTIF(EXPERTISE!D4:D50,"*Non-Formal Education*")</f>
        <v>0</v>
      </c>
      <c r="H28" s="46"/>
      <c r="I28" s="37" t="n">
        <f aca="false">COUNTIF(PROJECT!W2:W100,"*Non-Formal Education*")</f>
        <v>0</v>
      </c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</row>
    <row collapsed="false" customFormat="false" customHeight="false" hidden="false" ht="12.75" outlineLevel="0" r="29">
      <c r="B29" s="46" t="s">
        <v>1618</v>
      </c>
      <c r="C29" s="37" t="s">
        <v>1624</v>
      </c>
      <c r="D29" s="46" t="n">
        <v>0</v>
      </c>
      <c r="E29" s="46" t="n">
        <v>1</v>
      </c>
      <c r="F29" s="46" t="s">
        <v>1470</v>
      </c>
      <c r="G29" s="46" t="n">
        <f aca="false">COUNTIF(EXPERTISE!D4:D50,"*Early Education*")</f>
        <v>0</v>
      </c>
      <c r="H29" s="46"/>
      <c r="I29" s="37" t="n">
        <f aca="false">COUNTIF(PROJECT!W2:W100,"*Early Education*")</f>
        <v>0</v>
      </c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</row>
    <row collapsed="false" customFormat="false" customHeight="false" hidden="false" ht="12.75" outlineLevel="0" r="30">
      <c r="B30" s="46" t="s">
        <v>1618</v>
      </c>
      <c r="C30" s="37" t="s">
        <v>1625</v>
      </c>
      <c r="D30" s="46" t="n">
        <v>0</v>
      </c>
      <c r="E30" s="46" t="n">
        <v>1</v>
      </c>
      <c r="F30" s="46" t="s">
        <v>1470</v>
      </c>
      <c r="G30" s="37" t="n">
        <f aca="false">COUNTIF(EXPERTISE!D4:D50,"*Primary Education*")</f>
        <v>0</v>
      </c>
      <c r="H30" s="46"/>
      <c r="I30" s="37" t="n">
        <f aca="false">COUNTIF(PROJECT!W2:W100,"*Primary Education*")</f>
        <v>0</v>
      </c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</row>
    <row collapsed="false" customFormat="false" customHeight="false" hidden="false" ht="12.75" outlineLevel="0" r="31">
      <c r="B31" s="46" t="s">
        <v>1618</v>
      </c>
      <c r="C31" s="46" t="s">
        <v>1626</v>
      </c>
      <c r="D31" s="46" t="n">
        <v>0</v>
      </c>
      <c r="E31" s="46" t="n">
        <v>1</v>
      </c>
      <c r="F31" s="46" t="s">
        <v>1470</v>
      </c>
      <c r="G31" s="46" t="n">
        <f aca="false">COUNTIF(EXPERTISE!D4:D50,"*Secondary Education*")</f>
        <v>0</v>
      </c>
      <c r="H31" s="46"/>
      <c r="I31" s="46" t="n">
        <f aca="false">COUNTIF(PROJECT!W2:W100,"*Secondary Education*")</f>
        <v>0</v>
      </c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</row>
    <row collapsed="false" customFormat="false" customHeight="false" hidden="false" ht="12.75" outlineLevel="0" r="32">
      <c r="B32" s="46" t="s">
        <v>1618</v>
      </c>
      <c r="C32" s="46" t="s">
        <v>1627</v>
      </c>
      <c r="D32" s="46" t="n">
        <v>0</v>
      </c>
      <c r="E32" s="46" t="n">
        <v>1</v>
      </c>
      <c r="F32" s="46" t="s">
        <v>1470</v>
      </c>
      <c r="G32" s="46" t="n">
        <f aca="false">COUNTIF(EXPERTISE!D4:D50,"*Senior Secondary General Education*")</f>
        <v>0</v>
      </c>
      <c r="H32" s="46"/>
      <c r="I32" s="46" t="n">
        <f aca="false">COUNTIF(PROJECT!W2:W100,"*Senior Secondary General Education*")</f>
        <v>0</v>
      </c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</row>
    <row collapsed="false" customFormat="false" customHeight="false" hidden="false" ht="12.75" outlineLevel="0" r="33">
      <c r="B33" s="46" t="s">
        <v>1618</v>
      </c>
      <c r="C33" s="37" t="s">
        <v>1628</v>
      </c>
      <c r="D33" s="46" t="n">
        <v>0</v>
      </c>
      <c r="E33" s="46" t="n">
        <v>1</v>
      </c>
      <c r="F33" s="46" t="s">
        <v>1470</v>
      </c>
      <c r="G33" s="46" t="n">
        <f aca="false">COUNTIF(EXPERTISE!D4:D50,"*Technical Education*")</f>
        <v>0</v>
      </c>
      <c r="H33" s="46"/>
      <c r="I33" s="46" t="n">
        <f aca="false">COUNTIF(PROJECT!W2:W100,"*Technical Education*")</f>
        <v>0</v>
      </c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</row>
    <row collapsed="false" customFormat="false" customHeight="false" hidden="false" ht="12.75" outlineLevel="0" r="34">
      <c r="B34" s="46" t="s">
        <v>1618</v>
      </c>
      <c r="C34" s="37" t="s">
        <v>1629</v>
      </c>
      <c r="D34" s="46" t="n">
        <v>0</v>
      </c>
      <c r="E34" s="46" t="n">
        <v>1</v>
      </c>
      <c r="F34" s="46" t="s">
        <v>1470</v>
      </c>
      <c r="G34" s="46" t="n">
        <f aca="false">COUNTIF(EXPERTISE!D4:D50,"*Tertiary Education*")</f>
        <v>0</v>
      </c>
      <c r="H34" s="46"/>
      <c r="I34" s="46" t="n">
        <f aca="false">COUNTIF(PROJECT!W2:W100,"*Tertiary Education*")</f>
        <v>0</v>
      </c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</row>
    <row collapsed="false" customFormat="false" customHeight="false" hidden="false" ht="12.75" outlineLevel="0" r="35">
      <c r="B35" s="46" t="s">
        <v>1618</v>
      </c>
      <c r="C35" s="37" t="s">
        <v>1630</v>
      </c>
      <c r="D35" s="46" t="n">
        <v>0</v>
      </c>
      <c r="E35" s="46" t="n">
        <v>1</v>
      </c>
      <c r="F35" s="46" t="s">
        <v>1470</v>
      </c>
      <c r="G35" s="37" t="n">
        <f aca="false">COUNTIF(EXPERTISE!D4:D50,"*Vocational Training and Skills Development*")</f>
        <v>0</v>
      </c>
      <c r="H35" s="46"/>
      <c r="I35" s="37" t="n">
        <f aca="false">COUNTIF(PROJECT!W2:W100,"*Vocational Training and Skills Development*")</f>
        <v>0</v>
      </c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</row>
    <row collapsed="false" customFormat="false" customHeight="false" hidden="false" ht="12.75" outlineLevel="0" r="36">
      <c r="B36" s="46" t="s">
        <v>1631</v>
      </c>
      <c r="C36" s="37" t="s">
        <v>1632</v>
      </c>
      <c r="D36" s="46" t="n">
        <v>1</v>
      </c>
      <c r="E36" s="46" t="n">
        <v>1</v>
      </c>
      <c r="F36" s="46" t="n">
        <f aca="false">COUNTIF(EXPERTISE!C4:C50,"*Energy*")</f>
        <v>0</v>
      </c>
      <c r="G36" s="46" t="n">
        <f aca="false">COUNTIF(EXPERTISE!D4:D50,"*Conventional Energy Generation*")</f>
        <v>0</v>
      </c>
      <c r="H36" s="46" t="n">
        <f aca="false">COUNTIF(PROJECT!V2:V100,"*Energy*")</f>
        <v>0</v>
      </c>
      <c r="I36" s="37" t="n">
        <f aca="false">COUNTIF(PROJECT!W2:W100,"*Conventional Energy Generation*")</f>
        <v>0</v>
      </c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</row>
    <row collapsed="false" customFormat="false" customHeight="false" hidden="false" ht="12.75" outlineLevel="0" r="37">
      <c r="B37" s="46" t="s">
        <v>1631</v>
      </c>
      <c r="C37" s="46" t="s">
        <v>1633</v>
      </c>
      <c r="D37" s="46" t="n">
        <v>0</v>
      </c>
      <c r="E37" s="46" t="n">
        <v>1</v>
      </c>
      <c r="F37" s="46" t="s">
        <v>1470</v>
      </c>
      <c r="G37" s="46" t="n">
        <f aca="false">COUNTIF(EXPERTISE!D4:D50,"*Energy Efficiency in Heat and Power*")</f>
        <v>0</v>
      </c>
      <c r="H37" s="46"/>
      <c r="I37" s="46" t="n">
        <f aca="false">COUNTIF(PROJECT!W2:W100,"*Energy Efficiency in Heat and Power*")</f>
        <v>0</v>
      </c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</row>
    <row collapsed="false" customFormat="false" customHeight="false" hidden="false" ht="12.75" outlineLevel="0" r="38">
      <c r="B38" s="46" t="s">
        <v>1631</v>
      </c>
      <c r="C38" s="46" t="s">
        <v>1634</v>
      </c>
      <c r="D38" s="46" t="n">
        <v>0</v>
      </c>
      <c r="E38" s="46" t="n">
        <v>1</v>
      </c>
      <c r="F38" s="46" t="s">
        <v>1470</v>
      </c>
      <c r="G38" s="46" t="n">
        <f aca="false">COUNTIF(EXPERTISE!D4:D50,"*Energy Sector Development*")</f>
        <v>0</v>
      </c>
      <c r="H38" s="46"/>
      <c r="I38" s="46" t="n">
        <f aca="false">COUNTIF(PROJECT!W2:W100,"*Energy Sector Development*")</f>
        <v>0</v>
      </c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</row>
    <row collapsed="false" customFormat="false" customHeight="false" hidden="false" ht="12.75" outlineLevel="0" r="39">
      <c r="B39" s="46" t="s">
        <v>1631</v>
      </c>
      <c r="C39" s="46" t="s">
        <v>1635</v>
      </c>
      <c r="D39" s="46" t="n">
        <v>0</v>
      </c>
      <c r="E39" s="46" t="n">
        <v>1</v>
      </c>
      <c r="F39" s="46" t="s">
        <v>1470</v>
      </c>
      <c r="G39" s="46" t="n">
        <f aca="false">COUNTIF(EXPERTISE!D4:D50,"*General Energy Sector*")</f>
        <v>0</v>
      </c>
      <c r="H39" s="46"/>
      <c r="I39" s="46" t="n">
        <f aca="false">COUNTIF(PROJECT!W2:W100,"*General Energy Sector*")</f>
        <v>0</v>
      </c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</row>
    <row collapsed="false" customFormat="false" customHeight="false" hidden="false" ht="12.75" outlineLevel="0" r="40">
      <c r="B40" s="46" t="s">
        <v>1631</v>
      </c>
      <c r="C40" s="37" t="s">
        <v>1636</v>
      </c>
      <c r="D40" s="46" t="n">
        <v>0</v>
      </c>
      <c r="E40" s="46" t="n">
        <v>1</v>
      </c>
      <c r="F40" s="46" t="s">
        <v>1470</v>
      </c>
      <c r="G40" s="37" t="n">
        <f aca="false">COUNTIF(EXPERTISE!D4:D50,"*Hydropower*")</f>
        <v>0</v>
      </c>
      <c r="H40" s="46"/>
      <c r="I40" s="37" t="n">
        <f aca="false">COUNTIF(PROJECT!W2:W100,"*Hydropower*")</f>
        <v>0</v>
      </c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</row>
    <row collapsed="false" customFormat="false" customHeight="false" hidden="false" ht="12.75" outlineLevel="0" r="41">
      <c r="B41" s="46" t="s">
        <v>1631</v>
      </c>
      <c r="C41" s="37" t="s">
        <v>1637</v>
      </c>
      <c r="D41" s="46" t="n">
        <v>0</v>
      </c>
      <c r="E41" s="46" t="n">
        <v>1</v>
      </c>
      <c r="F41" s="46" t="s">
        <v>1470</v>
      </c>
      <c r="G41" s="37" t="n">
        <f aca="false">COUNTIF(EXPERTISE!D4:D50,"*Renewable Energy*")</f>
        <v>0</v>
      </c>
      <c r="H41" s="46"/>
      <c r="I41" s="37" t="n">
        <f aca="false">COUNTIF(PROJECT!W2:W100,"*Renewable Energy*")</f>
        <v>0</v>
      </c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</row>
    <row collapsed="false" customFormat="false" customHeight="false" hidden="false" ht="12.75" outlineLevel="0" r="42">
      <c r="B42" s="46" t="s">
        <v>1631</v>
      </c>
      <c r="C42" s="46" t="s">
        <v>1638</v>
      </c>
      <c r="D42" s="46" t="n">
        <v>0</v>
      </c>
      <c r="E42" s="46" t="n">
        <v>1</v>
      </c>
      <c r="F42" s="46" t="s">
        <v>1470</v>
      </c>
      <c r="G42" s="46" t="n">
        <f aca="false">COUNTIF(EXPERTISE!D4:D50,"*Thermal Power Generation*")</f>
        <v>0</v>
      </c>
      <c r="H42" s="46"/>
      <c r="I42" s="46" t="n">
        <f aca="false">COUNTIF(PROJECT!W2:W100,"*Thermal Power Generation*")</f>
        <v>0</v>
      </c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</row>
    <row collapsed="false" customFormat="false" customHeight="false" hidden="false" ht="12.75" outlineLevel="0" r="43">
      <c r="B43" s="46" t="s">
        <v>1631</v>
      </c>
      <c r="C43" s="37" t="s">
        <v>1639</v>
      </c>
      <c r="D43" s="46" t="n">
        <v>0</v>
      </c>
      <c r="E43" s="46" t="n">
        <v>1</v>
      </c>
      <c r="F43" s="46" t="s">
        <v>1470</v>
      </c>
      <c r="G43" s="37" t="n">
        <f aca="false">COUNTIF(EXPERTISE!D4:D50,"*Energy Transmission and Distribution*")</f>
        <v>0</v>
      </c>
      <c r="H43" s="46"/>
      <c r="I43" s="37" t="n">
        <f aca="false">COUNTIF(PROJECT!W2:W100,"*Energy Transmission and Distribution*")</f>
        <v>0</v>
      </c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</row>
    <row collapsed="false" customFormat="false" customHeight="false" hidden="false" ht="12.75" outlineLevel="0" r="44">
      <c r="B44" s="46" t="s">
        <v>1631</v>
      </c>
      <c r="C44" s="37" t="s">
        <v>1640</v>
      </c>
      <c r="D44" s="46" t="n">
        <v>0</v>
      </c>
      <c r="E44" s="46" t="n">
        <v>1</v>
      </c>
      <c r="F44" s="46" t="s">
        <v>1470</v>
      </c>
      <c r="G44" s="46" t="n">
        <f aca="false">COUNTIF(EXPERTISE!D4:D50,"*Electrical Systems*")</f>
        <v>0</v>
      </c>
      <c r="H44" s="46"/>
      <c r="I44" s="37" t="n">
        <f aca="false">COUNTIF(PROJECT!W2:W100,"*Electrical Systems*")</f>
        <v>0</v>
      </c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</row>
    <row collapsed="false" customFormat="false" customHeight="false" hidden="false" ht="12.75" outlineLevel="0" r="45">
      <c r="B45" s="46" t="s">
        <v>1641</v>
      </c>
      <c r="C45" s="37" t="s">
        <v>1642</v>
      </c>
      <c r="D45" s="46" t="n">
        <v>1</v>
      </c>
      <c r="E45" s="46" t="n">
        <v>1</v>
      </c>
      <c r="F45" s="46" t="n">
        <f aca="false">COUNTIF(EXPERTISE!C4:C50,"*Extractive Industries*")</f>
        <v>0</v>
      </c>
      <c r="G45" s="46" t="n">
        <f aca="false">COUNTIF(EXPERTISE!D4:D50,"*Coal*")</f>
        <v>0</v>
      </c>
      <c r="H45" s="46" t="n">
        <f aca="false">COUNTIF(PROJECT!V2:V100,"*Extractive Industries*")</f>
        <v>0</v>
      </c>
      <c r="I45" s="37" t="n">
        <f aca="false">COUNTIF(PROJECT!W2:W100,"*Coal*")</f>
        <v>0</v>
      </c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</row>
    <row collapsed="false" customFormat="false" customHeight="false" hidden="false" ht="12.75" outlineLevel="0" r="46">
      <c r="B46" s="46" t="s">
        <v>1641</v>
      </c>
      <c r="C46" s="37" t="s">
        <v>1643</v>
      </c>
      <c r="D46" s="46" t="n">
        <v>0</v>
      </c>
      <c r="E46" s="46" t="n">
        <v>1</v>
      </c>
      <c r="F46" s="46" t="s">
        <v>1470</v>
      </c>
      <c r="G46" s="37" t="n">
        <f aca="false">COUNTIF(EXPERTISE!D4:D50,"*Mining*")</f>
        <v>0</v>
      </c>
      <c r="H46" s="46"/>
      <c r="I46" s="37" t="n">
        <f aca="false">COUNTIF(PROJECT!W2:W100,"*Mining*")</f>
        <v>0</v>
      </c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</row>
    <row collapsed="false" customFormat="false" customHeight="false" hidden="false" ht="12.75" outlineLevel="0" r="47">
      <c r="B47" s="46" t="s">
        <v>1641</v>
      </c>
      <c r="C47" s="37" t="s">
        <v>1644</v>
      </c>
      <c r="D47" s="46" t="n">
        <v>0</v>
      </c>
      <c r="E47" s="46" t="n">
        <v>1</v>
      </c>
      <c r="F47" s="46" t="s">
        <v>1470</v>
      </c>
      <c r="G47" s="46" t="n">
        <f aca="false">COUNTIF(EXPERTISE!D4:D50,"*Oil and Gas*")</f>
        <v>0</v>
      </c>
      <c r="H47" s="46"/>
      <c r="I47" s="46" t="n">
        <f aca="false">COUNTIF(PROJECT!W2:W100,"*Oil and Gas*")</f>
        <v>0</v>
      </c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</row>
    <row collapsed="false" customFormat="false" customHeight="false" hidden="false" ht="12.75" outlineLevel="0" r="48">
      <c r="B48" s="46" t="s">
        <v>1641</v>
      </c>
      <c r="C48" s="37" t="s">
        <v>1645</v>
      </c>
      <c r="D48" s="46" t="n">
        <v>0</v>
      </c>
      <c r="E48" s="46" t="n">
        <v>1</v>
      </c>
      <c r="F48" s="46" t="s">
        <v>1470</v>
      </c>
      <c r="G48" s="46" t="n">
        <f aca="false">COUNTIF(EXPERTISE!D4:D50,"*Other Extractive Industries*")</f>
        <v>0</v>
      </c>
      <c r="H48" s="46"/>
      <c r="I48" s="46" t="n">
        <f aca="false">COUNTIF(PROJECT!W2:W100,"*Other Extractive Industries*")</f>
        <v>0</v>
      </c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</row>
    <row collapsed="false" customFormat="false" customHeight="false" hidden="false" ht="12.75" outlineLevel="0" r="49">
      <c r="B49" s="46" t="s">
        <v>1646</v>
      </c>
      <c r="C49" s="37" t="s">
        <v>1647</v>
      </c>
      <c r="D49" s="46" t="n">
        <v>1</v>
      </c>
      <c r="E49" s="46" t="n">
        <v>1</v>
      </c>
      <c r="F49" s="46" t="n">
        <f aca="false">COUNTIF(EXPERTISE!C4:C50,"*Finance*")</f>
        <v>0</v>
      </c>
      <c r="G49" s="37" t="n">
        <f aca="false">COUNTIF(EXPERTISE!D4:D50,"*Banking*")</f>
        <v>0</v>
      </c>
      <c r="H49" s="46" t="n">
        <f aca="false">COUNTIF(PROJECT!V2:V100,"*Finance*")</f>
        <v>0</v>
      </c>
      <c r="I49" s="37" t="n">
        <f aca="false">COUNTIF(PROJECT!W2:W100,"*Banking*")</f>
        <v>0</v>
      </c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</row>
    <row collapsed="false" customFormat="false" customHeight="false" hidden="false" ht="12.75" outlineLevel="0" r="50">
      <c r="B50" s="46" t="s">
        <v>1646</v>
      </c>
      <c r="C50" s="46" t="s">
        <v>1648</v>
      </c>
      <c r="D50" s="46" t="n">
        <v>0</v>
      </c>
      <c r="E50" s="46" t="n">
        <v>1</v>
      </c>
      <c r="F50" s="46" t="s">
        <v>1470</v>
      </c>
      <c r="G50" s="46" t="n">
        <f aca="false">COUNTIF(EXPERTISE!D4:D50,"*Business and Other Services*")</f>
        <v>0</v>
      </c>
      <c r="H50" s="46"/>
      <c r="I50" s="46" t="n">
        <f aca="false">COUNTIF(PROJECT!W2:W100,"*Business and Other Services*")</f>
        <v>0</v>
      </c>
      <c r="J50" s="46"/>
      <c r="K50" s="46"/>
      <c r="L50" s="46"/>
      <c r="M50" s="46"/>
      <c r="N50" s="46"/>
      <c r="O50" s="46"/>
      <c r="P50" s="46"/>
      <c r="Q50" s="46"/>
      <c r="R50" s="46"/>
      <c r="S50" s="46"/>
      <c r="T50" s="46"/>
    </row>
    <row collapsed="false" customFormat="false" customHeight="false" hidden="false" ht="12.75" outlineLevel="0" r="51">
      <c r="B51" s="46" t="s">
        <v>1646</v>
      </c>
      <c r="C51" s="46" t="s">
        <v>1649</v>
      </c>
      <c r="D51" s="46" t="n">
        <v>0</v>
      </c>
      <c r="E51" s="46" t="n">
        <v>1</v>
      </c>
      <c r="F51" s="46" t="s">
        <v>1470</v>
      </c>
      <c r="G51" s="46" t="n">
        <f aca="false">COUNTIF(EXPERTISE!D4:D50,"*Capital Markets and Funds*")</f>
        <v>0</v>
      </c>
      <c r="H51" s="46"/>
      <c r="I51" s="46" t="n">
        <f aca="false">COUNTIF(PROJECT!W2:W100,"*Capital Markets and Funds*")</f>
        <v>0</v>
      </c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</row>
    <row collapsed="false" customFormat="false" customHeight="false" hidden="false" ht="12.75" outlineLevel="0" r="52">
      <c r="B52" s="46" t="s">
        <v>1646</v>
      </c>
      <c r="C52" s="46" t="s">
        <v>1650</v>
      </c>
      <c r="D52" s="46" t="n">
        <v>0</v>
      </c>
      <c r="E52" s="46" t="n">
        <v>1</v>
      </c>
      <c r="F52" s="46" t="s">
        <v>1470</v>
      </c>
      <c r="G52" s="46" t="n">
        <f aca="false">COUNTIF(EXPERTISE!D4:D50,"*Credit Reporting and Secured Transactions*")</f>
        <v>0</v>
      </c>
      <c r="H52" s="46"/>
      <c r="I52" s="46" t="n">
        <f aca="false">COUNTIF(PROJECT!W2:W100,"*Credit Reporting and Secured Transactions*")</f>
        <v>0</v>
      </c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</row>
    <row collapsed="false" customFormat="false" customHeight="false" hidden="false" ht="12.75" outlineLevel="0" r="53">
      <c r="B53" s="46" t="s">
        <v>1646</v>
      </c>
      <c r="C53" s="46" t="s">
        <v>1651</v>
      </c>
      <c r="D53" s="46" t="n">
        <v>0</v>
      </c>
      <c r="E53" s="46" t="n">
        <v>1</v>
      </c>
      <c r="F53" s="46" t="s">
        <v>1470</v>
      </c>
      <c r="G53" s="46" t="n">
        <f aca="false">COUNTIF(EXPERTISE!D4:D50,"*Finance Sector Development and Reform*")</f>
        <v>0</v>
      </c>
      <c r="H53" s="46"/>
      <c r="I53" s="46" t="n">
        <f aca="false">COUNTIF(PROJECT!W2:W100,"*Finance Sector Development and Reform*")</f>
        <v>0</v>
      </c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</row>
    <row collapsed="false" customFormat="false" customHeight="false" hidden="false" ht="12.75" outlineLevel="0" r="54">
      <c r="B54" s="46" t="s">
        <v>1646</v>
      </c>
      <c r="C54" s="46" t="s">
        <v>1652</v>
      </c>
      <c r="D54" s="46" t="n">
        <v>0</v>
      </c>
      <c r="E54" s="46" t="n">
        <v>1</v>
      </c>
      <c r="F54" s="46" t="s">
        <v>1470</v>
      </c>
      <c r="G54" s="46" t="n">
        <f aca="false">COUNTIF(EXPERTISE!D4:D50,"*General Finance Sector*")</f>
        <v>0</v>
      </c>
      <c r="H54" s="46"/>
      <c r="I54" s="46" t="n">
        <f aca="false">COUNTIF(PROJECT!W2:W100,"*General Finance Sector*")</f>
        <v>0</v>
      </c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</row>
    <row collapsed="false" customFormat="false" customHeight="false" hidden="false" ht="12.75" outlineLevel="0" r="55">
      <c r="B55" s="46" t="s">
        <v>1646</v>
      </c>
      <c r="C55" s="46" t="s">
        <v>1653</v>
      </c>
      <c r="D55" s="46" t="n">
        <v>0</v>
      </c>
      <c r="E55" s="46" t="n">
        <v>1</v>
      </c>
      <c r="F55" s="46" t="s">
        <v>1470</v>
      </c>
      <c r="G55" s="46" t="n">
        <f aca="false">COUNTIF(EXPERTISE!D4:D50,"*Housing Finance*")</f>
        <v>0</v>
      </c>
      <c r="H55" s="46"/>
      <c r="I55" s="46" t="n">
        <f aca="false">COUNTIF(PROJECT!W2:W100,"*Housing Finance*")</f>
        <v>0</v>
      </c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</row>
    <row collapsed="false" customFormat="false" customHeight="false" hidden="false" ht="12.75" outlineLevel="0" r="56">
      <c r="B56" s="46" t="s">
        <v>1646</v>
      </c>
      <c r="C56" s="46" t="s">
        <v>1654</v>
      </c>
      <c r="D56" s="46" t="n">
        <v>0</v>
      </c>
      <c r="E56" s="46" t="n">
        <v>1</v>
      </c>
      <c r="F56" s="46" t="s">
        <v>1470</v>
      </c>
      <c r="G56" s="46" t="n">
        <f aca="false">COUNTIF(EXPERTISE!D4:D50,"*Microfinance*")</f>
        <v>0</v>
      </c>
      <c r="H56" s="46"/>
      <c r="I56" s="46" t="n">
        <f aca="false">COUNTIF(PROJECT!W2:W100,"*Microfinance*")</f>
        <v>0</v>
      </c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</row>
    <row collapsed="false" customFormat="false" customHeight="false" hidden="false" ht="12.75" outlineLevel="0" r="57">
      <c r="B57" s="46" t="s">
        <v>1646</v>
      </c>
      <c r="C57" s="46" t="s">
        <v>1655</v>
      </c>
      <c r="D57" s="46" t="n">
        <v>0</v>
      </c>
      <c r="E57" s="46" t="n">
        <v>1</v>
      </c>
      <c r="F57" s="46" t="s">
        <v>1470</v>
      </c>
      <c r="G57" s="46" t="n">
        <f aca="false">COUNTIF(EXPERTISE!D4:D50,"*Non-Compulsory Health Finance*")</f>
        <v>0</v>
      </c>
      <c r="H57" s="46"/>
      <c r="I57" s="46" t="n">
        <f aca="false">COUNTIF(PROJECT!W2:W100,"*Non-Compulsory Health Finance*")</f>
        <v>0</v>
      </c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</row>
    <row collapsed="false" customFormat="false" customHeight="false" hidden="false" ht="12.75" outlineLevel="0" r="58">
      <c r="B58" s="46" t="s">
        <v>1646</v>
      </c>
      <c r="C58" s="46" t="s">
        <v>1656</v>
      </c>
      <c r="D58" s="46" t="n">
        <v>0</v>
      </c>
      <c r="E58" s="46" t="n">
        <v>1</v>
      </c>
      <c r="F58" s="46" t="s">
        <v>1470</v>
      </c>
      <c r="G58" s="46" t="n">
        <f aca="false">COUNTIF(EXPERTISE!D4:D50,"*Non-Compulsory Pensions and Insurance*")</f>
        <v>0</v>
      </c>
      <c r="H58" s="46"/>
      <c r="I58" s="46" t="n">
        <f aca="false">COUNTIF(PROJECT!W2:W100,"*Non-Compulsory Pensions and Insurance*")</f>
        <v>0</v>
      </c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</row>
    <row collapsed="false" customFormat="false" customHeight="false" hidden="false" ht="12.75" outlineLevel="0" r="59">
      <c r="B59" s="46" t="s">
        <v>1646</v>
      </c>
      <c r="C59" s="46" t="s">
        <v>1657</v>
      </c>
      <c r="D59" s="46" t="n">
        <v>0</v>
      </c>
      <c r="E59" s="46" t="n">
        <v>1</v>
      </c>
      <c r="F59" s="46" t="s">
        <v>1470</v>
      </c>
      <c r="G59" s="46" t="n">
        <f aca="false">COUNTIF(EXPERTISE!D4:D50,"*Other Non-Bank Financial Intermediaries*")</f>
        <v>0</v>
      </c>
      <c r="H59" s="46"/>
      <c r="I59" s="46" t="n">
        <f aca="false">COUNTIF(PROJECT!W2:W100,"*Other Non-Bank Financial Intermediaries*")</f>
        <v>0</v>
      </c>
      <c r="J59" s="46"/>
      <c r="K59" s="46"/>
      <c r="L59" s="46"/>
      <c r="M59" s="46"/>
      <c r="N59" s="46"/>
      <c r="O59" s="46"/>
      <c r="P59" s="46"/>
      <c r="Q59" s="46"/>
      <c r="R59" s="46"/>
      <c r="S59" s="46"/>
      <c r="T59" s="46"/>
    </row>
    <row collapsed="false" customFormat="false" customHeight="false" hidden="false" ht="12.75" outlineLevel="0" r="60">
      <c r="B60" s="46" t="s">
        <v>1646</v>
      </c>
      <c r="C60" s="46" t="s">
        <v>1658</v>
      </c>
      <c r="D60" s="46" t="n">
        <v>0</v>
      </c>
      <c r="E60" s="46" t="n">
        <v>1</v>
      </c>
      <c r="F60" s="46" t="s">
        <v>1470</v>
      </c>
      <c r="G60" s="46" t="n">
        <f aca="false">COUNTIF(EXPERTISE!D4:D50,"*Payments, Settlements, and Remittance Systems*")</f>
        <v>0</v>
      </c>
      <c r="H60" s="46"/>
      <c r="I60" s="46" t="n">
        <f aca="false">COUNTIF(PROJECT!W2:W100,"*Payments, Settlements, and Remittance Systems*")</f>
        <v>0</v>
      </c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6"/>
    </row>
    <row collapsed="false" customFormat="false" customHeight="false" hidden="false" ht="12.75" outlineLevel="0" r="61">
      <c r="B61" s="46" t="s">
        <v>1646</v>
      </c>
      <c r="C61" s="46" t="s">
        <v>1659</v>
      </c>
      <c r="D61" s="46" t="n">
        <v>0</v>
      </c>
      <c r="E61" s="46" t="n">
        <v>1</v>
      </c>
      <c r="F61" s="46" t="s">
        <v>1470</v>
      </c>
      <c r="G61" s="46" t="n">
        <f aca="false">COUNTIF(EXPERTISE!D4:D50,"*Pensions, Insurance, Social Security and Contractual Savings*")</f>
        <v>0</v>
      </c>
      <c r="H61" s="46"/>
      <c r="I61" s="46" t="n">
        <f aca="false">COUNTIF(PROJECT!W2:W100,"*Pensions, Insurance, Social Security and Contractual Savings*")</f>
        <v>0</v>
      </c>
      <c r="J61" s="46"/>
      <c r="K61" s="46"/>
      <c r="L61" s="46"/>
      <c r="M61" s="46"/>
      <c r="N61" s="46"/>
      <c r="O61" s="46"/>
      <c r="P61" s="46"/>
      <c r="Q61" s="46"/>
      <c r="R61" s="46"/>
      <c r="S61" s="46"/>
      <c r="T61" s="46"/>
    </row>
    <row collapsed="false" customFormat="false" customHeight="false" hidden="false" ht="12.75" outlineLevel="0" r="62">
      <c r="B62" s="46" t="s">
        <v>1646</v>
      </c>
      <c r="C62" s="46" t="s">
        <v>115</v>
      </c>
      <c r="D62" s="46" t="n">
        <v>0</v>
      </c>
      <c r="E62" s="46" t="n">
        <v>1</v>
      </c>
      <c r="F62" s="46" t="s">
        <v>1470</v>
      </c>
      <c r="G62" s="46" t="n">
        <f aca="false">COUNTIF(EXPERTISE!D4:D50,"*Private Equity and Investment Funds*")</f>
        <v>1</v>
      </c>
      <c r="H62" s="46"/>
      <c r="I62" s="46" t="n">
        <f aca="false">COUNTIF(PROJECT!W2:W100,"*Private Equity and Investment Funds*")</f>
        <v>0</v>
      </c>
      <c r="J62" s="46"/>
      <c r="K62" s="46"/>
      <c r="L62" s="46"/>
      <c r="M62" s="46"/>
      <c r="N62" s="46"/>
      <c r="O62" s="46"/>
      <c r="P62" s="46"/>
      <c r="Q62" s="46"/>
      <c r="R62" s="46"/>
      <c r="S62" s="46"/>
      <c r="T62" s="46"/>
    </row>
    <row collapsed="false" customFormat="false" customHeight="false" hidden="false" ht="12.75" outlineLevel="0" r="63">
      <c r="B63" s="46" t="s">
        <v>1646</v>
      </c>
      <c r="C63" s="46" t="s">
        <v>1660</v>
      </c>
      <c r="D63" s="46" t="n">
        <v>0</v>
      </c>
      <c r="E63" s="46" t="n">
        <v>1</v>
      </c>
      <c r="F63" s="46" t="s">
        <v>1470</v>
      </c>
      <c r="G63" s="46" t="n">
        <f aca="false">COUNTIF(EXPERTISE!D4:D50,"*SME Finance*")</f>
        <v>0</v>
      </c>
      <c r="H63" s="46"/>
      <c r="I63" s="46" t="n">
        <f aca="false">COUNTIF(PROJECT!W2:W100,"*SME Finance*")</f>
        <v>0</v>
      </c>
      <c r="J63" s="46"/>
      <c r="K63" s="46"/>
      <c r="L63" s="46"/>
      <c r="M63" s="46"/>
      <c r="N63" s="46"/>
      <c r="O63" s="46"/>
      <c r="P63" s="46"/>
      <c r="Q63" s="46"/>
      <c r="R63" s="46"/>
      <c r="S63" s="46"/>
      <c r="T63" s="46"/>
    </row>
    <row collapsed="false" customFormat="false" customHeight="false" hidden="false" ht="12.75" outlineLevel="0" r="64">
      <c r="B64" s="46" t="s">
        <v>114</v>
      </c>
      <c r="C64" s="46" t="s">
        <v>1661</v>
      </c>
      <c r="D64" s="46" t="n">
        <v>1</v>
      </c>
      <c r="E64" s="46" t="n">
        <v>1</v>
      </c>
      <c r="F64" s="46" t="n">
        <f aca="false">COUNTIF(EXPERTISE!C4:C50,"*Financial Institutions*")</f>
        <v>1</v>
      </c>
      <c r="G64" s="46" t="n">
        <f aca="false">COUNTIF(EXPERTISE!D4:D50,"*Financial Infrastructure*")</f>
        <v>0</v>
      </c>
      <c r="H64" s="46" t="n">
        <f aca="false">COUNTIF(PROJECT!V2:V100,"*Financial Institutions*")</f>
        <v>0</v>
      </c>
      <c r="I64" s="46" t="n">
        <f aca="false">COUNTIF(PROJECT!W2:W100,"*Financial Infrastructure*")</f>
        <v>0</v>
      </c>
      <c r="J64" s="46"/>
      <c r="K64" s="46"/>
      <c r="L64" s="46"/>
      <c r="M64" s="46"/>
      <c r="N64" s="46"/>
      <c r="O64" s="46"/>
      <c r="P64" s="46"/>
      <c r="Q64" s="46"/>
      <c r="R64" s="46"/>
      <c r="S64" s="46"/>
      <c r="T64" s="46"/>
    </row>
    <row collapsed="false" customFormat="false" customHeight="false" hidden="false" ht="12.75" outlineLevel="0" r="65">
      <c r="B65" s="46" t="s">
        <v>114</v>
      </c>
      <c r="C65" s="46" t="s">
        <v>1662</v>
      </c>
      <c r="D65" s="46" t="n">
        <v>0</v>
      </c>
      <c r="E65" s="46" t="n">
        <v>1</v>
      </c>
      <c r="F65" s="46" t="s">
        <v>1470</v>
      </c>
      <c r="G65" s="46" t="n">
        <f aca="false">COUNTIF(EXPERTISE!D4:D50,"*Private Equity Funds*")</f>
        <v>0</v>
      </c>
      <c r="H65" s="46"/>
      <c r="I65" s="46" t="n">
        <f aca="false">COUNTIF(PROJECT!W2:W100,"*Private Equity Funds*")</f>
        <v>0</v>
      </c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</row>
    <row collapsed="false" customFormat="false" customHeight="false" hidden="false" ht="12.75" outlineLevel="0" r="66">
      <c r="B66" s="46" t="s">
        <v>114</v>
      </c>
      <c r="C66" s="46" t="s">
        <v>1663</v>
      </c>
      <c r="D66" s="46" t="n">
        <v>0</v>
      </c>
      <c r="E66" s="46" t="n">
        <v>1</v>
      </c>
      <c r="F66" s="46" t="s">
        <v>1470</v>
      </c>
      <c r="G66" s="46" t="n">
        <f aca="false">COUNTIF(EXPERTISE!D4:D50,"*Retail Finance*")</f>
        <v>0</v>
      </c>
      <c r="H66" s="46"/>
      <c r="I66" s="46" t="n">
        <f aca="false">COUNTIF(PROJECT!W2:W100,"*Retail Finance*")</f>
        <v>0</v>
      </c>
      <c r="J66" s="46"/>
      <c r="K66" s="46"/>
      <c r="L66" s="46"/>
      <c r="M66" s="46"/>
      <c r="N66" s="46"/>
      <c r="O66" s="46"/>
      <c r="P66" s="46"/>
      <c r="Q66" s="46"/>
      <c r="R66" s="46"/>
      <c r="S66" s="46"/>
      <c r="T66" s="46"/>
    </row>
    <row collapsed="false" customFormat="false" customHeight="false" hidden="false" ht="12.75" outlineLevel="0" r="67">
      <c r="B67" s="46" t="s">
        <v>114</v>
      </c>
      <c r="C67" s="46" t="s">
        <v>1664</v>
      </c>
      <c r="D67" s="46" t="n">
        <v>0</v>
      </c>
      <c r="E67" s="46" t="n">
        <v>1</v>
      </c>
      <c r="F67" s="46" t="s">
        <v>1470</v>
      </c>
      <c r="G67" s="46" t="n">
        <f aca="false">COUNTIF(EXPERTISE!D4:D50,"*Risk Management*")</f>
        <v>0</v>
      </c>
      <c r="H67" s="46"/>
      <c r="I67" s="46" t="n">
        <f aca="false">COUNTIF(PROJECT!W2:W100,"*Risk Management*")</f>
        <v>0</v>
      </c>
      <c r="J67" s="46"/>
      <c r="K67" s="46"/>
      <c r="L67" s="46"/>
      <c r="M67" s="46"/>
      <c r="N67" s="46"/>
      <c r="O67" s="46"/>
      <c r="P67" s="46"/>
      <c r="Q67" s="46"/>
      <c r="R67" s="46"/>
      <c r="S67" s="46"/>
      <c r="T67" s="46"/>
    </row>
    <row collapsed="false" customFormat="false" customHeight="false" hidden="false" ht="12.75" outlineLevel="0" r="68">
      <c r="B68" s="46" t="s">
        <v>114</v>
      </c>
      <c r="C68" s="46" t="s">
        <v>1665</v>
      </c>
      <c r="D68" s="46" t="n">
        <v>0</v>
      </c>
      <c r="E68" s="46" t="n">
        <v>1</v>
      </c>
      <c r="F68" s="46" t="s">
        <v>1470</v>
      </c>
      <c r="G68" s="46" t="n">
        <f aca="false">COUNTIF(EXPERTISE!D4:D50,"*Sustainability and Climate Business*")</f>
        <v>0</v>
      </c>
      <c r="H68" s="46"/>
      <c r="I68" s="46" t="n">
        <f aca="false">COUNTIF(PROJECT!W2:W100,"*Sustainability and Climate Business*")</f>
        <v>0</v>
      </c>
      <c r="J68" s="46"/>
      <c r="K68" s="46"/>
      <c r="L68" s="46"/>
      <c r="M68" s="46"/>
      <c r="N68" s="46"/>
      <c r="O68" s="46"/>
      <c r="P68" s="46"/>
      <c r="Q68" s="46"/>
      <c r="R68" s="46"/>
      <c r="S68" s="46"/>
      <c r="T68" s="46"/>
    </row>
    <row collapsed="false" customFormat="false" customHeight="false" hidden="false" ht="12.75" outlineLevel="0" r="69">
      <c r="B69" s="46" t="s">
        <v>114</v>
      </c>
      <c r="C69" s="46" t="s">
        <v>1666</v>
      </c>
      <c r="D69" s="46" t="n">
        <v>0</v>
      </c>
      <c r="E69" s="46" t="n">
        <v>1</v>
      </c>
      <c r="F69" s="46" t="s">
        <v>1470</v>
      </c>
      <c r="G69" s="46" t="n">
        <f aca="false">COUNTIF(EXPERTISE!D4:D50,"*Trade and Supply Chain*")</f>
        <v>0</v>
      </c>
      <c r="H69" s="46"/>
      <c r="I69" s="46" t="n">
        <f aca="false">COUNTIF(PROJECT!W2:W100,"*Trade and Supply Chain*")</f>
        <v>0</v>
      </c>
      <c r="J69" s="46"/>
      <c r="K69" s="46"/>
      <c r="L69" s="46"/>
      <c r="M69" s="46"/>
      <c r="N69" s="46"/>
      <c r="O69" s="46"/>
      <c r="P69" s="46"/>
      <c r="Q69" s="46"/>
      <c r="R69" s="46"/>
      <c r="S69" s="46"/>
      <c r="T69" s="46"/>
    </row>
    <row collapsed="false" customFormat="false" customHeight="false" hidden="false" ht="12.75" outlineLevel="0" r="70">
      <c r="B70" s="46" t="s">
        <v>1667</v>
      </c>
      <c r="C70" s="46" t="s">
        <v>1668</v>
      </c>
      <c r="D70" s="46" t="n">
        <v>1</v>
      </c>
      <c r="E70" s="46" t="n">
        <v>1</v>
      </c>
      <c r="F70" s="46" t="n">
        <f aca="false">COUNTIF(EXPERTISE!C4:C50,"*Health and Nutrition*")</f>
        <v>0</v>
      </c>
      <c r="G70" s="46" t="n">
        <f aca="false">COUNTIF(EXPERTISE!D4:D50,"*Early Childhood Development*")</f>
        <v>0</v>
      </c>
      <c r="H70" s="46" t="n">
        <f aca="false">COUNTIF(PROJECT!V2:V100,"*Health and Nutrition*")</f>
        <v>0</v>
      </c>
      <c r="I70" s="46" t="n">
        <f aca="false">COUNTIF(PROJECT!W2:W100,"*Early Childhood Development*")</f>
        <v>0</v>
      </c>
      <c r="J70" s="46"/>
      <c r="K70" s="46"/>
      <c r="L70" s="46"/>
      <c r="M70" s="46"/>
      <c r="N70" s="46"/>
      <c r="O70" s="46"/>
      <c r="P70" s="46"/>
      <c r="Q70" s="46"/>
      <c r="R70" s="46"/>
      <c r="S70" s="46"/>
      <c r="T70" s="46"/>
    </row>
    <row collapsed="false" customFormat="false" customHeight="false" hidden="false" ht="12.75" outlineLevel="0" r="71">
      <c r="B71" s="46" t="s">
        <v>1667</v>
      </c>
      <c r="C71" s="37" t="s">
        <v>1669</v>
      </c>
      <c r="D71" s="46" t="n">
        <v>0</v>
      </c>
      <c r="E71" s="46" t="n">
        <v>1</v>
      </c>
      <c r="F71" s="46" t="s">
        <v>1470</v>
      </c>
      <c r="G71" s="37" t="n">
        <f aca="false">COUNTIF(EXPERTISE!D4:D50,"*Healthcare*")</f>
        <v>0</v>
      </c>
      <c r="H71" s="46"/>
      <c r="I71" s="37" t="n">
        <f aca="false">COUNTIF(PROJECT!W2:W100,"*Healthcare*")</f>
        <v>0</v>
      </c>
      <c r="J71" s="46"/>
      <c r="K71" s="46"/>
      <c r="L71" s="46"/>
      <c r="M71" s="46"/>
      <c r="N71" s="46"/>
      <c r="O71" s="46"/>
      <c r="P71" s="46"/>
      <c r="Q71" s="46"/>
      <c r="R71" s="46"/>
      <c r="S71" s="46"/>
      <c r="T71" s="46"/>
    </row>
    <row collapsed="false" customFormat="false" customHeight="false" hidden="false" ht="12.75" outlineLevel="0" r="72">
      <c r="B72" s="46" t="s">
        <v>1667</v>
      </c>
      <c r="C72" s="37" t="s">
        <v>1670</v>
      </c>
      <c r="D72" s="46" t="n">
        <v>0</v>
      </c>
      <c r="E72" s="46" t="n">
        <v>1</v>
      </c>
      <c r="F72" s="46" t="s">
        <v>1470</v>
      </c>
      <c r="G72" s="46" t="n">
        <f aca="false">COUNTIF(EXPERTISE!D4:D50,"*Integrated Programs for Health- and Social-Services*")</f>
        <v>0</v>
      </c>
      <c r="H72" s="46"/>
      <c r="I72" s="37" t="n">
        <f aca="false">COUNTIF(PROJECT!W2:W100,"*Integrated Programs for Health- and Social-Services*")</f>
        <v>0</v>
      </c>
      <c r="J72" s="46"/>
      <c r="K72" s="46"/>
      <c r="L72" s="46"/>
      <c r="M72" s="46"/>
      <c r="N72" s="46"/>
      <c r="O72" s="46"/>
      <c r="P72" s="46"/>
      <c r="Q72" s="46"/>
      <c r="R72" s="46"/>
      <c r="S72" s="46"/>
      <c r="T72" s="46"/>
    </row>
    <row collapsed="false" customFormat="false" customHeight="false" hidden="false" ht="12.75" outlineLevel="0" r="73">
      <c r="B73" s="46" t="s">
        <v>1667</v>
      </c>
      <c r="C73" s="37" t="s">
        <v>1671</v>
      </c>
      <c r="D73" s="46" t="n">
        <v>0</v>
      </c>
      <c r="E73" s="46" t="n">
        <v>1</v>
      </c>
      <c r="F73" s="46" t="s">
        <v>1470</v>
      </c>
      <c r="G73" s="46" t="n">
        <f aca="false">COUNTIF(EXPERTISE!D4:D50,"*Health Programs &amp; Services*")</f>
        <v>0</v>
      </c>
      <c r="H73" s="46"/>
      <c r="I73" s="37" t="n">
        <f aca="false">COUNTIF(PROJECT!W2:W100,"*Health Programs &amp; Services*")</f>
        <v>0</v>
      </c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</row>
    <row collapsed="false" customFormat="false" customHeight="false" hidden="false" ht="12.75" outlineLevel="0" r="74">
      <c r="B74" s="46" t="s">
        <v>1667</v>
      </c>
      <c r="C74" s="37" t="s">
        <v>1672</v>
      </c>
      <c r="D74" s="46" t="n">
        <v>0</v>
      </c>
      <c r="E74" s="46" t="n">
        <v>1</v>
      </c>
      <c r="F74" s="46" t="s">
        <v>1470</v>
      </c>
      <c r="G74" s="37" t="n">
        <f aca="false">COUNTIF(EXPERTISE!D4:D50,"*Social Programs &amp; Services*")</f>
        <v>0</v>
      </c>
      <c r="H74" s="46"/>
      <c r="I74" s="37" t="n">
        <f aca="false">COUNTIF(PROJECT!W2:W100,"*Social Programs &amp; Services*")</f>
        <v>0</v>
      </c>
      <c r="J74" s="46"/>
      <c r="K74" s="46"/>
      <c r="L74" s="46"/>
      <c r="M74" s="46"/>
      <c r="N74" s="46"/>
      <c r="O74" s="46"/>
      <c r="P74" s="46"/>
      <c r="Q74" s="46"/>
      <c r="R74" s="46"/>
      <c r="S74" s="46"/>
      <c r="T74" s="46"/>
    </row>
    <row collapsed="false" customFormat="false" customHeight="false" hidden="false" ht="12.75" outlineLevel="0" r="75">
      <c r="B75" s="46" t="s">
        <v>1667</v>
      </c>
      <c r="C75" s="46" t="s">
        <v>1673</v>
      </c>
      <c r="D75" s="46" t="n">
        <v>0</v>
      </c>
      <c r="E75" s="46" t="n">
        <v>1</v>
      </c>
      <c r="F75" s="46" t="s">
        <v>1470</v>
      </c>
      <c r="G75" s="46" t="n">
        <f aca="false">COUNTIF(EXPERTISE!D4:D50,"*Nutrition*")</f>
        <v>0</v>
      </c>
      <c r="H75" s="46"/>
      <c r="I75" s="46" t="n">
        <f aca="false">COUNTIF(PROJECT!W2:W100,"*Nutrition*")</f>
        <v>0</v>
      </c>
      <c r="J75" s="46"/>
      <c r="K75" s="46"/>
      <c r="L75" s="46"/>
      <c r="M75" s="46"/>
      <c r="N75" s="46"/>
      <c r="O75" s="46"/>
      <c r="P75" s="46"/>
      <c r="Q75" s="46"/>
      <c r="R75" s="46"/>
      <c r="S75" s="46"/>
      <c r="T75" s="46"/>
    </row>
    <row collapsed="false" customFormat="false" customHeight="false" hidden="false" ht="12.75" outlineLevel="0" r="76">
      <c r="B76" s="37" t="s">
        <v>1674</v>
      </c>
      <c r="C76" s="46" t="s">
        <v>1675</v>
      </c>
      <c r="D76" s="46" t="n">
        <v>1</v>
      </c>
      <c r="E76" s="46" t="n">
        <v>1</v>
      </c>
      <c r="F76" s="46" t="n">
        <f aca="false">COUNTIF(EXPERTISE!C4:C50,"*Industry, Manufacturing and Trade*")</f>
        <v>0</v>
      </c>
      <c r="G76" s="46" t="n">
        <f aca="false">COUNTIF(EXPERTISE!D4:D50,"*Agro-Industry, Marketing, and Trade*")</f>
        <v>0</v>
      </c>
      <c r="H76" s="46" t="n">
        <f aca="false">COUNTIF(PROJECT!V2:V100,"*Industry, Manufacturing and Trade*")</f>
        <v>0</v>
      </c>
      <c r="I76" s="46" t="n">
        <f aca="false">COUNTIF(PROJECT!W2:W100,"*Agro-Industry, Marketing, and Trade*")</f>
        <v>0</v>
      </c>
      <c r="J76" s="46"/>
      <c r="K76" s="46"/>
      <c r="L76" s="46"/>
      <c r="M76" s="46"/>
      <c r="N76" s="46"/>
      <c r="O76" s="46"/>
      <c r="P76" s="46"/>
      <c r="Q76" s="46"/>
      <c r="R76" s="46"/>
      <c r="S76" s="46"/>
      <c r="T76" s="46"/>
    </row>
    <row collapsed="false" customFormat="false" customHeight="false" hidden="false" ht="12.75" outlineLevel="0" r="77">
      <c r="B77" s="37" t="s">
        <v>1674</v>
      </c>
      <c r="C77" s="46" t="s">
        <v>1676</v>
      </c>
      <c r="D77" s="46" t="n">
        <v>1</v>
      </c>
      <c r="E77" s="46" t="n">
        <v>1</v>
      </c>
      <c r="F77" s="46" t="s">
        <v>1470</v>
      </c>
      <c r="G77" s="37" t="n">
        <f aca="false">COUNTIF(EXPERTISE!D4:D50,"*Energy Efficient Machinery*")</f>
        <v>0</v>
      </c>
      <c r="H77" s="46"/>
      <c r="I77" s="37" t="n">
        <f aca="false">COUNTIF(PROJECT!W2:W100,"*Energy Efficient Machinery*")</f>
        <v>0</v>
      </c>
      <c r="J77" s="46"/>
      <c r="K77" s="46"/>
      <c r="L77" s="46"/>
      <c r="M77" s="46"/>
      <c r="N77" s="46"/>
      <c r="O77" s="46"/>
      <c r="P77" s="46"/>
      <c r="Q77" s="46"/>
      <c r="R77" s="46"/>
      <c r="S77" s="46"/>
      <c r="T77" s="46"/>
    </row>
    <row collapsed="false" customFormat="false" customHeight="false" hidden="false" ht="12.75" outlineLevel="0" r="78">
      <c r="B78" s="37" t="s">
        <v>1674</v>
      </c>
      <c r="C78" s="37" t="s">
        <v>1677</v>
      </c>
      <c r="D78" s="46" t="n">
        <v>0</v>
      </c>
      <c r="E78" s="46" t="n">
        <v>1</v>
      </c>
      <c r="F78" s="46" t="s">
        <v>1470</v>
      </c>
      <c r="G78" s="37" t="n">
        <f aca="false">COUNTIF(EXPERTISE!D4:D50,"*Construction -general*")</f>
        <v>0</v>
      </c>
      <c r="H78" s="46"/>
      <c r="I78" s="37" t="n">
        <f aca="false">COUNTIF(PROJECT!W2:W100,"*Construction -general*")</f>
        <v>0</v>
      </c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</row>
    <row collapsed="false" customFormat="false" customHeight="false" hidden="false" ht="12.75" outlineLevel="0" r="79">
      <c r="B79" s="37" t="s">
        <v>1674</v>
      </c>
      <c r="C79" s="37" t="s">
        <v>1678</v>
      </c>
      <c r="D79" s="46" t="n">
        <v>0</v>
      </c>
      <c r="E79" s="46" t="n">
        <v>1</v>
      </c>
      <c r="F79" s="46" t="s">
        <v>1470</v>
      </c>
      <c r="G79" s="46" t="n">
        <f aca="false">COUNTIF(EXPERTISE!D4:D50,"*Industry and Trade -general*")</f>
        <v>0</v>
      </c>
      <c r="H79" s="46"/>
      <c r="I79" s="46" t="n">
        <f aca="false">COUNTIF(PROJECT!W2:W100,"*Industry and Trade -general*")</f>
        <v>0</v>
      </c>
      <c r="J79" s="46"/>
      <c r="K79" s="46"/>
      <c r="L79" s="46"/>
      <c r="M79" s="46"/>
      <c r="N79" s="46"/>
      <c r="O79" s="46"/>
      <c r="P79" s="46"/>
      <c r="Q79" s="46"/>
      <c r="R79" s="46"/>
      <c r="S79" s="46"/>
      <c r="T79" s="46"/>
    </row>
    <row collapsed="false" customFormat="false" customHeight="false" hidden="false" ht="12.75" outlineLevel="0" r="80">
      <c r="B80" s="37" t="s">
        <v>1674</v>
      </c>
      <c r="C80" s="46" t="s">
        <v>1679</v>
      </c>
      <c r="D80" s="46" t="n">
        <v>0</v>
      </c>
      <c r="E80" s="46" t="n">
        <v>1</v>
      </c>
      <c r="F80" s="46" t="s">
        <v>1470</v>
      </c>
      <c r="G80" s="46" t="n">
        <f aca="false">COUNTIF(EXPERTISE!D4:D50,"*Housing Construction*")</f>
        <v>0</v>
      </c>
      <c r="H80" s="46"/>
      <c r="I80" s="46" t="n">
        <f aca="false">COUNTIF(PROJECT!W2:W100,"*Housing Construction*")</f>
        <v>0</v>
      </c>
      <c r="J80" s="46"/>
      <c r="K80" s="46"/>
      <c r="L80" s="46"/>
      <c r="M80" s="46"/>
      <c r="N80" s="46"/>
      <c r="O80" s="46"/>
      <c r="P80" s="46"/>
      <c r="Q80" s="46"/>
      <c r="R80" s="46"/>
      <c r="S80" s="46"/>
      <c r="T80" s="46"/>
    </row>
    <row collapsed="false" customFormat="false" customHeight="false" hidden="false" ht="12.75" outlineLevel="0" r="81">
      <c r="B81" s="37" t="s">
        <v>1674</v>
      </c>
      <c r="C81" s="37" t="s">
        <v>1680</v>
      </c>
      <c r="D81" s="46" t="n">
        <v>0</v>
      </c>
      <c r="E81" s="46" t="n">
        <v>1</v>
      </c>
      <c r="F81" s="46" t="s">
        <v>1470</v>
      </c>
      <c r="G81" s="37" t="n">
        <f aca="false">COUNTIF(EXPERTISE!D4:D50,"*Industry -general*")</f>
        <v>0</v>
      </c>
      <c r="H81" s="46"/>
      <c r="I81" s="37" t="n">
        <f aca="false">COUNTIF(PROJECT!W2:W100,"*Industry -general*")</f>
        <v>0</v>
      </c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</row>
    <row collapsed="false" customFormat="false" customHeight="false" hidden="false" ht="12.75" outlineLevel="0" r="82">
      <c r="B82" s="37" t="s">
        <v>1674</v>
      </c>
      <c r="C82" s="37" t="s">
        <v>1681</v>
      </c>
      <c r="D82" s="46" t="n">
        <v>0</v>
      </c>
      <c r="E82" s="46" t="n">
        <v>1</v>
      </c>
      <c r="F82" s="46" t="s">
        <v>1470</v>
      </c>
      <c r="G82" s="46" t="n">
        <f aca="false">COUNTIF(EXPERTISE!D4:D50,"*Domestic and International Trade*")</f>
        <v>0</v>
      </c>
      <c r="H82" s="46"/>
      <c r="I82" s="37" t="n">
        <f aca="false">COUNTIF(PROJECT!W2:W100,"*Domestic and International Trade*")</f>
        <v>0</v>
      </c>
      <c r="J82" s="46"/>
      <c r="K82" s="46"/>
      <c r="L82" s="46"/>
      <c r="M82" s="46"/>
      <c r="N82" s="46"/>
      <c r="O82" s="46"/>
      <c r="P82" s="46"/>
      <c r="Q82" s="46"/>
      <c r="R82" s="46"/>
      <c r="S82" s="46"/>
      <c r="T82" s="46"/>
    </row>
    <row collapsed="false" customFormat="false" customHeight="false" hidden="false" ht="12.75" outlineLevel="0" r="83">
      <c r="B83" s="37" t="s">
        <v>1674</v>
      </c>
      <c r="C83" s="46" t="s">
        <v>1682</v>
      </c>
      <c r="D83" s="46" t="n">
        <v>0</v>
      </c>
      <c r="E83" s="46" t="n">
        <v>1</v>
      </c>
      <c r="F83" s="46" t="s">
        <v>1470</v>
      </c>
      <c r="G83" s="46" t="n">
        <f aca="false">COUNTIF(EXPERTISE!D4:D50,"*(Petro-) Chemicals and Fertilizers*")</f>
        <v>0</v>
      </c>
      <c r="H83" s="46"/>
      <c r="I83" s="46" t="n">
        <f aca="false">COUNTIF(PROJECT!W2:W100,"*(Petro-) Chemicals and Fertilizers*")</f>
        <v>0</v>
      </c>
      <c r="J83" s="46"/>
      <c r="K83" s="46"/>
      <c r="L83" s="46"/>
      <c r="M83" s="46"/>
      <c r="N83" s="46"/>
      <c r="O83" s="46"/>
      <c r="P83" s="46"/>
      <c r="Q83" s="46"/>
      <c r="R83" s="46"/>
      <c r="S83" s="46"/>
      <c r="T83" s="46"/>
    </row>
    <row collapsed="false" customFormat="false" customHeight="false" hidden="false" ht="12.75" outlineLevel="0" r="84">
      <c r="B84" s="37" t="s">
        <v>1674</v>
      </c>
      <c r="C84" s="46" t="s">
        <v>1683</v>
      </c>
      <c r="D84" s="46" t="n">
        <v>0</v>
      </c>
      <c r="E84" s="46" t="n">
        <v>1</v>
      </c>
      <c r="F84" s="46" t="s">
        <v>1470</v>
      </c>
      <c r="G84" s="46" t="n">
        <f aca="false">COUNTIF(EXPERTISE!D4:D50,"*Property*")</f>
        <v>0</v>
      </c>
      <c r="H84" s="46"/>
      <c r="I84" s="46" t="n">
        <f aca="false">COUNTIF(PROJECT!W2:W100,"*Property*")</f>
        <v>0</v>
      </c>
      <c r="J84" s="46"/>
      <c r="K84" s="46"/>
      <c r="L84" s="46"/>
      <c r="M84" s="46"/>
      <c r="N84" s="46"/>
      <c r="O84" s="46"/>
      <c r="P84" s="46"/>
      <c r="Q84" s="46"/>
      <c r="R84" s="46"/>
      <c r="S84" s="46"/>
      <c r="T84" s="46"/>
    </row>
    <row collapsed="false" customFormat="false" customHeight="false" hidden="false" ht="12.75" outlineLevel="0" r="85">
      <c r="B85" s="37" t="s">
        <v>1674</v>
      </c>
      <c r="C85" s="37" t="s">
        <v>1684</v>
      </c>
      <c r="D85" s="46" t="n">
        <v>0</v>
      </c>
      <c r="E85" s="46" t="n">
        <v>1</v>
      </c>
      <c r="F85" s="46" t="s">
        <v>1470</v>
      </c>
      <c r="G85" s="37" t="n">
        <f aca="false">COUNTIF(EXPERTISE!D4:D50,"*Retail -general*")</f>
        <v>0</v>
      </c>
      <c r="H85" s="46"/>
      <c r="I85" s="37" t="n">
        <f aca="false">COUNTIF(PROJECT!W2:W100,"*Retail -general*")</f>
        <v>0</v>
      </c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</row>
    <row collapsed="false" customFormat="false" customHeight="false" hidden="false" ht="12.75" outlineLevel="0" r="86">
      <c r="B86" s="37" t="s">
        <v>1674</v>
      </c>
      <c r="C86" s="46" t="s">
        <v>1685</v>
      </c>
      <c r="D86" s="46" t="n">
        <v>0</v>
      </c>
      <c r="E86" s="46" t="n">
        <v>1</v>
      </c>
      <c r="F86" s="46" t="s">
        <v>1470</v>
      </c>
      <c r="G86" s="46" t="n">
        <f aca="false">COUNTIF(EXPERTISE!D4:D50,"*Small- and Medium-Scale Enterprises*")</f>
        <v>0</v>
      </c>
      <c r="H86" s="46"/>
      <c r="I86" s="46" t="n">
        <f aca="false">COUNTIF(PROJECT!W2:W100,"*Small- and Medium-Scale Enterprises*")</f>
        <v>0</v>
      </c>
      <c r="J86" s="46"/>
      <c r="K86" s="46"/>
      <c r="L86" s="46"/>
      <c r="M86" s="46"/>
      <c r="N86" s="46"/>
      <c r="O86" s="46"/>
      <c r="P86" s="46"/>
      <c r="Q86" s="46"/>
      <c r="R86" s="46"/>
      <c r="S86" s="46"/>
      <c r="T86" s="46"/>
    </row>
    <row collapsed="false" customFormat="false" customHeight="false" hidden="false" ht="12.75" outlineLevel="0" r="87">
      <c r="B87" s="37" t="s">
        <v>1674</v>
      </c>
      <c r="C87" s="46" t="s">
        <v>1686</v>
      </c>
      <c r="D87" s="46" t="n">
        <v>0</v>
      </c>
      <c r="E87" s="46" t="n">
        <v>1</v>
      </c>
      <c r="F87" s="46" t="s">
        <v>1470</v>
      </c>
      <c r="G87" s="46" t="n">
        <f aca="false">COUNTIF(EXPERTISE!D4:D50,"*Tourism*")</f>
        <v>0</v>
      </c>
      <c r="H87" s="46"/>
      <c r="I87" s="46" t="n">
        <f aca="false">COUNTIF(PROJECT!W2:W100,"*Tourism*")</f>
        <v>0</v>
      </c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</row>
    <row collapsed="false" customFormat="false" customHeight="false" hidden="false" ht="12.75" outlineLevel="0" r="88">
      <c r="B88" s="37" t="s">
        <v>1674</v>
      </c>
      <c r="C88" s="37" t="s">
        <v>1687</v>
      </c>
      <c r="D88" s="46" t="n">
        <v>0</v>
      </c>
      <c r="E88" s="46" t="n">
        <v>1</v>
      </c>
      <c r="F88" s="46" t="s">
        <v>1470</v>
      </c>
      <c r="G88" s="37" t="n">
        <f aca="false">COUNTIF(EXPERTISE!D4:D50,"*Trade -general*")</f>
        <v>0</v>
      </c>
      <c r="H88" s="46"/>
      <c r="I88" s="37" t="n">
        <f aca="false">COUNTIF(PROJECT!W2:W100,"*Trade -general*")</f>
        <v>0</v>
      </c>
      <c r="J88" s="46"/>
      <c r="K88" s="46"/>
      <c r="L88" s="46"/>
      <c r="M88" s="46"/>
      <c r="N88" s="46"/>
      <c r="O88" s="46"/>
      <c r="P88" s="46"/>
      <c r="Q88" s="46"/>
      <c r="R88" s="46"/>
      <c r="S88" s="46"/>
      <c r="T88" s="46"/>
    </row>
    <row collapsed="false" customFormat="false" customHeight="false" hidden="false" ht="12.75" outlineLevel="0" r="89">
      <c r="B89" s="46" t="s">
        <v>1688</v>
      </c>
      <c r="C89" s="46" t="s">
        <v>1689</v>
      </c>
      <c r="D89" s="46" t="n">
        <v>1</v>
      </c>
      <c r="E89" s="46" t="n">
        <v>1</v>
      </c>
      <c r="F89" s="46" t="n">
        <f aca="false">COUNTIF(EXPERTISE!C4:C50,"*Infrastructure*")</f>
        <v>0</v>
      </c>
      <c r="G89" s="46" t="n">
        <f aca="false">COUNTIF(EXPERTISE!D4:D50,"*IFC InfraVentures*")</f>
        <v>0</v>
      </c>
      <c r="H89" s="46" t="n">
        <f aca="false">COUNTIF(PROJECT!V2:V100,"*Infrastructure*")</f>
        <v>0</v>
      </c>
      <c r="I89" s="46" t="n">
        <f aca="false">COUNTIF(PROJECT!W2:W100,"*IFC InfraVentures*")</f>
        <v>0</v>
      </c>
      <c r="J89" s="46"/>
      <c r="K89" s="46"/>
      <c r="L89" s="46"/>
      <c r="M89" s="46"/>
      <c r="N89" s="46"/>
      <c r="O89" s="46"/>
      <c r="P89" s="46"/>
      <c r="Q89" s="46"/>
      <c r="R89" s="46"/>
      <c r="S89" s="46"/>
      <c r="T89" s="46"/>
    </row>
    <row collapsed="false" customFormat="false" customHeight="false" hidden="false" ht="12.75" outlineLevel="0" r="90">
      <c r="B90" s="46" t="s">
        <v>1688</v>
      </c>
      <c r="C90" s="37" t="s">
        <v>1690</v>
      </c>
      <c r="D90" s="46" t="n">
        <v>0</v>
      </c>
      <c r="E90" s="46" t="n">
        <v>1</v>
      </c>
      <c r="F90" s="46" t="s">
        <v>1470</v>
      </c>
      <c r="G90" s="37" t="n">
        <f aca="false">COUNTIF(EXPERTISE!D4:D50,"*Power Infrastructure*")</f>
        <v>0</v>
      </c>
      <c r="H90" s="46"/>
      <c r="I90" s="37" t="n">
        <f aca="false">COUNTIF(PROJECT!W2:W100,"*Power Infrastructure*")</f>
        <v>0</v>
      </c>
      <c r="J90" s="46"/>
      <c r="K90" s="46"/>
      <c r="L90" s="46"/>
      <c r="M90" s="46"/>
      <c r="N90" s="46"/>
      <c r="O90" s="46"/>
      <c r="P90" s="46"/>
      <c r="Q90" s="46"/>
      <c r="R90" s="46"/>
      <c r="S90" s="46"/>
      <c r="T90" s="46"/>
    </row>
    <row collapsed="false" customFormat="false" customHeight="false" hidden="false" ht="12.75" outlineLevel="0" r="91">
      <c r="B91" s="46" t="s">
        <v>1688</v>
      </c>
      <c r="C91" s="46" t="s">
        <v>1691</v>
      </c>
      <c r="D91" s="46" t="n">
        <v>0</v>
      </c>
      <c r="E91" s="46" t="n">
        <v>1</v>
      </c>
      <c r="F91" s="46" t="s">
        <v>1470</v>
      </c>
      <c r="G91" s="46" t="n">
        <f aca="false">COUNTIF(EXPERTISE!D4:D50,"*Renewables*")</f>
        <v>0</v>
      </c>
      <c r="H91" s="46"/>
      <c r="I91" s="46" t="n">
        <f aca="false">COUNTIF(PROJECT!W2:W100,"*Renewables*")</f>
        <v>0</v>
      </c>
      <c r="J91" s="46"/>
      <c r="K91" s="46"/>
      <c r="L91" s="46"/>
      <c r="M91" s="46"/>
      <c r="N91" s="46"/>
      <c r="O91" s="46"/>
      <c r="P91" s="46"/>
      <c r="Q91" s="46"/>
      <c r="R91" s="46"/>
      <c r="S91" s="46"/>
      <c r="T91" s="46"/>
    </row>
    <row collapsed="false" customFormat="false" customHeight="false" hidden="false" ht="12.75" outlineLevel="0" r="92">
      <c r="B92" s="46" t="s">
        <v>1688</v>
      </c>
      <c r="C92" s="46" t="s">
        <v>1692</v>
      </c>
      <c r="D92" s="46" t="n">
        <v>0</v>
      </c>
      <c r="E92" s="46" t="n">
        <v>1</v>
      </c>
      <c r="F92" s="46" t="s">
        <v>1470</v>
      </c>
      <c r="G92" s="46" t="n">
        <f aca="false">COUNTIF(EXPERTISE!D4:D50,"*Subnational Finance*")</f>
        <v>0</v>
      </c>
      <c r="H92" s="46"/>
      <c r="I92" s="46" t="n">
        <f aca="false">COUNTIF(PROJECT!W2:W100,"*Subnational Finance*")</f>
        <v>0</v>
      </c>
      <c r="J92" s="46"/>
      <c r="K92" s="46"/>
      <c r="L92" s="46"/>
      <c r="M92" s="46"/>
      <c r="N92" s="46"/>
      <c r="O92" s="46"/>
      <c r="P92" s="46"/>
      <c r="Q92" s="46"/>
      <c r="R92" s="46"/>
      <c r="S92" s="46"/>
      <c r="T92" s="46"/>
    </row>
    <row collapsed="false" customFormat="false" customHeight="false" hidden="false" ht="12.75" outlineLevel="0" r="93">
      <c r="B93" s="46" t="s">
        <v>1688</v>
      </c>
      <c r="C93" s="37" t="s">
        <v>1693</v>
      </c>
      <c r="D93" s="46" t="n">
        <v>0</v>
      </c>
      <c r="E93" s="46" t="n">
        <v>1</v>
      </c>
      <c r="F93" s="46" t="s">
        <v>1470</v>
      </c>
      <c r="G93" s="37" t="n">
        <f aca="false">COUNTIF(EXPERTISE!D4:D50,"*Transportation Infrastructure*")</f>
        <v>0</v>
      </c>
      <c r="H93" s="46"/>
      <c r="I93" s="37" t="n">
        <f aca="false">COUNTIF(PROJECT!W2:W100,"*Transportation Infrastructure*")</f>
        <v>0</v>
      </c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</row>
    <row collapsed="false" customFormat="false" customHeight="false" hidden="false" ht="12.75" outlineLevel="0" r="94">
      <c r="B94" s="46" t="s">
        <v>1688</v>
      </c>
      <c r="C94" s="37" t="s">
        <v>1694</v>
      </c>
      <c r="D94" s="46" t="n">
        <v>0</v>
      </c>
      <c r="E94" s="46" t="n">
        <v>1</v>
      </c>
      <c r="F94" s="46" t="s">
        <v>1470</v>
      </c>
      <c r="G94" s="37" t="n">
        <f aca="false">COUNTIF(EXPERTISE!D4:D50,"*Water Infrastructure*")</f>
        <v>0</v>
      </c>
      <c r="H94" s="46"/>
      <c r="I94" s="37" t="n">
        <f aca="false">COUNTIF(PROJECT!W2:W100,"*Water Infrastructure*")</f>
        <v>0</v>
      </c>
      <c r="J94" s="46"/>
      <c r="K94" s="46"/>
      <c r="L94" s="46"/>
      <c r="M94" s="46"/>
      <c r="N94" s="46"/>
      <c r="O94" s="46"/>
      <c r="P94" s="46"/>
      <c r="Q94" s="46"/>
      <c r="R94" s="46"/>
      <c r="S94" s="46"/>
      <c r="T94" s="46"/>
    </row>
    <row collapsed="false" customFormat="false" customHeight="false" hidden="false" ht="12.75" outlineLevel="0" r="95">
      <c r="B95" s="37" t="s">
        <v>1695</v>
      </c>
      <c r="C95" s="37" t="s">
        <v>1696</v>
      </c>
      <c r="D95" s="46" t="n">
        <v>1</v>
      </c>
      <c r="E95" s="46" t="n">
        <v>1</v>
      </c>
      <c r="F95" s="46" t="n">
        <f aca="false">COUNTIF(EXPERTISE!C4:C50,"*Multisector*")</f>
        <v>0</v>
      </c>
      <c r="G95" s="37" t="n">
        <f aca="false">COUNTIF(EXPERTISE!D4:D50,"*Integrated Sub-Sector*")</f>
        <v>0</v>
      </c>
      <c r="H95" s="46" t="n">
        <f aca="false">COUNTIF(PROJECT!V2:V100,"*Multisector*")</f>
        <v>0</v>
      </c>
      <c r="I95" s="37" t="n">
        <f aca="false">COUNTIF(PROJECT!W2:W100,"*Integrated Sub-Sector*")</f>
        <v>0</v>
      </c>
      <c r="J95" s="46"/>
      <c r="K95" s="46"/>
      <c r="L95" s="46"/>
      <c r="M95" s="46"/>
      <c r="N95" s="46"/>
      <c r="O95" s="46"/>
      <c r="P95" s="46"/>
      <c r="Q95" s="46"/>
      <c r="R95" s="46"/>
      <c r="S95" s="46"/>
      <c r="T95" s="46"/>
    </row>
    <row collapsed="false" customFormat="false" customHeight="false" hidden="false" ht="12.75" outlineLevel="0" r="96">
      <c r="B96" s="46" t="s">
        <v>1697</v>
      </c>
      <c r="C96" s="37" t="s">
        <v>1697</v>
      </c>
      <c r="D96" s="46" t="n">
        <v>1</v>
      </c>
      <c r="E96" s="46" t="n">
        <v>1</v>
      </c>
      <c r="F96" s="46" t="n">
        <f aca="false">COUNTIF(EXPERTISE!C4:C50,"*Multisector*")</f>
        <v>0</v>
      </c>
      <c r="G96" s="37" t="n">
        <f aca="false">COUNTIF(EXPERTISE!D4:D50,"*Multisector*")</f>
        <v>0</v>
      </c>
      <c r="H96" s="46" t="n">
        <f aca="false">COUNTIF(PROJECT!V2:V100,"*Multisector*")</f>
        <v>0</v>
      </c>
      <c r="I96" s="37" t="n">
        <f aca="false">COUNTIF(PROJECT!W2:W100,"*Multisector*")</f>
        <v>0</v>
      </c>
      <c r="J96" s="46"/>
      <c r="K96" s="46"/>
      <c r="L96" s="46"/>
      <c r="M96" s="46"/>
      <c r="N96" s="46"/>
      <c r="O96" s="46"/>
      <c r="P96" s="46"/>
      <c r="Q96" s="46"/>
      <c r="R96" s="46"/>
      <c r="S96" s="46"/>
      <c r="T96" s="46"/>
    </row>
    <row collapsed="false" customFormat="false" customHeight="false" hidden="false" ht="12.75" outlineLevel="0" r="97">
      <c r="B97" s="37" t="s">
        <v>1698</v>
      </c>
      <c r="C97" s="37" t="s">
        <v>1698</v>
      </c>
      <c r="D97" s="46" t="n">
        <v>1</v>
      </c>
      <c r="E97" s="46" t="n">
        <v>1</v>
      </c>
      <c r="F97" s="46" t="n">
        <f aca="false">COUNTIF(EXPERTISE!C4:C50,"*Others*")</f>
        <v>0</v>
      </c>
      <c r="G97" s="37" t="n">
        <f aca="false">COUNTIF(EXPERTISE!D4:D50,"*Not Listed*")</f>
        <v>0</v>
      </c>
      <c r="H97" s="46" t="n">
        <f aca="false">COUNTIF(PROJECT!V2:V100,"*Others*")</f>
        <v>0</v>
      </c>
      <c r="I97" s="37" t="n">
        <f aca="false">COUNTIF(PROJECT!W2:W100,"*Not Listed*")</f>
        <v>0</v>
      </c>
      <c r="J97" s="46"/>
      <c r="K97" s="46"/>
      <c r="L97" s="46"/>
      <c r="M97" s="46"/>
      <c r="N97" s="46"/>
      <c r="O97" s="46"/>
      <c r="P97" s="46"/>
      <c r="Q97" s="46"/>
      <c r="R97" s="46"/>
      <c r="S97" s="46"/>
      <c r="T97" s="46"/>
    </row>
    <row collapsed="false" customFormat="false" customHeight="false" hidden="false" ht="12.75" outlineLevel="0" r="98">
      <c r="B98" s="37" t="s">
        <v>1699</v>
      </c>
      <c r="C98" s="37" t="s">
        <v>1700</v>
      </c>
      <c r="D98" s="46" t="n">
        <v>1</v>
      </c>
      <c r="E98" s="46" t="n">
        <v>1</v>
      </c>
      <c r="F98" s="46" t="n">
        <f aca="false">COUNTIF(EXPERTISE!C4:C50,"*Others (non-project related) *")</f>
        <v>0</v>
      </c>
      <c r="G98" s="37" t="n">
        <f aca="false">COUNTIF(EXPERTISE!D4:D50,"*Other*")</f>
        <v>0</v>
      </c>
      <c r="H98" s="46" t="n">
        <f aca="false">COUNTIF(PROJECT!V2:V100,"*Others (non-project related)*")</f>
        <v>0</v>
      </c>
      <c r="I98" s="37" t="n">
        <f aca="false">COUNTIF(PROJECT!W2:W100,"*Other*")</f>
        <v>0</v>
      </c>
      <c r="J98" s="46"/>
      <c r="K98" s="46"/>
      <c r="L98" s="46"/>
      <c r="M98" s="46"/>
      <c r="N98" s="46"/>
      <c r="O98" s="46"/>
      <c r="P98" s="46"/>
      <c r="Q98" s="46"/>
      <c r="R98" s="46"/>
      <c r="S98" s="46"/>
      <c r="T98" s="46"/>
    </row>
    <row collapsed="false" customFormat="false" customHeight="false" hidden="false" ht="12.75" outlineLevel="0" r="99">
      <c r="B99" s="46" t="s">
        <v>1701</v>
      </c>
      <c r="C99" s="46" t="s">
        <v>1702</v>
      </c>
      <c r="D99" s="46" t="n">
        <v>1</v>
      </c>
      <c r="E99" s="46" t="n">
        <v>1</v>
      </c>
      <c r="F99" s="46" t="n">
        <f aca="false">COUNTIF(EXPERTISE!C4:C50,"*Public Administration, Law, and Justice*")</f>
        <v>0</v>
      </c>
      <c r="G99" s="46" t="n">
        <f aca="false">COUNTIF(EXPERTISE!D4:D50,"*Central Government Administration*")</f>
        <v>0</v>
      </c>
      <c r="H99" s="46" t="n">
        <f aca="false">COUNTIF(PROJECT!V2:V100,"*Public Administration, Law, and Justice*")</f>
        <v>0</v>
      </c>
      <c r="I99" s="46" t="n">
        <f aca="false">COUNTIF(PROJECT!W2:W100,"*Central Government Administration*")</f>
        <v>0</v>
      </c>
      <c r="J99" s="46"/>
      <c r="K99" s="46"/>
      <c r="L99" s="46"/>
      <c r="M99" s="46"/>
      <c r="N99" s="46"/>
      <c r="O99" s="46"/>
      <c r="P99" s="46"/>
      <c r="Q99" s="46"/>
      <c r="R99" s="46"/>
      <c r="S99" s="46"/>
      <c r="T99" s="46"/>
    </row>
    <row collapsed="false" customFormat="false" customHeight="false" hidden="false" ht="12.75" outlineLevel="0" r="100">
      <c r="B100" s="46" t="s">
        <v>1701</v>
      </c>
      <c r="C100" s="46" t="s">
        <v>1703</v>
      </c>
      <c r="D100" s="46" t="n">
        <v>0</v>
      </c>
      <c r="E100" s="46" t="n">
        <v>1</v>
      </c>
      <c r="F100" s="46" t="s">
        <v>1470</v>
      </c>
      <c r="G100" s="46" t="n">
        <f aca="false">COUNTIF(EXPERTISE!D4:D50,"*Compulsory Pension and Unemployment Insurance*")</f>
        <v>0</v>
      </c>
      <c r="H100" s="46"/>
      <c r="I100" s="46" t="n">
        <f aca="false">COUNTIF(PROJECT!W2:W100,"*Compulsory Pension and Unemployment Insurance*")</f>
        <v>0</v>
      </c>
      <c r="J100" s="46"/>
      <c r="K100" s="46"/>
      <c r="L100" s="46"/>
      <c r="M100" s="46"/>
      <c r="N100" s="46"/>
      <c r="O100" s="46"/>
      <c r="P100" s="46"/>
      <c r="Q100" s="46"/>
      <c r="R100" s="46"/>
      <c r="S100" s="46"/>
      <c r="T100" s="46"/>
    </row>
    <row collapsed="false" customFormat="false" customHeight="false" hidden="false" ht="12.75" outlineLevel="0" r="101">
      <c r="B101" s="46" t="s">
        <v>1701</v>
      </c>
      <c r="C101" s="46" t="s">
        <v>1704</v>
      </c>
      <c r="D101" s="46" t="n">
        <v>0</v>
      </c>
      <c r="E101" s="46" t="n">
        <v>1</v>
      </c>
      <c r="F101" s="46" t="s">
        <v>1470</v>
      </c>
      <c r="G101" s="46" t="n">
        <f aca="false">COUNTIF(EXPERTISE!D4:D50,"*General Public Administration Sector*")</f>
        <v>0</v>
      </c>
      <c r="H101" s="46"/>
      <c r="I101" s="46" t="n">
        <f aca="false">COUNTIF(PROJECT!W2:W100,"*General Public Administration Sector*")</f>
        <v>0</v>
      </c>
      <c r="J101" s="46"/>
      <c r="K101" s="46"/>
      <c r="L101" s="46"/>
      <c r="M101" s="46"/>
      <c r="N101" s="46"/>
      <c r="O101" s="46"/>
      <c r="P101" s="46"/>
      <c r="Q101" s="46"/>
      <c r="R101" s="46"/>
      <c r="S101" s="46"/>
      <c r="T101" s="46"/>
    </row>
    <row collapsed="false" customFormat="false" customHeight="false" hidden="false" ht="12.75" outlineLevel="0" r="102">
      <c r="B102" s="46" t="s">
        <v>1701</v>
      </c>
      <c r="C102" s="46" t="s">
        <v>1705</v>
      </c>
      <c r="D102" s="46" t="n">
        <v>0</v>
      </c>
      <c r="E102" s="46" t="n">
        <v>1</v>
      </c>
      <c r="F102" s="46" t="s">
        <v>1470</v>
      </c>
      <c r="G102" s="46" t="n">
        <f aca="false">COUNTIF(EXPERTISE!D4:D50,"*Government and Civil Society*")</f>
        <v>0</v>
      </c>
      <c r="H102" s="46"/>
      <c r="I102" s="46" t="n">
        <f aca="false">COUNTIF(PROJECT!W2:W100,"*Government and Civil Society*")</f>
        <v>0</v>
      </c>
      <c r="J102" s="46"/>
      <c r="K102" s="46"/>
      <c r="L102" s="46"/>
      <c r="M102" s="46"/>
      <c r="N102" s="46"/>
      <c r="O102" s="46"/>
      <c r="P102" s="46"/>
      <c r="Q102" s="46"/>
      <c r="R102" s="46"/>
      <c r="S102" s="46"/>
      <c r="T102" s="46"/>
    </row>
    <row collapsed="false" customFormat="false" customHeight="false" hidden="false" ht="12.75" outlineLevel="0" r="103">
      <c r="B103" s="46" t="s">
        <v>1701</v>
      </c>
      <c r="C103" s="46" t="s">
        <v>1706</v>
      </c>
      <c r="D103" s="46" t="n">
        <v>0</v>
      </c>
      <c r="E103" s="46" t="n">
        <v>1</v>
      </c>
      <c r="F103" s="46" t="s">
        <v>1470</v>
      </c>
      <c r="G103" s="46" t="n">
        <f aca="false">COUNTIF(EXPERTISE!D4:D50,"*Law and Judiciary*")</f>
        <v>0</v>
      </c>
      <c r="H103" s="46"/>
      <c r="I103" s="46" t="n">
        <f aca="false">COUNTIF(PROJECT!W2:W100,"*Law and Judiciary*")</f>
        <v>0</v>
      </c>
      <c r="J103" s="46"/>
      <c r="K103" s="46"/>
      <c r="L103" s="46"/>
      <c r="M103" s="46"/>
      <c r="N103" s="46"/>
      <c r="O103" s="46"/>
      <c r="P103" s="46"/>
      <c r="Q103" s="46"/>
      <c r="R103" s="46"/>
      <c r="S103" s="46"/>
      <c r="T103" s="46"/>
    </row>
    <row collapsed="false" customFormat="false" customHeight="false" hidden="false" ht="12.75" outlineLevel="0" r="104">
      <c r="B104" s="46" t="s">
        <v>1701</v>
      </c>
      <c r="C104" s="37" t="s">
        <v>1707</v>
      </c>
      <c r="D104" s="46" t="n">
        <v>0</v>
      </c>
      <c r="E104" s="46" t="n">
        <v>1</v>
      </c>
      <c r="F104" s="46" t="s">
        <v>1470</v>
      </c>
      <c r="G104" s="37" t="n">
        <f aca="false">COUNTIF(EXPERTISE!D4:D50,"*National Government Administration*")</f>
        <v>0</v>
      </c>
      <c r="H104" s="46"/>
      <c r="I104" s="37" t="n">
        <f aca="false">COUNTIF(PROJECT!W2:W100,"*National Government Administration*")</f>
        <v>0</v>
      </c>
      <c r="J104" s="46"/>
      <c r="K104" s="46"/>
      <c r="L104" s="46"/>
      <c r="M104" s="46"/>
      <c r="N104" s="46"/>
      <c r="O104" s="46"/>
      <c r="P104" s="46"/>
      <c r="Q104" s="46"/>
      <c r="R104" s="46"/>
      <c r="S104" s="46"/>
      <c r="T104" s="46"/>
    </row>
    <row collapsed="false" customFormat="false" customHeight="false" hidden="false" ht="12.75" outlineLevel="0" r="105">
      <c r="B105" s="46" t="s">
        <v>1701</v>
      </c>
      <c r="C105" s="46" t="s">
        <v>1708</v>
      </c>
      <c r="D105" s="46" t="n">
        <v>0</v>
      </c>
      <c r="E105" s="46" t="n">
        <v>1</v>
      </c>
      <c r="F105" s="46" t="s">
        <v>1470</v>
      </c>
      <c r="G105" s="46" t="n">
        <f aca="false">COUNTIF(EXPERTISE!D4:D50,"*Public Administration - Agriculture, Fishing and Forestry*")</f>
        <v>0</v>
      </c>
      <c r="H105" s="46"/>
      <c r="I105" s="46" t="n">
        <f aca="false">COUNTIF(PROJECT!W2:W100,"*Public Administration - Agriculture, Fishing and Forestry*")</f>
        <v>0</v>
      </c>
      <c r="J105" s="46"/>
      <c r="K105" s="46"/>
      <c r="L105" s="46"/>
      <c r="M105" s="46"/>
      <c r="N105" s="46"/>
      <c r="O105" s="46"/>
      <c r="P105" s="46"/>
      <c r="Q105" s="46"/>
      <c r="R105" s="46"/>
      <c r="S105" s="46"/>
      <c r="T105" s="46"/>
    </row>
    <row collapsed="false" customFormat="false" customHeight="false" hidden="false" ht="12.75" outlineLevel="0" r="106">
      <c r="B106" s="46" t="s">
        <v>1701</v>
      </c>
      <c r="C106" s="46" t="s">
        <v>1709</v>
      </c>
      <c r="D106" s="46" t="n">
        <v>0</v>
      </c>
      <c r="E106" s="46" t="n">
        <v>1</v>
      </c>
      <c r="F106" s="46" t="s">
        <v>1470</v>
      </c>
      <c r="G106" s="46" t="n">
        <f aca="false">COUNTIF(EXPERTISE!D4:D50,"*Public Administration - Education*")</f>
        <v>0</v>
      </c>
      <c r="H106" s="46"/>
      <c r="I106" s="46" t="n">
        <f aca="false">COUNTIF(PROJECT!W2:W100,"*Public Administration - Education*")</f>
        <v>0</v>
      </c>
      <c r="J106" s="46"/>
      <c r="K106" s="46"/>
      <c r="L106" s="46"/>
      <c r="M106" s="46"/>
      <c r="N106" s="46"/>
      <c r="O106" s="46"/>
      <c r="P106" s="46"/>
      <c r="Q106" s="46"/>
      <c r="R106" s="46"/>
      <c r="S106" s="46"/>
      <c r="T106" s="46"/>
    </row>
    <row collapsed="false" customFormat="false" customHeight="false" hidden="false" ht="12.75" outlineLevel="0" r="107">
      <c r="B107" s="46" t="s">
        <v>1701</v>
      </c>
      <c r="C107" s="37" t="s">
        <v>1710</v>
      </c>
      <c r="D107" s="46" t="n">
        <v>0</v>
      </c>
      <c r="E107" s="46" t="n">
        <v>1</v>
      </c>
      <c r="F107" s="46" t="s">
        <v>1470</v>
      </c>
      <c r="G107" s="46" t="n">
        <f aca="false">COUNTIF(EXPERTISE!D4:D50,"*Public Administration - Energy and Mining*")</f>
        <v>0</v>
      </c>
      <c r="H107" s="46"/>
      <c r="I107" s="46" t="n">
        <f aca="false">COUNTIF(PROJECT!W2:W100,"*Public Administration - Energy and Mining*")</f>
        <v>0</v>
      </c>
      <c r="J107" s="46"/>
      <c r="K107" s="46"/>
      <c r="L107" s="46"/>
      <c r="M107" s="46"/>
      <c r="N107" s="46"/>
      <c r="O107" s="46"/>
      <c r="P107" s="46"/>
      <c r="Q107" s="46"/>
      <c r="R107" s="46"/>
      <c r="S107" s="46"/>
      <c r="T107" s="46"/>
    </row>
    <row collapsed="false" customFormat="false" customHeight="false" hidden="false" ht="12.75" outlineLevel="0" r="108">
      <c r="B108" s="46" t="s">
        <v>1701</v>
      </c>
      <c r="C108" s="46" t="s">
        <v>1711</v>
      </c>
      <c r="D108" s="46" t="n">
        <v>0</v>
      </c>
      <c r="E108" s="46" t="n">
        <v>1</v>
      </c>
      <c r="F108" s="46" t="s">
        <v>1470</v>
      </c>
      <c r="G108" s="46" t="n">
        <f aca="false">COUNTIF(EXPERTISE!D4:D50,"*Public Administration - Financial Sector*")</f>
        <v>0</v>
      </c>
      <c r="H108" s="46"/>
      <c r="I108" s="46" t="n">
        <f aca="false">COUNTIF(PROJECT!W2:W100,"*Public Administration - Financial Sector*")</f>
        <v>0</v>
      </c>
      <c r="J108" s="46"/>
      <c r="K108" s="46"/>
      <c r="L108" s="46"/>
      <c r="M108" s="46"/>
      <c r="N108" s="46"/>
      <c r="O108" s="46"/>
      <c r="P108" s="46"/>
      <c r="Q108" s="46"/>
      <c r="R108" s="46"/>
      <c r="S108" s="46"/>
      <c r="T108" s="46"/>
    </row>
    <row collapsed="false" customFormat="false" customHeight="false" hidden="false" ht="12.75" outlineLevel="0" r="109">
      <c r="B109" s="46" t="s">
        <v>1701</v>
      </c>
      <c r="C109" s="46" t="s">
        <v>1712</v>
      </c>
      <c r="D109" s="46" t="n">
        <v>0</v>
      </c>
      <c r="E109" s="46" t="n">
        <v>1</v>
      </c>
      <c r="F109" s="46" t="s">
        <v>1470</v>
      </c>
      <c r="G109" s="46" t="n">
        <f aca="false">COUNTIF(EXPERTISE!D4:D50,"*Public Administration - Health*")</f>
        <v>0</v>
      </c>
      <c r="H109" s="46"/>
      <c r="I109" s="46" t="n">
        <f aca="false">COUNTIF(PROJECT!W2:W100,"*Public Administration - Health*")</f>
        <v>0</v>
      </c>
      <c r="J109" s="46"/>
      <c r="K109" s="46"/>
      <c r="L109" s="46"/>
      <c r="M109" s="46"/>
      <c r="N109" s="46"/>
      <c r="O109" s="46"/>
      <c r="P109" s="46"/>
      <c r="Q109" s="46"/>
      <c r="R109" s="46"/>
      <c r="S109" s="46"/>
      <c r="T109" s="46"/>
    </row>
    <row collapsed="false" customFormat="false" customHeight="false" hidden="false" ht="12.75" outlineLevel="0" r="110">
      <c r="B110" s="46" t="s">
        <v>1701</v>
      </c>
      <c r="C110" s="37" t="s">
        <v>1713</v>
      </c>
      <c r="D110" s="46" t="n">
        <v>0</v>
      </c>
      <c r="E110" s="46" t="n">
        <v>1</v>
      </c>
      <c r="F110" s="46" t="s">
        <v>1470</v>
      </c>
      <c r="G110" s="46" t="n">
        <f aca="false">COUNTIF(EXPERTISE!D4:D50,"*Public Administration - Industry and Trade*")</f>
        <v>0</v>
      </c>
      <c r="H110" s="46"/>
      <c r="I110" s="46" t="n">
        <f aca="false">COUNTIF(PROJECT!W2:W100,"*Public Administration - Industry and Trade*")</f>
        <v>0</v>
      </c>
      <c r="J110" s="46"/>
      <c r="K110" s="46"/>
      <c r="L110" s="46"/>
      <c r="M110" s="46"/>
      <c r="N110" s="46"/>
      <c r="O110" s="46"/>
      <c r="P110" s="46"/>
      <c r="Q110" s="46"/>
      <c r="R110" s="46"/>
      <c r="S110" s="46"/>
      <c r="T110" s="46"/>
    </row>
    <row collapsed="false" customFormat="false" customHeight="false" hidden="false" ht="12.75" outlineLevel="0" r="111">
      <c r="B111" s="46" t="s">
        <v>1701</v>
      </c>
      <c r="C111" s="46" t="s">
        <v>1714</v>
      </c>
      <c r="D111" s="46" t="n">
        <v>0</v>
      </c>
      <c r="E111" s="46" t="n">
        <v>1</v>
      </c>
      <c r="F111" s="46" t="s">
        <v>1470</v>
      </c>
      <c r="G111" s="46" t="n">
        <f aca="false">COUNTIF(EXPERTISE!D4:D50,"*Public Administration - Information and Communications*")</f>
        <v>0</v>
      </c>
      <c r="H111" s="46"/>
      <c r="I111" s="46" t="n">
        <f aca="false">COUNTIF(PROJECT!W2:W100,"*Public Administration - Information and Communications*")</f>
        <v>0</v>
      </c>
      <c r="J111" s="46"/>
      <c r="K111" s="46"/>
      <c r="L111" s="46"/>
      <c r="M111" s="46"/>
      <c r="N111" s="46"/>
      <c r="O111" s="46"/>
      <c r="P111" s="46"/>
      <c r="Q111" s="46"/>
      <c r="R111" s="46"/>
      <c r="S111" s="46"/>
      <c r="T111" s="46"/>
    </row>
    <row collapsed="false" customFormat="false" customHeight="false" hidden="false" ht="12.75" outlineLevel="0" r="112">
      <c r="B112" s="46" t="s">
        <v>1701</v>
      </c>
      <c r="C112" s="46" t="s">
        <v>1715</v>
      </c>
      <c r="D112" s="46" t="n">
        <v>0</v>
      </c>
      <c r="E112" s="46" t="n">
        <v>1</v>
      </c>
      <c r="F112" s="46" t="s">
        <v>1470</v>
      </c>
      <c r="G112" s="37" t="n">
        <f aca="false">COUNTIF(EXPERTISE!D4:D50,"*Public Administration - Social Services*")</f>
        <v>0</v>
      </c>
      <c r="H112" s="46"/>
      <c r="I112" s="37" t="n">
        <f aca="false">COUNTIF(PROJECT!W2:W100,"*Public Administration - Social Services*")</f>
        <v>0</v>
      </c>
      <c r="J112" s="46"/>
      <c r="K112" s="46"/>
      <c r="L112" s="46"/>
      <c r="M112" s="46"/>
      <c r="N112" s="46"/>
      <c r="O112" s="46"/>
      <c r="P112" s="46"/>
      <c r="Q112" s="46"/>
      <c r="R112" s="46"/>
      <c r="S112" s="46"/>
      <c r="T112" s="46"/>
    </row>
    <row collapsed="false" customFormat="false" customHeight="false" hidden="false" ht="12.75" outlineLevel="0" r="113">
      <c r="B113" s="46" t="s">
        <v>1701</v>
      </c>
      <c r="C113" s="46" t="s">
        <v>1716</v>
      </c>
      <c r="D113" s="46" t="n">
        <v>0</v>
      </c>
      <c r="E113" s="46" t="n">
        <v>1</v>
      </c>
      <c r="F113" s="46" t="s">
        <v>1470</v>
      </c>
      <c r="G113" s="46" t="n">
        <f aca="false">COUNTIF(EXPERTISE!D4:D50,"*Public Administration - Transportation*")</f>
        <v>0</v>
      </c>
      <c r="H113" s="46"/>
      <c r="I113" s="46" t="n">
        <f aca="false">COUNTIF(PROJECT!W2:W100,"*Public Administration - Transportation*")</f>
        <v>0</v>
      </c>
      <c r="J113" s="46"/>
      <c r="K113" s="46"/>
      <c r="L113" s="46"/>
      <c r="M113" s="46"/>
      <c r="N113" s="46"/>
      <c r="O113" s="46"/>
      <c r="P113" s="46"/>
      <c r="Q113" s="46"/>
      <c r="R113" s="46"/>
      <c r="S113" s="46"/>
      <c r="T113" s="46"/>
    </row>
    <row collapsed="false" customFormat="false" customHeight="false" hidden="false" ht="12.75" outlineLevel="0" r="114">
      <c r="B114" s="46" t="s">
        <v>1701</v>
      </c>
      <c r="C114" s="46" t="s">
        <v>1717</v>
      </c>
      <c r="D114" s="46" t="n">
        <v>0</v>
      </c>
      <c r="E114" s="46" t="n">
        <v>1</v>
      </c>
      <c r="F114" s="46" t="s">
        <v>1470</v>
      </c>
      <c r="G114" s="46" t="n">
        <f aca="false">COUNTIF(EXPERTISE!D4:D50,"*Public Administration - Water, Sanitation and Flood Protection*")</f>
        <v>0</v>
      </c>
      <c r="H114" s="46"/>
      <c r="I114" s="46" t="n">
        <f aca="false">COUNTIF(PROJECT!W2:W100,"*Public Administration - Water, Sanitation and Flood Protection*")</f>
        <v>0</v>
      </c>
      <c r="J114" s="46"/>
      <c r="K114" s="46"/>
      <c r="L114" s="46"/>
      <c r="M114" s="46"/>
      <c r="N114" s="46"/>
      <c r="O114" s="46"/>
      <c r="P114" s="46"/>
      <c r="Q114" s="46"/>
      <c r="R114" s="46"/>
      <c r="S114" s="46"/>
      <c r="T114" s="46"/>
    </row>
    <row collapsed="false" customFormat="false" customHeight="false" hidden="false" ht="12.75" outlineLevel="0" r="115">
      <c r="B115" s="46" t="s">
        <v>1701</v>
      </c>
      <c r="C115" s="37" t="s">
        <v>1718</v>
      </c>
      <c r="D115" s="46" t="n">
        <v>0</v>
      </c>
      <c r="E115" s="46" t="n">
        <v>1</v>
      </c>
      <c r="F115" s="46" t="s">
        <v>1470</v>
      </c>
      <c r="G115" s="46" t="n">
        <f aca="false">COUNTIF(EXPERTISE!D4:D50,"*Sub-national Governance*")</f>
        <v>0</v>
      </c>
      <c r="H115" s="46"/>
      <c r="I115" s="37" t="n">
        <f aca="false">COUNTIF(PROJECT!W2:W100,"*Sub-national Governance*")</f>
        <v>0</v>
      </c>
      <c r="J115" s="46"/>
      <c r="K115" s="46"/>
      <c r="L115" s="46"/>
      <c r="M115" s="46"/>
      <c r="N115" s="46"/>
      <c r="O115" s="46"/>
      <c r="P115" s="46"/>
      <c r="Q115" s="46"/>
      <c r="R115" s="46"/>
      <c r="S115" s="46"/>
      <c r="T115" s="46"/>
    </row>
    <row collapsed="false" customFormat="false" customHeight="false" hidden="false" ht="12.75" outlineLevel="0" r="116">
      <c r="B116" s="46" t="s">
        <v>1701</v>
      </c>
      <c r="C116" s="46" t="s">
        <v>1719</v>
      </c>
      <c r="D116" s="46" t="n">
        <v>0</v>
      </c>
      <c r="E116" s="46" t="n">
        <v>1</v>
      </c>
      <c r="F116" s="46" t="s">
        <v>1470</v>
      </c>
      <c r="G116" s="46" t="n">
        <f aca="false">COUNTIF(EXPERTISE!D4:D50,"*Support to NGOs*")</f>
        <v>0</v>
      </c>
      <c r="H116" s="46"/>
      <c r="I116" s="46" t="n">
        <f aca="false">COUNTIF(PROJECT!W2:W100,"*Support to NGOs*")</f>
        <v>0</v>
      </c>
      <c r="J116" s="46"/>
      <c r="K116" s="46"/>
      <c r="L116" s="46"/>
      <c r="M116" s="46"/>
      <c r="N116" s="46"/>
      <c r="O116" s="46"/>
      <c r="P116" s="46"/>
      <c r="Q116" s="46"/>
      <c r="R116" s="46"/>
      <c r="S116" s="46"/>
      <c r="T116" s="46"/>
    </row>
    <row collapsed="false" customFormat="false" customHeight="false" hidden="false" ht="12.75" outlineLevel="0" r="117">
      <c r="B117" s="46" t="s">
        <v>1720</v>
      </c>
      <c r="C117" s="46" t="s">
        <v>1721</v>
      </c>
      <c r="D117" s="46" t="n">
        <v>1</v>
      </c>
      <c r="E117" s="46" t="n">
        <v>1</v>
      </c>
      <c r="F117" s="46" t="n">
        <f aca="false">COUNTIF(EXPERTISE!C4:C50,"*Telecoms, Media &amp; Information Technology*")</f>
        <v>0</v>
      </c>
      <c r="G117" s="46" t="n">
        <f aca="false">COUNTIF(EXPERTISE!D4:D50,"*General Information and Communications Sector*")</f>
        <v>0</v>
      </c>
      <c r="H117" s="46" t="n">
        <f aca="false">COUNTIF(PROJECT!V2:V100,"*Telecoms, Media &amp; Information Technology*")</f>
        <v>0</v>
      </c>
      <c r="I117" s="46" t="n">
        <f aca="false">COUNTIF(PROJECT!W2:W100,"*General Information and Communications Sector*")</f>
        <v>0</v>
      </c>
      <c r="J117" s="46"/>
      <c r="K117" s="46"/>
      <c r="L117" s="46"/>
      <c r="M117" s="46"/>
      <c r="N117" s="46"/>
      <c r="O117" s="46"/>
      <c r="P117" s="46"/>
      <c r="Q117" s="46"/>
      <c r="R117" s="46"/>
      <c r="S117" s="46"/>
      <c r="T117" s="46"/>
    </row>
    <row collapsed="false" customFormat="false" customHeight="false" hidden="false" ht="12.75" outlineLevel="0" r="118">
      <c r="B118" s="46" t="s">
        <v>1720</v>
      </c>
      <c r="C118" s="46" t="s">
        <v>1722</v>
      </c>
      <c r="D118" s="46" t="n">
        <v>0</v>
      </c>
      <c r="E118" s="46" t="n">
        <v>1</v>
      </c>
      <c r="F118" s="46" t="s">
        <v>1470</v>
      </c>
      <c r="G118" s="46" t="n">
        <f aca="false">COUNTIF(EXPERTISE!D4:D50,"*Information Technology*")</f>
        <v>0</v>
      </c>
      <c r="H118" s="46"/>
      <c r="I118" s="46" t="n">
        <f aca="false">COUNTIF(PROJECT!W2:W100,"*Information Technology*")</f>
        <v>0</v>
      </c>
      <c r="J118" s="46"/>
      <c r="K118" s="46"/>
      <c r="L118" s="46"/>
      <c r="M118" s="46"/>
      <c r="N118" s="46"/>
      <c r="O118" s="46"/>
      <c r="P118" s="46"/>
      <c r="Q118" s="46"/>
      <c r="R118" s="46"/>
      <c r="S118" s="46"/>
      <c r="T118" s="46"/>
    </row>
    <row collapsed="false" customFormat="false" customHeight="false" hidden="false" ht="12.75" outlineLevel="0" r="119">
      <c r="B119" s="46" t="s">
        <v>1720</v>
      </c>
      <c r="C119" s="37" t="s">
        <v>1723</v>
      </c>
      <c r="D119" s="46" t="n">
        <v>0</v>
      </c>
      <c r="E119" s="46" t="n">
        <v>1</v>
      </c>
      <c r="F119" s="46" t="s">
        <v>1470</v>
      </c>
      <c r="G119" s="37" t="n">
        <f aca="false">COUNTIF(EXPERTISE!D4:D50,"*Media &amp; Broadcast Information*")</f>
        <v>0</v>
      </c>
      <c r="H119" s="46"/>
      <c r="I119" s="37" t="n">
        <f aca="false">COUNTIF(PROJECT!W2:W100,"*Media &amp; Broadcast Information*")</f>
        <v>0</v>
      </c>
      <c r="J119" s="46"/>
      <c r="K119" s="46"/>
      <c r="L119" s="46"/>
      <c r="M119" s="46"/>
      <c r="N119" s="46"/>
      <c r="O119" s="46"/>
      <c r="P119" s="46"/>
      <c r="Q119" s="46"/>
      <c r="R119" s="46"/>
      <c r="S119" s="46"/>
      <c r="T119" s="46"/>
    </row>
    <row collapsed="false" customFormat="false" customHeight="false" hidden="false" ht="12.75" outlineLevel="0" r="120">
      <c r="B120" s="46" t="s">
        <v>1720</v>
      </c>
      <c r="C120" s="46" t="s">
        <v>1724</v>
      </c>
      <c r="D120" s="46" t="n">
        <v>0</v>
      </c>
      <c r="E120" s="46" t="n">
        <v>1</v>
      </c>
      <c r="F120" s="46" t="s">
        <v>1470</v>
      </c>
      <c r="G120" s="46" t="n">
        <f aca="false">COUNTIF(EXPERTISE!D4:D50,"*Postal Services*")</f>
        <v>0</v>
      </c>
      <c r="H120" s="46"/>
      <c r="I120" s="46" t="n">
        <f aca="false">COUNTIF(PROJECT!W2:W100,"*Postal Services*")</f>
        <v>0</v>
      </c>
      <c r="J120" s="46"/>
      <c r="K120" s="46"/>
      <c r="L120" s="46"/>
      <c r="M120" s="46"/>
      <c r="N120" s="46"/>
      <c r="O120" s="46"/>
      <c r="P120" s="46"/>
      <c r="Q120" s="46"/>
      <c r="R120" s="46"/>
      <c r="S120" s="46"/>
      <c r="T120" s="46"/>
    </row>
    <row collapsed="false" customFormat="false" customHeight="false" hidden="false" ht="12.75" outlineLevel="0" r="121">
      <c r="B121" s="46" t="s">
        <v>1720</v>
      </c>
      <c r="C121" s="46" t="s">
        <v>1725</v>
      </c>
      <c r="D121" s="46" t="n">
        <v>0</v>
      </c>
      <c r="E121" s="46" t="n">
        <v>1</v>
      </c>
      <c r="F121" s="46" t="s">
        <v>1470</v>
      </c>
      <c r="G121" s="46" t="n">
        <f aca="false">COUNTIF(EXPERTISE!D4:D50,"*Telecommunications*")</f>
        <v>0</v>
      </c>
      <c r="H121" s="46"/>
      <c r="I121" s="46" t="n">
        <f aca="false">COUNTIF(PROJECT!W2:W100,"*Telecommunications*")</f>
        <v>0</v>
      </c>
      <c r="J121" s="46"/>
      <c r="K121" s="46"/>
      <c r="L121" s="46"/>
      <c r="M121" s="46"/>
      <c r="N121" s="46"/>
      <c r="O121" s="46"/>
      <c r="P121" s="46"/>
      <c r="Q121" s="46"/>
      <c r="R121" s="46"/>
      <c r="S121" s="46"/>
      <c r="T121" s="46"/>
    </row>
    <row collapsed="false" customFormat="false" customHeight="false" hidden="false" ht="12.75" outlineLevel="0" r="122">
      <c r="B122" s="46" t="s">
        <v>1726</v>
      </c>
      <c r="C122" s="46" t="s">
        <v>1727</v>
      </c>
      <c r="D122" s="46" t="n">
        <v>1</v>
      </c>
      <c r="E122" s="46" t="n">
        <v>1</v>
      </c>
      <c r="F122" s="46" t="n">
        <f aca="false">COUNTIF(EXPERTISE!C4:C50,"*Transport and Communication*")</f>
        <v>0</v>
      </c>
      <c r="G122" s="46" t="n">
        <f aca="false">COUNTIF(EXPERTISE!D4:D50,"*Aviation*")</f>
        <v>0</v>
      </c>
      <c r="H122" s="46" t="n">
        <f aca="false">COUNTIF(PROJECT!V2:V100,"*Transport and Communication*")</f>
        <v>0</v>
      </c>
      <c r="I122" s="46" t="n">
        <f aca="false">COUNTIF(PROJECT!W2:W100,"*Aviation*")</f>
        <v>0</v>
      </c>
      <c r="J122" s="46"/>
      <c r="K122" s="46"/>
      <c r="L122" s="46"/>
      <c r="M122" s="46"/>
      <c r="N122" s="46"/>
      <c r="O122" s="46"/>
      <c r="P122" s="46"/>
      <c r="Q122" s="46"/>
      <c r="R122" s="46"/>
      <c r="S122" s="46"/>
      <c r="T122" s="46"/>
    </row>
    <row collapsed="false" customFormat="false" customHeight="false" hidden="false" ht="12.75" outlineLevel="0" r="123">
      <c r="B123" s="46" t="s">
        <v>1726</v>
      </c>
      <c r="C123" s="46" t="s">
        <v>1728</v>
      </c>
      <c r="D123" s="46" t="n">
        <v>0</v>
      </c>
      <c r="E123" s="46" t="n">
        <v>1</v>
      </c>
      <c r="F123" s="46" t="s">
        <v>1470</v>
      </c>
      <c r="G123" s="46" t="n">
        <f aca="false">COUNTIF(EXPERTISE!D4:D50,"*General Transportation Sector*")</f>
        <v>0</v>
      </c>
      <c r="H123" s="46"/>
      <c r="I123" s="46" t="n">
        <f aca="false">COUNTIF(PROJECT!W2:W100,"*General Transportation Sector*")</f>
        <v>0</v>
      </c>
      <c r="J123" s="46"/>
      <c r="K123" s="46"/>
      <c r="L123" s="46"/>
      <c r="M123" s="46"/>
      <c r="N123" s="46"/>
      <c r="O123" s="46"/>
      <c r="P123" s="46"/>
      <c r="Q123" s="46"/>
      <c r="R123" s="46"/>
      <c r="S123" s="46"/>
      <c r="T123" s="46"/>
    </row>
    <row collapsed="false" customFormat="false" customHeight="false" hidden="false" ht="12.75" outlineLevel="0" r="124">
      <c r="B124" s="46" t="s">
        <v>1726</v>
      </c>
      <c r="C124" s="46" t="s">
        <v>1729</v>
      </c>
      <c r="D124" s="46" t="n">
        <v>0</v>
      </c>
      <c r="E124" s="46" t="n">
        <v>1</v>
      </c>
      <c r="F124" s="46" t="s">
        <v>1470</v>
      </c>
      <c r="G124" s="46" t="n">
        <f aca="false">COUNTIF(EXPERTISE!D4:D50,"*Multimodal Transport and Sector Development*")</f>
        <v>0</v>
      </c>
      <c r="H124" s="46"/>
      <c r="I124" s="46" t="n">
        <f aca="false">COUNTIF(PROJECT!W2:W100,"*Multimodal Transport and Sector Development*")</f>
        <v>0</v>
      </c>
      <c r="J124" s="46"/>
      <c r="K124" s="46"/>
      <c r="L124" s="46"/>
      <c r="M124" s="46"/>
      <c r="N124" s="46"/>
      <c r="O124" s="46"/>
      <c r="P124" s="46"/>
      <c r="Q124" s="46"/>
      <c r="R124" s="46"/>
      <c r="S124" s="46"/>
      <c r="T124" s="46"/>
    </row>
    <row collapsed="false" customFormat="false" customHeight="false" hidden="false" ht="12.75" outlineLevel="0" r="125">
      <c r="B125" s="46" t="s">
        <v>1726</v>
      </c>
      <c r="C125" s="46" t="s">
        <v>1730</v>
      </c>
      <c r="D125" s="46" t="n">
        <v>0</v>
      </c>
      <c r="E125" s="46" t="n">
        <v>1</v>
      </c>
      <c r="F125" s="46" t="s">
        <v>1470</v>
      </c>
      <c r="G125" s="46" t="n">
        <f aca="false">COUNTIF(EXPERTISE!D4:D50,"*Ports, Waterways and Shipping*")</f>
        <v>0</v>
      </c>
      <c r="H125" s="46"/>
      <c r="I125" s="46" t="n">
        <f aca="false">COUNTIF(PROJECT!W2:W100,"*Ports, Waterways and Shipping*")</f>
        <v>0</v>
      </c>
      <c r="J125" s="46"/>
      <c r="K125" s="46"/>
      <c r="L125" s="46"/>
      <c r="M125" s="46"/>
      <c r="N125" s="46"/>
      <c r="O125" s="46"/>
      <c r="P125" s="46"/>
      <c r="Q125" s="46"/>
      <c r="R125" s="46"/>
      <c r="S125" s="46"/>
      <c r="T125" s="46"/>
    </row>
    <row collapsed="false" customFormat="false" customHeight="false" hidden="false" ht="12.75" outlineLevel="0" r="126">
      <c r="B126" s="46" t="s">
        <v>1726</v>
      </c>
      <c r="C126" s="46" t="s">
        <v>1731</v>
      </c>
      <c r="D126" s="46" t="n">
        <v>0</v>
      </c>
      <c r="E126" s="46" t="n">
        <v>1</v>
      </c>
      <c r="F126" s="46" t="s">
        <v>1470</v>
      </c>
      <c r="G126" s="46" t="n">
        <f aca="false">COUNTIF(EXPERTISE!D4:D50,"*Railways*")</f>
        <v>0</v>
      </c>
      <c r="H126" s="46"/>
      <c r="I126" s="46" t="n">
        <f aca="false">COUNTIF(PROJECT!W2:W100,"*Railways*")</f>
        <v>0</v>
      </c>
      <c r="J126" s="46"/>
      <c r="K126" s="46"/>
      <c r="L126" s="46"/>
      <c r="M126" s="46"/>
      <c r="N126" s="46"/>
      <c r="O126" s="46"/>
      <c r="P126" s="46"/>
      <c r="Q126" s="46"/>
      <c r="R126" s="46"/>
      <c r="S126" s="46"/>
      <c r="T126" s="46"/>
    </row>
    <row collapsed="false" customFormat="false" customHeight="false" hidden="false" ht="12.75" outlineLevel="0" r="127">
      <c r="B127" s="46" t="s">
        <v>1726</v>
      </c>
      <c r="C127" s="46" t="s">
        <v>1732</v>
      </c>
      <c r="D127" s="46" t="n">
        <v>0</v>
      </c>
      <c r="E127" s="46" t="n">
        <v>1</v>
      </c>
      <c r="F127" s="46" t="s">
        <v>1470</v>
      </c>
      <c r="G127" s="37" t="n">
        <f aca="false">COUNTIF(EXPERTISE!D4:D50,"*Roads and Highways*")</f>
        <v>0</v>
      </c>
      <c r="H127" s="46"/>
      <c r="I127" s="37" t="n">
        <f aca="false">COUNTIF(PROJECT!W2:W100,"*Roads and Highways*")</f>
        <v>0</v>
      </c>
      <c r="J127" s="46"/>
      <c r="K127" s="46"/>
      <c r="L127" s="46"/>
      <c r="M127" s="46"/>
      <c r="N127" s="46"/>
      <c r="O127" s="46"/>
      <c r="P127" s="46"/>
      <c r="Q127" s="46"/>
      <c r="R127" s="46"/>
      <c r="S127" s="46"/>
      <c r="T127" s="46"/>
    </row>
    <row collapsed="false" customFormat="false" customHeight="false" hidden="false" ht="12.75" outlineLevel="0" r="128">
      <c r="B128" s="46" t="s">
        <v>1726</v>
      </c>
      <c r="C128" s="37" t="s">
        <v>1733</v>
      </c>
      <c r="D128" s="46" t="n">
        <v>0</v>
      </c>
      <c r="E128" s="46" t="n">
        <v>1</v>
      </c>
      <c r="F128" s="46" t="s">
        <v>1470</v>
      </c>
      <c r="G128" s="46" t="n">
        <f aca="false">COUNTIF(EXPERTISE!D4:D50,"*Rural and Inter-Urban Transportation Infrastructure*")</f>
        <v>0</v>
      </c>
      <c r="H128" s="46"/>
      <c r="I128" s="37" t="n">
        <f aca="false">COUNTIF(PROJECT!W2:W100,"*Rural and Inter-Urban Transportation Infrastructure*")</f>
        <v>0</v>
      </c>
      <c r="J128" s="46"/>
      <c r="K128" s="46"/>
      <c r="L128" s="46"/>
      <c r="M128" s="46"/>
      <c r="N128" s="46"/>
      <c r="O128" s="46"/>
      <c r="P128" s="46"/>
      <c r="Q128" s="46"/>
      <c r="R128" s="46"/>
      <c r="S128" s="46"/>
      <c r="T128" s="46"/>
    </row>
    <row collapsed="false" customFormat="false" customHeight="false" hidden="false" ht="12.75" outlineLevel="0" r="129">
      <c r="B129" s="46" t="s">
        <v>1726</v>
      </c>
      <c r="C129" s="46" t="s">
        <v>1734</v>
      </c>
      <c r="D129" s="46" t="n">
        <v>0</v>
      </c>
      <c r="E129" s="46" t="n">
        <v>1</v>
      </c>
      <c r="F129" s="46" t="s">
        <v>1470</v>
      </c>
      <c r="G129" s="46" t="n">
        <f aca="false">COUNTIF(EXPERTISE!D4:D50,"*Transport and Storage*")</f>
        <v>0</v>
      </c>
      <c r="H129" s="46"/>
      <c r="I129" s="46" t="n">
        <f aca="false">COUNTIF(PROJECT!W2:W100,"*Transport and Storage*")</f>
        <v>0</v>
      </c>
      <c r="J129" s="46"/>
      <c r="K129" s="46"/>
      <c r="L129" s="46"/>
      <c r="M129" s="46"/>
      <c r="N129" s="46"/>
      <c r="O129" s="46"/>
      <c r="P129" s="46"/>
      <c r="Q129" s="46"/>
      <c r="R129" s="46"/>
      <c r="S129" s="46"/>
      <c r="T129" s="46"/>
    </row>
    <row collapsed="false" customFormat="false" customHeight="false" hidden="false" ht="12.75" outlineLevel="0" r="130">
      <c r="B130" s="46" t="s">
        <v>1726</v>
      </c>
      <c r="C130" s="37" t="s">
        <v>1735</v>
      </c>
      <c r="D130" s="46" t="n">
        <v>0</v>
      </c>
      <c r="E130" s="46" t="n">
        <v>1</v>
      </c>
      <c r="F130" s="46" t="s">
        <v>1470</v>
      </c>
      <c r="G130" s="37" t="n">
        <f aca="false">COUNTIF(EXPERTISE!D4:D50,"*Urban Transport*")</f>
        <v>0</v>
      </c>
      <c r="H130" s="46"/>
      <c r="I130" s="37" t="n">
        <f aca="false">COUNTIF(PROJECT!W2:W100,"*Urban Transport*")</f>
        <v>0</v>
      </c>
      <c r="J130" s="46"/>
      <c r="K130" s="46"/>
      <c r="L130" s="46"/>
      <c r="M130" s="46"/>
      <c r="N130" s="46"/>
      <c r="O130" s="46"/>
      <c r="P130" s="46"/>
      <c r="Q130" s="46"/>
      <c r="R130" s="46"/>
      <c r="S130" s="46"/>
      <c r="T130" s="46"/>
    </row>
    <row collapsed="false" customFormat="false" customHeight="false" hidden="false" ht="12.75" outlineLevel="0" r="131">
      <c r="B131" s="37" t="s">
        <v>1726</v>
      </c>
      <c r="C131" s="37" t="s">
        <v>1736</v>
      </c>
      <c r="D131" s="46" t="n">
        <v>0</v>
      </c>
      <c r="E131" s="46" t="n">
        <v>1</v>
      </c>
      <c r="F131" s="46" t="s">
        <v>1470</v>
      </c>
      <c r="G131" s="37" t="n">
        <f aca="false">COUNTIF(EXPERTISE!D4:D50,"*Public Transit Services*")</f>
        <v>0</v>
      </c>
      <c r="H131" s="46"/>
      <c r="I131" s="37" t="n">
        <f aca="false">COUNTIF(PROJECT!W2:W100,"*Public Transit Services*")</f>
        <v>0</v>
      </c>
      <c r="J131" s="46"/>
      <c r="K131" s="46"/>
      <c r="L131" s="46"/>
      <c r="M131" s="46"/>
      <c r="N131" s="46"/>
      <c r="O131" s="46"/>
      <c r="P131" s="46"/>
      <c r="Q131" s="46"/>
      <c r="R131" s="46"/>
      <c r="S131" s="46"/>
      <c r="T131" s="46"/>
    </row>
    <row collapsed="false" customFormat="false" customHeight="false" hidden="false" ht="12.75" outlineLevel="0" r="132">
      <c r="B132" s="46" t="s">
        <v>1737</v>
      </c>
      <c r="C132" s="37" t="s">
        <v>1738</v>
      </c>
      <c r="D132" s="46" t="n">
        <v>1</v>
      </c>
      <c r="E132" s="46" t="n">
        <v>1</v>
      </c>
      <c r="F132" s="46" t="n">
        <f aca="false">COUNTIF(EXPERTISE!C4:C50,"*Water Supply, Sanitation, and Waste Management*")</f>
        <v>0</v>
      </c>
      <c r="G132" s="37" t="n">
        <f aca="false">COUNTIF(EXPERTISE!D4:D50,"*Flood Protection -general*")</f>
        <v>0</v>
      </c>
      <c r="H132" s="46" t="n">
        <f aca="false">COUNTIF(PROJECT!V2:V100,"*Water Supply, Sanitation, and Waste Management*")</f>
        <v>0</v>
      </c>
      <c r="I132" s="37" t="n">
        <f aca="false">COUNTIF(PROJECT!W2:W100,"*Flood Protection -general*")</f>
        <v>0</v>
      </c>
      <c r="J132" s="46"/>
      <c r="K132" s="46"/>
      <c r="L132" s="46"/>
      <c r="M132" s="46"/>
      <c r="N132" s="46"/>
      <c r="O132" s="46"/>
      <c r="P132" s="46"/>
      <c r="Q132" s="46"/>
      <c r="R132" s="46"/>
      <c r="S132" s="46"/>
      <c r="T132" s="46"/>
    </row>
    <row collapsed="false" customFormat="false" customHeight="false" hidden="false" ht="12.75" outlineLevel="0" r="133">
      <c r="B133" s="46" t="s">
        <v>1737</v>
      </c>
      <c r="C133" s="37" t="s">
        <v>1739</v>
      </c>
      <c r="D133" s="46" t="n">
        <v>0</v>
      </c>
      <c r="E133" s="46" t="n">
        <v>1</v>
      </c>
      <c r="F133" s="46" t="s">
        <v>1470</v>
      </c>
      <c r="G133" s="46" t="n">
        <f aca="false">COUNTIF(EXPERTISE!D4:D50,"*Integrated Water, Sanitation and Flood Management*")</f>
        <v>0</v>
      </c>
      <c r="H133" s="46"/>
      <c r="I133" s="37" t="n">
        <f aca="false">COUNTIF(PROJECT!W2:W100,"*Integrated Water, Sanitation and Flood Management*")</f>
        <v>0</v>
      </c>
      <c r="J133" s="46"/>
      <c r="K133" s="46"/>
      <c r="L133" s="46"/>
      <c r="M133" s="46"/>
      <c r="N133" s="46"/>
      <c r="O133" s="46"/>
      <c r="P133" s="46"/>
      <c r="Q133" s="46"/>
      <c r="R133" s="46"/>
      <c r="S133" s="46"/>
      <c r="T133" s="46"/>
    </row>
    <row collapsed="false" customFormat="false" customHeight="false" hidden="false" ht="12.75" outlineLevel="0" r="134">
      <c r="B134" s="46" t="s">
        <v>1737</v>
      </c>
      <c r="C134" s="37" t="s">
        <v>1740</v>
      </c>
      <c r="D134" s="46" t="n">
        <v>0</v>
      </c>
      <c r="E134" s="46" t="n">
        <v>1</v>
      </c>
      <c r="F134" s="46" t="s">
        <v>1470</v>
      </c>
      <c r="G134" s="46" t="n">
        <f aca="false">COUNTIF(EXPERTISE!D4:D50,"*Water Management -Integrated*")</f>
        <v>0</v>
      </c>
      <c r="H134" s="46"/>
      <c r="I134" s="37" t="n">
        <f aca="false">COUNTIF(PROJECT!W2:W100,"*Water Management -Integrated*")</f>
        <v>0</v>
      </c>
      <c r="J134" s="46"/>
      <c r="K134" s="46"/>
      <c r="L134" s="46"/>
      <c r="M134" s="46"/>
      <c r="N134" s="46"/>
      <c r="O134" s="46"/>
      <c r="P134" s="46"/>
      <c r="Q134" s="46"/>
      <c r="R134" s="46"/>
      <c r="S134" s="46"/>
      <c r="T134" s="46"/>
    </row>
    <row collapsed="false" customFormat="false" customHeight="false" hidden="false" ht="12.75" outlineLevel="0" r="135">
      <c r="B135" s="46" t="s">
        <v>1737</v>
      </c>
      <c r="C135" s="37" t="s">
        <v>1741</v>
      </c>
      <c r="D135" s="46" t="n">
        <v>0</v>
      </c>
      <c r="E135" s="46" t="n">
        <v>1</v>
      </c>
      <c r="F135" s="46" t="s">
        <v>1470</v>
      </c>
      <c r="G135" s="37" t="n">
        <f aca="false">COUNTIF(EXPERTISE!D4:D50,"*Sanitation -general*")</f>
        <v>0</v>
      </c>
      <c r="H135" s="46"/>
      <c r="I135" s="37" t="n">
        <f aca="false">COUNTIF(PROJECT!W2:W100,"*Sanitation -general*")</f>
        <v>0</v>
      </c>
      <c r="J135" s="46"/>
      <c r="K135" s="46"/>
      <c r="L135" s="46"/>
      <c r="M135" s="46"/>
      <c r="N135" s="46"/>
      <c r="O135" s="46"/>
      <c r="P135" s="46"/>
      <c r="Q135" s="46"/>
      <c r="R135" s="46"/>
      <c r="S135" s="46"/>
      <c r="T135" s="46"/>
    </row>
    <row collapsed="false" customFormat="false" customHeight="false" hidden="false" ht="12.75" outlineLevel="0" r="136">
      <c r="B136" s="46" t="s">
        <v>1737</v>
      </c>
      <c r="C136" s="46" t="s">
        <v>1742</v>
      </c>
      <c r="D136" s="46" t="n">
        <v>0</v>
      </c>
      <c r="E136" s="46" t="n">
        <v>1</v>
      </c>
      <c r="F136" s="46" t="s">
        <v>1470</v>
      </c>
      <c r="G136" s="46" t="n">
        <f aca="false">COUNTIF(EXPERTISE!D4:D50,"*Solid Waste Management*")</f>
        <v>0</v>
      </c>
      <c r="H136" s="46"/>
      <c r="I136" s="46" t="n">
        <f aca="false">COUNTIF(PROJECT!W2:W100,"*Solid Waste Management*")</f>
        <v>0</v>
      </c>
      <c r="J136" s="46"/>
      <c r="K136" s="46"/>
      <c r="L136" s="46"/>
      <c r="M136" s="46"/>
      <c r="N136" s="46"/>
      <c r="O136" s="46"/>
      <c r="P136" s="46"/>
      <c r="Q136" s="46"/>
      <c r="R136" s="46"/>
      <c r="S136" s="46"/>
      <c r="T136" s="46"/>
    </row>
    <row collapsed="false" customFormat="false" customHeight="false" hidden="false" ht="12.75" outlineLevel="0" r="137">
      <c r="B137" s="46" t="s">
        <v>1737</v>
      </c>
      <c r="C137" s="46" t="s">
        <v>1743</v>
      </c>
      <c r="D137" s="46" t="n">
        <v>0</v>
      </c>
      <c r="E137" s="46" t="n">
        <v>1</v>
      </c>
      <c r="F137" s="46" t="s">
        <v>1470</v>
      </c>
      <c r="G137" s="46" t="n">
        <f aca="false">COUNTIF(EXPERTISE!D4:D50,"*Wastewater Collection and Transportation*")</f>
        <v>0</v>
      </c>
      <c r="H137" s="46"/>
      <c r="I137" s="46" t="n">
        <f aca="false">COUNTIF(PROJECT!W2:W100,"*Wastewater Collection and Transportation*")</f>
        <v>0</v>
      </c>
      <c r="J137" s="46"/>
      <c r="K137" s="46"/>
      <c r="L137" s="46"/>
      <c r="M137" s="46"/>
      <c r="N137" s="46"/>
      <c r="O137" s="46"/>
      <c r="P137" s="46"/>
      <c r="Q137" s="46"/>
      <c r="R137" s="46"/>
      <c r="S137" s="46"/>
      <c r="T137" s="46"/>
    </row>
    <row collapsed="false" customFormat="false" customHeight="false" hidden="false" ht="12.75" outlineLevel="0" r="138">
      <c r="B138" s="46" t="s">
        <v>1737</v>
      </c>
      <c r="C138" s="46" t="s">
        <v>1744</v>
      </c>
      <c r="D138" s="46" t="n">
        <v>0</v>
      </c>
      <c r="E138" s="46" t="n">
        <v>1</v>
      </c>
      <c r="F138" s="46" t="s">
        <v>1470</v>
      </c>
      <c r="G138" s="46" t="n">
        <f aca="false">COUNTIF(EXPERTISE!D4:D50,"*Wastewater Treatment and Disposal*")</f>
        <v>0</v>
      </c>
      <c r="H138" s="46"/>
      <c r="I138" s="46" t="n">
        <f aca="false">COUNTIF(PROJECT!W2:W100,"*Wastewater Treatment and Disposal*")</f>
        <v>0</v>
      </c>
      <c r="J138" s="46"/>
      <c r="K138" s="46"/>
      <c r="L138" s="46"/>
      <c r="M138" s="46"/>
      <c r="N138" s="46"/>
      <c r="O138" s="46"/>
      <c r="P138" s="46"/>
      <c r="Q138" s="46"/>
      <c r="R138" s="46"/>
      <c r="S138" s="46"/>
      <c r="T138" s="46"/>
    </row>
    <row collapsed="false" customFormat="false" customHeight="false" hidden="false" ht="12.75" outlineLevel="0" r="139">
      <c r="B139" s="46" t="s">
        <v>1737</v>
      </c>
      <c r="C139" s="46" t="s">
        <v>1745</v>
      </c>
      <c r="D139" s="46" t="n">
        <v>0</v>
      </c>
      <c r="E139" s="46" t="n">
        <v>1</v>
      </c>
      <c r="F139" s="46" t="s">
        <v>1470</v>
      </c>
      <c r="G139" s="46" t="n">
        <f aca="false">COUNTIF(EXPERTISE!D4:D50,"*Water Supply*")</f>
        <v>0</v>
      </c>
      <c r="H139" s="46"/>
      <c r="I139" s="46" t="n">
        <f aca="false">COUNTIF(PROJECT!W2:W100,"*Water Supply*")</f>
        <v>0</v>
      </c>
      <c r="J139" s="46"/>
      <c r="K139" s="46"/>
      <c r="L139" s="46"/>
      <c r="M139" s="46"/>
      <c r="N139" s="46"/>
      <c r="O139" s="46"/>
      <c r="P139" s="46"/>
      <c r="Q139" s="46"/>
      <c r="R139" s="46"/>
      <c r="S139" s="46"/>
      <c r="T139" s="46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revision>0</cp:revision>
</cp:coreProperties>
</file>