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workbook.xml" ContentType="application/vnd.openxmlformats-officedocument.spreadsheetml.sheet.main+xml"/>
  <Override PartName="/xl/worksheets/sheet10.xml" ContentType="application/vnd.openxmlformats-officedocument.spreadsheetml.worksheet+xml"/>
  <Override PartName="/xl/worksheets/sheet5.xml" ContentType="application/vnd.openxmlformats-officedocument.spreadsheetml.worksheet+xml"/>
  <Override PartName="/xl/worksheets/sheet7.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12.xml" ContentType="application/vnd.openxmlformats-officedocument.spreadsheetml.worksheet+xml"/>
  <Override PartName="/xl/worksheets/sheet6.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BIODATA" state="visible" r:id="rId3"/>
    <sheet sheetId="2" name="EDU _ TRAINING" state="visible" r:id="rId4"/>
    <sheet sheetId="3" name="EXPERTISE" state="visible" r:id="rId5"/>
    <sheet sheetId="4" name="EMPLOYMENT" state="visible" r:id="rId6"/>
    <sheet sheetId="5" name="PROJECT" state="visible" r:id="rId7"/>
    <sheet sheetId="6" name="PUBLICATIONS" state="visible" r:id="rId8"/>
    <sheet sheetId="7" name=".country-calc, CCCS" state="visible" r:id="rId9"/>
    <sheet sheetId="8" name=".theme-calc, CCCS" state="visible" r:id="rId10"/>
    <sheet sheetId="9" name=".sector-calc, CCCS" state="visible" r:id="rId11"/>
    <sheet sheetId="10" name=".theme-calc, IFC" state="visible" r:id="rId12"/>
    <sheet sheetId="11" name=".sector-calc, IFC" state="visible" r:id="rId13"/>
    <sheet sheetId="12" name="Z" state="visible" r:id="rId14"/>
  </sheets>
  <definedNames/>
  <calcPr/>
</workbook>
</file>

<file path=xl/comments1.xml><?xml version="1.0" encoding="utf-8"?>
<comments xmlns="http://schemas.openxmlformats.org/spreadsheetml/2006/main">
  <authors>
    <author/>
  </authors>
  <commentList>
    <comment ref="B100" authorId="0">
      <text>
        <t xml:space="preserve">Community-Managed Irrigated Agriculture Sector Project (NEP: 33209)
</t>
      </text>
    </comment>
    <comment ref="B120" authorId="0">
      <text>
        <t xml:space="preserve">All these projects (1991-1994) were done at the same time as you were serving as an IDA staff consultant?</t>
      </text>
    </comment>
    <comment ref="B126" authorId="0">
      <text>
        <t xml:space="preserve">Also called India Interactive Video Disk Project</t>
      </text>
    </comment>
    <comment ref="AD5" authorId="0">
      <text>
        <t xml:space="preserve">Was any of this done in Washington D.C.?</t>
      </text>
    </comment>
    <comment ref="B6" authorId="0">
      <text>
        <t xml:space="preserve">Is this the same ???:
1990, India, USAID, Maharashtra Medium Irrigation Project, Institutions Development Specialist for the; explored the possibilities of forming of a system to support for water users' group development for medium irrigation projects in Maharashtra (Sheladia Associates). 
If not, where's that project? 
or:
C2100 - Integrated Watershed Development (Hills) 
</t>
      </text>
    </comment>
    <comment ref="B130" authorId="0">
      <text>
        <t xml:space="preserve">C2144 - Bhairawa-Lumbini Groundwater Irrigation III Project</t>
      </text>
    </comment>
    <comment ref="A8" authorId="0">
      <text>
        <t xml:space="preserve">Jan.1988 – Dec.1991</t>
      </text>
    </comment>
    <comment ref="B8" authorId="0">
      <text>
        <t xml:space="preserve">Second Mahakali Irrigation Project;
Mahakali Irrigation Project Stage II</t>
      </text>
    </comment>
    <comment ref="AO136" authorId="0">
      <text>
        <t xml:space="preserve">Also listed as ADB consultant</t>
      </text>
    </comment>
    <comment ref="AN127" authorId="0">
      <text>
        <t xml:space="preserve">Also listed as UNDP.
</t>
      </text>
    </comment>
    <comment ref="AO137" authorId="0">
      <text>
        <t xml:space="preserve">Also listed as an assignment for Louis Berger Inc.</t>
      </text>
    </comment>
  </commentList>
</comments>
</file>

<file path=xl/sharedStrings.xml><?xml version="1.0" encoding="utf-8"?>
<sst xmlns="http://schemas.openxmlformats.org/spreadsheetml/2006/main" count="3781" uniqueCount="2159">
  <si>
    <t>Given First Name</t>
  </si>
  <si>
    <t>Andrew</t>
  </si>
  <si>
    <t>Given Middle Name</t>
  </si>
  <si>
    <t>Eric</t>
  </si>
  <si>
    <t>Surname</t>
  </si>
  <si>
    <t>Manzardo</t>
  </si>
  <si>
    <t>Alternate Names Used</t>
  </si>
  <si>
    <t>Mailing Address</t>
  </si>
  <si>
    <t>6214 Haddon Avenue</t>
  </si>
  <si>
    <t>City</t>
  </si>
  <si>
    <t>Baltimore</t>
  </si>
  <si>
    <t>State/Province</t>
  </si>
  <si>
    <t>MA</t>
  </si>
  <si>
    <t>ZIP/Postal Code</t>
  </si>
  <si>
    <t>21212-1116</t>
  </si>
  <si>
    <t>U.S.A.</t>
  </si>
  <si>
    <t>Telephone</t>
  </si>
  <si>
    <t>o: 001 (410) 377-9121</t>
  </si>
  <si>
    <t>m: 001 (443) 600-3963</t>
  </si>
  <si>
    <t>Fax</t>
  </si>
  <si>
    <t>Email</t>
  </si>
  <si>
    <t>socialcomplexity@gmail.com</t>
  </si>
  <si>
    <t>Citizenship</t>
  </si>
  <si>
    <t>Country of Birth</t>
  </si>
  <si>
    <t>Date of Birth</t>
  </si>
  <si>
    <t>Sex</t>
  </si>
  <si>
    <t>male</t>
  </si>
  <si>
    <t>Marital Status</t>
  </si>
  <si>
    <t>Education (School)</t>
  </si>
  <si>
    <t>Other Training</t>
  </si>
  <si>
    <t>Membership in Professional Organizations</t>
  </si>
  <si>
    <t>Languages</t>
  </si>
  <si>
    <t>Location</t>
  </si>
  <si>
    <t>Years</t>
  </si>
  <si>
    <t>Degree</t>
  </si>
  <si>
    <t>Major(s)</t>
  </si>
  <si>
    <t>Minors</t>
  </si>
  <si>
    <t>Institution</t>
  </si>
  <si>
    <t>Year(s)</t>
  </si>
  <si>
    <t>Topic</t>
  </si>
  <si>
    <t>Group</t>
  </si>
  <si>
    <t>Year</t>
  </si>
  <si>
    <t>Role</t>
  </si>
  <si>
    <t>Language/Dialect</t>
  </si>
  <si>
    <t>Reading</t>
  </si>
  <si>
    <t>Speaking</t>
  </si>
  <si>
    <t>Writing</t>
  </si>
  <si>
    <t>University of Wisconsin, Madison (USA)</t>
  </si>
  <si>
    <t>Ph.D.</t>
  </si>
  <si>
    <t>Anthropology</t>
  </si>
  <si>
    <t>GTZ/DSE: ZOPP: AID/WASH:</t>
  </si>
  <si>
    <t>Project Identification, Design and Logical Framework Project Evaluation Course</t>
  </si>
  <si>
    <t>American Anthropological Association</t>
  </si>
  <si>
    <t>Fellow</t>
  </si>
  <si>
    <t>English</t>
  </si>
  <si>
    <t>M.A.</t>
  </si>
  <si>
    <t>National Association for the Practice of Anthropology</t>
  </si>
  <si>
    <t>Member</t>
  </si>
  <si>
    <t>Nepali</t>
  </si>
  <si>
    <t>Annenberg School of Communications, University of Pennsylvania, Philadelphia, Pennsylvania (USA)</t>
  </si>
  <si>
    <t>M.A.C.</t>
  </si>
  <si>
    <t>Communications</t>
  </si>
  <si>
    <t>French</t>
  </si>
  <si>
    <t>B.A. (Honrs)</t>
  </si>
  <si>
    <t>Consultant-provided values:</t>
  </si>
  <si>
    <t>Country Experience</t>
  </si>
  <si>
    <t>Regional Experience</t>
  </si>
  <si>
    <t>Sector Experience - GENERAL</t>
  </si>
  <si>
    <t>Sub-Sector Experience - GENERAL</t>
  </si>
  <si>
    <t>Thematic Experience - GENERAL</t>
  </si>
  <si>
    <t>Sub-theme Topic- GENERAL</t>
  </si>
  <si>
    <t>Sector Experience - IFC</t>
  </si>
  <si>
    <t>Thematic Experience - IFC</t>
  </si>
  <si>
    <t>Sub-theme Topic- IFC</t>
  </si>
  <si>
    <t>Kyrgyzstan</t>
  </si>
  <si>
    <t>Central Asia</t>
  </si>
  <si>
    <t>Agriculture, Fishing, &amp; Forestry / Natural Resources</t>
  </si>
  <si>
    <t>Agriculture Production, Agro-Processing, and Agro-Business</t>
  </si>
  <si>
    <t>Capacity-Building</t>
  </si>
  <si>
    <t>Client Relations, Network, and Partnership Development</t>
  </si>
  <si>
    <t>Annual Crop Production</t>
  </si>
  <si>
    <t>PS1: Assessment and Management of Environmental and Social Risks and Impacts</t>
  </si>
  <si>
    <t>Community Engagement</t>
  </si>
  <si>
    <t>Tajikistan</t>
  </si>
  <si>
    <t>Agriculture Sector Development</t>
  </si>
  <si>
    <t>Corporate Social Responsibility</t>
  </si>
  <si>
    <t>Conflict Prevention and Post-Conflict Reconstruction</t>
  </si>
  <si>
    <t>Electric Power Transmission and Distribution</t>
  </si>
  <si>
    <t>Environmental and Social Impact Assessment</t>
  </si>
  <si>
    <t>Uzbekistan</t>
  </si>
  <si>
    <t>Agro-Industry, Marketing, and Trade</t>
  </si>
  <si>
    <t>Stakeholder Participation</t>
  </si>
  <si>
    <t>Forest Harvesting Operations</t>
  </si>
  <si>
    <t>Gender Development</t>
  </si>
  <si>
    <t>Romania</t>
  </si>
  <si>
    <t>Central Europe</t>
  </si>
  <si>
    <t>Environment and Biodiversity</t>
  </si>
  <si>
    <t>Economic Growth</t>
  </si>
  <si>
    <t>Other Economic Management</t>
  </si>
  <si>
    <t>Mining</t>
  </si>
  <si>
    <t>Social Impact Assessment and Socio-economic baseline study</t>
  </si>
  <si>
    <t>Burundi</t>
  </si>
  <si>
    <t>East Africa</t>
  </si>
  <si>
    <t>Forests</t>
  </si>
  <si>
    <t>Private Sector Development</t>
  </si>
  <si>
    <t>Water and Sanitation</t>
  </si>
  <si>
    <t>PS3: Resource Efficiency and Pollution Prevention</t>
  </si>
  <si>
    <t>Energy Efficiency</t>
  </si>
  <si>
    <t>Kenya</t>
  </si>
  <si>
    <t>Irrigation and Drainage</t>
  </si>
  <si>
    <t>Promoting Economic Efficiency and Enabling Markets</t>
  </si>
  <si>
    <t>Natural Resource Management</t>
  </si>
  <si>
    <t>Rwanda</t>
  </si>
  <si>
    <t>Economic Management</t>
  </si>
  <si>
    <t>Environment and Natural Resources</t>
  </si>
  <si>
    <t>Biodiversity</t>
  </si>
  <si>
    <t>Water Efficiency</t>
  </si>
  <si>
    <t>Somalia</t>
  </si>
  <si>
    <t>Energy</t>
  </si>
  <si>
    <t>Energy Transmission and Distribution</t>
  </si>
  <si>
    <t>Environmental Policies and Legislation</t>
  </si>
  <si>
    <t>PS4: Community Health, Safety, and Security</t>
  </si>
  <si>
    <t>Community Health and Safety</t>
  </si>
  <si>
    <t>Uganda</t>
  </si>
  <si>
    <t>Extractive Industries</t>
  </si>
  <si>
    <t>Coal</t>
  </si>
  <si>
    <t>Natural Resources Conservation</t>
  </si>
  <si>
    <t>PS5: Land Acquisition and Involuntary Resettlement</t>
  </si>
  <si>
    <t>Land Acquisition and Resettlement</t>
  </si>
  <si>
    <t>China</t>
  </si>
  <si>
    <t>East Asia and Pacific</t>
  </si>
  <si>
    <t>Finance</t>
  </si>
  <si>
    <t>Microfinance</t>
  </si>
  <si>
    <t>Pollution Management and Environmental Health</t>
  </si>
  <si>
    <t>Rural Development</t>
  </si>
  <si>
    <t>India</t>
  </si>
  <si>
    <t>South Asia</t>
  </si>
  <si>
    <t>Multisector</t>
  </si>
  <si>
    <t>Water Resource Management</t>
  </si>
  <si>
    <t>PS6: Biodiversity Conservation and Sustainable Management of Living Natural Resources</t>
  </si>
  <si>
    <t>Biodiversity Assessment</t>
  </si>
  <si>
    <t>Nepal</t>
  </si>
  <si>
    <t>Public Administration, Law, and Justice</t>
  </si>
  <si>
    <t>General Public Administration Sector</t>
  </si>
  <si>
    <t>Financial Management</t>
  </si>
  <si>
    <t>State-Owned Enterprise Restructuring and Privatization</t>
  </si>
  <si>
    <t>Forestry Management</t>
  </si>
  <si>
    <t>Pakistan</t>
  </si>
  <si>
    <t>Public Administration - Agriculture, Fishing and Forestry</t>
  </si>
  <si>
    <t>Governance</t>
  </si>
  <si>
    <t>Public Governance</t>
  </si>
  <si>
    <t>PS7: Indigenous Peoples</t>
  </si>
  <si>
    <t>Indigenous Peoples and Ethnic Minorities</t>
  </si>
  <si>
    <t>Sri Lanka</t>
  </si>
  <si>
    <t>Public Administration - Water, Sanitation and Flood Protection</t>
  </si>
  <si>
    <t>Public Sector Governance</t>
  </si>
  <si>
    <t>Malaysia</t>
  </si>
  <si>
    <t>South East Asia</t>
  </si>
  <si>
    <t>Telecoms, Media &amp; Information Technology</t>
  </si>
  <si>
    <t>General Information and Communications Sector</t>
  </si>
  <si>
    <t>Other Rural Development</t>
  </si>
  <si>
    <t>Philippines</t>
  </si>
  <si>
    <t>Water Supply, Sanitation, and Waste Management</t>
  </si>
  <si>
    <t>Integrated Water, Sanitation and Flood Management</t>
  </si>
  <si>
    <t>Rural Policies and Institutions</t>
  </si>
  <si>
    <t>Thailand</t>
  </si>
  <si>
    <t>Water Infrastructure</t>
  </si>
  <si>
    <t>Rural Services and Infrastructure</t>
  </si>
  <si>
    <t>Botswana</t>
  </si>
  <si>
    <t>Southern Africa</t>
  </si>
  <si>
    <t>Social Protection</t>
  </si>
  <si>
    <t>Gender -general</t>
  </si>
  <si>
    <t>Liberia</t>
  </si>
  <si>
    <t>West Africa</t>
  </si>
  <si>
    <t>Indigenous Peoples</t>
  </si>
  <si>
    <t>Mauritania</t>
  </si>
  <si>
    <t>Involuntary Resettlement</t>
  </si>
  <si>
    <t>Syria</t>
  </si>
  <si>
    <t>West Asia</t>
  </si>
  <si>
    <t>Poverty Monitoring</t>
  </si>
  <si>
    <t>Poverty Reduction Strategy</t>
  </si>
  <si>
    <t>Social Analysis and Monitoring</t>
  </si>
  <si>
    <t>Vulnerability Assessment</t>
  </si>
  <si>
    <t>Vulnerable Groups</t>
  </si>
  <si>
    <t>Dates</t>
  </si>
  <si>
    <t>Employer</t>
  </si>
  <si>
    <t>Position</t>
  </si>
  <si>
    <t>Duties and Accomplishments</t>
  </si>
  <si>
    <t>Reference(s)</t>
  </si>
  <si>
    <t>Date Range</t>
  </si>
  <si>
    <t>Assignment or Project Name</t>
  </si>
  <si>
    <t>Loan/TA/Grant No</t>
  </si>
  <si>
    <t>Main Project Features</t>
  </si>
  <si>
    <t>Country</t>
  </si>
  <si>
    <t>ISO 3166-1 alpha-3</t>
  </si>
  <si>
    <t>Region</t>
  </si>
  <si>
    <t>Locality</t>
  </si>
  <si>
    <t>Services On/Off-site</t>
  </si>
  <si>
    <t>Expertise</t>
  </si>
  <si>
    <t>Sponsor / End Client</t>
  </si>
  <si>
    <t>Contracted Through / Direct Client</t>
  </si>
  <si>
    <t>Beneficiary Client</t>
  </si>
  <si>
    <t>Contract No.</t>
  </si>
  <si>
    <t>Person-months</t>
  </si>
  <si>
    <t>Continuous/ Intermittant</t>
  </si>
  <si>
    <t>Activities Performed</t>
  </si>
  <si>
    <t>References</t>
  </si>
  <si>
    <t>Thematic Issues -GENERAL</t>
  </si>
  <si>
    <t>Sub-Themes -GENERAL</t>
  </si>
  <si>
    <t>Sector -GENERAL</t>
  </si>
  <si>
    <t>Sub-sector -GENERAL</t>
  </si>
  <si>
    <t>Thematic Issues -IFC</t>
  </si>
  <si>
    <t>Sub-Themes -IFC</t>
  </si>
  <si>
    <t>Sector -IFC</t>
  </si>
  <si>
    <t>2004 Aug – 2006 Jan</t>
  </si>
  <si>
    <t>Pro-poor Rural Water Reform Project (PPRWRP)</t>
  </si>
  <si>
    <t>Part of a grant to increase GoC capacity and commitment to extend reforms in management of small scale rural water facilities in ways that promote sustainability, equity and maximum benefits to and participation of poor male and female farmers. PPRWRP developed and implemented methodology improved Water User Association's (WUAs), as well as a pilot system of institutional support for improved WUA development. WUAs developed under the project were found to provide exceptionally high economic, social and environmental benefits that could be rapidly scaled-up. The project further showed that improved WUAs based on democratic water management are pro-poor and provide an effective and low-costs means to benefit the poor and women.</t>
  </si>
  <si>
    <t>People’s Republic of China</t>
  </si>
  <si>
    <t>CHN</t>
  </si>
  <si>
    <t>World Bank, DFID</t>
  </si>
  <si>
    <t>World Bank</t>
  </si>
  <si>
    <t>Worked with project staff at all levels, with communities and community leaders worked as part of a long term effort to ensure a common understanding of the importance of assessing gender dimensions of irrigation Water User Associations and irrigation management and made recommendations for future capacity building to be a part of the gender strategy as well as other social research and monitoring.  Consultancy has involved six trips to China, so far, with work carried out in Beijing, Hebei, Hunan, Hubei, Henan, Shandong, Gansu and Xinjiang Provinces.</t>
  </si>
  <si>
    <t>Economic Growth; 
Rural Development; 
Social Protection</t>
  </si>
  <si>
    <t>Other Economic Management;
Rural Policies and Institutions;
Gender -general;
Vulnerable Groups;</t>
  </si>
  <si>
    <t>Agriculture, Fishing, &amp; Forestry / Natural Resources;
Water Supply, Sanitation, and Waste Management</t>
  </si>
  <si>
    <t>Agriculture Production, Agro-Processing, and Agro-Business;
Water Supply</t>
  </si>
  <si>
    <t>PS1: Assessment and Management of Environmental and Social Risks and Impacts; PS3: Resource Efficiency and Pollution Prevention; PS5: Land Acquisition and Involuntary Resettlement</t>
  </si>
  <si>
    <t>Gender Development; Water Efficiency; Rural Development</t>
  </si>
  <si>
    <t>Annual Crop Production; Water and Sanitation</t>
  </si>
  <si>
    <t>2004 Apr – Jul</t>
  </si>
  <si>
    <t>Water Users Association Support Program (WUASP)</t>
  </si>
  <si>
    <t>The WUASP is funded by the US Agency for International Development (USAID) and works to promote the democratic development and strengthening of Water Users Associations in Kyrgyzstan, Tajikistan and Uzbekistan. Through the rehabilitation of irrigation infrastructure, training programs and grants to the water users associations, the WUASP and WUAs help water users to develop their capacity to effectively operate and maintain their irrigation and drainage systems, allowing farmers to increase the productivity of their irrigated land.</t>
  </si>
  <si>
    <t>Uzbekistan, Tajikistan and Kyrgyzstan </t>
  </si>
  <si>
    <t>UZB, TJK, KGZ</t>
  </si>
  <si>
    <t>Development Specialist</t>
  </si>
  <si>
    <t>USAID, World Bank</t>
  </si>
  <si>
    <t>USAID, Academy for Educational Development</t>
  </si>
  <si>
    <t>Worked on communications support activities in support of WUA development including a KAP survey design and implementation, design of additional communications activities using national media to promote Water User Associations, production of media support.</t>
  </si>
  <si>
    <t>PS1: Assessment and Management of Environmental and Social Risks and Impacts; PS3: Resource Efficiency and Pollution Prevention</t>
  </si>
  <si>
    <t>Environmental and Social Impact Assessment; Water Efficiency</t>
  </si>
  <si>
    <t>2003 Jun – Jul</t>
  </si>
  <si>
    <t>Community Managed Irrigation Sector (PPTA)</t>
  </si>
  <si>
    <t>Aimed to improve the productivity and sustainability of farmer-managed irrigation systems (FMIS) by strengthening farmer water user associations and improving critical infrastructure along with other agricultural extension initiatives. The purpose of the PPTA was to 1) promote the sound policies and institutions, and 2) further institutionalize arrangements to enhance the productivity and sustainability of FMIS.
The subsequent TA would then have the following scope: (i) analysis of policy dialogue issues and actions (ii) assessment of ongoing project interventions in terms of the effectiveness of process, management, and impacts (including poverty reduction impact); (iii) identification of core subprojects through developing appropriate priority criteria; (iv) feasibility studies of core subprojects; and (v) development of a sector investment package.</t>
  </si>
  <si>
    <t>NPL</t>
  </si>
  <si>
    <t>Asian Development Bank</t>
  </si>
  <si>
    <t>Montgomery Watson Harza</t>
  </si>
  <si>
    <t>Contributed to the design of a community managed irrigation program involving rehabilitation of existing schemes, as well as non-traditional interventions such as water harvesting and drip irrigation techniques for areas not normally irrigated in the high mountains and the Churia ranges of Nepal, as well as the more traditional hill and Terai areas. Contributed to the main project design, also carrying out institutional, poverty and gender analyses, as well as designing the indigenous people’s and resettlement programs.</t>
  </si>
  <si>
    <t>ADB project officer:
Kenichi Yokoyama
South Asia Department
Agriculture, Environment &amp; Natural Resources Division (SARD) 
Executing Agency:
Jawalakjel, Lalitpur
Department of Irrigation, Kathmandu
doi@jwlk.mos.com.np</t>
  </si>
  <si>
    <t>Rural Development;
Social Protection</t>
  </si>
  <si>
    <t>Rural Services and Infrastructure;
Gender -general;
Indigenous Peoples;
Involuntary Resettlement;
Poverty Monitoring</t>
  </si>
  <si>
    <t>Irrigation and Drainage; Water Resource Management</t>
  </si>
  <si>
    <t>Gender Development; Social Impact Assessment and Socio-economic baseline study;
Water Efficiency; Land Acquisition and Resettlement; Rural Development</t>
  </si>
  <si>
    <t>2002 Aug – Nov</t>
  </si>
  <si>
    <t>Special Objective Design Team</t>
  </si>
  <si>
    <t>Mission to analyze critical issues underpinning Nepal’s conflict situation, review the appropriateness of USAID/Nepal’s current strategic direction to address this conflict and make recommendations for immediate programming and reprogramming of resources planned for USAID/Nepal in the near future.</t>
  </si>
  <si>
    <t>Team Leader</t>
  </si>
  <si>
    <t>USAID</t>
  </si>
  <si>
    <t>USAID /Washington ANE Bureau</t>
  </si>
  <si>
    <t>4 months</t>
  </si>
  <si>
    <t>2002 Apr – 2004 Mar</t>
  </si>
  <si>
    <t>Water Users Association Development Project (Institutions and Development Support)</t>
  </si>
  <si>
    <t>USAID project to develop and strengthen water users associations (WUAs) to own and operate the equipment for on-farm water distribution as part of a larger effort of restructuring Romania’s irrigation systems and increasing the efficiency of irrigation through farmer participation and delivery of irrigation water on demand.</t>
  </si>
  <si>
    <t>ROU</t>
  </si>
  <si>
    <t>Communications Specialist</t>
  </si>
  <si>
    <t>World Bank, USAID</t>
  </si>
  <si>
    <t>PA Government Services</t>
  </si>
  <si>
    <t>6 months</t>
  </si>
  <si>
    <t>Completed a Knowledge, Attitudes and Practices (KAP) survey to assess attitudes of farmers to participation in water management, designed and  implemented a Public Awareness Campaign for support of the passage of a revised Land Reclamation Law and the design of additional communications activities using national media to promote Water User Associations including producing and writing a video (Imprueuna putem da apa pamantului-Sharing Water in Romania) selecting and contracting a video producer, planning a shooting schedule and obtaining project and USAID support. The video informs farmers of the need for Water User Associations, their roles and responsibilities and their optimal structure in the Romanian social environment. Worked on an analysis of the structure and management of smaller-scale irrigation and other land reclamation activities not under the jurisdiction of the National Company for Land Reclamation in Romania in support the revised Land Reclamation Law. Carried out a field study and institutional analysis of issues related to the establishment of an advisory system in support of water user association development and improved irrigation system management.</t>
  </si>
  <si>
    <t>Ken Rubin
PA Government Services
1750 Pennsylvania Avenue NW, Suite 1000
Washington DC 20006
USA; 202-442-2377
ken.rubin@paconsulting.com
See also: 
http://www.gwptoolbox.org/index.php?option=com_case&amp;id=99&amp;Itemid=0
http://www.gwptoolbox.org/images/stories/cases/en/cs%20154%20romania.pdf</t>
  </si>
  <si>
    <t>Capacity-Building;
Social Protection</t>
  </si>
  <si>
    <t>Client Relations, Network, and Partnership Development;
Social Analysis and Monitoring</t>
  </si>
  <si>
    <t>PS1: Assessment and Management of Environmental and Social Risks and Impacts; PS5: Land Acquisition and Involuntary Resettlement</t>
  </si>
  <si>
    <t>Community Engagement; Rural Development</t>
  </si>
  <si>
    <t>2001 May – Jul</t>
  </si>
  <si>
    <t>Rural Electrification (Project Design Team)</t>
  </si>
  <si>
    <t>Project design contributions to TA 3516-PHI and the later TA 36561-PHI. Reviewed lessons learned from the National Electrical Authority’s previous rural development projects (including Loan-0542 PHI: Rural Electrification), and outlined revisions or future programs along with necessary infrastructure elements, procedures and criteria for selection and requirements for local participation, micro-finance etc. to ensure their successful implementation. </t>
  </si>
  <si>
    <t>PHL</t>
  </si>
  <si>
    <t>Livelihood and Rural Development Specialist</t>
  </si>
  <si>
    <t>Montgomery Watson Harza, NZ</t>
  </si>
  <si>
    <t>2 months</t>
  </si>
  <si>
    <t>Worked out plan for a future independently-financed livelihood program targeted at the poorest members of the community, as well as women.</t>
  </si>
  <si>
    <t>Yongping Zhai
Principle Energy Specialist
See:
http://www.adb.org/Documents/TACRs/PHI/tacr-phi-3516.pdf
http://www.adb.org/documents/tars/phi/tar_phi_36561.pdf</t>
  </si>
  <si>
    <t>Corporate Social Responsibility;
Rural Development</t>
  </si>
  <si>
    <t>Stakeholder Participation;
Other Rural Development;
Rural Services and Infrastructure</t>
  </si>
  <si>
    <t>Energy;
Finance</t>
  </si>
  <si>
    <t>Energy Transmission and Distribution;
Microfinance</t>
  </si>
  <si>
    <t>Community Engagement; Energy Efficiency; Rural Development</t>
  </si>
  <si>
    <t>2001 Feb – Mar</t>
  </si>
  <si>
    <t>Coal Sector Environmental and Social Mitigation Project (Social and Environmental Review Panel)</t>
  </si>
  <si>
    <t>Project designed to assist India in making coal production more environmentally and socially sustainable. The project comprised  a capacity building component, an investment component  and a social remedial action component. Project-related technical assistance, studies and training aimed at enhancing India's capacity to better manage environmental and social issues of coal mining operations; investment funds used for the implementation of Environmental Action Plans, Rehabilitation Action Plans and Indigenous Peoples Development Plans for the 25 mines slated to receive financial assistance under the project.</t>
  </si>
  <si>
    <t>IND</t>
  </si>
  <si>
    <t>Social Mitigation Expert</t>
  </si>
  <si>
    <t>Coal India Ltd./World Bank</t>
  </si>
  <si>
    <t>URS Corporation-Australia</t>
  </si>
  <si>
    <t>1 month</t>
  </si>
  <si>
    <t>Two five-week visits to the coalfields of central India as a social mitigation expert, reviewing Coal India’s overall compliance with relevant agreements on resettlement, indigenous people’s development and other related issues and advising Coal India Limited on directions it can take on social mitigation in post-loan programs.</t>
  </si>
  <si>
    <t>Indigenous Peoples;
Involuntary Resettlement;
Social Analysis and Monitoring</t>
  </si>
  <si>
    <t>PS1: Assessment and Management of Environmental and Social Risks and Impacts; PS5: Land Acquisition and Involuntary Resettlement; PS7: Indigenous Peoples</t>
  </si>
  <si>
    <t>Social Impact Assessment and Socio-economic baseline study; Land Acquisition and Resettlement; Indigenous Peoples and Ethnic Minorities</t>
  </si>
  <si>
    <t>2000 Oct – Nov</t>
  </si>
  <si>
    <t>Chashma Right Bank Irrigation Project- Stage III</t>
  </si>
  <si>
    <t>Project aimed to increase agricultural projection. Objectives included sustained growth with improved income distribution and a rural development program emphasizing employment and poverty alleviation.</t>
  </si>
  <si>
    <t>PAK</t>
  </si>
  <si>
    <t>Institutional Specialist</t>
  </si>
  <si>
    <t>Sheladia Associates</t>
  </si>
  <si>
    <t>Project Impact Monitoring and Evaluation.
A rapid rural appraisal and direct village level study to monitor the effectiveness of users associations in allocating distribution of water, maintaining water courses and collecting water charges for a large irrigation system in the Indus Basin; assessed the effectiveness of linkages between farmers, government institutions, parastatals, private firms, institutional and private credit and marketing associations.</t>
  </si>
  <si>
    <t>Project Number: 1146
Loan Number: 24268- 01
See:
http://www.adb.org/projects/project.asp?id=24268
http://pid.adb.org/pid/LoanView.htm?projNo=24268&amp;seqNo=01&amp;typeCd=3</t>
  </si>
  <si>
    <t>Environment and Natural Resources;
Rural Development;
Social Protection</t>
  </si>
  <si>
    <t>Water Resource Management;
Rural Markets;
Poverty Reduction Strategy</t>
  </si>
  <si>
    <t>Agriculture Production, Agro-Processing, and Agro-Business;
Irrigation and Drainage;
Water Resource Management</t>
  </si>
  <si>
    <t>PS3: Resource Efficiency and Pollution Prevention; PS5: Land Acquisition and Involuntary Resettlement</t>
  </si>
  <si>
    <t>Water Efficiency; Rural Development</t>
  </si>
  <si>
    <t>2000 Jun – Jul</t>
  </si>
  <si>
    <t>Pat Feeder Command Area Development Project (Project Design)</t>
  </si>
  <si>
    <t>Project aimed to improve the production, incomes, and standard of living of the rural population of the Nasirabad area, especially of the people living within the command area of the Pat Feeder Canal. The project had three specific objectives: (i) increased quantities of irrigation water available to the farmers; (ii) higher productivity of land, water, and labor for cropping and for livestock; and (iii) increased participation of rural people in the development process.</t>
  </si>
  <si>
    <t>ADB/IFAD</t>
  </si>
  <si>
    <t>After a field visit, recommended an action plan for the project’s remaining life, outlining specific proposals and policy commitments for the provincial government.</t>
  </si>
  <si>
    <t>Ya Tian, Country programme manager
Via Paolo di Dono, 44
Rome, Italy
 +39 0654592062
y.tian@ifad.org 
http://operations.ifad.org/web/ifad/operations/country/project/tags/pakistan/353/project%20overview
See:
http://www.adb.org/Documents/PCRs/PAK/pcr-pak-17044.pdf
-and-
IFAD. 2004. Pat Feeder Command Area Development Project (IFAD Loan 353-PK): Project Completion Review Report. Rome.
http://operations.ifad.org/web/ifad/operations/country/project/tags/pakistan/353/documents</t>
  </si>
  <si>
    <t>Governance;
Rural Development;
Social Protection</t>
  </si>
  <si>
    <t>Public Governance;
Other Rural Development;
Social Analysis and Monitoring</t>
  </si>
  <si>
    <t>2000 Apr – May</t>
  </si>
  <si>
    <t>Indigenous Peoples;
Involuntary Resettlement;
Vulnerability Assessment</t>
  </si>
  <si>
    <t>PS3: Resource Efficiency and Pollution Prevention; PS5: Land Acquisition and Involuntary Resettlement; PS7: Indigenous Peoples</t>
  </si>
  <si>
    <t>Water Efficiency; Rural Development; Indigenous Peoples and Ethnic Minorities</t>
  </si>
  <si>
    <t>1999 Jun – Jul</t>
  </si>
  <si>
    <t>Upper Mustang Biodiversity Conservation Project (Project Design)</t>
  </si>
  <si>
    <t>Project Formulation Specialist </t>
  </si>
  <si>
    <t>UNDP/GEF </t>
  </si>
  <si>
    <t>Meeting with stakeholders in Kathmandu, undertook a technical, budgetary and institutional review, of a previously proposed GEF project, revising the brief, and preparing a UNDP project document for final acceptance.</t>
  </si>
  <si>
    <t>Corporate Social Responsibility;
Environment and Natural Resources</t>
  </si>
  <si>
    <t>Stakeholder Participation;
Biodiversity</t>
  </si>
  <si>
    <t>PS1: Assessment and Management of Environmental and Social Risks and Impacts; PS6: Biodiversity Conservation and Sustainable Management of Living Natural Resources</t>
  </si>
  <si>
    <t>Community Engagement; Biodiversity Assessment</t>
  </si>
  <si>
    <t>1998 Oct</t>
  </si>
  <si>
    <t>Orissa Water Resources Consolidation Project</t>
  </si>
  <si>
    <t>Enhanced agricultural productivity via planning and allocation of water across sectors and, for irrigation, improved efficiency of public expenditures and water use. Primary objectives included to: 1) improve planning and management processes for state water resources; 2) increase agricultural productivity through investments; and 3) enhance the department of water resources institutional capability. Toward these aims, the project assisted the government of Orissa (GOO) to establish multi-sectoral water planning, enhance the efficiency of public expenditures, provide more efficient and effective irrigation services, and upgrade DOWR's capabilities. The components included scheme completions, systems improvement and farmer participation/turnover, basin planning under th environmental action plan, water resources research and agricultural intensification,  institutional reorganization and strengthening,  resettlement and rehabilitation, and Indigenous Peoples development planning.</t>
  </si>
  <si>
    <t>Rural Development Advisor;
Farmer Organization and Turnover Specialist (SIFT)</t>
  </si>
  <si>
    <t>Advised on organizational development for farmers' associations. After visiting a series of selected irrigation projects, and related government institutions, evaluated and advised on revisions to project support and training for water user groups.</t>
  </si>
  <si>
    <t>Environment and Natural Resources;
Governance;
Rural Development</t>
  </si>
  <si>
    <t>Water Resource Management;
Public Sector Governance;
Other Rural Development</t>
  </si>
  <si>
    <t>Agriculture, Fishing, &amp; Forestry / Natural Resources;
Public Administration, Law, and Justice;
Water Supply, Sanitation, and Waste Management</t>
  </si>
  <si>
    <t>Irrigation and Drainage;
Public Administration - Agriculture, Fishing and Forestry;
Water Resource Management</t>
  </si>
  <si>
    <t>Consultant proposal: *Strengthening the Capacity of the Ministry of Population and Environment of Nepal to Support Public Awareness and Environment Education Activities*</t>
  </si>
  <si>
    <t>Worked specifically on the design of an environmental education and communications program designed for industrial pollution in Nepal acquisition for a consultant company bidding on an Asian Development Bank-sponsored project/</t>
  </si>
  <si>
    <t>1996 Nov – 1998 Sept</t>
  </si>
  <si>
    <t>Nepal Environment Education and Communication-Environment and Forest Enterprise Activity</t>
  </si>
  <si>
    <t>Centrally-funded environment education and communications project.</t>
  </si>
  <si>
    <t>Nepal;
USA, Washington D.C.</t>
  </si>
  <si>
    <t>NPL, USA</t>
  </si>
  <si>
    <t>Technical Team Leader and Community Development Specialist</t>
  </si>
  <si>
    <t>USAID, GreenCOM</t>
  </si>
  <si>
    <t>Academy for Educational Development</t>
  </si>
  <si>
    <t>12 months</t>
  </si>
  <si>
    <t>Forestry extension and communications support.
Oversaw and managed all project activities in Nepal, through frequent visits over the life of the project, supporting activities to enhance community understanding of new forest policy legislation, stimulate discourse, and support forestry extension. Oversaw selection of media partners and acted as producer of media activities, research and the design of training activities.  Acted as liaison between the project, the donor agency and the government, as well as working with other agencies to carry out related activities.</t>
  </si>
  <si>
    <t>Corporate Social Responsibility;
Environment and Natural Resources;
Governance</t>
  </si>
  <si>
    <t>Stakeholder Participation;
Environmental Policies and Legislation;
Public Sector Governance</t>
  </si>
  <si>
    <t>Agriculture, Fishing, &amp; Forestry / Natural Resources;
Public Administration, Law, and Justice;
Telecoms, Media &amp; Information Technology</t>
  </si>
  <si>
    <t>Forests;
Public Administration - Agriculture, Fishing and Forestry;
General Information and Communications Sector</t>
  </si>
  <si>
    <t>1996 Feb – May </t>
  </si>
  <si>
    <t>On-Farm Water Management III Program</t>
  </si>
  <si>
    <t>Project aimed to increase agricultural production through effective water management, to strengthen the capability of the implementing agencies, to  enhance farmer participation through Water Users Associations (WUA); and to reduce government financial obligations through cost recovery programs. The project provided civil works, equipment, technical assistance, training, and supervision and administration.
</t>
  </si>
  <si>
    <t> World Bank</t>
  </si>
  <si>
    <t>Institutions Development in the irrigation sector.  Through field visits and discussions with government officials and staff of other projects, assessed Pakistan’s experience with farmer-managed irrigation, particularly in light of a massive reorganization of the irrigation sector then being proposed; recommended changes to national and local water laws to increase farmer participation in proposed new institutions, suggested improved operating mechanisms for local water user associations.</t>
  </si>
  <si>
    <t>Agriculture, Fishing, &amp; Forestry / Natural Resources;
Economic Management;
Public Administration, Law, and Justice;
Water Supply, Sanitation, and Waste Management</t>
  </si>
  <si>
    <t>Agriculture Production, Agro-Processing, and Agro-Business;
Irrigation and Drainage;
Economic Management;
Public Administration - Water, Sanitation and Flood Protection;
Water Resource Management</t>
  </si>
  <si>
    <t>1995 Aug – 1996 Jan</t>
  </si>
  <si>
    <t>Natural Resource Management II Project (Project Design)</t>
  </si>
  <si>
    <t>Forest resource management project.</t>
  </si>
  <si>
    <t>Community-Level Communications and Institutions Development Advisor </t>
  </si>
  <si>
    <t>USAID-Manila</t>
  </si>
  <si>
    <t>Global Vision Inc.</t>
  </si>
  <si>
    <t>3 months</t>
  </si>
  <si>
    <t>On two month-long visits to the Philippines, helped develop an approach for the project, and its NGO partners, to increase local participation in the implementation of community forestry and resource management plans in townships in Mindanao, and northern Luzon.</t>
  </si>
  <si>
    <t>1995 Jul – 1996 Jan</t>
  </si>
  <si>
    <t>*Participation and the World Bank’s Work* (Training Video)</t>
  </si>
  <si>
    <t>USA, Washington D.C.</t>
  </si>
  <si>
    <t>USA</t>
  </si>
  <si>
    <t>Co-producer</t>
  </si>
  <si>
    <t>World Bank, Training Division</t>
  </si>
  <si>
    <t>Training video writing and production. Video explored World Bank Task Manager’s use of participatory methods in the implementation and monitoring of their development projects. The video was meant to introduce a training program for Task Managers and Resident Missions of the Bank, and to introduce clients and users to the basic philosophy of the participatory development approach for the World Bank.</t>
  </si>
  <si>
    <t>1994 Dec.</t>
  </si>
  <si>
    <t>Mahakali Stage II Irrigation Project (Institutions Design)</t>
  </si>
  <si>
    <t>World Bank-IDA</t>
  </si>
  <si>
    <t>Halcrow</t>
  </si>
  <si>
    <t>1994 Nov – Dec</t>
  </si>
  <si>
    <t>Nepal Irrigation Sector Project (Supervision Mission)</t>
  </si>
  <si>
    <t>1994 Oct – 1995 Apr</t>
  </si>
  <si>
    <t>Sunsari Morang  III Irrigation Project (Design and Feasibility Study)</t>
  </si>
  <si>
    <t>Project aimed at increasing agricultural production and farmers' incomes by rehabilitating existing irrigation systems. The project found that unreliable water supply for any reason destroys farmer confidence in the ability of irrigation authorities and leads to weak cooperation in construction and O&amp;M works. Participation of beneficiaries in the design, construction, implementation, and O&amp;M was also found to be very important, especially in large public irrigation systems, and that training farmers to understand the design of the water system and its performance is necessary for large public irrigation systems where they have to share according to agreed time and quantity.</t>
  </si>
  <si>
    <t>Institutions Development Specialist</t>
  </si>
  <si>
    <t>Nippon Koei</t>
  </si>
  <si>
    <t>Detailed Feasibility and Design Project, working as part of a team preparing a detailed plan for a medium-scale irrigation project in eastern Nepal. Detailed a strategy for water users' association development, people’s participation in the construction of tertiaries and the development of farmer linkages to agricultural extension and other agencies</t>
  </si>
  <si>
    <t>Environment and Natural Resources;
Rural Development</t>
  </si>
  <si>
    <t>Water Resource Management;
Rural Policies and Institutions</t>
  </si>
  <si>
    <t>1994 Jul  – Aug</t>
  </si>
  <si>
    <t>Natural Resource Management Project (Proposal Design)</t>
  </si>
  <si>
    <t>Development Communications and Local Institutions Specialist</t>
  </si>
  <si>
    <t>Requested by USAID to visit field sites in Palawan, Cebu, Mindanao and Luzon and propose a design for a communications project, carry out a project feasibility assessment for participatory programs in natural resource management, environmental protection and afforestation and present a communications utilization plan to support a large-scale forestry resource management project</t>
  </si>
  <si>
    <t>Stakeholder Participation;
Natural Resources Conservation</t>
  </si>
  <si>
    <t>1994 May – Jun</t>
  </si>
  <si>
    <t>Nepal Irrigation Sector Project</t>
  </si>
  <si>
    <t>Project assisted the Government of Nepal in planning and utilizing its water resources in sustainable manner. The project involved finalization of a comprehensive Water Resources Strategy and formulation of a Consolidated Water Policy; irrigation sector improvement and development; and institutional strengthening, including strengthening the government's technical and institutional capacity in water data collection, planning and management of irrigated agriculture.</t>
  </si>
  <si>
    <t>Project Supervision</t>
  </si>
  <si>
    <t>Water Resource Management;
Public Governance;
Rural Policies and Institutions</t>
  </si>
  <si>
    <t>Agriculture, Fishing, &amp; Forestry / Natural Resources;
Public Administration, Law, and Justice</t>
  </si>
  <si>
    <t>Irrigation and Drainage;
Public Administration - Water, Sanitation and Flood Protection</t>
  </si>
  <si>
    <t>1994 Feb</t>
  </si>
  <si>
    <t>1994 Jan</t>
  </si>
  <si>
    <t>Environmental and Natural Resource Management Communications Planning </t>
  </si>
  <si>
    <t>USAID-Manila, GreenCOM</t>
  </si>
  <si>
    <t>1.5 months</t>
  </si>
  <si>
    <t>1993 Dec</t>
  </si>
  <si>
    <t>Participation Sourcebook Writing</t>
  </si>
  <si>
    <t>Sourcebook set up in modular form to facilitate  the reader to search according to individual interest and need. Chapter I brings together key themes and common elements on participation. Chapter II contains examples of how World Bank staff used, or helped others use, participatory approaches in Bank-supported operations. Chapter III draws largely upon Chapter II experiences to guide the reader through the various steps of participatory planning and decisionmaking. Chapter IV presents the experience of Bank staff and their government counterparts, and shares approaches to strengthening the financial and organizational capacities of the poor. It also discusses ways of creating an enabling environment for the participation of all stakeholders, including the poor.</t>
  </si>
  <si>
    <t>Co-authored a working paper summary, "Participation in the Irrigation Sector" for Appendix II.</t>
  </si>
  <si>
    <t>1993 Nov</t>
  </si>
  <si>
    <t>Mahakali Stage II Irrigation Project (Institutional Design)</t>
  </si>
  <si>
    <t>Construction of irrigation and drainage facilities to serve an additional 6,800 ha under the Mahakali irrigation project and institutional development support to assist the Department of Irrigation to strengthen its capability for sector program development and implementation.</t>
  </si>
  <si>
    <t>Irrigation and Drainage;
Public Administration - Water, Sanitation and Flood Protection;
Water Infrastructure;
Water Resource Management</t>
  </si>
  <si>
    <t>1993 Oct – Nov</t>
  </si>
  <si>
    <t>Narayani Zone Irrigation Development Project (Institutional Design)</t>
  </si>
  <si>
    <t>The Narayani Zone Irrigation Development (Stage Two) Project in Nepal aimed to improve irrigation systems and institutional for agricultural water supply, including via training initiatives and and farmers' involvement in Water User's Group (WUG).
The Project revealed the need for: 1) considerable technical supervision given the implementing agency's institutional capability, 2) training of local staff; (3) a stronger institution-building effort than had been envisaged at appraisal and more involvement and participation by farmers. </t>
  </si>
  <si>
    <t>Institutions Development Advisor</t>
  </si>
  <si>
    <t>Developed a project-level water users' association development program for a medium irrigation project and carrying out the first steps in project implementation.</t>
  </si>
  <si>
    <t>Water Resource Management;
Other Rural Development</t>
  </si>
  <si>
    <t>Irrigation and Drainage;
Water Resource Management</t>
  </si>
  <si>
    <t>1993 Sept – Oct</t>
  </si>
  <si>
    <t>Mahakali Stage II Irrigation (Project Supervision)</t>
  </si>
  <si>
    <t>Agriculture Sector Development;
Irrigation and Drainage;
Water Infrastructure</t>
  </si>
  <si>
    <t>1992 Dec – 1993 May</t>
  </si>
  <si>
    <t>USAID India Water Management Support Program, under the Irrigation Support to Asia, Pacific and the Near East (ISPAN)</t>
  </si>
  <si>
    <t>Institutions Development Specialist </t>
  </si>
  <si>
    <t>Camp, Dresser and McKee</t>
  </si>
  <si>
    <t>Working to develop water users associations and organizational and procedural changes in irrigation with several states in India.</t>
  </si>
  <si>
    <t>1992 Oct – Nov</t>
  </si>
  <si>
    <t>1992 Aug – Sept</t>
  </si>
  <si>
    <t>Hill Areas Land and Water Development Project</t>
  </si>
  <si>
    <t>Education Development Center</t>
  </si>
  <si>
    <t>1991 Aug – 1992 Jun</t>
  </si>
  <si>
    <t>Irrigation Interactive Videodisk Project</t>
  </si>
  <si>
    <t>Subject Matter Expert in Institutions Development </t>
  </si>
  <si>
    <t>Advised on the trainer training and participatory management issues in irrigation for production of an interactive videodisk called Working with Water User Associations, a USAID-sponsored creation.</t>
  </si>
  <si>
    <t>1991 Mar – Apr</t>
  </si>
  <si>
    <t>Rasuwa-Nuwakot Development Project, Phase II (Evaluation)</t>
  </si>
  <si>
    <t>The Rasuwa - Nuwakot Rural Development Project is the second phase of the IDA-financed Rural Development Project, covering the Rasuwa and Nuwakot districts in the Central Development Region of Nepal, which was completed in June 1984. The Rasuwa - Nuwakot Rural Development Project will aim: (a) to consolidate the investments made during the earlier phase of development by making all physical facilities fully operational, and by improving the qualities and coverage of agricultural support services and the services of the institutions responsible for rural infrastructure development and maintenance. It would also seek (b) to further improve the agricultural production base and the socio-economic infrastructure; (c) to expand forestry plantation and soil conservation programs; and (d) to promote development of effective local level planning and implementation of rural development projects.
A few key lessons that can be learned from this project are: 1) the Bank should have suspended the project when it discerned the problem of bias rather than attempting in vain to persuade an unwilling Borrower to accept its recommendation of restructuring the project; 2) before a new project is designed, lessons learned from previous experiences in the country concerned should be reviewed and perhaps put on a checklist which should be consulted to avoid lapses of memory during the design of subsequent projects; 3) when the TA component is crucial for effective project implementation, the Bank should insist on financing the component to ensure that it can supervise the component directly; and 4) the Borrower should not let a project be handicapped by frequent changes of senior staff and positions left unfilled for long periods of time.</t>
  </si>
  <si>
    <t>UNDP</t>
  </si>
  <si>
    <t>Carried out the mid-term evaluation of a large integrated rural development project in two hill districts. </t>
  </si>
  <si>
    <t>1991-1994</t>
  </si>
  <si>
    <t>IDA Staff Consultant - Institutions Development</t>
  </si>
  <si>
    <t>IDA Staff Consultant, Institutions Development</t>
  </si>
  <si>
    <t>Supervised the farmer organization development activities of all IDA/World Bank irrigation projects in Nepal, including the Irrigation Sector Project, the Irrigation Line of Credit, the Bhairawa-Lumbini, Narayani and Sunsari-Morang and Mahakali irrigation projects. Participated in the project preparation and appraisal of the Mahakali II and Bhairawa-Lumbini III projects (especially the Irrigation Line of Credit components).  The overall experience in this activity led to participation in the writing of the irrigation chapter for the World Bank’s *Participation Sourcebook*.</t>
  </si>
  <si>
    <t>Corporate Social Responsibility;
Environment and Natural Resources;
Rural Development</t>
  </si>
  <si>
    <t>Stakeholder Participation;
Water Resource Management;
Rural Policies and Institutions</t>
  </si>
  <si>
    <t>Irrigation and Drainage;
Water Infrastructure</t>
  </si>
  <si>
    <t>1990 Jan – 1992 Jul</t>
  </si>
  <si>
    <t>The project is designed to address, over a seven year period, one of India's most serious environmental problems - watershed degradation. This will be done by aiding in the finance of remedial programs in some of the country's most important agro - economic zones. The main project objective is to slow and reverse degradation of the natural environment through soil and moisture conservation technology. This will improve production and income from grain crops, horticulture, fodder, fiber, fuelwood and livestock. It will also reduce flooding caused by degradation. Known vegetative technologies will be promoted and the management and use of non - arable lands will be strengthened.</t>
  </si>
  <si>
    <t>Team Leader, Project Supervisor and Institutions Development Advisor</t>
  </si>
  <si>
    <t>Sheladia Associates and Educational Development Center</t>
  </si>
  <si>
    <t>14 months</t>
  </si>
  <si>
    <t>Through frequent visits over life of the project, revised the existing project design to improve sustainability by focusing on the development of irrigation institutions in villages, rather than just pouring cement; acted as liaison to the Himachal Pradesh State Secretariat; worked with state government line agencies to ensure greater coordination between activities in irrigation, agriculture and forestry; made periodic supervisory visits as implementation became local, and focused on ensuring peoples participation in building of small hill irrigation systems . Was responsible for supervising work of all advisors and office staff (approximately 15-20); and acted as liaison with USAID in Delhi.</t>
  </si>
  <si>
    <t>Water Resource Management;
Rural Services and Infrastructure</t>
  </si>
  <si>
    <t>Agriculture Production, Agro-Processing, and Agro-Business;
Irrigation and Drainage;
Integrated Water, Sanitation and Flood Management;
Water Infrastructure</t>
  </si>
  <si>
    <t>PS3: Resource Efficiency and Pollution Prevention; PS5: Land Acquisition and Involuntary Resettlement; PS6: Biodiversity Conservation and Sustainable Management of Living Natural Resources</t>
  </si>
  <si>
    <t>Water Efficiency; Rural Development; Forestry Management</t>
  </si>
  <si>
    <t>Forest Harvesting Operations; Water and Sanitation</t>
  </si>
  <si>
    <t>1989 Dec – 1990 Jan</t>
  </si>
  <si>
    <t>Bhairawa-Lumbini III Project Appraisal</t>
  </si>
  <si>
    <t>The Third Bhairawa Lumbini Groundwater Irrigation Project's achievement of project objectives and outcome was rated marginally satisfactory. Lessons learned from this project at preparation and lending include: 1) The project confirms the success of earlier development models, based on farmer participation in all phases of planning, investment, and operation. 2) It has taken three project cycles to reach what can be regarded as fully sustainable development in this case. This reflects a need to take a long-term view of institutional change and of the preparation of beneficiaries for full participation. 3) The project succeeded because of strong financial incentives for beneficiaries. These in turn require sound technical and economic evaluation of investments and careful selection of priorities and open and transparent processes for site selection. In terms of implementation, operation, and maintenance, a) the main problems have been in the role and functioning of the public sector, especially in the release of funds and their synchronization with construction schedules, public procurement, account compilation, financial management, and timely disbursement. b) The critical role of public services is also evidenced by the project, especially technical support to farmer groups. c) The project orientation towards promotion of private sector investment in service delivery aspect should be encouraged right from the outset with proper investment regulations and rules.</t>
  </si>
  <si>
    <t>Stakeholder Participation;
Rural Services and Infrastructure</t>
  </si>
  <si>
    <t>1989 Oct</t>
  </si>
  <si>
    <t>Hill Community Forestry Project</t>
  </si>
  <si>
    <t>The project assisted the Government of Nepal to implement components of its forestry master plan and forestry sector policy by supporting development of a system to conserve and expand forest resources. The project consisted of an institutional support component to strengthen FD's organization to enable it to identify and establish about 4,000 User Groups to manage some 400,000 ha of forest land; a plantation establishment and management component; a training and extension component to communicate the Government's Community Forestry policy to FD staff and the communities; and a research component to  help DFPR to generate improved silvicultural techniques.</t>
  </si>
  <si>
    <t>Participated in a project development and supervision mission in community-based forestry in Nepal, looking specifically to the development of a new forest law </t>
  </si>
  <si>
    <t>Forests;
Public Administration - Agriculture, Fishing and Forestry</t>
  </si>
  <si>
    <t>Community Engagement; Forestry Management</t>
  </si>
  <si>
    <t>1989 Sept – 1991 Jul </t>
  </si>
  <si>
    <t>Irrigation Sector Support Project (ISSP)</t>
  </si>
  <si>
    <t>Bank-supported irrigation program designed to benefit small- and medium-farming households. Project also supported the improvement of public irrigation systems for turn-over to farmer-beneficiaries who take on responsibility for management, operation, and maintenance. </t>
  </si>
  <si>
    <t>UNDP, World Bank-IDA</t>
  </si>
  <si>
    <t>8 months</t>
  </si>
  <si>
    <t>Through frequent and sometimes lengthy visits, had a major role as the project anthropologist who led the design of much of the approach to participatory irrigation and WUA development and for the human side of that effort: for hiring, training, and supervision of field staff, and for developing a system for water user group development for multiple small irrigation projects scattered through the hills of central Nepal.</t>
  </si>
  <si>
    <t>1989 Jul – Aug </t>
  </si>
  <si>
    <t>Agroforestry Research Network for Africa (AFRENA)  - Evaluation (East Africa)</t>
  </si>
  <si>
    <t>Kenya, Uganda, Rwanda, Burundi</t>
  </si>
  <si>
    <t>KEN, UGA, RWA, BDI </t>
  </si>
  <si>
    <t>USAID/Washington </t>
  </si>
  <si>
    <t>Tropical Research and Development</t>
  </si>
  <si>
    <t>Team Leader of the mid-term evaluation of a multinational agroforestry project under International Council for Research in Agroforestry (ICRAF). Was responsible for supervision of advisors, final report and determination of findings of the evaluation and presentation of those findings to a workshop at USAID headquarters in Washington D.C </t>
  </si>
  <si>
    <t>1988 Nov – Dec</t>
  </si>
  <si>
    <t>Agroforestry Research Network for Africa Evaluation (East Africa)</t>
  </si>
  <si>
    <t>1988 Sept – Dec</t>
  </si>
  <si>
    <t>Forestry/Fuelwood Research and Development (F/FRED) - Project Evaluation</t>
  </si>
  <si>
    <t>Nepal, Pakistan, Thailand</t>
  </si>
  <si>
    <t>NPL, PAK, THA</t>
  </si>
  <si>
    <t>Mid-term evaluation of this Asian regional agro-forestry and fuel-wood project</t>
  </si>
  <si>
    <t>1988-1994</t>
  </si>
  <si>
    <t>Mahakali Stage II Irrigation Project</t>
  </si>
  <si>
    <t>Construction of irrigation and drainage facilities to serve an additional 6,800 ha under the Mahakali irrigation project and institutional development support to assist the Department of Irrigation to strengthen its capability for sector program development and implementation.
..
The project would comprise: (a) the Mahakali Stage II Irrigation Project comprising construction of irrigation and drainage facilities to serve an additional 6,800 ha under the Mahakali Irrigation Project; (b) an Irrigation Line of Credit pilot project to finance subprojects for construction of new small and medium surface and groundwater irrigation schemes and rehabilitation of existing surface schemes to cover a total of about 9,000 ha and be operated and maintained by farmer groups; (c) emergencyF lood Rehabilitation works to repair flood-damagedi rrigationa nd river control facilities; and (d) Institutional Development Support to help the Department of Irrigation strengthen its capability for sector program development and implementation.</t>
  </si>
  <si>
    <t>Institutions Development Expert</t>
  </si>
  <si>
    <t>Halcrow; World Bank Consultant</t>
  </si>
  <si>
    <t>Through frequent short-term visits, developed, trained a staff and supervised the implementation of project level, water users' association program for a medium irrigation system, and developed a new participatory approach to tertiary construction as proposed under Nepalese government irrigation policies.  Increasingly took an advisory role in the project as local management took over activities on a day-to-day basis.  Toward the end, participated on the IDA supervision teams visiting the project.</t>
  </si>
  <si>
    <t>Community Engagement; Water Efficiency</t>
  </si>
  <si>
    <t>1988 Jul  </t>
  </si>
  <si>
    <t>Sagarmatha Integrated Rural Development Project (Bidding Proposal Design)</t>
  </si>
  <si>
    <t>Associates in Rural Development</t>
  </si>
  <si>
    <t>Visited Nepal to collect data for the writing of a consultant proposal for the second phase of the Sagarmatha Integrated Rural Development Project for a consultant company bidding on an ADB-sponsored project </t>
  </si>
  <si>
    <t>1988 May – Jul</t>
  </si>
  <si>
    <t>Secondary Crops Development Project (Consultant Proposal Design)</t>
  </si>
  <si>
    <t>ADB</t>
  </si>
  <si>
    <t>Experience Incorporated</t>
  </si>
  <si>
    <t>Responsible for the design of the management system, agricultural extension and research delivery structures of a proposed large-scale agricultural development project concentrating on secondary crop development from the national to the village level for the hill and Terai regions of Nepal .</t>
  </si>
  <si>
    <t>1988 Apr – 1991 Apr</t>
  </si>
  <si>
    <t>Science and Technology/Rural Development</t>
  </si>
  <si>
    <t>Staff Consultant</t>
  </si>
  <si>
    <t>U.S. Agency for International Development (USAID)</t>
  </si>
  <si>
    <t>USAID Office of Science and Technology/Rural Development</t>
  </si>
  <si>
    <t>10 months</t>
  </si>
  <si>
    <t>Staff Consultant worked on projects projected for the relative long-term future in community resource management, equity promotion, cultural survival, peri-urban development research, development support communications, women in development, equity and land tenure.</t>
  </si>
  <si>
    <t>Community Engagement; Gender Development; Rural Development</t>
  </si>
  <si>
    <t>1987 Jun – Nov</t>
  </si>
  <si>
    <t>Self-Help Village Development (Evaluation and Redesign)</t>
  </si>
  <si>
    <t>Project mobilized the very poor and vulnerable--women, the youths and the elders--of village communities to put their talents to work in the service of village development committees and forums toward meeting community-identified developmental objectives via technical assistance from external experts. Program initiatives would often involve income-generating activities like innovative ways of farming, fish farm, skills like sewing, like carpentry etc. </t>
  </si>
  <si>
    <t>LBR</t>
  </si>
  <si>
    <t>UNDTCD</t>
  </si>
  <si>
    <t>Made two visits to Liberia: first to evaluate this grassroots community development project, a second, at the request of the Deputy Resident Representative to revise the project design in line with the findings of the evaluation mission, participated in the writing of new project policy paper and a revised project document as follow-up, conducted a workshop with project participants to implement the new approach for the project.</t>
  </si>
  <si>
    <t>Economic Growth;
Rural Development</t>
  </si>
  <si>
    <t>Promoting Economic Efficiency and Enabling Markets;
Other Rural Development</t>
  </si>
  <si>
    <t>1987 Mar – Apr</t>
  </si>
  <si>
    <t>Juba Valley Development Analytical Studies (JESS) - Project Evaluation</t>
  </si>
  <si>
    <t>The Jubba Development Analytical Studies (JUDAS) project was conceived as a master plan for optimum development in the Jubba River Valley--the key to such development being the Baardheere Dam.  Expected outputs from JUDAS included:
(i) classification of the Valley's lands that are suited to irrigated agriculture
(ii) identification of environmental impacts and related mitigation measures
(iii) identification of sociological constraints and recommendations for a smooth transition to irrigated agriculture
(iv) development of the Ministry as an effective planning institution</t>
  </si>
  <si>
    <t>SOM</t>
  </si>
  <si>
    <t>Institutions Development Specialist/Rural Sociologist</t>
  </si>
  <si>
    <t>Checchi and Company Consulting, Inc.</t>
  </si>
  <si>
    <t>Mid-term evaluation of a long-term feasibility assessment project for dam development on the Juba River.
...
Mid-term evaluation of project social planning measures and institution design concept.</t>
  </si>
  <si>
    <t>Agriculture and Natural Resources;
Water and Other Municipal Infrastructure Services</t>
  </si>
  <si>
    <t>Agricultural Production and Markets;
Water Supply and Sanitation</t>
  </si>
  <si>
    <t>1987 Jan – Mar</t>
  </si>
  <si>
    <t>Shebelli Water Management Project (Design)</t>
  </si>
  <si>
    <t>Project aimed to increase the production of food and cash crops of smallholder farms through better irrigation management, improved
infrastructure, efficient water use and adaptive research. The initiative had important implications on land tenure (through their work already achieved in land titling), storage facilities and water legislation.</t>
  </si>
  <si>
    <t>Louis Berger Inc.</t>
  </si>
  <si>
    <t>Assessed the project’s social soundness, and developed an approach for solving several land tenure issues which arose, and for increasing the local community participation in an irrigation rehabilitation project for the lower Shebelli River valley as part the project design.</t>
  </si>
  <si>
    <t>Economic Growth;
Governance;</t>
  </si>
  <si>
    <t>Developing Rural Areas;
Public Administration;</t>
  </si>
  <si>
    <t>1986 Nov – Dec</t>
  </si>
  <si>
    <t>Fertilizer Demonstration and Distribution Project (Redesign)</t>
  </si>
  <si>
    <t>Project’s goal was to increase agricultural production through improved use of fertilizer by focusing initially on technology transfer and increases in private sector participation.</t>
  </si>
  <si>
    <t>Bangladesh</t>
  </si>
  <si>
    <t>BGD</t>
  </si>
  <si>
    <t>UNFAO</t>
  </si>
  <si>
    <t>FAO</t>
  </si>
  <si>
    <t>Returned to Bangladesh at the request of UN/FAO to lead further research into fertilizer issues and propose extensive modification of a design for a follow-up project.</t>
  </si>
  <si>
    <t>Economic Growth;
Private Sector Development</t>
  </si>
  <si>
    <t>Developing Rural Areas;
Private Sector Investment</t>
  </si>
  <si>
    <t>Agriculture and Natural Resources;</t>
  </si>
  <si>
    <t>Agricultural Production and Markets;</t>
  </si>
  <si>
    <t>1986 Apr – May</t>
  </si>
  <si>
    <t>Fertilizer Demonstration and Distribution Project (Evaluation)</t>
  </si>
  <si>
    <t>Terminal evaluation of the effectiveness of a fertilizer program in Bangladesh slated for renewal.</t>
  </si>
  <si>
    <t>1986 Jan – Mar</t>
  </si>
  <si>
    <t>Asia and Pacific Programme for  Training and Communications Planning (UNDP/DTCP) - Programme Evaluation</t>
  </si>
  <si>
    <t>Project provides consultancy and training services to agriculture, forestry, health, family planning and other rural development projects supported by the United Nations and other international aid agencies.</t>
  </si>
  <si>
    <t>Bangladesh
Nepal
Thailand
P.R. China</t>
  </si>
  <si>
    <t>BGD, NPL, THA, CHN</t>
  </si>
  <si>
    <t>Communications Specialist and Rural Sociologist</t>
  </si>
  <si>
    <t>Institute for Development Anthropology</t>
  </si>
  <si>
    <t>Participated in the evaluation of a regional development support communications project operating in several countries in Asia to assess the quality of the work and determine whether the project’s continuation was in the best interest of the UN system.</t>
  </si>
  <si>
    <t>Social Development</t>
  </si>
  <si>
    <t>Human Development</t>
  </si>
  <si>
    <t>1986 Jan</t>
  </si>
  <si>
    <t>Rural Credit Survey</t>
  </si>
  <si>
    <t>MYS</t>
  </si>
  <si>
    <t>Rural Sociologist</t>
  </si>
  <si>
    <t>Participating in the design of a survey methodology and questionnaire for the Bank Pertanian, participated in implementation of a survey on credit needs of fishermen in northern Malaysia.</t>
  </si>
  <si>
    <t>Economic Growth;</t>
  </si>
  <si>
    <t>Widening Access to Markets and Economic Opportunities</t>
  </si>
  <si>
    <t>Agricultural and Natural Resources;
Finance</t>
  </si>
  <si>
    <t>Fishery;
Micro-finance</t>
  </si>
  <si>
    <t>1985 May – Jul</t>
  </si>
  <si>
    <t>Poverty Monitoring under the Program of the World Conference on Agrarian Reform and Rural Development (WCARRD) [for Nepal and Sri Lanka]</t>
  </si>
  <si>
    <t>Program of the World Conference on Agrarian Reform and Rural Development (WCARRD) Program</t>
  </si>
  <si>
    <t>Italy, Rome</t>
  </si>
  <si>
    <t>ITA</t>
  </si>
  <si>
    <t>Local Institutions Development Advisor/Rural Sociologist</t>
  </si>
  <si>
    <t>Carried out a preliminary design for a system for monitoring rural poverty in countries participating in the WCARRD program, centered on Nepal and Sri Lanka as models.</t>
  </si>
  <si>
    <t>Capacity Development;</t>
  </si>
  <si>
    <t>Institutional Development;</t>
  </si>
  <si>
    <t>Agricultural and Natural Resources;
Health and Social Protection</t>
  </si>
  <si>
    <t>Agricultural Production and Markets;
Nutrition</t>
  </si>
  <si>
    <t>1982 Oct – 1985 May</t>
  </si>
  <si>
    <t>Dhading District Development Program</t>
  </si>
  <si>
    <t>District-level integrated rural development project--the first attached directly to a district government as part of a program for the development of decentralized government.</t>
  </si>
  <si>
    <t>Deputy Team Leader and Community Development Specialist</t>
  </si>
  <si>
    <t>German Agency for Technical Cooperation (GTZ)</t>
  </si>
  <si>
    <t>30 months</t>
  </si>
  <si>
    <t>District-level integrated rural development project, the first attached directly to a district government as part of a program for the development of decentralized government.  Advised on socioeconomic aspects of program design and supported the implementation of a district-level integrated rural development program aimed at strengthening local government institutions supporting the devolution of government authority to the district-level.  Worked on the development and implementation of a strategy for working with local village-level institutions to enable them to plan and carry out their own development projects utilizing district-level technical support.</t>
  </si>
  <si>
    <t>Capacity Development;
Economic Growth;
Social Development;
Governance</t>
  </si>
  <si>
    <t>Institutional Development;
Developing Rural Areas;
Other Vulnerable Groups;
Public Administration</t>
  </si>
  <si>
    <t>Agriculture and Natural Resources; 
Public Sector Management;</t>
  </si>
  <si>
    <t>Agricultural Production and Markets;
Decentralization;
Public Administration</t>
  </si>
  <si>
    <t>Social Impact Assessment and Socio-economic baseline study; Rural Development</t>
  </si>
  <si>
    <t>1982 Jan – Sept</t>
  </si>
  <si>
    <t>Rapti Integrated Rural Development Project</t>
  </si>
  <si>
    <t>Ministry of Local Development requested to convene a task force of donor agencies to develop a national system for the monitoring of rural development projects.</t>
  </si>
  <si>
    <t>Monitoring and Evaluation Specialist</t>
  </si>
  <si>
    <t>PADCO</t>
  </si>
  <si>
    <t>Developed monitoring procedures for a large integrated rural development project operating in five mountain districts in western Nepal.  Was requested by the Ministry of Local Development to convene a task force of donor agencies over several months to develop a national system for the monitoring of rural development projects.</t>
  </si>
  <si>
    <t>Developing Rural Areas;
Public Administration</t>
  </si>
  <si>
    <t>Public Sector Management;</t>
  </si>
  <si>
    <t>Economic and Public Affairs Management;</t>
  </si>
  <si>
    <t>1981 Jan – Nov</t>
  </si>
  <si>
    <t>Local Institutions Research Project</t>
  </si>
  <si>
    <t>BWA</t>
  </si>
  <si>
    <t>Chief of Party and Senior Researcher in the Ministry of Local Government and Lands of the Government of Botswana</t>
  </si>
  <si>
    <t>Land Tenure Center, University of Wisconsin</t>
  </si>
  <si>
    <t>11 months</t>
  </si>
  <si>
    <t>Supervised a large-scale national research project to assess the potential of rural institutions to assume a major role in local development, and to develop possible strategies for their carrying out participatory projects on their own.  As advisors in Botswana also served as members of the government, acted as liaison between district level tribal governments and the central government on social research matters .</t>
  </si>
  <si>
    <t>1980 Dec – 1981 Feb </t>
  </si>
  <si>
    <t>Land Tenure and Forestry Survey</t>
  </si>
  <si>
    <t>Government Planning and Feasibility Studies</t>
  </si>
  <si>
    <t>MUS</t>
  </si>
  <si>
    <t>Land Tenure Specialist/Rural Sociologist</t>
  </si>
  <si>
    <t>Carried out field research into land holding patterns agricultural groups living in the Sahel of Mauritania and assessed the social feasibility of potential approaches to several projects being considered at the time.</t>
  </si>
  <si>
    <t>Capacity Development;
Economic Growth;
Social Development</t>
  </si>
  <si>
    <t>Institutional Development;
Developing Rural Areas;
Human Development</t>
  </si>
  <si>
    <t>Agricultural Production and Markets;
Public Administration</t>
  </si>
  <si>
    <t>1978 July – 1979 May</t>
  </si>
  <si>
    <t>Agricultural Sector Survey</t>
  </si>
  <si>
    <t>Year-long agricultural sector survey in the Syrian Arab Republic</t>
  </si>
  <si>
    <t>Syrian Arab Republic</t>
  </si>
  <si>
    <t>SYR</t>
  </si>
  <si>
    <t>Rural Sociologist and Agricultural Extension Specialist</t>
  </si>
  <si>
    <t>Participated in a year-long agricultural sector survey in the Syrian Arab Republic.  Carried out a field study of the structure and performance of various agricultural extension services in Syria, as well as of the delivery of social services to the semi-nomadic peoples of the steppe.</t>
  </si>
  <si>
    <t>Institutional Development;
Developing Rural Areas;
Other Vulnerable Groups</t>
  </si>
  <si>
    <t>1975-1977</t>
  </si>
  <si>
    <t>Fulbright-Hays Program</t>
  </si>
  <si>
    <t>Fulbright Lecturer in Rural Sociology and Anthropology at the Institute of Nepal and Asian Studies (INAS)</t>
  </si>
  <si>
    <t>Designed and supervised a new approach to teaching social sciences in developing countries, under the supervision of the Dean of the Institute of Nepal and Asian Studies of Tribhuvan University in Kathmandu, based on practicing social science, rather than encouraging purely academic study.</t>
  </si>
  <si>
    <t>Field Researcher/Enumerator: Nepal Nutrition Status Survey</t>
  </si>
  <si>
    <t>New ERA Consultants, Kathmandu</t>
  </si>
  <si>
    <t>Took anthropometric measurements and blood samples to determine the overall nutritional status of children in rural Nepal, in a five month random sample field survey which crossed the entire country by jeep and helicopter for the Project.</t>
  </si>
  <si>
    <t>Date</t>
  </si>
  <si>
    <t>Type</t>
  </si>
  <si>
    <t>Editors/Authors</t>
  </si>
  <si>
    <t>Title</t>
  </si>
  <si>
    <t>Distribution</t>
  </si>
  <si>
    <t>ID#</t>
  </si>
  <si>
    <t>2005, November</t>
  </si>
  <si>
    <t>Technical Paper</t>
  </si>
  <si>
    <t>Andrew Manzardo and Wang Libin</t>
  </si>
  <si>
    <t>WUA Development and Mainstreaming Gender in the Western Provinces of China</t>
  </si>
  <si>
    <t>Pro-Poor Rural Water Reform Project. Beijing: The World Bank and DFID</t>
  </si>
  <si>
    <t>Gender Strategy, Final Version</t>
  </si>
  <si>
    <t>2004, September</t>
  </si>
  <si>
    <t>Report Chapter</t>
  </si>
  <si>
    <t>Gender Review and Recommendations for Mainstreaming Gender</t>
  </si>
  <si>
    <t>Final Report, Pro-Poor Rural Water Reform Project [REPORT]. Pro-Poor Rural Water Reform Project. Beijing: The World Bank and DFID</t>
  </si>
  <si>
    <t>2004, February</t>
  </si>
  <si>
    <t>Andrew Manzardo and Dragos Alexandru</t>
  </si>
  <si>
    <t>Survey of the Knowledge, Attitudes and Practices of the Rank and File Water Users in Romania, November-December 2003</t>
  </si>
  <si>
    <t>Water Users Association Development Project. Bucharest: USAID and PA Government Services, Inc. </t>
  </si>
  <si>
    <t>DEFUNCT</t>
  </si>
  <si>
    <t>DOESN'T EXIST [confirmed]</t>
  </si>
  <si>
    <t>potentially problematic
[TO RESOLVE]</t>
  </si>
  <si>
    <t>Contry Name - INFORMAL
[short name]</t>
  </si>
  <si>
    <t>ISO English country names [FORMAL]</t>
  </si>
  <si>
    <t>FIPS Cntry
[USA Federal Information Processing Standard]</t>
  </si>
  <si>
    <t>ISO numeric code</t>
  </si>
  <si>
    <t>ISO 3166-1 
(alpha-3)</t>
  </si>
  <si>
    <t>ISO 3166-2 
(alpha-2)</t>
  </si>
  <si>
    <t>Notes</t>
  </si>
  <si>
    <t>Associate project totals</t>
  </si>
  <si>
    <t>Afghanistan</t>
  </si>
  <si>
    <t>AF</t>
  </si>
  <si>
    <t>004</t>
  </si>
  <si>
    <t>AFG</t>
  </si>
  <si>
    <t>Åland Islands</t>
  </si>
  <si>
    <t>248</t>
  </si>
  <si>
    <t>ALA</t>
  </si>
  <si>
    <t>AX</t>
  </si>
  <si>
    <t>Albania</t>
  </si>
  <si>
    <t>AL</t>
  </si>
  <si>
    <t>008</t>
  </si>
  <si>
    <t>ALB</t>
  </si>
  <si>
    <t>Algeria</t>
  </si>
  <si>
    <t>AG</t>
  </si>
  <si>
    <t>012</t>
  </si>
  <si>
    <t>DZA</t>
  </si>
  <si>
    <t>DZ</t>
  </si>
  <si>
    <t>American Samoa</t>
  </si>
  <si>
    <t>AQ</t>
  </si>
  <si>
    <t>016</t>
  </si>
  <si>
    <t>ASM</t>
  </si>
  <si>
    <t>AS</t>
  </si>
  <si>
    <t>Andorra</t>
  </si>
  <si>
    <t> Andorra</t>
  </si>
  <si>
    <t>AN</t>
  </si>
  <si>
    <t>020</t>
  </si>
  <si>
    <t>AND</t>
  </si>
  <si>
    <t>AD</t>
  </si>
  <si>
    <t>Angola</t>
  </si>
  <si>
    <t>AO</t>
  </si>
  <si>
    <t>024</t>
  </si>
  <si>
    <t>AGO</t>
  </si>
  <si>
    <t>Anguilla</t>
  </si>
  <si>
    <t>AV</t>
  </si>
  <si>
    <t>660</t>
  </si>
  <si>
    <t>AIA</t>
  </si>
  <si>
    <t>AI</t>
  </si>
  <si>
    <t>Antarctica</t>
  </si>
  <si>
    <t>AY</t>
  </si>
  <si>
    <t>010</t>
  </si>
  <si>
    <t>ATA</t>
  </si>
  <si>
    <t>Antigua &amp; Barbuda</t>
  </si>
  <si>
    <t>Antigua and Barbuda</t>
  </si>
  <si>
    <t>AC</t>
  </si>
  <si>
    <t>028</t>
  </si>
  <si>
    <t>ATG</t>
  </si>
  <si>
    <t>Argentina</t>
  </si>
  <si>
    <t>AR</t>
  </si>
  <si>
    <t>032</t>
  </si>
  <si>
    <t>ARG</t>
  </si>
  <si>
    <t>Armenia</t>
  </si>
  <si>
    <t>AM</t>
  </si>
  <si>
    <t>051</t>
  </si>
  <si>
    <t>ARM</t>
  </si>
  <si>
    <t>Aruba</t>
  </si>
  <si>
    <t>AA</t>
  </si>
  <si>
    <t>533</t>
  </si>
  <si>
    <t>ABW</t>
  </si>
  <si>
    <t>AW</t>
  </si>
  <si>
    <t>Australia</t>
  </si>
  <si>
    <t>036</t>
  </si>
  <si>
    <t>AUS</t>
  </si>
  <si>
    <t>AU</t>
  </si>
  <si>
    <t>Austria</t>
  </si>
  <si>
    <t>040</t>
  </si>
  <si>
    <t>AUT</t>
  </si>
  <si>
    <t>AT</t>
  </si>
  <si>
    <t>Azerbaijan</t>
  </si>
  <si>
    <t>AJ</t>
  </si>
  <si>
    <t>031</t>
  </si>
  <si>
    <t>AZE</t>
  </si>
  <si>
    <t>AZ</t>
  </si>
  <si>
    <t>Bahrain</t>
  </si>
  <si>
    <t>BA</t>
  </si>
  <si>
    <t>048</t>
  </si>
  <si>
    <t>BHR</t>
  </si>
  <si>
    <t>BH</t>
  </si>
  <si>
    <t>Baker Island</t>
  </si>
  <si>
    <t>FQ</t>
  </si>
  <si>
    <t>UM-81</t>
  </si>
  <si>
    <t>United States Minor Outlying Islands</t>
  </si>
  <si>
    <t>BG</t>
  </si>
  <si>
    <t>050</t>
  </si>
  <si>
    <t>BD</t>
  </si>
  <si>
    <t>Barbados</t>
  </si>
  <si>
    <t>BB</t>
  </si>
  <si>
    <t>052</t>
  </si>
  <si>
    <t>BRB</t>
  </si>
  <si>
    <t>Belarus</t>
  </si>
  <si>
    <t>BO</t>
  </si>
  <si>
    <t>112</t>
  </si>
  <si>
    <t>BLR</t>
  </si>
  <si>
    <t>BY</t>
  </si>
  <si>
    <t>Belgium</t>
  </si>
  <si>
    <t>BE</t>
  </si>
  <si>
    <t>056</t>
  </si>
  <si>
    <t>BEL</t>
  </si>
  <si>
    <t>Belize</t>
  </si>
  <si>
    <t>084</t>
  </si>
  <si>
    <t>BLZ</t>
  </si>
  <si>
    <t>BZ</t>
  </si>
  <si>
    <t>Benin</t>
  </si>
  <si>
    <t>BN</t>
  </si>
  <si>
    <t>204</t>
  </si>
  <si>
    <t>BEN</t>
  </si>
  <si>
    <t>BJ</t>
  </si>
  <si>
    <t>Bermuda</t>
  </si>
  <si>
    <t>060</t>
  </si>
  <si>
    <t>BMU</t>
  </si>
  <si>
    <t>BM</t>
  </si>
  <si>
    <t>Bhutan</t>
  </si>
  <si>
    <t>BT</t>
  </si>
  <si>
    <t>064</t>
  </si>
  <si>
    <t>BTN</t>
  </si>
  <si>
    <t>Bolivia</t>
  </si>
  <si>
    <t>Bolivia, Plurinational State of</t>
  </si>
  <si>
    <t>BL</t>
  </si>
  <si>
    <t>068</t>
  </si>
  <si>
    <t>BOL</t>
  </si>
  <si>
    <t>Bonaire, Sint Eustatius and Saba</t>
  </si>
  <si>
    <t>535</t>
  </si>
  <si>
    <t>BES</t>
  </si>
  <si>
    <t>BQ</t>
  </si>
  <si>
    <t>Bosnia &amp; Herzegovina</t>
  </si>
  <si>
    <t>Bosnia and Herzegovina</t>
  </si>
  <si>
    <t>BK</t>
  </si>
  <si>
    <t>070</t>
  </si>
  <si>
    <t>BIH</t>
  </si>
  <si>
    <t>BC</t>
  </si>
  <si>
    <t>072</t>
  </si>
  <si>
    <t>BW</t>
  </si>
  <si>
    <t>Bouvet I.</t>
  </si>
  <si>
    <t>Bouvet Island</t>
  </si>
  <si>
    <t>BV</t>
  </si>
  <si>
    <t>074</t>
  </si>
  <si>
    <t>BVT</t>
  </si>
  <si>
    <t>Brazil</t>
  </si>
  <si>
    <t>BR</t>
  </si>
  <si>
    <t>076</t>
  </si>
  <si>
    <t>BRA</t>
  </si>
  <si>
    <t>British Indian Ocean Territory</t>
  </si>
  <si>
    <t>IO</t>
  </si>
  <si>
    <t>086</t>
  </si>
  <si>
    <t>IOT</t>
  </si>
  <si>
    <t>Brunei</t>
  </si>
  <si>
    <t>Brunei Darussalam</t>
  </si>
  <si>
    <t>BX</t>
  </si>
  <si>
    <t>096</t>
  </si>
  <si>
    <t>BRN</t>
  </si>
  <si>
    <t>Bulgaria</t>
  </si>
  <si>
    <t>BU</t>
  </si>
  <si>
    <t>100</t>
  </si>
  <si>
    <t>BGR</t>
  </si>
  <si>
    <t>Burkina Faso</t>
  </si>
  <si>
    <t>UV</t>
  </si>
  <si>
    <t>854</t>
  </si>
  <si>
    <t>BFA</t>
  </si>
  <si>
    <t>BF</t>
  </si>
  <si>
    <t>108</t>
  </si>
  <si>
    <t>BDI</t>
  </si>
  <si>
    <t>BI</t>
  </si>
  <si>
    <t>Cambodia</t>
  </si>
  <si>
    <t>CB</t>
  </si>
  <si>
    <t>116</t>
  </si>
  <si>
    <t>KHM</t>
  </si>
  <si>
    <t>KH</t>
  </si>
  <si>
    <t>Cameroon</t>
  </si>
  <si>
    <t>CM</t>
  </si>
  <si>
    <t>120</t>
  </si>
  <si>
    <t>CMR</t>
  </si>
  <si>
    <t>Canada</t>
  </si>
  <si>
    <t>CA</t>
  </si>
  <si>
    <t>124</t>
  </si>
  <si>
    <t>CAN</t>
  </si>
  <si>
    <t>Cape Verde</t>
  </si>
  <si>
    <t>CV</t>
  </si>
  <si>
    <t>132</t>
  </si>
  <si>
    <t>CPV</t>
  </si>
  <si>
    <t>Cayman Is.</t>
  </si>
  <si>
    <t>Cayman Islands</t>
  </si>
  <si>
    <t>CJ</t>
  </si>
  <si>
    <t>136</t>
  </si>
  <si>
    <t>CYM</t>
  </si>
  <si>
    <t>KY</t>
  </si>
  <si>
    <t>Central African Republic</t>
  </si>
  <si>
    <t>CT</t>
  </si>
  <si>
    <t>140</t>
  </si>
  <si>
    <t>CAF</t>
  </si>
  <si>
    <t>CF</t>
  </si>
  <si>
    <t>Chad</t>
  </si>
  <si>
    <t>CD</t>
  </si>
  <si>
    <t>148</t>
  </si>
  <si>
    <t>TCD</t>
  </si>
  <si>
    <t>TD</t>
  </si>
  <si>
    <t>Chile</t>
  </si>
  <si>
    <t>CI</t>
  </si>
  <si>
    <t>152</t>
  </si>
  <si>
    <t>CHL</t>
  </si>
  <si>
    <t>CL</t>
  </si>
  <si>
    <t>CH</t>
  </si>
  <si>
    <t>156</t>
  </si>
  <si>
    <t>CN</t>
  </si>
  <si>
    <t>Christmas I.</t>
  </si>
  <si>
    <t>Christmas Island</t>
  </si>
  <si>
    <t>KT</t>
  </si>
  <si>
    <t>162</t>
  </si>
  <si>
    <t>CXR</t>
  </si>
  <si>
    <t>CX</t>
  </si>
  <si>
    <t>Cocos Is.</t>
  </si>
  <si>
    <t>Cocos (Keeling) Islands</t>
  </si>
  <si>
    <t>CK</t>
  </si>
  <si>
    <t>166</t>
  </si>
  <si>
    <t>CCK</t>
  </si>
  <si>
    <t>CC</t>
  </si>
  <si>
    <t>Colombia</t>
  </si>
  <si>
    <t>CO</t>
  </si>
  <si>
    <t>170</t>
  </si>
  <si>
    <t>COL</t>
  </si>
  <si>
    <t>Comoros</t>
  </si>
  <si>
    <t>174</t>
  </si>
  <si>
    <t>COM</t>
  </si>
  <si>
    <t>KM</t>
  </si>
  <si>
    <t>Congo</t>
  </si>
  <si>
    <t>178</t>
  </si>
  <si>
    <t>COG</t>
  </si>
  <si>
    <t>CG</t>
  </si>
  <si>
    <t>Congo, DRC</t>
  </si>
  <si>
    <t>Congo, the Democratic Republic of the</t>
  </si>
  <si>
    <t>180</t>
  </si>
  <si>
    <t>COD</t>
  </si>
  <si>
    <t>Cook Is.</t>
  </si>
  <si>
    <t>Cook Islands</t>
  </si>
  <si>
    <t>CW</t>
  </si>
  <si>
    <t>184</t>
  </si>
  <si>
    <t>COK</t>
  </si>
  <si>
    <t>Costa Rica</t>
  </si>
  <si>
    <t>CS</t>
  </si>
  <si>
    <t>188</t>
  </si>
  <si>
    <t>CRI</t>
  </si>
  <si>
    <t>CR</t>
  </si>
  <si>
    <t>Cote d'Ivory</t>
  </si>
  <si>
    <t>Côte d'Ivoire</t>
  </si>
  <si>
    <t>IV</t>
  </si>
  <si>
    <t>384</t>
  </si>
  <si>
    <t>CIV</t>
  </si>
  <si>
    <t>Croatia</t>
  </si>
  <si>
    <t>HR</t>
  </si>
  <si>
    <t>191</t>
  </si>
  <si>
    <t>HRV</t>
  </si>
  <si>
    <t>Cuba</t>
  </si>
  <si>
    <t>CU</t>
  </si>
  <si>
    <t>192</t>
  </si>
  <si>
    <t>CUB</t>
  </si>
  <si>
    <t>Curaçao</t>
  </si>
  <si>
    <t>UC</t>
  </si>
  <si>
    <t>531</t>
  </si>
  <si>
    <t>CUW</t>
  </si>
  <si>
    <t>Cyprus</t>
  </si>
  <si>
    <t>CY</t>
  </si>
  <si>
    <t>196</t>
  </si>
  <si>
    <t>CYP</t>
  </si>
  <si>
    <t>Czech Republic</t>
  </si>
  <si>
    <t>EZ</t>
  </si>
  <si>
    <t>203</t>
  </si>
  <si>
    <t>CZE</t>
  </si>
  <si>
    <t>CZ</t>
  </si>
  <si>
    <t>Denmark</t>
  </si>
  <si>
    <t>DA</t>
  </si>
  <si>
    <t>208</t>
  </si>
  <si>
    <t>DNK</t>
  </si>
  <si>
    <t>DK</t>
  </si>
  <si>
    <t>Djibouti</t>
  </si>
  <si>
    <t>DJ</t>
  </si>
  <si>
    <t>262</t>
  </si>
  <si>
    <t>DJI</t>
  </si>
  <si>
    <t>Dominica</t>
  </si>
  <si>
    <t>DO</t>
  </si>
  <si>
    <t>212</t>
  </si>
  <si>
    <t>DMA</t>
  </si>
  <si>
    <t>DM</t>
  </si>
  <si>
    <t>Dominican Republic</t>
  </si>
  <si>
    <t>DR</t>
  </si>
  <si>
    <t>214</t>
  </si>
  <si>
    <t>DOM</t>
  </si>
  <si>
    <t>Ecuador</t>
  </si>
  <si>
    <t>EC</t>
  </si>
  <si>
    <t>218</t>
  </si>
  <si>
    <t>ECU</t>
  </si>
  <si>
    <t>Egypt</t>
  </si>
  <si>
    <t>EG</t>
  </si>
  <si>
    <t>818</t>
  </si>
  <si>
    <t>EGY</t>
  </si>
  <si>
    <t>El Salvador</t>
  </si>
  <si>
    <t>ES</t>
  </si>
  <si>
    <t>222</t>
  </si>
  <si>
    <t>SLV</t>
  </si>
  <si>
    <t>SV</t>
  </si>
  <si>
    <t>Equatorial Guinea</t>
  </si>
  <si>
    <t>EK</t>
  </si>
  <si>
    <t>226</t>
  </si>
  <si>
    <t>GNQ</t>
  </si>
  <si>
    <t>GQ</t>
  </si>
  <si>
    <t>Eritrea</t>
  </si>
  <si>
    <t>ER</t>
  </si>
  <si>
    <t>232</t>
  </si>
  <si>
    <t>ERI</t>
  </si>
  <si>
    <t>Estonia</t>
  </si>
  <si>
    <t>EN</t>
  </si>
  <si>
    <t>233</t>
  </si>
  <si>
    <t>EST</t>
  </si>
  <si>
    <t>EE</t>
  </si>
  <si>
    <t>Ethiopia</t>
  </si>
  <si>
    <t>ET</t>
  </si>
  <si>
    <t>231</t>
  </si>
  <si>
    <t>ETH</t>
  </si>
  <si>
    <t>Falkland Is.</t>
  </si>
  <si>
    <t>Falkland Islands (Malvinas)</t>
  </si>
  <si>
    <t>FK</t>
  </si>
  <si>
    <t>238</t>
  </si>
  <si>
    <t>FLK</t>
  </si>
  <si>
    <t>Faroe Is.</t>
  </si>
  <si>
    <t>Faroe Islands</t>
  </si>
  <si>
    <t>FO</t>
  </si>
  <si>
    <t>234</t>
  </si>
  <si>
    <t>FRO</t>
  </si>
  <si>
    <t>Fiji</t>
  </si>
  <si>
    <t>FJ</t>
  </si>
  <si>
    <t>242</t>
  </si>
  <si>
    <t>FJI</t>
  </si>
  <si>
    <t>Finland</t>
  </si>
  <si>
    <t>FI</t>
  </si>
  <si>
    <t>246</t>
  </si>
  <si>
    <t>FIN</t>
  </si>
  <si>
    <t>France</t>
  </si>
  <si>
    <t>FR</t>
  </si>
  <si>
    <t>250</t>
  </si>
  <si>
    <t>FRA</t>
  </si>
  <si>
    <t>French Guiana</t>
  </si>
  <si>
    <t>FG</t>
  </si>
  <si>
    <t>254</t>
  </si>
  <si>
    <t>GUF</t>
  </si>
  <si>
    <t>GF</t>
  </si>
  <si>
    <t>French Polynesia</t>
  </si>
  <si>
    <t>FP</t>
  </si>
  <si>
    <t>258</t>
  </si>
  <si>
    <t>PYF</t>
  </si>
  <si>
    <t>PF</t>
  </si>
  <si>
    <t>French Southern &amp; Antarctic Lands</t>
  </si>
  <si>
    <t>French Southern Territories</t>
  </si>
  <si>
    <t>FS</t>
  </si>
  <si>
    <t>260</t>
  </si>
  <si>
    <t>ATF</t>
  </si>
  <si>
    <t>TF</t>
  </si>
  <si>
    <t>Known both as 'French Southern &amp; Antarctic Lands' and 'French Southern Territories'</t>
  </si>
  <si>
    <t>Gabon</t>
  </si>
  <si>
    <t>GB</t>
  </si>
  <si>
    <t>266</t>
  </si>
  <si>
    <t>GAB</t>
  </si>
  <si>
    <t>GA</t>
  </si>
  <si>
    <t>Gambia</t>
  </si>
  <si>
    <t>270</t>
  </si>
  <si>
    <t>GMB</t>
  </si>
  <si>
    <t>GM</t>
  </si>
  <si>
    <t>Gambia, The</t>
  </si>
  <si>
    <t>Gaza Strip</t>
  </si>
  <si>
    <t>Palestinian Territory, Occupied; </t>
  </si>
  <si>
    <t>GZ</t>
  </si>
  <si>
    <t>274</t>
  </si>
  <si>
    <t>PS-GZA</t>
  </si>
  <si>
    <t>Georgia</t>
  </si>
  <si>
    <t>GG</t>
  </si>
  <si>
    <t>268</t>
  </si>
  <si>
    <t>GEO</t>
  </si>
  <si>
    <t>GE</t>
  </si>
  <si>
    <t>Germany</t>
  </si>
  <si>
    <t>276</t>
  </si>
  <si>
    <t>DEU</t>
  </si>
  <si>
    <t>DE</t>
  </si>
  <si>
    <t>Ghana</t>
  </si>
  <si>
    <t>GH</t>
  </si>
  <si>
    <t>288</t>
  </si>
  <si>
    <t>GHA</t>
  </si>
  <si>
    <t>Gibraltar</t>
  </si>
  <si>
    <t>GI</t>
  </si>
  <si>
    <t>292</t>
  </si>
  <si>
    <t>GIB</t>
  </si>
  <si>
    <t>Glorioso Is.</t>
  </si>
  <si>
    <t>Glorioso Islands</t>
  </si>
  <si>
    <t>GO</t>
  </si>
  <si>
    <t>Part of French Southern Territories</t>
  </si>
  <si>
    <t>Greece</t>
  </si>
  <si>
    <t>GR</t>
  </si>
  <si>
    <t>300</t>
  </si>
  <si>
    <t>GRC</t>
  </si>
  <si>
    <t>Greenland</t>
  </si>
  <si>
    <t>GL</t>
  </si>
  <si>
    <t>304</t>
  </si>
  <si>
    <t>GRL</t>
  </si>
  <si>
    <t>Grenada</t>
  </si>
  <si>
    <t>GJ</t>
  </si>
  <si>
    <t>308</t>
  </si>
  <si>
    <t>GRD</t>
  </si>
  <si>
    <t>GD</t>
  </si>
  <si>
    <t>Guadeloupe</t>
  </si>
  <si>
    <t>GP</t>
  </si>
  <si>
    <t>312</t>
  </si>
  <si>
    <t>GLP</t>
  </si>
  <si>
    <t>Guam</t>
  </si>
  <si>
    <t>316</t>
  </si>
  <si>
    <t>GUM</t>
  </si>
  <si>
    <t>GU</t>
  </si>
  <si>
    <t>Guatemala</t>
  </si>
  <si>
    <t>GT</t>
  </si>
  <si>
    <t>320</t>
  </si>
  <si>
    <t>GTM</t>
  </si>
  <si>
    <t>Guernsey</t>
  </si>
  <si>
    <t>GK</t>
  </si>
  <si>
    <t>831</t>
  </si>
  <si>
    <t>GGY</t>
  </si>
  <si>
    <t>Guinea</t>
  </si>
  <si>
    <t>GV</t>
  </si>
  <si>
    <t>324</t>
  </si>
  <si>
    <t>GIN</t>
  </si>
  <si>
    <t>GN</t>
  </si>
  <si>
    <t>Guinea-Bissau</t>
  </si>
  <si>
    <t>PU</t>
  </si>
  <si>
    <t>624</t>
  </si>
  <si>
    <t>GNB</t>
  </si>
  <si>
    <t>GW</t>
  </si>
  <si>
    <t>Guyana</t>
  </si>
  <si>
    <t>GY</t>
  </si>
  <si>
    <t>328</t>
  </si>
  <si>
    <t>GUY</t>
  </si>
  <si>
    <t>Haiti</t>
  </si>
  <si>
    <t>HA</t>
  </si>
  <si>
    <t>332</t>
  </si>
  <si>
    <t>HTI</t>
  </si>
  <si>
    <t>HT</t>
  </si>
  <si>
    <t>Heard I. &amp; McDonald Is.</t>
  </si>
  <si>
    <t>Heard Island and McDonald Islands</t>
  </si>
  <si>
    <t>HM</t>
  </si>
  <si>
    <t>334</t>
  </si>
  <si>
    <t>HMD</t>
  </si>
  <si>
    <t>Honduras</t>
  </si>
  <si>
    <t>HO</t>
  </si>
  <si>
    <t>340</t>
  </si>
  <si>
    <t>HND</t>
  </si>
  <si>
    <t>HN</t>
  </si>
  <si>
    <t>Howland I.</t>
  </si>
  <si>
    <t>Howland Island</t>
  </si>
  <si>
    <t>HQ</t>
  </si>
  <si>
    <t>UM-84</t>
  </si>
  <si>
    <t>Hungary</t>
  </si>
  <si>
    <t>HU</t>
  </si>
  <si>
    <t>348</t>
  </si>
  <si>
    <t>HUN</t>
  </si>
  <si>
    <t>Iceland</t>
  </si>
  <si>
    <t>IC</t>
  </si>
  <si>
    <t>352</t>
  </si>
  <si>
    <t>ISL</t>
  </si>
  <si>
    <t>IS</t>
  </si>
  <si>
    <t>IN</t>
  </si>
  <si>
    <t>356</t>
  </si>
  <si>
    <t>Indonesia</t>
  </si>
  <si>
    <t>Republic of Indonesia</t>
  </si>
  <si>
    <t>ID</t>
  </si>
  <si>
    <t>360</t>
  </si>
  <si>
    <t>IDN</t>
  </si>
  <si>
    <t>Iran</t>
  </si>
  <si>
    <t>Iran, Islamic Republic of</t>
  </si>
  <si>
    <t>IR</t>
  </si>
  <si>
    <t>364</t>
  </si>
  <si>
    <t>IRN</t>
  </si>
  <si>
    <t>Iraq</t>
  </si>
  <si>
    <t>IZ</t>
  </si>
  <si>
    <t>368</t>
  </si>
  <si>
    <t>IRQ</t>
  </si>
  <si>
    <t>IQ</t>
  </si>
  <si>
    <t>Ireland</t>
  </si>
  <si>
    <t>EI</t>
  </si>
  <si>
    <t>372</t>
  </si>
  <si>
    <t>IRL</t>
  </si>
  <si>
    <t>IE</t>
  </si>
  <si>
    <t>Isle of Man</t>
  </si>
  <si>
    <t>IM</t>
  </si>
  <si>
    <t>833</t>
  </si>
  <si>
    <t>IMN</t>
  </si>
  <si>
    <t>Israel</t>
  </si>
  <si>
    <t>376</t>
  </si>
  <si>
    <t>ISR</t>
  </si>
  <si>
    <t>IL</t>
  </si>
  <si>
    <t>Italy</t>
  </si>
  <si>
    <t>IT</t>
  </si>
  <si>
    <t>380</t>
  </si>
  <si>
    <t>Jamaica</t>
  </si>
  <si>
    <t>JM</t>
  </si>
  <si>
    <t>388</t>
  </si>
  <si>
    <t>JAM</t>
  </si>
  <si>
    <t>Jan Mayen</t>
  </si>
  <si>
    <t>JU</t>
  </si>
  <si>
    <t>744</t>
  </si>
  <si>
    <t>SJM</t>
  </si>
  <si>
    <t>SJ</t>
  </si>
  <si>
    <t>In ISO, Jan Mayen is grouped with Svalbard.</t>
  </si>
  <si>
    <t>Japan</t>
  </si>
  <si>
    <t>JA</t>
  </si>
  <si>
    <t>392</t>
  </si>
  <si>
    <t>JPN</t>
  </si>
  <si>
    <t>JP</t>
  </si>
  <si>
    <t>Jarvis I.</t>
  </si>
  <si>
    <t>Jarvis Island</t>
  </si>
  <si>
    <t>DQ</t>
  </si>
  <si>
    <t>UM-86</t>
  </si>
  <si>
    <t>Jersey</t>
  </si>
  <si>
    <t>JE</t>
  </si>
  <si>
    <t>832</t>
  </si>
  <si>
    <t>JEY</t>
  </si>
  <si>
    <t>Johnston Atoll</t>
  </si>
  <si>
    <t>Johnston Island</t>
  </si>
  <si>
    <t>JQ</t>
  </si>
  <si>
    <t>396</t>
  </si>
  <si>
    <t>UM-67</t>
  </si>
  <si>
    <t>Jordan</t>
  </si>
  <si>
    <t>JO</t>
  </si>
  <si>
    <t>400</t>
  </si>
  <si>
    <t>JOR</t>
  </si>
  <si>
    <t>Juan De Nova I.</t>
  </si>
  <si>
    <t>Kazakhstan</t>
  </si>
  <si>
    <t>KZ</t>
  </si>
  <si>
    <t>398</t>
  </si>
  <si>
    <t>KAZ</t>
  </si>
  <si>
    <t>KE</t>
  </si>
  <si>
    <t>404</t>
  </si>
  <si>
    <t>KEN</t>
  </si>
  <si>
    <t>Kingman Reef</t>
  </si>
  <si>
    <t>KQ</t>
  </si>
  <si>
    <t>UM-89</t>
  </si>
  <si>
    <t>Kiribati</t>
  </si>
  <si>
    <t>KR</t>
  </si>
  <si>
    <t>296</t>
  </si>
  <si>
    <t>KIR</t>
  </si>
  <si>
    <t>KI</t>
  </si>
  <si>
    <t>Korea, North</t>
  </si>
  <si>
    <t>Korea, Democratic People's Republic of</t>
  </si>
  <si>
    <t>KN</t>
  </si>
  <si>
    <t>408</t>
  </si>
  <si>
    <t>PRK</t>
  </si>
  <si>
    <t>KP</t>
  </si>
  <si>
    <t>Korea, South</t>
  </si>
  <si>
    <t>Korea, Republic of</t>
  </si>
  <si>
    <t>KS</t>
  </si>
  <si>
    <t>410</t>
  </si>
  <si>
    <t>KOR</t>
  </si>
  <si>
    <t>Kuwait</t>
  </si>
  <si>
    <t>KU</t>
  </si>
  <si>
    <t>414</t>
  </si>
  <si>
    <t>KWT</t>
  </si>
  <si>
    <t>KW</t>
  </si>
  <si>
    <t>KG</t>
  </si>
  <si>
    <t>417</t>
  </si>
  <si>
    <t>KGZ</t>
  </si>
  <si>
    <t>Laos</t>
  </si>
  <si>
    <t>Lao People's Democratic Republic</t>
  </si>
  <si>
    <t>LA</t>
  </si>
  <si>
    <t>418</t>
  </si>
  <si>
    <t>LAO</t>
  </si>
  <si>
    <t>Latvia</t>
  </si>
  <si>
    <t>LG</t>
  </si>
  <si>
    <t>428</t>
  </si>
  <si>
    <t>LVA</t>
  </si>
  <si>
    <t>LV</t>
  </si>
  <si>
    <t>Lebanon</t>
  </si>
  <si>
    <t>LE</t>
  </si>
  <si>
    <t>422</t>
  </si>
  <si>
    <t>LBN</t>
  </si>
  <si>
    <t>LB</t>
  </si>
  <si>
    <t>Lesotho</t>
  </si>
  <si>
    <t>LT</t>
  </si>
  <si>
    <t>426</t>
  </si>
  <si>
    <t>LSO</t>
  </si>
  <si>
    <t>LS</t>
  </si>
  <si>
    <t>LI</t>
  </si>
  <si>
    <t>430</t>
  </si>
  <si>
    <t>LR</t>
  </si>
  <si>
    <t>Libya</t>
  </si>
  <si>
    <t>Libyan Arab Jamahiriya</t>
  </si>
  <si>
    <t>LY</t>
  </si>
  <si>
    <t>434</t>
  </si>
  <si>
    <t>LBY</t>
  </si>
  <si>
    <t>Liechtenstein</t>
  </si>
  <si>
    <t>438</t>
  </si>
  <si>
    <t>LIE</t>
  </si>
  <si>
    <t>Lithuania</t>
  </si>
  <si>
    <t>LH</t>
  </si>
  <si>
    <t>440</t>
  </si>
  <si>
    <t>LTU</t>
  </si>
  <si>
    <t>Luxembourg</t>
  </si>
  <si>
    <t>LU</t>
  </si>
  <si>
    <t>442</t>
  </si>
  <si>
    <t>LUX</t>
  </si>
  <si>
    <t>Macao</t>
  </si>
  <si>
    <t>MC</t>
  </si>
  <si>
    <t>446</t>
  </si>
  <si>
    <t>MAC</t>
  </si>
  <si>
    <t>MO</t>
  </si>
  <si>
    <t>Macedonia</t>
  </si>
  <si>
    <t>Macedonia, the former Yugoslav Republic of</t>
  </si>
  <si>
    <t>MK</t>
  </si>
  <si>
    <t>807</t>
  </si>
  <si>
    <t>MKD</t>
  </si>
  <si>
    <t>Madagascar</t>
  </si>
  <si>
    <t>450</t>
  </si>
  <si>
    <t>MDG</t>
  </si>
  <si>
    <t>MG</t>
  </si>
  <si>
    <t>Malawi</t>
  </si>
  <si>
    <t>MI</t>
  </si>
  <si>
    <t>454</t>
  </si>
  <si>
    <t>MWI</t>
  </si>
  <si>
    <t>MW</t>
  </si>
  <si>
    <t>MY</t>
  </si>
  <si>
    <t>458</t>
  </si>
  <si>
    <t>Maldives</t>
  </si>
  <si>
    <t>MV</t>
  </si>
  <si>
    <t>462</t>
  </si>
  <si>
    <t>MDV</t>
  </si>
  <si>
    <t>Mali</t>
  </si>
  <si>
    <t>ML</t>
  </si>
  <si>
    <t>466</t>
  </si>
  <si>
    <t>MLI</t>
  </si>
  <si>
    <t>Malta</t>
  </si>
  <si>
    <t>MT</t>
  </si>
  <si>
    <t>470</t>
  </si>
  <si>
    <t>MLT</t>
  </si>
  <si>
    <t>Marshall Is.</t>
  </si>
  <si>
    <t>Marshall Islands</t>
  </si>
  <si>
    <t>RM</t>
  </si>
  <si>
    <t>584</t>
  </si>
  <si>
    <t>MHL</t>
  </si>
  <si>
    <t>MH</t>
  </si>
  <si>
    <t>Martinique</t>
  </si>
  <si>
    <t>MB</t>
  </si>
  <si>
    <t>474</t>
  </si>
  <si>
    <t>MTQ</t>
  </si>
  <si>
    <t>MQ</t>
  </si>
  <si>
    <t>MR</t>
  </si>
  <si>
    <t>478</t>
  </si>
  <si>
    <t>MRT</t>
  </si>
  <si>
    <t>Mauritius</t>
  </si>
  <si>
    <t>MP</t>
  </si>
  <si>
    <t>480</t>
  </si>
  <si>
    <t>MU</t>
  </si>
  <si>
    <t>Mayotte</t>
  </si>
  <si>
    <t>MF</t>
  </si>
  <si>
    <t>175</t>
  </si>
  <si>
    <t>MYT</t>
  </si>
  <si>
    <t>YT</t>
  </si>
  <si>
    <t>Mexico</t>
  </si>
  <si>
    <t>MX</t>
  </si>
  <si>
    <t>484</t>
  </si>
  <si>
    <t>MEX</t>
  </si>
  <si>
    <t>Micronesia</t>
  </si>
  <si>
    <t>Micronesia, Federated States of</t>
  </si>
  <si>
    <t>FM</t>
  </si>
  <si>
    <t>583</t>
  </si>
  <si>
    <t>FSM</t>
  </si>
  <si>
    <t>Midway Is.</t>
  </si>
  <si>
    <t>Midway Islands</t>
  </si>
  <si>
    <t>488</t>
  </si>
  <si>
    <t>UM-71</t>
  </si>
  <si>
    <t>Moldova</t>
  </si>
  <si>
    <t>Moldova, Republic of</t>
  </si>
  <si>
    <t>MD</t>
  </si>
  <si>
    <t>498</t>
  </si>
  <si>
    <t>MDA</t>
  </si>
  <si>
    <t>Monaco</t>
  </si>
  <si>
    <t>MN</t>
  </si>
  <si>
    <t>492</t>
  </si>
  <si>
    <t>MCO</t>
  </si>
  <si>
    <t>Mongolia</t>
  </si>
  <si>
    <t>496</t>
  </si>
  <si>
    <t>MNG</t>
  </si>
  <si>
    <t>Montenegro</t>
  </si>
  <si>
    <t>MJ</t>
  </si>
  <si>
    <t>499</t>
  </si>
  <si>
    <t>MNE</t>
  </si>
  <si>
    <t>ME</t>
  </si>
  <si>
    <t>Montserrat</t>
  </si>
  <si>
    <t>500</t>
  </si>
  <si>
    <t>MSR</t>
  </si>
  <si>
    <t>MS</t>
  </si>
  <si>
    <t>Morocco</t>
  </si>
  <si>
    <t>504</t>
  </si>
  <si>
    <t>MAR</t>
  </si>
  <si>
    <t>Mozambique</t>
  </si>
  <si>
    <t>MZ</t>
  </si>
  <si>
    <t>508</t>
  </si>
  <si>
    <t>MOZ</t>
  </si>
  <si>
    <t>Myanmar</t>
  </si>
  <si>
    <t>104</t>
  </si>
  <si>
    <t>MMR</t>
  </si>
  <si>
    <t>MM</t>
  </si>
  <si>
    <t>FIPS uses the name Burma instead of Myanmar.</t>
  </si>
  <si>
    <t>Namibia</t>
  </si>
  <si>
    <t>WA</t>
  </si>
  <si>
    <t>516</t>
  </si>
  <si>
    <t>NAM</t>
  </si>
  <si>
    <t>NA</t>
  </si>
  <si>
    <t>Nauru</t>
  </si>
  <si>
    <t>NR</t>
  </si>
  <si>
    <t>520</t>
  </si>
  <si>
    <t>NRU</t>
  </si>
  <si>
    <t>Navassa Island</t>
  </si>
  <si>
    <t>UM-76</t>
  </si>
  <si>
    <t>NP</t>
  </si>
  <si>
    <t>524</t>
  </si>
  <si>
    <t>Netherlands</t>
  </si>
  <si>
    <t>NL</t>
  </si>
  <si>
    <t>528</t>
  </si>
  <si>
    <t>NLD</t>
  </si>
  <si>
    <t>Netherlands Antilles - DEFUNCT</t>
  </si>
  <si>
    <t>Netherlands Antilles</t>
  </si>
  <si>
    <t>NT</t>
  </si>
  <si>
    <t>530</t>
  </si>
  <si>
    <t>ANT</t>
  </si>
  <si>
    <t>Divided ownership: Curaçao and Sint Maarten (Dutch) and three territories belonging to Holland</t>
  </si>
  <si>
    <t>New Caledonia</t>
  </si>
  <si>
    <t>NC</t>
  </si>
  <si>
    <t>540</t>
  </si>
  <si>
    <t>NCL</t>
  </si>
  <si>
    <t>New Zealand</t>
  </si>
  <si>
    <t>NZ</t>
  </si>
  <si>
    <t>554</t>
  </si>
  <si>
    <t>NZL</t>
  </si>
  <si>
    <t>Nicaragua</t>
  </si>
  <si>
    <t>NU</t>
  </si>
  <si>
    <t>558</t>
  </si>
  <si>
    <t>NIC</t>
  </si>
  <si>
    <t>NI</t>
  </si>
  <si>
    <t>Niger</t>
  </si>
  <si>
    <t>NG</t>
  </si>
  <si>
    <t>562</t>
  </si>
  <si>
    <t>NER</t>
  </si>
  <si>
    <t>NE</t>
  </si>
  <si>
    <t>Nigeria</t>
  </si>
  <si>
    <t>566</t>
  </si>
  <si>
    <t>Niue</t>
  </si>
  <si>
    <t>570</t>
  </si>
  <si>
    <t>NIU</t>
  </si>
  <si>
    <t>Norfolk I.</t>
  </si>
  <si>
    <t>Norfolk Island</t>
  </si>
  <si>
    <t>NF</t>
  </si>
  <si>
    <t>574</t>
  </si>
  <si>
    <t>NFK</t>
  </si>
  <si>
    <t>Northern Mariana Is.</t>
  </si>
  <si>
    <t>Northern Mariana Islands</t>
  </si>
  <si>
    <t>CQ</t>
  </si>
  <si>
    <t>580</t>
  </si>
  <si>
    <t>MNP</t>
  </si>
  <si>
    <t>Norway</t>
  </si>
  <si>
    <t>NO</t>
  </si>
  <si>
    <t>578</t>
  </si>
  <si>
    <t>NOR</t>
  </si>
  <si>
    <t>Oman</t>
  </si>
  <si>
    <t>512</t>
  </si>
  <si>
    <t>OMN</t>
  </si>
  <si>
    <t>OM</t>
  </si>
  <si>
    <t>PK</t>
  </si>
  <si>
    <t>586</t>
  </si>
  <si>
    <t>Palau</t>
  </si>
  <si>
    <t>PS</t>
  </si>
  <si>
    <t>585</t>
  </si>
  <si>
    <t>PLW</t>
  </si>
  <si>
    <t>PW</t>
  </si>
  <si>
    <t>Palestine, State of</t>
  </si>
  <si>
    <t>275</t>
  </si>
  <si>
    <t>PSE</t>
  </si>
  <si>
    <t>'Palestine, Occupied Territories' replaced in ISO index as 'Palestine, State Of'; it has no FIPS (probably because the US doesn't recognize the Palestinian state)</t>
  </si>
  <si>
    <t>Palmyra Atoll</t>
  </si>
  <si>
    <t>LQ</t>
  </si>
  <si>
    <t>UM-95</t>
  </si>
  <si>
    <t>Panama</t>
  </si>
  <si>
    <t>PM</t>
  </si>
  <si>
    <t>591</t>
  </si>
  <si>
    <t>PAN</t>
  </si>
  <si>
    <t>PA</t>
  </si>
  <si>
    <t>Papua New Guinea</t>
  </si>
  <si>
    <t>PP</t>
  </si>
  <si>
    <t>598</t>
  </si>
  <si>
    <t>PNG</t>
  </si>
  <si>
    <t>PG</t>
  </si>
  <si>
    <t>Paracel Is.</t>
  </si>
  <si>
    <t>Paracel Islands</t>
  </si>
  <si>
    <t>Paraguay</t>
  </si>
  <si>
    <t>600</t>
  </si>
  <si>
    <t>PRY</t>
  </si>
  <si>
    <t>PY</t>
  </si>
  <si>
    <t>Peru</t>
  </si>
  <si>
    <t>PE</t>
  </si>
  <si>
    <t>604</t>
  </si>
  <si>
    <t>PER</t>
  </si>
  <si>
    <t>Republic of the Philippines</t>
  </si>
  <si>
    <t>RP</t>
  </si>
  <si>
    <t>608</t>
  </si>
  <si>
    <t>PH</t>
  </si>
  <si>
    <t>Pitcairn Is.</t>
  </si>
  <si>
    <t>Pitcairn</t>
  </si>
  <si>
    <t>PC</t>
  </si>
  <si>
    <t>612</t>
  </si>
  <si>
    <t>PCN</t>
  </si>
  <si>
    <t>PN</t>
  </si>
  <si>
    <t>Poland</t>
  </si>
  <si>
    <t>PL</t>
  </si>
  <si>
    <t>616</t>
  </si>
  <si>
    <t>POL</t>
  </si>
  <si>
    <t>Portugal</t>
  </si>
  <si>
    <t>PO</t>
  </si>
  <si>
    <t>620</t>
  </si>
  <si>
    <t>PRT</t>
  </si>
  <si>
    <t>PT</t>
  </si>
  <si>
    <t>Puerto Rico</t>
  </si>
  <si>
    <t>RQ</t>
  </si>
  <si>
    <t>630</t>
  </si>
  <si>
    <t>PRI</t>
  </si>
  <si>
    <t>PR</t>
  </si>
  <si>
    <t>Qatar</t>
  </si>
  <si>
    <t>QA</t>
  </si>
  <si>
    <t>634</t>
  </si>
  <si>
    <t>QAT</t>
  </si>
  <si>
    <t>Réunion</t>
  </si>
  <si>
    <t>RE</t>
  </si>
  <si>
    <t>638</t>
  </si>
  <si>
    <t>REU</t>
  </si>
  <si>
    <t>RO</t>
  </si>
  <si>
    <t>642</t>
  </si>
  <si>
    <t>Russia</t>
  </si>
  <si>
    <t>Russian Federation</t>
  </si>
  <si>
    <t>RS</t>
  </si>
  <si>
    <t>643</t>
  </si>
  <si>
    <t>RUS</t>
  </si>
  <si>
    <t>RU</t>
  </si>
  <si>
    <t>RW</t>
  </si>
  <si>
    <t>646</t>
  </si>
  <si>
    <t>RWA</t>
  </si>
  <si>
    <t>Saint Barthélemy</t>
  </si>
  <si>
    <t>TB</t>
  </si>
  <si>
    <t>652</t>
  </si>
  <si>
    <t>BLM</t>
  </si>
  <si>
    <t>Saint Martin (French part)</t>
  </si>
  <si>
    <t>RN</t>
  </si>
  <si>
    <t>663</t>
  </si>
  <si>
    <t>MAF</t>
  </si>
  <si>
    <t>Samoa</t>
  </si>
  <si>
    <t>WS</t>
  </si>
  <si>
    <t>882</t>
  </si>
  <si>
    <t>WSM</t>
  </si>
  <si>
    <t>San Marino</t>
  </si>
  <si>
    <t>SM</t>
  </si>
  <si>
    <t>674</t>
  </si>
  <si>
    <t>SMR</t>
  </si>
  <si>
    <t>Sao Tome &amp; Principe</t>
  </si>
  <si>
    <t>Sao Tome and Principe</t>
  </si>
  <si>
    <t>TP</t>
  </si>
  <si>
    <t>678</t>
  </si>
  <si>
    <t>STP</t>
  </si>
  <si>
    <t>ST</t>
  </si>
  <si>
    <t>Saudi Arabia</t>
  </si>
  <si>
    <t>SA</t>
  </si>
  <si>
    <t>682</t>
  </si>
  <si>
    <t>SAU</t>
  </si>
  <si>
    <t>Senegal</t>
  </si>
  <si>
    <t>SG</t>
  </si>
  <si>
    <t>686</t>
  </si>
  <si>
    <t>SEN</t>
  </si>
  <si>
    <t>SN</t>
  </si>
  <si>
    <t>Serbia</t>
  </si>
  <si>
    <t>SR</t>
  </si>
  <si>
    <t>688</t>
  </si>
  <si>
    <t>SRB</t>
  </si>
  <si>
    <t>Seychelles</t>
  </si>
  <si>
    <t>SE</t>
  </si>
  <si>
    <t>690</t>
  </si>
  <si>
    <t>SYC</t>
  </si>
  <si>
    <t>SC</t>
  </si>
  <si>
    <t>Sierra Leone</t>
  </si>
  <si>
    <t>SL</t>
  </si>
  <si>
    <t>694</t>
  </si>
  <si>
    <t>SLE</t>
  </si>
  <si>
    <t>Singapore</t>
  </si>
  <si>
    <t>702</t>
  </si>
  <si>
    <t>SGP</t>
  </si>
  <si>
    <t>Sint Maarten (Dutch part)</t>
  </si>
  <si>
    <t>NN</t>
  </si>
  <si>
    <t>534</t>
  </si>
  <si>
    <t>SXM</t>
  </si>
  <si>
    <t>SX</t>
  </si>
  <si>
    <t>Slovakia</t>
  </si>
  <si>
    <t>LO</t>
  </si>
  <si>
    <t>703</t>
  </si>
  <si>
    <t>SVK</t>
  </si>
  <si>
    <t>SK</t>
  </si>
  <si>
    <t>Slovenia</t>
  </si>
  <si>
    <t>SI</t>
  </si>
  <si>
    <t>705</t>
  </si>
  <si>
    <t>SVN</t>
  </si>
  <si>
    <t>Solomon Is.</t>
  </si>
  <si>
    <t>Solomon Islands</t>
  </si>
  <si>
    <t>BP</t>
  </si>
  <si>
    <t>90</t>
  </si>
  <si>
    <t>SLB</t>
  </si>
  <si>
    <t>SB</t>
  </si>
  <si>
    <t>SO</t>
  </si>
  <si>
    <t>706</t>
  </si>
  <si>
    <t>South Africa</t>
  </si>
  <si>
    <t>SF</t>
  </si>
  <si>
    <t>710</t>
  </si>
  <si>
    <t>ZAF</t>
  </si>
  <si>
    <t>ZA</t>
  </si>
  <si>
    <t>South Georgia &amp; the South Sandwich Is.</t>
  </si>
  <si>
    <t>South Georgia and the South Sandwich Islands</t>
  </si>
  <si>
    <t>239</t>
  </si>
  <si>
    <t>SGS</t>
  </si>
  <si>
    <t>GS</t>
  </si>
  <si>
    <t>South Sudan</t>
  </si>
  <si>
    <t>OD</t>
  </si>
  <si>
    <t>728</t>
  </si>
  <si>
    <t>SSD</t>
  </si>
  <si>
    <t>SS</t>
  </si>
  <si>
    <t>Spain</t>
  </si>
  <si>
    <t>SP</t>
  </si>
  <si>
    <t>724</t>
  </si>
  <si>
    <t>ESP</t>
  </si>
  <si>
    <t>Spratly Is.</t>
  </si>
  <si>
    <t>XS</t>
  </si>
  <si>
    <t>CE</t>
  </si>
  <si>
    <t>144</t>
  </si>
  <si>
    <t>LKA</t>
  </si>
  <si>
    <t>LK</t>
  </si>
  <si>
    <t>St. Helena</t>
  </si>
  <si>
    <t>Saint Helena, Ascension and Tristan da Cunha</t>
  </si>
  <si>
    <t>SH</t>
  </si>
  <si>
    <t>654</t>
  </si>
  <si>
    <t>SHN</t>
  </si>
  <si>
    <t>St. Kitts &amp; Nevis</t>
  </si>
  <si>
    <t>Saint Kitts and Nevis</t>
  </si>
  <si>
    <t>659</t>
  </si>
  <si>
    <t>KNA</t>
  </si>
  <si>
    <t>St. Lucia</t>
  </si>
  <si>
    <t>Saint Lucia</t>
  </si>
  <si>
    <t>662</t>
  </si>
  <si>
    <t>LCA</t>
  </si>
  <si>
    <t>LC</t>
  </si>
  <si>
    <t>St. Pierre &amp; Miquelon</t>
  </si>
  <si>
    <t>Saint Pierre and Miquelon</t>
  </si>
  <si>
    <t>666</t>
  </si>
  <si>
    <t>SPM</t>
  </si>
  <si>
    <t>St. Vincent &amp; the Grenadines</t>
  </si>
  <si>
    <t>Saint Vincent and the Grenadines</t>
  </si>
  <si>
    <t>VC</t>
  </si>
  <si>
    <t>670</t>
  </si>
  <si>
    <t>VCT</t>
  </si>
  <si>
    <t>Sudan</t>
  </si>
  <si>
    <t>SU</t>
  </si>
  <si>
    <t>729</t>
  </si>
  <si>
    <t>SDN</t>
  </si>
  <si>
    <t>SD</t>
  </si>
  <si>
    <t>Suriname</t>
  </si>
  <si>
    <t>NS</t>
  </si>
  <si>
    <t>740</t>
  </si>
  <si>
    <t>SUR</t>
  </si>
  <si>
    <t>Svalbard</t>
  </si>
  <si>
    <t>Svalbard and Jan Mayen</t>
  </si>
  <si>
    <t>In ISO, Svalbard is grouped with Jan Mayen.</t>
  </si>
  <si>
    <t>Swaziland</t>
  </si>
  <si>
    <t>WZ</t>
  </si>
  <si>
    <t>748</t>
  </si>
  <si>
    <t>SWZ</t>
  </si>
  <si>
    <t>SZ</t>
  </si>
  <si>
    <t>Sweden</t>
  </si>
  <si>
    <t>SW</t>
  </si>
  <si>
    <t>752</t>
  </si>
  <si>
    <t>SWE</t>
  </si>
  <si>
    <t>Switzerland</t>
  </si>
  <si>
    <t>756</t>
  </si>
  <si>
    <t>CHE</t>
  </si>
  <si>
    <t>SY</t>
  </si>
  <si>
    <t>760</t>
  </si>
  <si>
    <t>Taiwan</t>
  </si>
  <si>
    <t>Taiwan, Province of China</t>
  </si>
  <si>
    <t>TW</t>
  </si>
  <si>
    <t>158</t>
  </si>
  <si>
    <t>TWN</t>
  </si>
  <si>
    <t>TI</t>
  </si>
  <si>
    <t>762</t>
  </si>
  <si>
    <t>TJK</t>
  </si>
  <si>
    <t>TJ</t>
  </si>
  <si>
    <t>Tanzania</t>
  </si>
  <si>
    <t>Tanzania, United Republic of</t>
  </si>
  <si>
    <t>TZ</t>
  </si>
  <si>
    <t>834</t>
  </si>
  <si>
    <t>TZA</t>
  </si>
  <si>
    <t>TH</t>
  </si>
  <si>
    <t>764</t>
  </si>
  <si>
    <t>THA</t>
  </si>
  <si>
    <t>The Bahamas</t>
  </si>
  <si>
    <t>Bahamas</t>
  </si>
  <si>
    <t>044</t>
  </si>
  <si>
    <t>BHS</t>
  </si>
  <si>
    <t>BS</t>
  </si>
  <si>
    <t>Timor, East </t>
  </si>
  <si>
    <t>Timor-Leste</t>
  </si>
  <si>
    <t>TT</t>
  </si>
  <si>
    <t>626</t>
  </si>
  <si>
    <t>TLS</t>
  </si>
  <si>
    <t>TL</t>
  </si>
  <si>
    <t>Togo</t>
  </si>
  <si>
    <t>TO</t>
  </si>
  <si>
    <t>768</t>
  </si>
  <si>
    <t>TGO</t>
  </si>
  <si>
    <t>TG</t>
  </si>
  <si>
    <t>Tokelau</t>
  </si>
  <si>
    <t>772</t>
  </si>
  <si>
    <t>TKL</t>
  </si>
  <si>
    <t>TK</t>
  </si>
  <si>
    <t>Tonga</t>
  </si>
  <si>
    <t>TN</t>
  </si>
  <si>
    <t>776</t>
  </si>
  <si>
    <t>TON</t>
  </si>
  <si>
    <t>Trinidad &amp; Tobago</t>
  </si>
  <si>
    <t>Trinidad and Tobago</t>
  </si>
  <si>
    <t>780</t>
  </si>
  <si>
    <t>TTO</t>
  </si>
  <si>
    <t>Tunisia</t>
  </si>
  <si>
    <t>TS</t>
  </si>
  <si>
    <t>788</t>
  </si>
  <si>
    <t>TUN</t>
  </si>
  <si>
    <t>Turkey</t>
  </si>
  <si>
    <t>TU</t>
  </si>
  <si>
    <t>792</t>
  </si>
  <si>
    <t>TUR</t>
  </si>
  <si>
    <t>TR</t>
  </si>
  <si>
    <t>Turkmenistan</t>
  </si>
  <si>
    <t>TX</t>
  </si>
  <si>
    <t>795</t>
  </si>
  <si>
    <t>TKM</t>
  </si>
  <si>
    <t>TM</t>
  </si>
  <si>
    <t>Turks &amp; Caicos Is.</t>
  </si>
  <si>
    <t>Turks and Caicos Islands</t>
  </si>
  <si>
    <t>796</t>
  </si>
  <si>
    <t>TCA</t>
  </si>
  <si>
    <t>TC</t>
  </si>
  <si>
    <t>Tuvalu</t>
  </si>
  <si>
    <t>TV</t>
  </si>
  <si>
    <t>798</t>
  </si>
  <si>
    <t>TUV</t>
  </si>
  <si>
    <t>UG</t>
  </si>
  <si>
    <t>800</t>
  </si>
  <si>
    <t>UGA</t>
  </si>
  <si>
    <t>Ukraine</t>
  </si>
  <si>
    <t>UP</t>
  </si>
  <si>
    <t>804</t>
  </si>
  <si>
    <t>UKR</t>
  </si>
  <si>
    <t>UA</t>
  </si>
  <si>
    <t>United Arab Emirates</t>
  </si>
  <si>
    <t>AE</t>
  </si>
  <si>
    <t>784</t>
  </si>
  <si>
    <t>ARE</t>
  </si>
  <si>
    <t>United Kingdom</t>
  </si>
  <si>
    <t>UK</t>
  </si>
  <si>
    <t>826</t>
  </si>
  <si>
    <t>GBR</t>
  </si>
  <si>
    <t>United States</t>
  </si>
  <si>
    <t>US</t>
  </si>
  <si>
    <t>840</t>
  </si>
  <si>
    <t>UM</t>
  </si>
  <si>
    <t>581</t>
  </si>
  <si>
    <t>UMI</t>
  </si>
  <si>
    <t>Uruguay</t>
  </si>
  <si>
    <t>UY</t>
  </si>
  <si>
    <t>858</t>
  </si>
  <si>
    <t>URY</t>
  </si>
  <si>
    <t>UZ</t>
  </si>
  <si>
    <t>860</t>
  </si>
  <si>
    <t>UZB</t>
  </si>
  <si>
    <t>Vanuatu</t>
  </si>
  <si>
    <t>NH</t>
  </si>
  <si>
    <t>548</t>
  </si>
  <si>
    <t>VUT</t>
  </si>
  <si>
    <t>VU</t>
  </si>
  <si>
    <t>Vatican City</t>
  </si>
  <si>
    <t>Holy See (Vatican City State)</t>
  </si>
  <si>
    <t>VT</t>
  </si>
  <si>
    <t>336</t>
  </si>
  <si>
    <t>VAT</t>
  </si>
  <si>
    <t>VA</t>
  </si>
  <si>
    <t>Venezuela</t>
  </si>
  <si>
    <t>Venezuela, Bolivarian Republic of</t>
  </si>
  <si>
    <t>VE</t>
  </si>
  <si>
    <t>862</t>
  </si>
  <si>
    <t>VEN</t>
  </si>
  <si>
    <t>Vietnam</t>
  </si>
  <si>
    <t>Viet Nam</t>
  </si>
  <si>
    <t>VM</t>
  </si>
  <si>
    <t>704</t>
  </si>
  <si>
    <t>VNM</t>
  </si>
  <si>
    <t>VN</t>
  </si>
  <si>
    <t>Virgin Islands, British</t>
  </si>
  <si>
    <t>VI</t>
  </si>
  <si>
    <t>092</t>
  </si>
  <si>
    <t>VGB</t>
  </si>
  <si>
    <t>VG</t>
  </si>
  <si>
    <t>Virgin Islands, U.S.</t>
  </si>
  <si>
    <t>VQ</t>
  </si>
  <si>
    <t>850</t>
  </si>
  <si>
    <t>VIR</t>
  </si>
  <si>
    <t>Wake I.</t>
  </si>
  <si>
    <t>Wake Island</t>
  </si>
  <si>
    <t>WQ</t>
  </si>
  <si>
    <t>872</t>
  </si>
  <si>
    <t>UM-79</t>
  </si>
  <si>
    <t>Wallis &amp; Futuna</t>
  </si>
  <si>
    <t>Wallis and Futuna</t>
  </si>
  <si>
    <t>WF</t>
  </si>
  <si>
    <t>876</t>
  </si>
  <si>
    <t>WLF</t>
  </si>
  <si>
    <t>West Bank</t>
  </si>
  <si>
    <t>WE</t>
  </si>
  <si>
    <t>Western Sahara</t>
  </si>
  <si>
    <t>WI</t>
  </si>
  <si>
    <t>732</t>
  </si>
  <si>
    <t>ESH</t>
  </si>
  <si>
    <t>EH</t>
  </si>
  <si>
    <t>Yemen</t>
  </si>
  <si>
    <t>YM</t>
  </si>
  <si>
    <t>887</t>
  </si>
  <si>
    <t>YEM</t>
  </si>
  <si>
    <t>YE</t>
  </si>
  <si>
    <t>Zambia</t>
  </si>
  <si>
    <t>894</t>
  </si>
  <si>
    <t>ZMB</t>
  </si>
  <si>
    <t>ZM</t>
  </si>
  <si>
    <t>Zimbabwe</t>
  </si>
  <si>
    <t>ZI</t>
  </si>
  <si>
    <t>716</t>
  </si>
  <si>
    <t>ZWE</t>
  </si>
  <si>
    <t>ZW</t>
  </si>
  <si>
    <t>Themes - Consolidated</t>
  </si>
  <si>
    <t>EXPERTISE</t>
  </si>
  <si>
    <t>PROJECT</t>
  </si>
  <si>
    <t>Themes</t>
  </si>
  <si>
    <t>Sub-Themes</t>
  </si>
  <si>
    <t>Theme Count, EXPERTISE</t>
  </si>
  <si>
    <t>Sub-Theme Count, EXPERTISE</t>
  </si>
  <si>
    <t>Theme Count, PROJECT</t>
  </si>
  <si>
    <t>Sub-Theme Count, PROJECT</t>
  </si>
  <si>
    <t>Skills-Sharings</t>
  </si>
  <si>
    <t>-</t>
  </si>
  <si>
    <t>Civic Engagement</t>
  </si>
  <si>
    <t>Gender Equity Initiatives -regional</t>
  </si>
  <si>
    <t>Health and Human Welfare</t>
  </si>
  <si>
    <t>Analysis of Economic Growth</t>
  </si>
  <si>
    <t>Social Investment</t>
  </si>
  <si>
    <t>Economic Statistics, Modeling and Forecasting</t>
  </si>
  <si>
    <t>Fostering Physical Infrastructure Development</t>
  </si>
  <si>
    <t>Trade and Integration</t>
  </si>
  <si>
    <t>Information and Communication Technology</t>
  </si>
  <si>
    <t>Urban Development</t>
  </si>
  <si>
    <t>Infrastructure Services for Private-Sector Development</t>
  </si>
  <si>
    <t>Micro, Small and Medium Enterprise Support</t>
  </si>
  <si>
    <t>Promoting Macroeconomic Stability</t>
  </si>
  <si>
    <t>Climate Change</t>
  </si>
  <si>
    <t>Global and Regional Trans-Boundary Environmental Concerns and Issues</t>
  </si>
  <si>
    <t>Land Administration and Management</t>
  </si>
  <si>
    <t>Other Environment and Natural Resources Management</t>
  </si>
  <si>
    <t>Urban Environmental Improvement</t>
  </si>
  <si>
    <t>Anti-Money Laundering and Combating the Financing of Terrorism</t>
  </si>
  <si>
    <t>Corporate Governance</t>
  </si>
  <si>
    <t>Debt Management and Fiscal Sustainability</t>
  </si>
  <si>
    <t>e-Services</t>
  </si>
  <si>
    <t>Financial Consumer Protection and Financial Literacy</t>
  </si>
  <si>
    <t>Macroeconomic Management</t>
  </si>
  <si>
    <t>Other Financial and Private-Sector Development</t>
  </si>
  <si>
    <t>Other Financial Sector Development</t>
  </si>
  <si>
    <t>Regulation and Competition Policy</t>
  </si>
  <si>
    <t>Access to Law and Justice</t>
  </si>
  <si>
    <t>Accountability/Transparency</t>
  </si>
  <si>
    <t>Administrative and Civil Service Reform</t>
  </si>
  <si>
    <t>Anti-Corruption</t>
  </si>
  <si>
    <t>Civil Society Participation</t>
  </si>
  <si>
    <t>Decentralization</t>
  </si>
  <si>
    <t>e-Government</t>
  </si>
  <si>
    <t>Financial and Economic Governance</t>
  </si>
  <si>
    <t>Human Rights</t>
  </si>
  <si>
    <t>Judicial and Other Dispute Resolution Mechanisms</t>
  </si>
  <si>
    <t>Legal Institutions for a Market Economy</t>
  </si>
  <si>
    <t>Legal Reform</t>
  </si>
  <si>
    <t>Legal Services</t>
  </si>
  <si>
    <t>Managing for Development Results</t>
  </si>
  <si>
    <t>Other Rule of Law</t>
  </si>
  <si>
    <t>Personal and Property Rights</t>
  </si>
  <si>
    <t>Policy/Institutional/Legal/Regulatory Reforms</t>
  </si>
  <si>
    <t>Private Sector Investment</t>
  </si>
  <si>
    <t>Privatization -general</t>
  </si>
  <si>
    <t>Public Expenditure, Financial Management and Procurement</t>
  </si>
  <si>
    <t>Public-Private Partnerships</t>
  </si>
  <si>
    <t>Tax Policy and Administration</t>
  </si>
  <si>
    <t>Child Health</t>
  </si>
  <si>
    <t>Education for All</t>
  </si>
  <si>
    <t>Education for the Knowledge Economy</t>
  </si>
  <si>
    <t>Health System Performance</t>
  </si>
  <si>
    <t>HIV/AIDS</t>
  </si>
  <si>
    <t>Injuries and Non-Communicable Diseases</t>
  </si>
  <si>
    <t>Malaria</t>
  </si>
  <si>
    <t>Nutrition and Food Security</t>
  </si>
  <si>
    <t>Other Communicable Diseases</t>
  </si>
  <si>
    <t>Other Human Development</t>
  </si>
  <si>
    <t>Population and Reproductive Health</t>
  </si>
  <si>
    <t>Tuberculosis</t>
  </si>
  <si>
    <t>Global Food Crisis Response</t>
  </si>
  <si>
    <t>Rural Markets</t>
  </si>
  <si>
    <t>Rural Non-Farm Income Generation</t>
  </si>
  <si>
    <t>Communication Infrastructure</t>
  </si>
  <si>
    <t>Improving Labor Markets</t>
  </si>
  <si>
    <t>Local Business Investment</t>
  </si>
  <si>
    <t>Cultural Heritage</t>
  </si>
  <si>
    <t>Gender Equity in Capabilities</t>
  </si>
  <si>
    <t>Gender Equity in Empowerment and Rights</t>
  </si>
  <si>
    <t>Gender Equity in Opportunities</t>
  </si>
  <si>
    <t>Natural Disaster Management</t>
  </si>
  <si>
    <t>Poverty Analysis</t>
  </si>
  <si>
    <t>Risk Assessment</t>
  </si>
  <si>
    <t>Social Inclusion</t>
  </si>
  <si>
    <t>Social Protection and Risk Management</t>
  </si>
  <si>
    <t>Social Risk Mitigation</t>
  </si>
  <si>
    <t>Social Safety Nets</t>
  </si>
  <si>
    <t>Vulnerability Monitoring</t>
  </si>
  <si>
    <t>Cross-Border Infrastructure</t>
  </si>
  <si>
    <t>Export Development and Competitiveness</t>
  </si>
  <si>
    <t>International Financial Architecture</t>
  </si>
  <si>
    <t>International Financial Institutional Trade Networks and Systems</t>
  </si>
  <si>
    <t>International Financial Standards and Systems</t>
  </si>
  <si>
    <t>Money and Finance</t>
  </si>
  <si>
    <t>Other Trade and Integration</t>
  </si>
  <si>
    <t>Regional Integration</t>
  </si>
  <si>
    <t>Regional Public Goods</t>
  </si>
  <si>
    <t>Technology Diffusion</t>
  </si>
  <si>
    <t>Trade and Investments</t>
  </si>
  <si>
    <t>Trade Facilitation and Market Access</t>
  </si>
  <si>
    <t>City-Wide Infrastructure</t>
  </si>
  <si>
    <t>Housing Construction for the Poor</t>
  </si>
  <si>
    <t>Housing Policy for the Poor</t>
  </si>
  <si>
    <t>Municipal Finance</t>
  </si>
  <si>
    <t>Municipal Governance and Institution Building</t>
  </si>
  <si>
    <t>Service Delivery</t>
  </si>
  <si>
    <t>Urban Development -regional</t>
  </si>
  <si>
    <t>Urban Economic Development</t>
  </si>
  <si>
    <t>Urban Planning</t>
  </si>
  <si>
    <t>Urban Services</t>
  </si>
  <si>
    <t>Sectors</t>
  </si>
  <si>
    <t>Sub-Sectors</t>
  </si>
  <si>
    <t>Sector Count, EXPERTISE</t>
  </si>
  <si>
    <t>Sub-Sector Count, EXPERTISE</t>
  </si>
  <si>
    <t>Sector Count, PROJECT</t>
  </si>
  <si>
    <t>Sub-Sector Count, PROJECT</t>
  </si>
  <si>
    <t>Agricultural Extension and Research</t>
  </si>
  <si>
    <t>Animal Production</t>
  </si>
  <si>
    <t>Aquaculture</t>
  </si>
  <si>
    <t>Crops</t>
  </si>
  <si>
    <t>Dairy</t>
  </si>
  <si>
    <t>Fats and Oils</t>
  </si>
  <si>
    <t>Fishery</t>
  </si>
  <si>
    <t>Fruits &amp; Vegetables</t>
  </si>
  <si>
    <t>Grains</t>
  </si>
  <si>
    <t>Livestock</t>
  </si>
  <si>
    <t>Mineral Resources</t>
  </si>
  <si>
    <t>Processed Food &amp; Beverages</t>
  </si>
  <si>
    <t>Sugar</t>
  </si>
  <si>
    <t>Public Finance and Expenditure Management</t>
  </si>
  <si>
    <t>Education</t>
  </si>
  <si>
    <t>Adult Literacy</t>
  </si>
  <si>
    <t>Basic Education</t>
  </si>
  <si>
    <t>Education Sector Development</t>
  </si>
  <si>
    <t>General Education Sector</t>
  </si>
  <si>
    <t>Non-Formal Education</t>
  </si>
  <si>
    <t>Early Education</t>
  </si>
  <si>
    <t>Primary Education</t>
  </si>
  <si>
    <t>Secondary Education</t>
  </si>
  <si>
    <t>Senior Secondary General Education</t>
  </si>
  <si>
    <t>Technical Education</t>
  </si>
  <si>
    <t>Tertiary Education</t>
  </si>
  <si>
    <t>Vocational Training and Skills Development</t>
  </si>
  <si>
    <t>Conventional Energy Generation</t>
  </si>
  <si>
    <t>Energy Efficiency in Heat and Power</t>
  </si>
  <si>
    <t>Energy Sector Development</t>
  </si>
  <si>
    <t>General Energy Sector</t>
  </si>
  <si>
    <t>Hydropower</t>
  </si>
  <si>
    <t>Renewable Energy</t>
  </si>
  <si>
    <t>Thermal Power Generation</t>
  </si>
  <si>
    <t>Electrical Systems</t>
  </si>
  <si>
    <t>Oil and Gas</t>
  </si>
  <si>
    <t>Other Extractive Industries</t>
  </si>
  <si>
    <t>Banking</t>
  </si>
  <si>
    <t>Business and Other Services</t>
  </si>
  <si>
    <t>Capital Markets and Funds</t>
  </si>
  <si>
    <t>Credit Reporting and Secured Transactions</t>
  </si>
  <si>
    <t>Finance Sector Development and Reform</t>
  </si>
  <si>
    <t>General Finance Sector</t>
  </si>
  <si>
    <t>Housing Finance</t>
  </si>
  <si>
    <t>Non-Compulsory Health Finance</t>
  </si>
  <si>
    <t>Non-Compulsory Pensions and Insurance</t>
  </si>
  <si>
    <t>Other Non-Bank Financial Intermediaries</t>
  </si>
  <si>
    <t>Payments, Settlements, and Remittance Systems</t>
  </si>
  <si>
    <t>Pensions, Insurance, Social Security and Contractual Savings</t>
  </si>
  <si>
    <t>Private Equity and Investment Funds</t>
  </si>
  <si>
    <t>SME Finance</t>
  </si>
  <si>
    <t>Financial Institutions</t>
  </si>
  <si>
    <t>Financial Infrastructure</t>
  </si>
  <si>
    <t>Private Equity Funds</t>
  </si>
  <si>
    <t>Retail Finance</t>
  </si>
  <si>
    <t>Risk Management</t>
  </si>
  <si>
    <t>Sustainability and Climate Business</t>
  </si>
  <si>
    <t>Trade and Supply Chain</t>
  </si>
  <si>
    <t>Health and Nutrition</t>
  </si>
  <si>
    <t>Early Childhood Development</t>
  </si>
  <si>
    <t>Healthcare</t>
  </si>
  <si>
    <t>Integrated Programs for Health- and Social-Services</t>
  </si>
  <si>
    <t>Health Programs &amp; Services</t>
  </si>
  <si>
    <t>Social Programs &amp; Services</t>
  </si>
  <si>
    <t>Nutrition</t>
  </si>
  <si>
    <t>Industry, Manufacturing and Trade</t>
  </si>
  <si>
    <t>Energy Efficient Machinery</t>
  </si>
  <si>
    <t>Construction -general</t>
  </si>
  <si>
    <t>Industry and Trade</t>
  </si>
  <si>
    <t>Housing Construction</t>
  </si>
  <si>
    <t>Industry -general</t>
  </si>
  <si>
    <t>Domestic and International Trade</t>
  </si>
  <si>
    <t>(Petro-) Chemicals and Fertilizers</t>
  </si>
  <si>
    <t>Property</t>
  </si>
  <si>
    <t>Retail -general</t>
  </si>
  <si>
    <t>Small- and Medium-Scale Enterprises</t>
  </si>
  <si>
    <t>Tourism</t>
  </si>
  <si>
    <t>Trade -general</t>
  </si>
  <si>
    <t>Infrastructure</t>
  </si>
  <si>
    <t>IFC InfraVentures</t>
  </si>
  <si>
    <t>Power Infrastructure</t>
  </si>
  <si>
    <t>Renewables</t>
  </si>
  <si>
    <t>Subnational Finance</t>
  </si>
  <si>
    <t>Transportation Infrastructure</t>
  </si>
  <si>
    <t>Integrated</t>
  </si>
  <si>
    <t>Integrated Sub-Sector</t>
  </si>
  <si>
    <t>Not Listed</t>
  </si>
  <si>
    <t>Other</t>
  </si>
  <si>
    <t>Other Sub-Sector</t>
  </si>
  <si>
    <t>Central Government Administration</t>
  </si>
  <si>
    <t>Compulsory Pension and Unemployment Insurance</t>
  </si>
  <si>
    <t>Government and Civil Society</t>
  </si>
  <si>
    <t>Law and Judiciary</t>
  </si>
  <si>
    <t>National Government Administration</t>
  </si>
  <si>
    <t>Public Administration - Education</t>
  </si>
  <si>
    <t>Public Administration - Energy and Natural Resource Extraction</t>
  </si>
  <si>
    <t>Public Administration - Financial Sector</t>
  </si>
  <si>
    <t>Public Administration - Health Services</t>
  </si>
  <si>
    <t>Public Administration - Trade</t>
  </si>
  <si>
    <t>Public Administration - Information and Communications</t>
  </si>
  <si>
    <t>Public Administration - Social Services</t>
  </si>
  <si>
    <t>Public Administration - Transportation</t>
  </si>
  <si>
    <t>Sub-national Governance</t>
  </si>
  <si>
    <t>Support to NGOs</t>
  </si>
  <si>
    <t>Information Technology</t>
  </si>
  <si>
    <t>Media &amp; Broadcast Information</t>
  </si>
  <si>
    <t>Postal Services</t>
  </si>
  <si>
    <t>Telecommunications</t>
  </si>
  <si>
    <t>Transport and Communication</t>
  </si>
  <si>
    <t>Aviation</t>
  </si>
  <si>
    <t>General Transportation Sector</t>
  </si>
  <si>
    <t>Multimodal Transport and Sector Development</t>
  </si>
  <si>
    <t>Ports, Waterways and Shipping</t>
  </si>
  <si>
    <t>Railways</t>
  </si>
  <si>
    <t>Roads and Highways</t>
  </si>
  <si>
    <t>Rural and Inter-Urban Transport Infrastructure</t>
  </si>
  <si>
    <t>Transport and Storage</t>
  </si>
  <si>
    <t>Urban Transport Systems</t>
  </si>
  <si>
    <t>Public Transit Services</t>
  </si>
  <si>
    <t>Flood Protection -general</t>
  </si>
  <si>
    <t>Water Management -Integrated</t>
  </si>
  <si>
    <t>Sanitation -general</t>
  </si>
  <si>
    <t>Solid Waste Management</t>
  </si>
  <si>
    <t>Wastewater Collection and Transportation</t>
  </si>
  <si>
    <t>Wastewater Treatment and Disposal</t>
  </si>
  <si>
    <t>Water Supply</t>
  </si>
  <si>
    <t>PS2: Labor and Working Conditions</t>
  </si>
  <si>
    <t>Contractor E&amp;S Management</t>
  </si>
  <si>
    <t>E&amp;S Organizational Capacity Assessment</t>
  </si>
  <si>
    <t>E&amp;S Training Design</t>
  </si>
  <si>
    <t>E&amp;S Management System</t>
  </si>
  <si>
    <t>Food Safety and HACCP</t>
  </si>
  <si>
    <t>PS8: Cultural Heritage</t>
  </si>
  <si>
    <t>Human Rights Assessment</t>
  </si>
  <si>
    <t>Organic Food Certification</t>
  </si>
  <si>
    <t>Stakeholder Engagement and Grievance Mechanisms</t>
  </si>
  <si>
    <t>Supply Chain E&amp;S Assessment</t>
  </si>
  <si>
    <t>Assessment of migrant worker related issues</t>
  </si>
  <si>
    <t>Child and Forced Labor Assessment</t>
  </si>
  <si>
    <t>Labor and Working Conditions</t>
  </si>
  <si>
    <t>Labor Audits based on ILO Conventions</t>
  </si>
  <si>
    <t>Occupational Health and Safety</t>
  </si>
  <si>
    <t>Retrenchment Audit</t>
  </si>
  <si>
    <t>Supply Chain Labor Assessment</t>
  </si>
  <si>
    <t>Workers Organization and Greivance Mechanisms</t>
  </si>
  <si>
    <t>Air Emission Management</t>
  </si>
  <si>
    <t>Cleaner Production</t>
  </si>
  <si>
    <t>Green Building and Construction</t>
  </si>
  <si>
    <t>Greenhouse Gas Emission Audit</t>
  </si>
  <si>
    <t>Hazardous Material Management</t>
  </si>
  <si>
    <t>Urban and Regional Planning</t>
  </si>
  <si>
    <t>Wastewater Management</t>
  </si>
  <si>
    <t>Buildings Structural Integrity</t>
  </si>
  <si>
    <t>Community Security</t>
  </si>
  <si>
    <t>Life and Fire Safety</t>
  </si>
  <si>
    <t>Infrastructure and Equipment Safety</t>
  </si>
  <si>
    <t>Community Benefit Sharing Schemes</t>
  </si>
  <si>
    <t>Livelihood Restoration</t>
  </si>
  <si>
    <t>Biodiversity Offset Planning and Implementation</t>
  </si>
  <si>
    <t>Ecosystem Services Review</t>
  </si>
  <si>
    <t>Geographic Information System &amp; Land Use Planning</t>
  </si>
  <si>
    <t>Supply Chain Biodiversity Assessment</t>
  </si>
  <si>
    <t>Sustainable Forestry Certification (FSC, PEFC)</t>
  </si>
  <si>
    <t>Free Prior and Informed Consent (FPIC)</t>
  </si>
  <si>
    <t>Critical Cultural Heritage</t>
  </si>
  <si>
    <t>Cultural Heritage Assessment and Preservation</t>
  </si>
  <si>
    <t>Airlines</t>
  </si>
  <si>
    <t>Airports</t>
  </si>
  <si>
    <t>Base Metal Smelting and Refining</t>
  </si>
  <si>
    <t>Biomass Collection and Processing</t>
  </si>
  <si>
    <t>Board and Particle-based Products</t>
  </si>
  <si>
    <t>Breweries</t>
  </si>
  <si>
    <t>Cement and Lime Manufacturing</t>
  </si>
  <si>
    <t>Ceramic Tile and Sanitary Ware Manufacturing</t>
  </si>
  <si>
    <t>Coal Tar Distillation</t>
  </si>
  <si>
    <t>Coal Processing</t>
  </si>
  <si>
    <t>Construction Materials Extraction</t>
  </si>
  <si>
    <t>Crude Oil and Petroleum Product Terminals</t>
  </si>
  <si>
    <t>Dairy Processing</t>
  </si>
  <si>
    <t>Financial Intermediaries (e.g. Banks, PE Funds)</t>
  </si>
  <si>
    <t>Fish Processing</t>
  </si>
  <si>
    <t>Food and Beverage Processing</t>
  </si>
  <si>
    <t>Foundries</t>
  </si>
  <si>
    <t>Gas Distribution Systems</t>
  </si>
  <si>
    <t>Geothermal Power Generation</t>
  </si>
  <si>
    <t>Glass Manufacturing</t>
  </si>
  <si>
    <t>Health Care Facilities</t>
  </si>
  <si>
    <t>Integrated Steel Mills</t>
  </si>
  <si>
    <t>Large Volume Inorganic Compounds Manufacturing and Coal Tar Distillation</t>
  </si>
  <si>
    <t>Large Volume Petroleum based Organic Chemicals Manufacturing</t>
  </si>
  <si>
    <t>Liquefied Natural Gas (LNG) Facilities</t>
  </si>
  <si>
    <t>Mammalian Livestock Production</t>
  </si>
  <si>
    <t>Meat Processing</t>
  </si>
  <si>
    <t>Metal, Plastic, Rubber Products Manufacturing</t>
  </si>
  <si>
    <t>Natural Gas Processing</t>
  </si>
  <si>
    <t>Nitrogenous Fertilizer Manufacturing</t>
  </si>
  <si>
    <t>Offshore Oil and Gas Development</t>
  </si>
  <si>
    <t>Oleochemicals Manufacturing</t>
  </si>
  <si>
    <t>Onshore Oil and Gas Development</t>
  </si>
  <si>
    <t>Pesticides Formulation, Manufacturing and Packaging</t>
  </si>
  <si>
    <t>Petroleum Refining</t>
  </si>
  <si>
    <t>Petroleum based Polymers Manufacturing</t>
  </si>
  <si>
    <t>Pharmaceuticals and Biotechnology</t>
  </si>
  <si>
    <t>Phosphate Fertilizer Manufacturing</t>
  </si>
  <si>
    <t>Plantation Crop Production</t>
  </si>
  <si>
    <t>Ports, Harbors and Terminals</t>
  </si>
  <si>
    <t>Poultry Processing</t>
  </si>
  <si>
    <t>Poultry Production</t>
  </si>
  <si>
    <t>Printing</t>
  </si>
  <si>
    <t>Pulp and Paper Mills</t>
  </si>
  <si>
    <t>Retail Petroleum Networks</t>
  </si>
  <si>
    <t>Sawmilling and Wood-based Products</t>
  </si>
  <si>
    <t>Semiconductors and Electronics Manufacturing</t>
  </si>
  <si>
    <t>Shipping</t>
  </si>
  <si>
    <t>Solar Power</t>
  </si>
  <si>
    <t>Sugar Manufacturing</t>
  </si>
  <si>
    <t>Tanning and Leather Finishing</t>
  </si>
  <si>
    <t>Textiles Manufacturing</t>
  </si>
  <si>
    <t>Thermal Power</t>
  </si>
  <si>
    <t>Toll Roads</t>
  </si>
  <si>
    <t>Tourism and Hospitality Development</t>
  </si>
  <si>
    <t>Vegetable Oil Processing</t>
  </si>
  <si>
    <t>Waste Management Facilities</t>
  </si>
  <si>
    <t>Waste to Energy</t>
  </si>
  <si>
    <t>Wind Energy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</si>
</sst>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4">
    <font>
      <b val="0"/>
      <i val="0"/>
      <strike val="0"/>
      <u val="none"/>
      <sz val="10.0"/>
      <color rgb="FF000000"/>
      <name val="Arial"/>
    </font>
    <font>
      <b val="0"/>
      <i val="0"/>
      <strike val="0"/>
      <u val="none"/>
      <sz val="10.0"/>
      <color rgb="FF000000"/>
      <name val="Arial"/>
    </font>
    <font>
      <b val="0"/>
      <i val="0"/>
      <strike val="0"/>
      <u val="none"/>
      <sz val="10.0"/>
      <color rgb="FF003366"/>
      <name val="Arial"/>
    </font>
    <font>
      <b/>
      <i val="0"/>
      <strike val="0"/>
      <u val="none"/>
      <sz val="10.0"/>
      <color rgb="FF000000"/>
      <name val="Arial"/>
    </font>
    <font>
      <b val="0"/>
      <i val="0"/>
      <strike val="0"/>
      <u val="none"/>
      <sz val="10.0"/>
      <color rgb="FFD9D2E9"/>
      <name val="Arial"/>
    </font>
    <font>
      <b/>
      <i val="0"/>
      <strike val="0"/>
      <u val="none"/>
      <sz val="10.0"/>
      <color rgb="FF000000"/>
      <name val="Arial"/>
    </font>
    <font>
      <b/>
      <i val="0"/>
      <strike val="0"/>
      <u val="none"/>
      <sz val="10.0"/>
      <color rgb="FF003366"/>
      <name val="Arial"/>
    </font>
    <font>
      <b val="0"/>
      <i val="0"/>
      <strike val="0"/>
      <u val="none"/>
      <sz val="10.0"/>
      <color rgb="FF000000"/>
      <name val="Arial"/>
    </font>
    <font>
      <b val="0"/>
      <i val="0"/>
      <strike val="0"/>
      <u val="none"/>
      <sz val="10.0"/>
      <color rgb="FF000000"/>
      <name val="Arial"/>
    </font>
    <font>
      <b/>
      <i val="0"/>
      <strike val="0"/>
      <u val="none"/>
      <sz val="10.0"/>
      <color rgb="FFF3F3F3"/>
      <name val="Arial"/>
    </font>
    <font>
      <b/>
      <i val="0"/>
      <strike val="0"/>
      <u val="none"/>
      <sz val="10.0"/>
      <color rgb="FF000000"/>
      <name val="Arial"/>
    </font>
    <font>
      <b val="0"/>
      <i/>
      <strike val="0"/>
      <u val="none"/>
      <sz val="10.0"/>
      <color rgb="FF003366"/>
      <name val="Arial"/>
    </font>
    <font>
      <b/>
      <i val="0"/>
      <strike val="0"/>
      <u val="none"/>
      <sz val="10.0"/>
      <color rgb="FF800000"/>
      <name val="Arial"/>
    </font>
    <font>
      <b val="0"/>
      <i val="0"/>
      <strike val="0"/>
      <u val="none"/>
      <sz val="10.0"/>
      <color rgb="FFF3F3F3"/>
      <name val="Arial"/>
    </font>
    <font>
      <b/>
      <i val="0"/>
      <strike val="0"/>
      <u val="none"/>
      <sz val="10.0"/>
      <color rgb="FF000000"/>
      <name val="Arial"/>
    </font>
    <font>
      <b/>
      <i val="0"/>
      <strike val="0"/>
      <u val="none"/>
      <sz val="10.0"/>
      <color rgb="FF0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003366"/>
      <name val="Arial"/>
    </font>
    <font>
      <b/>
      <i val="0"/>
      <strike val="0"/>
      <u val="none"/>
      <sz val="10.0"/>
      <color rgb="FF003366"/>
      <name val="Arial"/>
    </font>
    <font>
      <b val="0"/>
      <i val="0"/>
      <strike val="0"/>
      <u val="none"/>
      <sz val="10.0"/>
      <color rgb="FF073763"/>
      <name val="Arial"/>
    </font>
    <font>
      <b val="0"/>
      <i val="0"/>
      <strike val="0"/>
      <u val="none"/>
      <sz val="10.0"/>
      <color rgb="FF000000"/>
      <name val="Arial"/>
    </font>
    <font>
      <b val="0"/>
      <i val="0"/>
      <strike val="0"/>
      <u val="none"/>
      <sz val="10.0"/>
      <color rgb="FF000000"/>
      <name val="Arial"/>
    </font>
    <font>
      <b val="0"/>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D9D2E9"/>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i val="0"/>
      <strike val="0"/>
      <u val="none"/>
      <sz val="10.0"/>
      <color rgb="FF003366"/>
      <name val="Arial"/>
    </font>
    <font>
      <b/>
      <i val="0"/>
      <strike val="0"/>
      <u val="none"/>
      <sz val="10.0"/>
      <color rgb="FF003366"/>
      <name val="Arial"/>
    </font>
    <font>
      <b/>
      <i val="0"/>
      <strike val="0"/>
      <u val="none"/>
      <sz val="10.0"/>
      <color rgb="FF003366"/>
      <name val="Arial"/>
    </font>
    <font>
      <b val="0"/>
      <i val="0"/>
      <strike val="0"/>
      <u val="none"/>
      <sz val="10.0"/>
      <color rgb="FF000000"/>
      <name val="Arial"/>
    </font>
    <font>
      <b val="0"/>
      <i val="0"/>
      <strike val="0"/>
      <u val="none"/>
      <sz val="10.0"/>
      <color rgb="FFD9D2E9"/>
      <name val="Arial"/>
    </font>
    <font>
      <b/>
      <i val="0"/>
      <strike val="0"/>
      <u val="none"/>
      <sz val="10.0"/>
      <color rgb="FF800000"/>
      <name val="Arial"/>
    </font>
    <font>
      <b val="0"/>
      <i val="0"/>
      <strike val="0"/>
      <u val="none"/>
      <sz val="10.0"/>
      <color rgb="FF003366"/>
      <name val="Arial"/>
    </font>
    <font>
      <b/>
      <i val="0"/>
      <strike val="0"/>
      <u val="none"/>
      <sz val="10.0"/>
      <color rgb="FF003366"/>
      <name val="Arial"/>
    </font>
    <font>
      <b val="0"/>
      <i val="0"/>
      <strike val="0"/>
      <u val="none"/>
      <sz val="10.0"/>
      <color rgb="FF003366"/>
      <name val="Arial"/>
    </font>
    <font>
      <b/>
      <i val="0"/>
      <strike val="0"/>
      <u val="none"/>
      <sz val="10.0"/>
      <color rgb="FF000000"/>
      <name val="Arial"/>
    </font>
    <font>
      <b/>
      <i val="0"/>
      <strike val="0"/>
      <u val="none"/>
      <sz val="10.0"/>
      <color rgb="FF000000"/>
      <name val="Arial"/>
    </font>
    <font>
      <b val="0"/>
      <i val="0"/>
      <strike val="0"/>
      <u val="none"/>
      <sz val="10.0"/>
      <color rgb="FF000000"/>
      <name val="Arial"/>
    </font>
    <font>
      <b val="0"/>
      <i val="0"/>
      <strike val="0"/>
      <u val="none"/>
      <sz val="10.0"/>
      <color rgb="FFFFFFFF"/>
      <name val="Arial"/>
    </font>
    <font>
      <b val="0"/>
      <i/>
      <strike val="0"/>
      <u val="none"/>
      <sz val="10.0"/>
      <color rgb="FF003366"/>
      <name val="Arial"/>
    </font>
    <font>
      <b val="0"/>
      <i val="0"/>
      <strike val="0"/>
      <u val="none"/>
      <sz val="10.0"/>
      <color rgb="FF003366"/>
      <name val="Arial"/>
    </font>
    <font>
      <b val="0"/>
      <i val="0"/>
      <strike val="0"/>
      <u val="none"/>
      <sz val="10.0"/>
      <color rgb="FF003366"/>
      <name val="Arial"/>
    </font>
    <font>
      <b val="0"/>
      <i val="0"/>
      <strike val="0"/>
      <u val="none"/>
      <sz val="10.0"/>
      <color rgb="FFFFFFFF"/>
      <name val="Arial"/>
    </font>
    <font>
      <b/>
      <i val="0"/>
      <strike val="0"/>
      <u val="none"/>
      <sz val="10.0"/>
      <color rgb="FF003366"/>
      <name val="Arial"/>
    </font>
    <font>
      <b val="0"/>
      <i/>
      <strike val="0"/>
      <u val="none"/>
      <sz val="10.0"/>
      <color rgb="FF003366"/>
      <name val="Arial"/>
    </font>
    <font>
      <b/>
      <i val="0"/>
      <strike val="0"/>
      <u val="none"/>
      <sz val="10.0"/>
      <color rgb="FFFFFFFF"/>
      <name val="Arial"/>
    </font>
  </fonts>
  <fills count="83">
    <fill>
      <patternFill patternType="none"/>
    </fill>
    <fill>
      <patternFill patternType="gray125">
        <bgColor rgb="FFFFFFFF"/>
      </patternFill>
    </fill>
    <fill>
      <patternFill patternType="solid">
        <fgColor rgb="FFBDE6E1"/>
        <bgColor indexed="64"/>
      </patternFill>
    </fill>
    <fill>
      <patternFill patternType="solid">
        <fgColor rgb="FFFCE5CD"/>
        <bgColor indexed="64"/>
      </patternFill>
    </fill>
    <fill>
      <patternFill patternType="solid">
        <fgColor rgb="FFD9D2E9"/>
        <bgColor indexed="64"/>
      </patternFill>
    </fill>
    <fill>
      <patternFill patternType="solid">
        <fgColor rgb="FF5B0F00"/>
        <bgColor indexed="64"/>
      </patternFill>
    </fill>
    <fill>
      <patternFill patternType="solid">
        <fgColor rgb="FFC2D1F0"/>
        <bgColor indexed="64"/>
      </patternFill>
    </fill>
    <fill>
      <patternFill patternType="solid">
        <fgColor rgb="FFD9EAD3"/>
        <bgColor indexed="64"/>
      </patternFill>
    </fill>
    <fill>
      <patternFill patternType="solid">
        <fgColor rgb="FFFFFFFF"/>
        <bgColor indexed="64"/>
      </patternFill>
    </fill>
    <fill>
      <patternFill patternType="solid">
        <fgColor rgb="FFE1C7E1"/>
        <bgColor indexed="64"/>
      </patternFill>
    </fill>
    <fill>
      <patternFill patternType="solid">
        <fgColor rgb="FFFFFFFF"/>
        <bgColor indexed="64"/>
      </patternFill>
    </fill>
    <fill>
      <patternFill patternType="solid">
        <fgColor rgb="FFD9D9D9"/>
        <bgColor indexed="64"/>
      </patternFill>
    </fill>
    <fill>
      <patternFill patternType="solid">
        <fgColor rgb="FFBDE6E1"/>
        <bgColor indexed="64"/>
      </patternFill>
    </fill>
    <fill>
      <patternFill patternType="solid">
        <fgColor rgb="FF990000"/>
        <bgColor indexed="64"/>
      </patternFill>
    </fill>
    <fill>
      <patternFill patternType="solid">
        <fgColor rgb="FFCCFFCC"/>
        <bgColor indexed="64"/>
      </patternFill>
    </fill>
    <fill>
      <patternFill patternType="solid">
        <fgColor rgb="FF073763"/>
        <bgColor indexed="64"/>
      </patternFill>
    </fill>
    <fill>
      <patternFill patternType="solid">
        <fgColor rgb="FFDDDDDD"/>
        <bgColor indexed="64"/>
      </patternFill>
    </fill>
    <fill>
      <patternFill patternType="solid">
        <fgColor rgb="FFC0C0C0"/>
        <bgColor indexed="64"/>
      </patternFill>
    </fill>
    <fill>
      <patternFill patternType="solid">
        <fgColor rgb="FF434343"/>
        <bgColor indexed="64"/>
      </patternFill>
    </fill>
    <fill>
      <patternFill patternType="solid">
        <fgColor rgb="FFFFFFFF"/>
        <bgColor indexed="64"/>
      </patternFill>
    </fill>
    <fill>
      <patternFill patternType="solid">
        <fgColor rgb="FFBDE6E1"/>
        <bgColor indexed="64"/>
      </patternFill>
    </fill>
    <fill>
      <patternFill patternType="solid">
        <fgColor rgb="FFFFFFFF"/>
        <bgColor indexed="64"/>
      </patternFill>
    </fill>
    <fill>
      <patternFill patternType="solid">
        <fgColor rgb="FFFFFF99"/>
        <bgColor indexed="64"/>
      </patternFill>
    </fill>
    <fill>
      <patternFill patternType="solid">
        <fgColor rgb="FFFFFFFF"/>
        <bgColor indexed="64"/>
      </patternFill>
    </fill>
    <fill>
      <patternFill patternType="solid">
        <fgColor rgb="FFFFFFFF"/>
        <bgColor indexed="64"/>
      </patternFill>
    </fill>
    <fill>
      <patternFill patternType="solid">
        <fgColor rgb="FFDD7E6B"/>
        <bgColor indexed="64"/>
      </patternFill>
    </fill>
    <fill>
      <patternFill patternType="solid">
        <fgColor rgb="FF20124D"/>
        <bgColor indexed="64"/>
      </patternFill>
    </fill>
    <fill>
      <patternFill patternType="solid">
        <fgColor rgb="FFBDE6E1"/>
        <bgColor indexed="64"/>
      </patternFill>
    </fill>
    <fill>
      <patternFill patternType="solid">
        <fgColor rgb="FFC2D1F0"/>
        <bgColor indexed="64"/>
      </patternFill>
    </fill>
    <fill>
      <patternFill patternType="solid">
        <fgColor rgb="FFD9D2E9"/>
        <bgColor indexed="64"/>
      </patternFill>
    </fill>
    <fill>
      <patternFill patternType="solid">
        <fgColor rgb="FFEBD780"/>
        <bgColor indexed="64"/>
      </patternFill>
    </fill>
    <fill>
      <patternFill patternType="solid">
        <fgColor rgb="FFCCCCCC"/>
        <bgColor indexed="64"/>
      </patternFill>
    </fill>
    <fill>
      <patternFill patternType="solid">
        <fgColor rgb="FFDD7E6B"/>
        <bgColor indexed="64"/>
      </patternFill>
    </fill>
    <fill>
      <patternFill patternType="solid">
        <fgColor rgb="FFFCE5CD"/>
        <bgColor indexed="64"/>
      </patternFill>
    </fill>
    <fill>
      <patternFill patternType="solid">
        <fgColor rgb="FFCCCCCC"/>
        <bgColor indexed="64"/>
      </patternFill>
    </fill>
    <fill>
      <patternFill patternType="solid">
        <fgColor rgb="FFFCE5CD"/>
        <bgColor indexed="64"/>
      </patternFill>
    </fill>
    <fill>
      <patternFill patternType="solid">
        <fgColor rgb="FFFFFFFF"/>
        <bgColor indexed="64"/>
      </patternFill>
    </fill>
    <fill>
      <patternFill patternType="solid">
        <fgColor rgb="FFCCCCCC"/>
        <bgColor indexed="64"/>
      </patternFill>
    </fill>
    <fill>
      <patternFill patternType="solid">
        <fgColor rgb="FFC2D1F0"/>
        <bgColor indexed="64"/>
      </patternFill>
    </fill>
    <fill>
      <patternFill patternType="solid">
        <fgColor rgb="FFFCE5CD"/>
        <bgColor indexed="64"/>
      </patternFill>
    </fill>
    <fill>
      <patternFill patternType="solid">
        <fgColor rgb="FF980000"/>
        <bgColor indexed="64"/>
      </patternFill>
    </fill>
    <fill>
      <patternFill patternType="solid">
        <fgColor rgb="FFE1C7E1"/>
        <bgColor indexed="64"/>
      </patternFill>
    </fill>
    <fill>
      <patternFill patternType="solid">
        <fgColor rgb="FFE1C7E1"/>
        <bgColor indexed="64"/>
      </patternFill>
    </fill>
    <fill>
      <patternFill patternType="solid">
        <fgColor rgb="FFE1C7E1"/>
        <bgColor indexed="64"/>
      </patternFill>
    </fill>
    <fill>
      <patternFill patternType="solid">
        <fgColor rgb="FF5B0F00"/>
        <bgColor indexed="64"/>
      </patternFill>
    </fill>
    <fill>
      <patternFill patternType="solid">
        <fgColor rgb="FF660000"/>
        <bgColor indexed="64"/>
      </patternFill>
    </fill>
    <fill>
      <patternFill patternType="solid">
        <fgColor rgb="FFBDE6E1"/>
        <bgColor indexed="64"/>
      </patternFill>
    </fill>
    <fill>
      <patternFill patternType="solid">
        <fgColor rgb="FFD0E0E3"/>
        <bgColor indexed="64"/>
      </patternFill>
    </fill>
    <fill>
      <patternFill patternType="solid">
        <fgColor rgb="FFCC0000"/>
        <bgColor indexed="64"/>
      </patternFill>
    </fill>
    <fill>
      <patternFill patternType="solid">
        <fgColor rgb="FFDD7E6B"/>
        <bgColor indexed="64"/>
      </patternFill>
    </fill>
    <fill>
      <patternFill patternType="solid">
        <fgColor rgb="FFFFFFFF"/>
        <bgColor indexed="64"/>
      </patternFill>
    </fill>
    <fill>
      <patternFill patternType="solid">
        <fgColor rgb="FFFFFFFF"/>
        <bgColor indexed="64"/>
      </patternFill>
    </fill>
    <fill>
      <patternFill patternType="solid">
        <fgColor rgb="FFDDDDDD"/>
        <bgColor indexed="64"/>
      </patternFill>
    </fill>
    <fill>
      <patternFill patternType="solid">
        <fgColor rgb="FFCCFFCC"/>
        <bgColor indexed="64"/>
      </patternFill>
    </fill>
    <fill>
      <patternFill patternType="solid">
        <fgColor rgb="FFDDDDDD"/>
        <bgColor indexed="64"/>
      </patternFill>
    </fill>
    <fill>
      <patternFill patternType="solid">
        <fgColor rgb="FFC2D1F0"/>
        <bgColor indexed="64"/>
      </patternFill>
    </fill>
    <fill>
      <patternFill patternType="solid">
        <fgColor rgb="FF990000"/>
        <bgColor indexed="64"/>
      </patternFill>
    </fill>
    <fill>
      <patternFill patternType="solid">
        <fgColor rgb="FFC2D1F0"/>
        <bgColor indexed="64"/>
      </patternFill>
    </fill>
    <fill>
      <patternFill patternType="solid">
        <fgColor rgb="FFE1C7E1"/>
        <bgColor indexed="64"/>
      </patternFill>
    </fill>
    <fill>
      <patternFill patternType="solid">
        <fgColor rgb="FFDD7E6B"/>
        <bgColor indexed="64"/>
      </patternFill>
    </fill>
    <fill>
      <patternFill patternType="solid">
        <fgColor rgb="FFD9EAD3"/>
        <bgColor indexed="64"/>
      </patternFill>
    </fill>
    <fill>
      <patternFill patternType="solid">
        <fgColor rgb="FF20124D"/>
        <bgColor indexed="64"/>
      </patternFill>
    </fill>
    <fill>
      <patternFill patternType="solid">
        <fgColor rgb="FFC0C0C0"/>
        <bgColor indexed="64"/>
      </patternFill>
    </fill>
    <fill>
      <patternFill patternType="solid">
        <fgColor rgb="FFFFF2CC"/>
        <bgColor indexed="64"/>
      </patternFill>
    </fill>
    <fill>
      <patternFill patternType="solid">
        <fgColor rgb="FFFFFFFF"/>
        <bgColor indexed="64"/>
      </patternFill>
    </fill>
    <fill>
      <patternFill patternType="solid">
        <fgColor rgb="FFD9EAD3"/>
        <bgColor indexed="64"/>
      </patternFill>
    </fill>
    <fill>
      <patternFill patternType="solid">
        <fgColor rgb="FFDDDDDD"/>
        <bgColor indexed="64"/>
      </patternFill>
    </fill>
    <fill>
      <patternFill patternType="solid">
        <fgColor rgb="FFFFFFFF"/>
        <bgColor indexed="64"/>
      </patternFill>
    </fill>
    <fill>
      <patternFill patternType="solid">
        <fgColor rgb="FFFFFFFF"/>
        <bgColor indexed="64"/>
      </patternFill>
    </fill>
    <fill>
      <patternFill patternType="solid">
        <fgColor rgb="FFC2D1F0"/>
        <bgColor indexed="64"/>
      </patternFill>
    </fill>
    <fill>
      <patternFill patternType="solid">
        <fgColor rgb="FFCCFFCC"/>
        <bgColor indexed="64"/>
      </patternFill>
    </fill>
    <fill>
      <patternFill patternType="solid">
        <fgColor rgb="FFD9EAD3"/>
        <bgColor indexed="64"/>
      </patternFill>
    </fill>
    <fill>
      <patternFill patternType="solid">
        <fgColor rgb="FFD9EAD3"/>
        <bgColor indexed="64"/>
      </patternFill>
    </fill>
    <fill>
      <patternFill patternType="solid">
        <fgColor rgb="FFD0E0E3"/>
        <bgColor indexed="64"/>
      </patternFill>
    </fill>
    <fill>
      <patternFill patternType="solid">
        <fgColor rgb="FFCCFFCC"/>
        <bgColor indexed="64"/>
      </patternFill>
    </fill>
    <fill>
      <patternFill patternType="solid">
        <fgColor rgb="FFFFFFFF"/>
        <bgColor indexed="64"/>
      </patternFill>
    </fill>
    <fill>
      <patternFill patternType="solid">
        <fgColor rgb="FFC2D1F0"/>
        <bgColor indexed="64"/>
      </patternFill>
    </fill>
    <fill>
      <patternFill patternType="solid">
        <fgColor rgb="FFBDE6E1"/>
        <bgColor indexed="64"/>
      </patternFill>
    </fill>
    <fill>
      <patternFill patternType="solid">
        <fgColor rgb="FF003366"/>
        <bgColor indexed="64"/>
      </patternFill>
    </fill>
    <fill>
      <patternFill patternType="solid">
        <fgColor rgb="FFD9EAD3"/>
        <bgColor indexed="64"/>
      </patternFill>
    </fill>
    <fill>
      <patternFill patternType="solid">
        <fgColor rgb="FF003366"/>
        <bgColor indexed="64"/>
      </patternFill>
    </fill>
    <fill>
      <patternFill patternType="solid">
        <fgColor rgb="FF20124D"/>
        <bgColor indexed="64"/>
      </patternFill>
    </fill>
    <fill>
      <patternFill patternType="solid">
        <fgColor rgb="FF003366"/>
        <bgColor indexed="64"/>
      </patternFill>
    </fill>
  </fills>
  <borders count="10">
    <border>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fillId="0" numFmtId="0" borderId="0" fontId="0"/>
  </cellStyleXfs>
  <cellXfs count="104">
    <xf applyAlignment="1" fillId="0" xfId="0" numFmtId="0" borderId="0" fontId="0">
      <alignment vertical="bottom" horizontal="general" wrapText="1"/>
    </xf>
    <xf applyAlignment="1" fillId="2" xfId="0" numFmtId="0" borderId="0" applyFont="1" fontId="1" applyFill="1">
      <alignment vertical="top" horizontal="left" wrapText="1"/>
    </xf>
    <xf applyAlignment="1" fillId="3" xfId="0" numFmtId="0" borderId="0" applyFont="1" fontId="2" applyFill="1">
      <alignment vertical="bottom" horizontal="center" wrapText="1"/>
    </xf>
    <xf applyAlignment="1" fillId="4" xfId="0" numFmtId="0" borderId="0" applyFont="1" fontId="3" applyFill="1">
      <alignment vertical="top" horizontal="general" wrapText="1"/>
    </xf>
    <xf applyAlignment="1" fillId="5" xfId="0" numFmtId="0" borderId="0" applyFont="1" fontId="4" applyFill="1">
      <alignment vertical="top" horizontal="left" wrapText="1"/>
    </xf>
    <xf applyAlignment="1" fillId="6" xfId="0" numFmtId="0" borderId="0" fontId="0" applyFill="1">
      <alignment vertical="bottom" horizontal="general" wrapText="1"/>
    </xf>
    <xf applyAlignment="1" fillId="7" xfId="0" numFmtId="0" borderId="0" applyFont="1" fontId="5" applyFill="1">
      <alignment vertical="top" horizontal="left" wrapText="1"/>
    </xf>
    <xf applyAlignment="1" fillId="0" xfId="0" numFmtId="0" borderId="0" fontId="0">
      <alignment vertical="top" horizontal="general" wrapText="1"/>
    </xf>
    <xf applyAlignment="1" fillId="8" xfId="0" numFmtId="0" borderId="0" fontId="0" applyFill="1">
      <alignment vertical="top" horizontal="general" wrapText="1"/>
    </xf>
    <xf applyAlignment="1" fillId="9" xfId="0" numFmtId="0" borderId="0" fontId="0" applyFill="1">
      <alignment vertical="top" horizontal="left" wrapText="1"/>
    </xf>
    <xf applyAlignment="1" fillId="10" xfId="0" numFmtId="0" borderId="0" fontId="0" applyFill="1">
      <alignment vertical="bottom" horizontal="general" wrapText="1"/>
    </xf>
    <xf applyAlignment="1" fillId="0" xfId="0" numFmtId="0" borderId="0" applyFont="1" fontId="6">
      <alignment vertical="bottom" horizontal="general" wrapText="1"/>
    </xf>
    <xf applyAlignment="1" fillId="11" xfId="0" numFmtId="0" borderId="0" fontId="0" applyFill="1">
      <alignment vertical="top" horizontal="general" wrapText="1"/>
    </xf>
    <xf applyAlignment="1" fillId="12" xfId="0" numFmtId="0" borderId="0" applyFont="1" fontId="7" applyFill="1">
      <alignment vertical="bottom" horizontal="general" wrapText="1"/>
    </xf>
    <xf applyAlignment="1" fillId="13" xfId="0" numFmtId="0" borderId="0" applyFont="1" fontId="8" applyFill="1">
      <alignment vertical="top" horizontal="general" wrapText="1"/>
    </xf>
    <xf applyAlignment="1" fillId="0" xfId="0" numFmtId="0" borderId="0" fontId="0">
      <alignment vertical="top" horizontal="right" wrapText="1"/>
    </xf>
    <xf applyAlignment="1" fillId="14" xfId="0" numFmtId="0" borderId="0" fontId="0" applyFill="1">
      <alignment vertical="top" horizontal="left" wrapText="1"/>
    </xf>
    <xf applyAlignment="1" fillId="15" xfId="0" numFmtId="0" borderId="0" applyFont="1" fontId="9" applyFill="1">
      <alignment vertical="top" horizontal="general" wrapText="1"/>
    </xf>
    <xf applyAlignment="1" fillId="16" xfId="0" numFmtId="0" borderId="0" applyFont="1" fontId="10" applyFill="1">
      <alignment vertical="bottom" horizontal="center" wrapText="1"/>
    </xf>
    <xf applyBorder="1" applyAlignment="1" fillId="0" xfId="0" numFmtId="0" borderId="1" applyFont="1" fontId="11">
      <alignment vertical="bottom" horizontal="general" wrapText="1"/>
    </xf>
    <xf applyAlignment="1" fillId="17" xfId="0" numFmtId="0" borderId="0" applyFont="1" fontId="12" applyFill="1">
      <alignment vertical="top" horizontal="left"/>
    </xf>
    <xf applyAlignment="1" fillId="18" xfId="0" numFmtId="0" borderId="0" applyFont="1" fontId="13" applyFill="1">
      <alignment vertical="top" horizontal="general" wrapText="1"/>
    </xf>
    <xf applyAlignment="1" fillId="19" xfId="0" numFmtId="0" borderId="0" applyFont="1" fontId="14" applyFill="1">
      <alignment vertical="top" horizontal="left" wrapText="1"/>
    </xf>
    <xf applyAlignment="1" fillId="20" xfId="0" numFmtId="0" borderId="0" applyFont="1" fontId="15" applyFill="1">
      <alignment vertical="top" horizontal="left" wrapText="1"/>
    </xf>
    <xf applyAlignment="1" fillId="21" xfId="0" numFmtId="0" borderId="0" applyFont="1" fontId="16" applyFill="1">
      <alignment vertical="center" horizontal="general" wrapText="1"/>
    </xf>
    <xf applyAlignment="1" fillId="22" xfId="0" numFmtId="0" borderId="0" fontId="0" applyFill="1">
      <alignment vertical="top" horizontal="left" wrapText="1"/>
    </xf>
    <xf applyAlignment="1" fillId="23" xfId="0" numFmtId="0" borderId="0" fontId="0" applyFill="1">
      <alignment vertical="top" horizontal="left" wrapText="1"/>
    </xf>
    <xf applyAlignment="1" fillId="0" xfId="0" numFmtId="0" borderId="0" fontId="0">
      <alignment vertical="bottom" horizontal="left" wrapText="1"/>
    </xf>
    <xf applyAlignment="1" fillId="0" xfId="0" numFmtId="0" borderId="0" applyFont="1" fontId="17">
      <alignment vertical="center" horizontal="center" wrapText="1"/>
    </xf>
    <xf applyAlignment="1" fillId="0" xfId="0" numFmtId="0" borderId="0" applyFont="1" fontId="18">
      <alignment vertical="bottom" horizontal="left" wrapText="1"/>
    </xf>
    <xf applyAlignment="1" fillId="24" xfId="0" numFmtId="49" borderId="0" applyFont="1" fontId="19" applyNumberFormat="1" applyFill="1">
      <alignment vertical="top" horizontal="left" wrapText="1"/>
    </xf>
    <xf applyAlignment="1" fillId="25" xfId="0" numFmtId="0" borderId="0" fontId="0" applyFill="1">
      <alignment vertical="bottom" horizontal="general" wrapText="1"/>
    </xf>
    <xf applyAlignment="1" fillId="26" xfId="0" numFmtId="0" borderId="0" applyFont="1" fontId="20" applyFill="1">
      <alignment vertical="top" horizontal="left" wrapText="1"/>
    </xf>
    <xf applyAlignment="1" fillId="0" xfId="0" numFmtId="0" borderId="0" applyFont="1" fontId="21">
      <alignment vertical="bottom" horizontal="left" wrapText="1"/>
    </xf>
    <xf applyAlignment="1" fillId="27" xfId="0" numFmtId="0" borderId="0" fontId="0" applyFill="1">
      <alignment vertical="top" horizontal="left" wrapText="1"/>
    </xf>
    <xf applyAlignment="1" fillId="28" xfId="0" numFmtId="0" borderId="0" applyFont="1" fontId="22" applyFill="1">
      <alignment vertical="center" horizontal="center" wrapText="1"/>
    </xf>
    <xf applyAlignment="1" fillId="29" xfId="0" numFmtId="0" borderId="0" fontId="0" applyFill="1">
      <alignment vertical="top" horizontal="general" wrapText="1"/>
    </xf>
    <xf applyAlignment="1" fillId="30" xfId="0" numFmtId="0" borderId="0" fontId="0" applyFill="1">
      <alignment vertical="top" horizontal="left" wrapText="1"/>
    </xf>
    <xf applyAlignment="1" fillId="31" xfId="0" numFmtId="49" borderId="0" fontId="0" applyNumberFormat="1" applyFill="1">
      <alignment vertical="top" horizontal="left" wrapText="1"/>
    </xf>
    <xf applyAlignment="1" fillId="32" xfId="0" numFmtId="0" borderId="0" applyFont="1" fontId="23" applyFill="1">
      <alignment vertical="top" horizontal="general" wrapText="1"/>
    </xf>
    <xf applyAlignment="1" fillId="0" xfId="0" numFmtId="0" borderId="0" fontId="0">
      <alignment vertical="top" horizontal="general" wrapText="1"/>
    </xf>
    <xf applyAlignment="1" fillId="33" xfId="0" numFmtId="0" borderId="0" applyFont="1" fontId="24" applyFill="1">
      <alignment vertical="top" horizontal="general" wrapText="1"/>
    </xf>
    <xf applyAlignment="1" fillId="34" xfId="0" numFmtId="0" borderId="0" fontId="0" applyFill="1">
      <alignment vertical="top" horizontal="general" wrapText="1"/>
    </xf>
    <xf applyAlignment="1" fillId="35" xfId="0" numFmtId="0" borderId="0" fontId="0" applyFill="1">
      <alignment vertical="top" horizontal="general" wrapText="1"/>
    </xf>
    <xf applyAlignment="1" fillId="36" xfId="0" numFmtId="0" borderId="0" applyFont="1" fontId="25" applyFill="1">
      <alignment vertical="center" horizontal="center" wrapText="1"/>
    </xf>
    <xf applyAlignment="1" fillId="37" xfId="0" numFmtId="0" borderId="0" fontId="0" applyFill="1">
      <alignment vertical="top" horizontal="left" wrapText="1"/>
    </xf>
    <xf applyAlignment="1" fillId="38" xfId="0" numFmtId="0" borderId="0" fontId="0" applyFill="1">
      <alignment vertical="top" horizontal="left"/>
    </xf>
    <xf applyAlignment="1" fillId="39" xfId="0" numFmtId="0" borderId="0" applyFont="1" fontId="26" applyFill="1">
      <alignment vertical="center" horizontal="general" wrapText="1"/>
    </xf>
    <xf applyAlignment="1" fillId="0" xfId="0" numFmtId="49" borderId="0" fontId="0" applyNumberFormat="1">
      <alignment vertical="top" horizontal="general" wrapText="1"/>
    </xf>
    <xf applyAlignment="1" fillId="0" xfId="0" numFmtId="0" borderId="0" fontId="0">
      <alignment vertical="bottom" horizontal="general" wrapText="1"/>
    </xf>
    <xf applyAlignment="1" fillId="40" xfId="0" numFmtId="0" borderId="0" fontId="0" applyFill="1">
      <alignment vertical="top" horizontal="general" wrapText="1"/>
    </xf>
    <xf applyAlignment="1" fillId="41" xfId="0" numFmtId="0" borderId="0" fontId="0" applyFill="1">
      <alignment vertical="bottom" horizontal="general" wrapText="1"/>
    </xf>
    <xf applyBorder="1" applyAlignment="1" fillId="42" xfId="0" numFmtId="0" borderId="2" applyFont="1" fontId="27" applyFill="1">
      <alignment vertical="center" horizontal="center" wrapText="1"/>
    </xf>
    <xf applyAlignment="1" fillId="43" xfId="0" numFmtId="0" borderId="0" applyFont="1" fontId="28" applyFill="1">
      <alignment vertical="center" horizontal="center" wrapText="1"/>
    </xf>
    <xf applyAlignment="1" fillId="44" xfId="0" numFmtId="49" borderId="0" applyFont="1" fontId="29" applyNumberFormat="1" applyFill="1">
      <alignment vertical="top" horizontal="left" wrapText="1"/>
    </xf>
    <xf applyAlignment="1" fillId="45" xfId="0" numFmtId="0" borderId="0" fontId="0" applyFill="1">
      <alignment vertical="top" horizontal="left" wrapText="1"/>
    </xf>
    <xf applyAlignment="1" fillId="46" xfId="0" numFmtId="0" borderId="0" fontId="0" applyFill="1">
      <alignment vertical="top" horizontal="left"/>
    </xf>
    <xf applyAlignment="1" fillId="47" xfId="0" numFmtId="49" borderId="0" applyFont="1" fontId="30" applyNumberFormat="1" applyFill="1">
      <alignment vertical="top" horizontal="left" wrapText="1"/>
    </xf>
    <xf applyAlignment="1" fillId="48" xfId="0" numFmtId="0" borderId="0" fontId="0" applyFill="1">
      <alignment vertical="top" horizontal="general" wrapText="1"/>
    </xf>
    <xf applyAlignment="1" fillId="49" xfId="0" numFmtId="0" borderId="0" fontId="0" applyFill="1">
      <alignment vertical="top" horizontal="general" wrapText="1"/>
    </xf>
    <xf applyAlignment="1" fillId="0" xfId="0" numFmtId="164" borderId="0" fontId="0" applyNumberFormat="1">
      <alignment vertical="bottom" horizontal="left" wrapText="1"/>
    </xf>
    <xf applyAlignment="1" fillId="50" xfId="0" numFmtId="0" borderId="0" applyFont="1" fontId="31" applyFill="1">
      <alignment vertical="top" horizontal="left" wrapText="1"/>
    </xf>
    <xf applyAlignment="1" fillId="0" xfId="0" numFmtId="0" borderId="0" applyFont="1" fontId="32">
      <alignment vertical="bottom" horizontal="general" wrapText="1"/>
    </xf>
    <xf applyAlignment="1" fillId="51" xfId="0" numFmtId="0" borderId="0" fontId="0" applyFill="1">
      <alignment vertical="top" horizontal="general" wrapText="1"/>
    </xf>
    <xf applyBorder="1" applyAlignment="1" fillId="0" xfId="0" numFmtId="0" borderId="3" fontId="0">
      <alignment vertical="top" horizontal="left" wrapText="1"/>
    </xf>
    <xf applyAlignment="1" fillId="52" xfId="0" numFmtId="0" borderId="0" fontId="0" applyFill="1">
      <alignment vertical="top" horizontal="left" wrapText="1"/>
    </xf>
    <xf applyAlignment="1" fillId="53" xfId="0" numFmtId="0" borderId="0" fontId="0" applyFill="1">
      <alignment vertical="top" horizontal="general" wrapText="1"/>
    </xf>
    <xf applyAlignment="1" fillId="54" xfId="0" numFmtId="0" borderId="0" applyFont="1" fontId="33" applyFill="1">
      <alignment vertical="top" horizontal="left" wrapText="1"/>
    </xf>
    <xf applyBorder="1" applyAlignment="1" fillId="55" xfId="0" numFmtId="0" borderId="4" applyFont="1" fontId="34" applyFill="1">
      <alignment vertical="center" horizontal="center" wrapText="1"/>
    </xf>
    <xf applyAlignment="1" fillId="56" xfId="0" numFmtId="0" borderId="0" fontId="0" applyFill="1">
      <alignment vertical="top" horizontal="general" wrapText="1"/>
    </xf>
    <xf applyAlignment="1" fillId="0" xfId="0" numFmtId="0" borderId="0" fontId="0">
      <alignment vertical="center" horizontal="center" wrapText="1"/>
    </xf>
    <xf applyBorder="1" applyAlignment="1" fillId="57" xfId="0" numFmtId="0" borderId="5" applyFont="1" fontId="35" applyFill="1">
      <alignment vertical="center" horizontal="center" wrapText="1"/>
    </xf>
    <xf applyBorder="1" applyAlignment="1" fillId="58" xfId="0" numFmtId="0" borderId="6" applyFont="1" fontId="36" applyFill="1">
      <alignment vertical="center" horizontal="center" wrapText="1"/>
    </xf>
    <xf applyAlignment="1" fillId="59" xfId="0" numFmtId="0" borderId="0" fontId="0" applyFill="1">
      <alignment vertical="top" horizontal="left" wrapText="1"/>
    </xf>
    <xf applyAlignment="1" fillId="60" xfId="0" numFmtId="0" borderId="0" applyFont="1" fontId="37" applyFill="1">
      <alignment vertical="top" horizontal="general" wrapText="1"/>
    </xf>
    <xf applyAlignment="1" fillId="61" xfId="0" numFmtId="49" borderId="0" applyFont="1" fontId="38" applyNumberFormat="1" applyFill="1">
      <alignment vertical="top" horizontal="left" wrapText="1"/>
    </xf>
    <xf applyAlignment="1" fillId="62" xfId="0" numFmtId="0" borderId="0" applyFont="1" fontId="39" applyFill="1">
      <alignment vertical="top" horizontal="left" wrapText="1"/>
    </xf>
    <xf applyAlignment="1" fillId="63" xfId="0" numFmtId="0" borderId="0" fontId="0" applyFill="1">
      <alignment vertical="top" horizontal="left" wrapText="1"/>
    </xf>
    <xf applyAlignment="1" fillId="64" xfId="0" numFmtId="0" borderId="0" applyFont="1" fontId="40" applyFill="1">
      <alignment vertical="center" horizontal="center" wrapText="1"/>
    </xf>
    <xf applyAlignment="1" fillId="65" xfId="0" numFmtId="0" borderId="0" fontId="0" applyFill="1">
      <alignment vertical="bottom" horizontal="general" wrapText="1"/>
    </xf>
    <xf applyAlignment="1" fillId="66" xfId="0" numFmtId="0" borderId="0" fontId="0" applyFill="1">
      <alignment vertical="top" horizontal="left"/>
    </xf>
    <xf applyAlignment="1" fillId="67" xfId="0" numFmtId="0" borderId="0" fontId="0" applyFill="1">
      <alignment vertical="top" horizontal="left" wrapText="1"/>
    </xf>
    <xf applyAlignment="1" fillId="68" xfId="0" numFmtId="49" borderId="0" fontId="0" applyNumberFormat="1" applyFill="1">
      <alignment vertical="top" horizontal="left" wrapText="1"/>
    </xf>
    <xf applyBorder="1" applyAlignment="1" fillId="69" xfId="0" numFmtId="0" borderId="7" applyFont="1" fontId="41" applyFill="1">
      <alignment vertical="center" horizontal="center" wrapText="1"/>
    </xf>
    <xf applyAlignment="1" fillId="70" xfId="0" numFmtId="0" borderId="0" fontId="0" applyFill="1">
      <alignment vertical="bottom" horizontal="general" wrapText="1"/>
    </xf>
    <xf applyAlignment="1" fillId="71" xfId="0" numFmtId="0" borderId="0" fontId="0" applyFill="1">
      <alignment vertical="bottom" horizontal="general" wrapText="1"/>
    </xf>
    <xf applyAlignment="1" fillId="0" xfId="0" numFmtId="0" borderId="0" fontId="0">
      <alignment vertical="top" horizontal="left" wrapText="1"/>
    </xf>
    <xf applyAlignment="1" fillId="72" xfId="0" numFmtId="0" borderId="0" applyFont="1" fontId="42" applyFill="1">
      <alignment vertical="bottom" horizontal="center" wrapText="1"/>
    </xf>
    <xf applyAlignment="1" fillId="73" xfId="0" numFmtId="0" borderId="0" applyFont="1" fontId="43" applyFill="1">
      <alignment vertical="top" horizontal="left" wrapText="1"/>
    </xf>
    <xf applyAlignment="1" fillId="74" xfId="0" numFmtId="0" borderId="0" fontId="0" applyFill="1">
      <alignment vertical="top" horizontal="general" wrapText="1"/>
    </xf>
    <xf applyAlignment="1" fillId="75" xfId="0" numFmtId="0" borderId="0" applyFont="1" fontId="44" applyFill="1">
      <alignment vertical="top" horizontal="center" wrapText="1"/>
    </xf>
    <xf applyAlignment="1" fillId="76" xfId="0" numFmtId="0" borderId="0" applyFont="1" fontId="45" applyFill="1">
      <alignment vertical="top" horizontal="left" wrapText="1"/>
    </xf>
    <xf applyAlignment="1" fillId="77" xfId="0" numFmtId="0" borderId="0" fontId="0" applyFill="1">
      <alignment vertical="bottom" horizontal="general" wrapText="1"/>
    </xf>
    <xf applyAlignment="1" fillId="78" xfId="0" numFmtId="0" borderId="0" applyFont="1" fontId="46" applyFill="1">
      <alignment vertical="top" horizontal="left"/>
    </xf>
    <xf applyAlignment="1" fillId="0" xfId="0" numFmtId="0" borderId="0" applyFont="1" fontId="47">
      <alignment vertical="bottom" horizontal="general" wrapText="1"/>
    </xf>
    <xf applyAlignment="1" fillId="0" xfId="0" numFmtId="49" borderId="0" fontId="0" applyNumberFormat="1">
      <alignment vertical="top" horizontal="left" wrapText="1"/>
    </xf>
    <xf applyAlignment="1" fillId="0" xfId="0" numFmtId="0" borderId="0" applyFont="1" fontId="48">
      <alignment vertical="center" horizontal="center" wrapText="1"/>
    </xf>
    <xf applyAlignment="1" fillId="79" xfId="0" numFmtId="0" borderId="0" applyFont="1" fontId="49" applyFill="1">
      <alignment vertical="center" horizontal="general" wrapText="1"/>
    </xf>
    <xf applyAlignment="1" fillId="80" xfId="0" numFmtId="0" borderId="0" applyFont="1" fontId="50" applyFill="1">
      <alignment vertical="top" horizontal="left" wrapText="1"/>
    </xf>
    <xf applyBorder="1" applyAlignment="1" fillId="0" xfId="0" numFmtId="0" borderId="8" fontId="0">
      <alignment vertical="top" horizontal="left" wrapText="1"/>
    </xf>
    <xf applyAlignment="1" fillId="0" xfId="0" numFmtId="0" borderId="0" applyFont="1" fontId="51">
      <alignment vertical="bottom" horizontal="center" wrapText="1"/>
    </xf>
    <xf applyBorder="1" applyAlignment="1" fillId="0" xfId="0" numFmtId="0" borderId="9" applyFont="1" fontId="52">
      <alignment vertical="bottom" horizontal="general" wrapText="1"/>
    </xf>
    <xf applyAlignment="1" fillId="81" xfId="0" numFmtId="0" borderId="0" fontId="0" applyFill="1">
      <alignment vertical="top" horizontal="left" wrapText="1"/>
    </xf>
    <xf applyAlignment="1" fillId="82" xfId="0" numFmtId="0" borderId="0" applyFont="1" fontId="53" applyFill="1">
      <alignment vertical="top" horizontal="left" wrapText="1"/>
    </xf>
  </cellXfs>
  <cellStyles count="1">
    <cellStyle builtinId="0" name="Normal" xfId="0"/>
  </cellStyles>
</styleSheet>
</file>

<file path=xl/_rels/workbook.xml.rels><?xml version="1.0" encoding="UTF-8" standalone="yes"?><Relationships xmlns="http://schemas.openxmlformats.org/package/2006/relationships"><Relationship Target="worksheets/sheet12.xml" Type="http://schemas.openxmlformats.org/officeDocument/2006/relationships/worksheet" Id="rId14"/><Relationship Target="sharedStrings.xml" Type="http://schemas.openxmlformats.org/officeDocument/2006/relationships/sharedStrings" Id="rId2"/><Relationship Target="worksheets/sheet10.xml" Type="http://schemas.openxmlformats.org/officeDocument/2006/relationships/worksheet" Id="rId12"/><Relationship Target="styles.xml" Type="http://schemas.openxmlformats.org/officeDocument/2006/relationships/styles" Id="rId1"/><Relationship Target="worksheets/sheet11.xml" Type="http://schemas.openxmlformats.org/officeDocument/2006/relationships/worksheet" Id="rId13"/><Relationship Target="worksheets/sheet2.xml" Type="http://schemas.openxmlformats.org/officeDocument/2006/relationships/worksheet" Id="rId4"/><Relationship Target="worksheets/sheet8.xml" Type="http://schemas.openxmlformats.org/officeDocument/2006/relationships/worksheet" Id="rId10"/><Relationship Target="worksheets/sheet1.xml" Type="http://schemas.openxmlformats.org/officeDocument/2006/relationships/worksheet" Id="rId3"/><Relationship Target="worksheets/sheet9.xml" Type="http://schemas.openxmlformats.org/officeDocument/2006/relationships/worksheet" Id="rId11"/><Relationship Target="worksheets/sheet7.xml" Type="http://schemas.openxmlformats.org/officeDocument/2006/relationships/worksheet" Id="rId9"/><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worksheets/_rels/sheet5.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3.43"/>
    <col min="2" customWidth="1" max="2" width="26.86"/>
    <col min="3" customWidth="1" max="3" width="20.29"/>
  </cols>
  <sheetData>
    <row r="1">
      <c t="s" s="33" r="A1">
        <v>0</v>
      </c>
      <c t="s" s="27" r="B1">
        <v>1</v>
      </c>
      <c s="27" r="C1"/>
    </row>
    <row r="2">
      <c t="s" s="33" r="A2">
        <v>2</v>
      </c>
      <c t="s" s="27" r="B2">
        <v>3</v>
      </c>
      <c s="27" r="C2"/>
    </row>
    <row r="3">
      <c t="s" s="33" r="A3">
        <v>4</v>
      </c>
      <c t="s" s="27" r="B3">
        <v>5</v>
      </c>
      <c s="27" r="C3"/>
    </row>
    <row r="4">
      <c t="s" s="33" r="A4">
        <v>6</v>
      </c>
      <c s="27" r="B4"/>
      <c s="27" r="C4"/>
    </row>
    <row r="5">
      <c t="s" s="33" r="A5">
        <v>7</v>
      </c>
      <c t="s" s="27" r="B5">
        <v>8</v>
      </c>
      <c s="27" r="C5"/>
    </row>
    <row r="6">
      <c t="s" s="33" r="A6">
        <v>9</v>
      </c>
      <c t="s" s="27" r="B6">
        <v>10</v>
      </c>
      <c s="27" r="C6"/>
    </row>
    <row r="7">
      <c t="s" s="33" r="A7">
        <v>11</v>
      </c>
      <c t="s" s="27" r="B7">
        <v>12</v>
      </c>
      <c s="27" r="C7"/>
    </row>
    <row r="8">
      <c t="s" s="33" r="A8">
        <v>13</v>
      </c>
      <c t="s" s="27" r="B8">
        <v>14</v>
      </c>
      <c s="27" r="C8"/>
    </row>
    <row r="9">
      <c t="str" s="33" r="A9">
        <f>HYPERLINK("http://en.wikipedia.org/wiki/ISO_3166-1", "Country")</f>
        <v>Country</v>
      </c>
      <c t="s" s="27" r="B9">
        <v>15</v>
      </c>
      <c s="27" r="C9"/>
    </row>
    <row r="10">
      <c t="s" s="33" r="A10">
        <v>16</v>
      </c>
      <c t="s" s="27" r="B10">
        <v>17</v>
      </c>
      <c t="s" s="27" r="C10">
        <v>18</v>
      </c>
    </row>
    <row r="11">
      <c t="s" s="33" r="A11">
        <v>19</v>
      </c>
      <c t="s" s="27" r="B11">
        <v>17</v>
      </c>
      <c s="27" r="C11"/>
    </row>
    <row r="12">
      <c t="s" s="33" r="A12">
        <v>20</v>
      </c>
      <c t="s" s="27" r="B12">
        <v>21</v>
      </c>
      <c s="27" r="C12"/>
    </row>
    <row r="13">
      <c t="s" s="33" r="A13">
        <v>22</v>
      </c>
      <c t="s" s="27" r="B13">
        <v>15</v>
      </c>
      <c s="27" r="C13"/>
    </row>
    <row r="14">
      <c t="s" s="33" r="A14">
        <v>23</v>
      </c>
      <c t="s" s="27" r="B14">
        <v>15</v>
      </c>
      <c s="27" r="C14"/>
    </row>
    <row r="15">
      <c t="s" s="33" r="A15">
        <v>24</v>
      </c>
      <c s="60" r="B15">
        <v>16939</v>
      </c>
      <c s="27" r="C15"/>
    </row>
    <row r="16">
      <c t="s" s="33" r="A16">
        <v>25</v>
      </c>
      <c t="s" s="27" r="B16">
        <v>26</v>
      </c>
      <c s="27" r="C16"/>
    </row>
    <row r="17">
      <c t="s" s="33" r="A17">
        <v>27</v>
      </c>
      <c s="27" r="B17"/>
      <c s="27" r="C17"/>
    </row>
    <row r="18">
      <c s="29" r="A18"/>
      <c s="27" r="B18"/>
      <c s="27" r="C18"/>
    </row>
    <row r="19">
      <c s="29" r="A19"/>
      <c s="27" r="B19"/>
      <c s="27" r="C19"/>
    </row>
    <row r="20">
      <c s="29" r="A20"/>
      <c s="27" r="B20"/>
      <c s="27" r="C20"/>
    </row>
  </sheetData>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1" r="A1">
        <v>1816</v>
      </c>
      <c t="s" s="21" r="B1">
        <v>1817</v>
      </c>
      <c t="s" s="21" r="C1">
        <v>1818</v>
      </c>
      <c t="s" s="17" r="D1">
        <v>1819</v>
      </c>
      <c t="s" s="17" r="E1">
        <v>1820</v>
      </c>
      <c s="17" r="F1"/>
      <c s="17" r="G1"/>
      <c t="s" s="17" r="H1">
        <v>1821</v>
      </c>
      <c t="s" s="17" r="I1">
        <v>1822</v>
      </c>
      <c t="s" s="17" r="J1">
        <v>1823</v>
      </c>
      <c t="s" s="17" r="K1">
        <v>1824</v>
      </c>
      <c s="7" r="L1"/>
      <c s="7" r="M1"/>
      <c s="7" r="N1"/>
      <c s="7" r="O1"/>
      <c s="7" r="P1"/>
      <c s="7" r="Q1"/>
      <c s="7" r="R1"/>
      <c s="7" r="S1"/>
      <c s="7" r="T1"/>
    </row>
    <row r="2">
      <c t="s" s="7" r="A2">
        <v>81</v>
      </c>
      <c s="7" r="B2">
        <f>H2</f>
        <v>1</v>
      </c>
      <c s="7" r="C2">
        <f>J2</f>
        <v>17</v>
      </c>
      <c t="s" s="7" r="D2">
        <v>81</v>
      </c>
      <c t="s" s="7" r="E2">
        <v>82</v>
      </c>
      <c s="7" r="F2">
        <v>1</v>
      </c>
      <c s="7" r="G2">
        <v>1</v>
      </c>
      <c s="7" r="H2">
        <f>COUNTIF(EXPERTISE!H4:H50,"*PS1: Assessment and Management of Environmental and Social Risks and Impacts*")</f>
        <v>1</v>
      </c>
      <c s="7" r="I2">
        <f>COUNTIF(EXPERTISE!I4:I50,"*Community Engagement*")</f>
        <v>1</v>
      </c>
      <c s="7" r="J2">
        <f>COUNTIF(PROJECT!X2:X100,"*PS1: Assessment and Management of Environmental and Social Risks and Impacts*")</f>
        <v>17</v>
      </c>
      <c s="7" r="K2">
        <f>COUNTIF(PROJECT!Y2:Y100,"*Community Engagement*")</f>
        <v>12</v>
      </c>
      <c s="7" r="L2"/>
      <c s="7" r="M2"/>
      <c s="7" r="N2"/>
      <c s="7" r="O2"/>
      <c s="7" r="P2"/>
      <c s="7" r="Q2"/>
      <c s="7" r="R2"/>
      <c s="7" r="S2"/>
      <c s="7" r="T2"/>
    </row>
    <row r="3">
      <c t="s" s="7" r="A3">
        <v>2060</v>
      </c>
      <c s="7" r="B3">
        <f>H15</f>
        <v>0</v>
      </c>
      <c s="7" r="C3">
        <f>J15</f>
        <v>0</v>
      </c>
      <c t="s" s="7" r="D3">
        <v>81</v>
      </c>
      <c t="s" s="7" r="E3">
        <v>2061</v>
      </c>
      <c s="7" r="F3">
        <v>0</v>
      </c>
      <c s="7" r="G3">
        <v>1</v>
      </c>
      <c s="7" r="H3"/>
      <c s="7" r="I3">
        <f>COUNTIF(EXPERTISE!I4:I50,"*Contractor E&amp;S Management*")</f>
        <v>0</v>
      </c>
      <c s="7" r="J3"/>
      <c s="7" r="K3">
        <f>COUNTIF(PROJECT!Y2:Y100,"*Contractor E&amp;S Management*")</f>
        <v>0</v>
      </c>
      <c s="7" r="L3"/>
      <c s="7" r="M3"/>
      <c s="7" r="N3"/>
      <c s="7" r="O3"/>
      <c s="7" r="P3"/>
      <c s="7" r="Q3"/>
      <c s="7" r="R3"/>
      <c s="7" r="S3"/>
      <c s="7" r="T3"/>
    </row>
    <row r="4">
      <c t="s" s="7" r="A4">
        <v>106</v>
      </c>
      <c s="7" r="B4">
        <f>H23</f>
        <v>1</v>
      </c>
      <c s="7" r="C4">
        <f>J23</f>
        <v>21</v>
      </c>
      <c t="s" s="7" r="D4">
        <v>81</v>
      </c>
      <c t="s" s="7" r="E4">
        <v>2062</v>
      </c>
      <c s="7" r="F4">
        <v>0</v>
      </c>
      <c s="7" r="G4">
        <v>1</v>
      </c>
      <c s="7" r="H4"/>
      <c s="7" r="I4">
        <f>COUNTIF(EXPERTISE!I4:I50,"*E&amp;S Organizational Capacity Assessment*")</f>
        <v>0</v>
      </c>
      <c s="7" r="J4"/>
      <c s="7" r="K4">
        <f>COUNTIF(PROJECT!Y2:Y100,"*E&amp;S Organizational Capacity Assessment*")</f>
        <v>0</v>
      </c>
      <c s="7" r="L4"/>
      <c s="7" r="M4"/>
      <c s="7" r="N4"/>
      <c s="7" r="O4"/>
      <c s="7" r="P4"/>
      <c s="7" r="Q4"/>
      <c s="7" r="R4"/>
      <c s="7" r="S4"/>
      <c s="7" r="T4"/>
    </row>
    <row r="5">
      <c t="s" s="7" r="A5">
        <v>121</v>
      </c>
      <c s="7" r="B5">
        <f>H33</f>
        <v>1</v>
      </c>
      <c s="7" r="C5">
        <f>J33</f>
        <v>1</v>
      </c>
      <c t="s" s="7" r="D5">
        <v>81</v>
      </c>
      <c t="s" s="7" r="E5">
        <v>2063</v>
      </c>
      <c s="7" r="F5">
        <v>0</v>
      </c>
      <c s="7" r="G5">
        <v>1</v>
      </c>
      <c s="7" r="H5"/>
      <c s="7" r="I5">
        <f>COUNTIF(EXPERTISE!I4:I50,"*E&amp;S Training Design*")</f>
        <v>0</v>
      </c>
      <c s="7" r="J5"/>
      <c s="7" r="K5">
        <f>COUNTIF(PROJECT!Y2:Y100,"*E&amp;S Training Design*")</f>
        <v>0</v>
      </c>
      <c s="7" r="L5"/>
      <c s="7" r="M5"/>
      <c s="7" r="N5"/>
      <c s="7" r="O5"/>
      <c s="7" r="P5"/>
      <c s="7" r="Q5"/>
      <c s="7" r="R5"/>
      <c s="7" r="S5"/>
      <c s="7" r="T5"/>
    </row>
    <row r="6">
      <c t="s" s="7" r="A6">
        <v>127</v>
      </c>
      <c s="7" r="B6">
        <f>H38</f>
        <v>1</v>
      </c>
      <c s="7" r="C6">
        <f>J38</f>
        <v>23</v>
      </c>
      <c t="s" s="7" r="D6">
        <v>81</v>
      </c>
      <c t="s" s="7" r="E6">
        <v>2064</v>
      </c>
      <c s="7" r="F6">
        <v>0</v>
      </c>
      <c s="7" r="G6">
        <v>1</v>
      </c>
      <c s="7" r="H6"/>
      <c s="7" r="I6">
        <f>COUNTIF(EXPERTISE!I4:I50,"*E&amp;S Management System*")</f>
        <v>0</v>
      </c>
      <c s="7" r="J6"/>
      <c s="7" r="K6">
        <f>COUNTIF(PROJECT!Y2:Y100,"*E&amp;S Management System*")</f>
        <v>0</v>
      </c>
      <c s="7" r="L6"/>
      <c s="7" r="M6"/>
      <c s="7" r="N6"/>
      <c s="7" r="O6"/>
      <c s="7" r="P6"/>
      <c s="7" r="Q6"/>
      <c s="7" r="R6"/>
      <c s="7" r="S6"/>
      <c s="7" r="T6"/>
    </row>
    <row r="7">
      <c t="s" s="7" r="A7">
        <v>139</v>
      </c>
      <c s="7" r="B7">
        <f>H42</f>
        <v>1</v>
      </c>
      <c s="7" r="C7">
        <f>J42</f>
        <v>4</v>
      </c>
      <c t="s" s="7" r="D7">
        <v>81</v>
      </c>
      <c t="s" s="7" r="E7">
        <v>88</v>
      </c>
      <c s="7" r="F7">
        <v>0</v>
      </c>
      <c s="7" r="G7">
        <v>1</v>
      </c>
      <c s="7" r="H7"/>
      <c s="7" r="I7">
        <f>COUNTIF(EXPERTISE!I4:I50,"*Environmental and Social Impact Assessment*")</f>
        <v>1</v>
      </c>
      <c s="7" r="J7"/>
      <c s="7" r="K7">
        <f>COUNTIF(PROJECT!Y2:Y100,"*Environmental and Social Impact Assessment*")</f>
        <v>1</v>
      </c>
      <c s="7" r="L7"/>
      <c s="7" r="M7"/>
      <c s="7" r="N7"/>
      <c s="7" r="O7"/>
      <c s="7" r="P7"/>
      <c s="7" r="Q7"/>
      <c s="7" r="R7"/>
      <c s="7" r="S7"/>
      <c s="7" r="T7"/>
    </row>
    <row r="8">
      <c t="s" s="7" r="A8">
        <v>151</v>
      </c>
      <c s="7" r="B8">
        <f>H50</f>
        <v>1</v>
      </c>
      <c s="7" r="C8">
        <f>J50</f>
        <v>2</v>
      </c>
      <c t="s" s="7" r="D8">
        <v>81</v>
      </c>
      <c t="s" s="7" r="E8">
        <v>2065</v>
      </c>
      <c s="7" r="F8">
        <v>0</v>
      </c>
      <c s="7" r="G8">
        <v>1</v>
      </c>
      <c s="7" r="H8"/>
      <c s="7" r="I8">
        <f>COUNTIF(EXPERTISE!I4:I50,"*Food Safety and HACCP*")</f>
        <v>0</v>
      </c>
      <c s="7" r="J8"/>
      <c s="7" r="K8">
        <f>COUNTIF(PROJECT!Y2:Y100,"*Food Safety and HACCP*")</f>
        <v>0</v>
      </c>
      <c s="7" r="L8"/>
      <c s="7" r="M8"/>
      <c s="7" r="N8"/>
      <c s="7" r="O8"/>
      <c s="7" r="P8"/>
      <c s="7" r="Q8"/>
      <c s="7" r="R8"/>
      <c s="7" r="S8"/>
      <c s="7" r="T8"/>
    </row>
    <row r="9">
      <c t="s" s="7" r="A9">
        <v>2066</v>
      </c>
      <c s="7" r="B9">
        <f>H52</f>
        <v>0</v>
      </c>
      <c s="7" r="C9">
        <f>J52</f>
        <v>0</v>
      </c>
      <c t="s" s="7" r="D9">
        <v>81</v>
      </c>
      <c t="s" s="7" r="E9">
        <v>93</v>
      </c>
      <c s="7" r="F9">
        <v>0</v>
      </c>
      <c s="7" r="G9">
        <v>1</v>
      </c>
      <c s="7" r="H9"/>
      <c s="7" r="I9">
        <f>COUNTIF(EXPERTISE!I4:I50,"*Gender Development*")</f>
        <v>1</v>
      </c>
      <c s="7" r="J9"/>
      <c s="7" r="K9">
        <f>COUNTIF(PROJECT!Y2:Y100,"*Gender Development*")</f>
        <v>2</v>
      </c>
      <c s="7" r="L9"/>
      <c s="7" r="M9"/>
      <c s="7" r="N9"/>
      <c s="7" r="O9"/>
      <c s="7" r="P9"/>
      <c s="7" r="Q9"/>
      <c s="7" r="R9"/>
      <c s="7" r="S9"/>
      <c s="7" r="T9"/>
    </row>
    <row r="10">
      <c t="s" s="7" r="D10">
        <v>81</v>
      </c>
      <c t="s" s="7" r="E10">
        <v>2067</v>
      </c>
      <c s="7" r="F10">
        <v>0</v>
      </c>
      <c s="7" r="G10">
        <v>1</v>
      </c>
      <c s="7" r="H10"/>
      <c s="7" r="I10">
        <f>COUNTIF(EXPERTISE!I4:I50,"*Human Rights Assessment*")</f>
        <v>0</v>
      </c>
      <c s="7" r="J10"/>
      <c s="7" r="K10">
        <f>COUNTIF(PROJECT!Y2:Y100,"*Human Rights Assessment*")</f>
        <v>0</v>
      </c>
      <c s="7" r="L10"/>
      <c s="7" r="M10"/>
      <c s="7" r="N10"/>
      <c s="7" r="O10"/>
      <c s="7" r="P10"/>
      <c s="7" r="Q10"/>
      <c s="7" r="R10"/>
      <c s="7" r="S10"/>
      <c s="7" r="T10"/>
    </row>
    <row r="11">
      <c t="s" s="7" r="D11">
        <v>81</v>
      </c>
      <c t="s" s="7" r="E11">
        <v>2068</v>
      </c>
      <c s="7" r="F11">
        <v>0</v>
      </c>
      <c s="7" r="G11">
        <v>1</v>
      </c>
      <c s="7" r="H11"/>
      <c s="7" r="I11">
        <f>COUNTIF(EXPERTISE!I4:I50,"*Organic Food Certification*")</f>
        <v>0</v>
      </c>
      <c s="7" r="J11"/>
      <c s="7" r="K11">
        <f>COUNTIF(PROJECT!Y2:Y100,"*Organic Food Certification*")</f>
        <v>0</v>
      </c>
      <c s="7" r="L11"/>
      <c s="7" r="M11"/>
      <c s="7" r="N11"/>
      <c s="7" r="O11"/>
      <c s="7" r="P11"/>
      <c s="7" r="Q11"/>
      <c s="7" r="R11"/>
      <c s="7" r="S11"/>
      <c s="7" r="T11"/>
    </row>
    <row r="12">
      <c t="s" s="7" r="D12">
        <v>81</v>
      </c>
      <c t="s" s="7" r="E12">
        <v>100</v>
      </c>
      <c s="7" r="F12">
        <v>0</v>
      </c>
      <c s="7" r="G12">
        <v>1</v>
      </c>
      <c s="7" r="H12"/>
      <c s="7" r="I12">
        <f>COUNTIF(EXPERTISE!I4:I50,"*Social Impact Assessment and Socio-economic baseline study*")</f>
        <v>1</v>
      </c>
      <c s="7" r="J12"/>
      <c s="7" r="K12">
        <f>COUNTIF(PROJECT!Y2:Y100,"*Social Impact Assessment and Socio-economic baseline study*")</f>
        <v>2</v>
      </c>
      <c s="7" r="L12"/>
      <c s="7" r="M12"/>
      <c s="7" r="N12"/>
      <c s="7" r="O12"/>
      <c s="7" r="P12"/>
      <c s="7" r="Q12"/>
      <c s="7" r="R12"/>
      <c s="7" r="S12"/>
      <c s="7" r="T12"/>
    </row>
    <row r="13">
      <c t="s" s="7" r="D13">
        <v>81</v>
      </c>
      <c t="s" s="7" r="E13">
        <v>2069</v>
      </c>
      <c s="7" r="F13">
        <v>0</v>
      </c>
      <c s="7" r="G13">
        <v>1</v>
      </c>
      <c s="7" r="H13"/>
      <c s="7" r="I13">
        <f>COUNTIF(EXPERTISE!I4:I50,"*Stakeholder Engagement and Grievance Mechanisms*")</f>
        <v>0</v>
      </c>
      <c s="7" r="J13"/>
      <c s="7" r="K13">
        <f>COUNTIF(PROJECT!Y2:Y100,"*Stakeholder Engagement and Grievance Mechanisms*")</f>
        <v>0</v>
      </c>
      <c s="7" r="L13"/>
      <c s="7" r="M13"/>
      <c s="7" r="N13"/>
      <c s="7" r="O13"/>
      <c s="7" r="P13"/>
      <c s="7" r="Q13"/>
      <c s="7" r="R13"/>
      <c s="7" r="S13"/>
      <c s="7" r="T13"/>
    </row>
    <row r="14">
      <c t="s" s="7" r="D14">
        <v>81</v>
      </c>
      <c t="s" s="7" r="E14">
        <v>2070</v>
      </c>
      <c s="7" r="F14">
        <v>0</v>
      </c>
      <c s="7" r="G14">
        <v>1</v>
      </c>
      <c s="7" r="H14"/>
      <c s="7" r="I14">
        <f>COUNTIF(EXPERTISE!I4:I50,"*Supply Chain E&amp;S Assessment*")</f>
        <v>0</v>
      </c>
      <c s="7" r="J14"/>
      <c s="7" r="K14">
        <f>COUNTIF(PROJECT!Y2:Y100,"*Supply Chain E&amp;S Assessment*")</f>
        <v>0</v>
      </c>
      <c s="7" r="L14"/>
      <c s="7" r="M14"/>
      <c s="7" r="N14"/>
      <c s="7" r="O14"/>
      <c s="7" r="P14"/>
      <c s="7" r="Q14"/>
      <c s="7" r="R14"/>
      <c s="7" r="S14"/>
      <c s="7" r="T14"/>
    </row>
    <row r="15">
      <c t="s" s="7" r="D15">
        <v>2060</v>
      </c>
      <c t="s" s="7" r="E15">
        <v>2071</v>
      </c>
      <c s="7" r="F15">
        <v>1</v>
      </c>
      <c s="7" r="G15">
        <v>1</v>
      </c>
      <c s="7" r="H15">
        <f>COUNTIF(EXPERTISE!H4:H50,"*PS2: Labor and Working Conditions*")</f>
        <v>0</v>
      </c>
      <c s="7" r="I15">
        <f>COUNTIF(EXPERTISE!I4:I50,"*Assessment of migrant worker related issues*")</f>
        <v>0</v>
      </c>
      <c s="7" r="J15">
        <f>COUNTIF(PROJECT!X2:X100,"*PS2: Labor and Working Conditions*")</f>
        <v>0</v>
      </c>
      <c s="7" r="K15">
        <f>COUNTIF(PROJECT!Y2:Y100,"*Assessment of migrant worker related issues*")</f>
        <v>0</v>
      </c>
      <c s="7" r="L15"/>
      <c s="7" r="M15"/>
      <c s="7" r="N15"/>
      <c s="7" r="O15"/>
      <c s="7" r="P15"/>
      <c s="7" r="Q15"/>
      <c s="7" r="R15"/>
      <c s="7" r="S15"/>
      <c s="7" r="T15"/>
    </row>
    <row r="16">
      <c t="s" s="7" r="D16">
        <v>2060</v>
      </c>
      <c t="s" s="7" r="E16">
        <v>2072</v>
      </c>
      <c s="7" r="F16">
        <v>0</v>
      </c>
      <c s="7" r="G16">
        <v>1</v>
      </c>
      <c s="7" r="H16"/>
      <c s="63" r="I16">
        <f>COUNTIF(EXPERTISE!I4:I50,"*Child and Forced Labor Assessment*")</f>
        <v>0</v>
      </c>
      <c s="7" r="J16"/>
      <c s="63" r="K16">
        <f>COUNTIF(PROJECT!Y2:Y100,"*Child and Forced Labor Assessment*")</f>
        <v>0</v>
      </c>
      <c s="7" r="L16"/>
      <c s="7" r="M16"/>
      <c s="7" r="N16"/>
      <c s="7" r="O16"/>
      <c s="7" r="P16"/>
      <c s="7" r="Q16"/>
      <c s="7" r="R16"/>
      <c s="7" r="S16"/>
      <c s="7" r="T16"/>
    </row>
    <row r="17">
      <c t="s" s="7" r="D17">
        <v>2060</v>
      </c>
      <c t="s" s="7" r="E17">
        <v>2073</v>
      </c>
      <c s="7" r="F17">
        <v>0</v>
      </c>
      <c s="7" r="G17">
        <v>1</v>
      </c>
      <c s="7" r="H17"/>
      <c s="7" r="I17">
        <f>COUNTIF(EXPERTISE!I4:I50,"*Labor and Working Conditions*")</f>
        <v>0</v>
      </c>
      <c s="7" r="J17"/>
      <c s="7" r="K17">
        <f>COUNTIF(PROJECT!Y2:Y100,"*Labor and Working Conditions*")</f>
        <v>0</v>
      </c>
      <c s="7" r="L17"/>
      <c s="7" r="M17"/>
      <c s="7" r="N17"/>
      <c s="7" r="O17"/>
      <c s="7" r="P17"/>
      <c s="7" r="Q17"/>
      <c s="7" r="R17"/>
      <c s="7" r="S17"/>
      <c s="7" r="T17"/>
    </row>
    <row r="18">
      <c t="s" s="7" r="D18">
        <v>2060</v>
      </c>
      <c t="s" s="7" r="E18">
        <v>2074</v>
      </c>
      <c s="7" r="F18">
        <v>0</v>
      </c>
      <c s="7" r="G18">
        <v>1</v>
      </c>
      <c s="7" r="H18"/>
      <c s="7" r="I18">
        <f>COUNTIF(EXPERTISE!I4:I50,"*Labor Audits based on ILO Conventions*")</f>
        <v>0</v>
      </c>
      <c s="7" r="J18"/>
      <c s="7" r="K18">
        <f>COUNTIF(PROJECT!Y2:Y100,"*Labor Audits based on ILO Conventions*")</f>
        <v>0</v>
      </c>
      <c s="7" r="L18"/>
      <c s="7" r="M18"/>
      <c s="7" r="N18"/>
      <c s="7" r="O18"/>
      <c s="7" r="P18"/>
      <c s="7" r="Q18"/>
      <c s="7" r="R18"/>
      <c s="7" r="S18"/>
      <c s="7" r="T18"/>
    </row>
    <row r="19">
      <c t="s" s="7" r="D19">
        <v>2060</v>
      </c>
      <c t="s" s="7" r="E19">
        <v>2075</v>
      </c>
      <c s="7" r="F19">
        <v>0</v>
      </c>
      <c s="7" r="G19">
        <v>1</v>
      </c>
      <c s="7" r="H19"/>
      <c s="7" r="I19">
        <f>COUNTIF(EXPERTISE!I4:I50,"*Occupational Health and Safety*")</f>
        <v>0</v>
      </c>
      <c s="7" r="J19"/>
      <c s="7" r="K19">
        <f>COUNTIF(PROJECT!Y2:Y100,"*Occupational Health and Safety*")</f>
        <v>0</v>
      </c>
      <c s="7" r="L19"/>
      <c s="7" r="M19"/>
      <c s="7" r="N19"/>
      <c s="7" r="O19"/>
      <c s="7" r="P19"/>
      <c s="7" r="Q19"/>
      <c s="7" r="R19"/>
      <c s="7" r="S19"/>
      <c s="7" r="T19"/>
    </row>
    <row r="20">
      <c t="s" s="7" r="D20">
        <v>2060</v>
      </c>
      <c t="s" s="7" r="E20">
        <v>2076</v>
      </c>
      <c s="7" r="F20">
        <v>0</v>
      </c>
      <c s="7" r="G20">
        <v>1</v>
      </c>
      <c s="7" r="H20"/>
      <c s="7" r="I20">
        <f>COUNTIF(EXPERTISE!I4:I50,"*Retrenchment Audit*")</f>
        <v>0</v>
      </c>
      <c s="7" r="J20"/>
      <c s="7" r="K20">
        <f>COUNTIF(PROJECT!Y2:Y100,"*Retrenchment Audit*")</f>
        <v>0</v>
      </c>
      <c s="7" r="L20"/>
      <c s="7" r="M20"/>
      <c s="7" r="N20"/>
      <c s="7" r="O20"/>
      <c s="7" r="P20"/>
      <c s="7" r="Q20"/>
      <c s="7" r="R20"/>
      <c s="7" r="S20"/>
      <c s="7" r="T20"/>
    </row>
    <row r="21">
      <c t="s" s="7" r="D21">
        <v>2060</v>
      </c>
      <c t="s" s="7" r="E21">
        <v>2077</v>
      </c>
      <c s="7" r="F21">
        <v>0</v>
      </c>
      <c s="7" r="G21">
        <v>1</v>
      </c>
      <c s="7" r="H21"/>
      <c s="7" r="I21">
        <f>COUNTIF(EXPERTISE!I4:I50,"*Supply Chain Labor Assessment*")</f>
        <v>0</v>
      </c>
      <c s="7" r="J21"/>
      <c s="7" r="K21">
        <f>COUNTIF(PROJECT!Y2:Y100,"*Supply Chain Labor Assessment*")</f>
        <v>0</v>
      </c>
      <c s="7" r="L21"/>
      <c s="7" r="M21"/>
      <c s="7" r="N21"/>
      <c s="7" r="O21"/>
      <c s="7" r="P21"/>
      <c s="7" r="Q21"/>
      <c s="7" r="R21"/>
      <c s="7" r="S21"/>
      <c s="7" r="T21"/>
    </row>
    <row r="22">
      <c t="s" s="7" r="D22">
        <v>2060</v>
      </c>
      <c t="s" s="7" r="E22">
        <v>2078</v>
      </c>
      <c s="7" r="F22">
        <v>0</v>
      </c>
      <c s="7" r="G22">
        <v>1</v>
      </c>
      <c s="7" r="H22"/>
      <c s="7" r="I22">
        <f>COUNTIF(EXPERTISE!I4:I50,"*Workers Organization and Greivance Mechanisms*")</f>
        <v>0</v>
      </c>
      <c s="7" r="J22"/>
      <c s="7" r="K22">
        <f>COUNTIF(PROJECT!Y2:Y100,"*Workers Organization and Greivance Mechanisms*")</f>
        <v>0</v>
      </c>
      <c s="7" r="L22"/>
      <c s="7" r="M22"/>
      <c s="7" r="N22"/>
      <c s="7" r="O22"/>
      <c s="7" r="P22"/>
      <c s="7" r="Q22"/>
      <c s="7" r="R22"/>
      <c s="7" r="S22"/>
      <c s="7" r="T22"/>
    </row>
    <row r="23">
      <c t="s" s="7" r="D23">
        <v>106</v>
      </c>
      <c t="s" s="7" r="E23">
        <v>2079</v>
      </c>
      <c s="7" r="F23">
        <v>1</v>
      </c>
      <c s="7" r="G23">
        <v>1</v>
      </c>
      <c s="7" r="H23">
        <f>COUNTIF(EXPERTISE!H4:H50,"*PS3: Resource Efficiency and Pollution Prevention*")</f>
        <v>1</v>
      </c>
      <c s="7" r="I23">
        <f>COUNTIF(EXPERTISE!I4:I50,"*Air Emission Management*")</f>
        <v>0</v>
      </c>
      <c s="7" r="J23">
        <f>COUNTIF(PROJECT!X2:X100,"*PS3: Resource Efficiency and Pollution Prevention*")</f>
        <v>21</v>
      </c>
      <c s="7" r="K23">
        <f>COUNTIF(PROJECT!Y2:Y100,"*Air Emission Management*")</f>
        <v>0</v>
      </c>
      <c s="7" r="L23"/>
      <c s="7" r="M23"/>
      <c s="7" r="N23"/>
      <c s="7" r="O23"/>
      <c s="7" r="P23"/>
      <c s="7" r="Q23"/>
      <c s="7" r="R23"/>
      <c s="7" r="S23"/>
      <c s="7" r="T23"/>
    </row>
    <row r="24">
      <c t="s" s="7" r="D24">
        <v>106</v>
      </c>
      <c t="s" s="7" r="E24">
        <v>2080</v>
      </c>
      <c s="7" r="F24">
        <v>0</v>
      </c>
      <c s="7" r="G24">
        <v>1</v>
      </c>
      <c s="7" r="H24"/>
      <c s="7" r="I24">
        <f>COUNTIF(EXPERTISE!I4:I50,"*Cleaner Production*")</f>
        <v>0</v>
      </c>
      <c s="7" r="J24"/>
      <c s="7" r="K24">
        <f>COUNTIF(PROJECT!Y2:Y100,"*Cleaner Production*")</f>
        <v>0</v>
      </c>
      <c s="7" r="L24"/>
      <c s="7" r="M24"/>
      <c s="7" r="N24"/>
      <c s="7" r="O24"/>
      <c s="7" r="P24"/>
      <c s="7" r="Q24"/>
      <c s="7" r="R24"/>
      <c s="7" r="S24"/>
      <c s="7" r="T24"/>
    </row>
    <row r="25">
      <c t="s" s="7" r="D25">
        <v>106</v>
      </c>
      <c t="s" s="7" r="E25">
        <v>107</v>
      </c>
      <c s="7" r="F25">
        <v>0</v>
      </c>
      <c s="7" r="G25">
        <v>1</v>
      </c>
      <c s="7" r="H25"/>
      <c s="7" r="I25">
        <f>COUNTIF(EXPERTISE!I4:I50,"*Energy Efficiency*")</f>
        <v>1</v>
      </c>
      <c s="7" r="J25"/>
      <c s="7" r="K25">
        <f>COUNTIF(PROJECT!Y2:Y100,"*Energy Efficiency*")</f>
        <v>1</v>
      </c>
      <c s="7" r="L25"/>
      <c s="7" r="M25"/>
      <c s="7" r="N25"/>
      <c s="7" r="O25"/>
      <c s="7" r="P25"/>
      <c s="7" r="Q25"/>
      <c s="7" r="R25"/>
      <c s="7" r="S25"/>
      <c s="7" r="T25"/>
    </row>
    <row r="26">
      <c t="s" s="7" r="D26">
        <v>106</v>
      </c>
      <c t="s" s="7" r="E26">
        <v>2081</v>
      </c>
      <c s="7" r="F26">
        <v>0</v>
      </c>
      <c s="7" r="G26">
        <v>1</v>
      </c>
      <c s="7" r="H26"/>
      <c s="7" r="I26">
        <f>COUNTIF(EXPERTISE!I4:I50,"*Green Building and Construction*")</f>
        <v>0</v>
      </c>
      <c s="7" r="J26"/>
      <c s="7" r="K26">
        <f>COUNTIF(PROJECT!Y2:Y100,"*Green Building and Construction*")</f>
        <v>0</v>
      </c>
      <c s="7" r="L26"/>
      <c s="7" r="M26"/>
      <c s="7" r="N26"/>
      <c s="7" r="O26"/>
      <c s="7" r="P26"/>
      <c s="7" r="Q26"/>
      <c s="7" r="R26"/>
      <c s="7" r="S26"/>
      <c s="7" r="T26"/>
    </row>
    <row r="27">
      <c t="s" s="7" r="D27">
        <v>106</v>
      </c>
      <c t="s" s="7" r="E27">
        <v>2082</v>
      </c>
      <c s="7" r="F27">
        <v>0</v>
      </c>
      <c s="7" r="G27">
        <v>1</v>
      </c>
      <c s="7" r="H27"/>
      <c s="7" r="I27">
        <f>COUNTIF(EXPERTISE!I4:I50,"*Greenhouse Gas Emission Audit*")</f>
        <v>0</v>
      </c>
      <c s="7" r="J27"/>
      <c s="7" r="K27">
        <f>COUNTIF(PROJECT!Y2:Y100,"*Greenhouse Gas Emission Audit*")</f>
        <v>0</v>
      </c>
      <c s="7" r="L27"/>
      <c s="7" r="M27"/>
      <c s="7" r="N27"/>
      <c s="7" r="O27"/>
      <c s="7" r="P27"/>
      <c s="7" r="Q27"/>
      <c s="7" r="R27"/>
      <c s="7" r="S27"/>
      <c s="7" r="T27"/>
    </row>
    <row r="28">
      <c t="s" s="7" r="D28">
        <v>106</v>
      </c>
      <c t="s" s="7" r="E28">
        <v>2083</v>
      </c>
      <c s="7" r="F28">
        <v>0</v>
      </c>
      <c s="7" r="G28">
        <v>1</v>
      </c>
      <c s="7" r="H28"/>
      <c s="7" r="I28">
        <f>COUNTIF(EXPERTISE!I4:I50,"*Hazardous Material Management*")</f>
        <v>0</v>
      </c>
      <c s="7" r="J28"/>
      <c s="7" r="K28">
        <f>COUNTIF(PROJECT!Y2:Y100,"*Hazardous Material Management*")</f>
        <v>0</v>
      </c>
      <c s="7" r="L28"/>
      <c s="7" r="M28"/>
      <c s="7" r="N28"/>
      <c s="7" r="O28"/>
      <c s="7" r="P28"/>
      <c s="7" r="Q28"/>
      <c s="7" r="R28"/>
      <c s="7" r="S28"/>
      <c s="7" r="T28"/>
    </row>
    <row r="29">
      <c t="s" s="7" r="D29">
        <v>106</v>
      </c>
      <c t="s" s="7" r="E29">
        <v>2056</v>
      </c>
      <c s="7" r="F29">
        <v>0</v>
      </c>
      <c s="7" r="G29">
        <v>1</v>
      </c>
      <c s="7" r="H29"/>
      <c s="7" r="I29">
        <f>COUNTIF(EXPERTISE!I4:I50,"*Solid Waste Management*")</f>
        <v>0</v>
      </c>
      <c s="7" r="J29"/>
      <c s="7" r="K29">
        <f>COUNTIF(PROJECT!Y2:Y100,"*Solid Waste Management*")</f>
        <v>0</v>
      </c>
      <c s="7" r="L29"/>
      <c s="7" r="M29"/>
      <c s="7" r="N29"/>
      <c s="7" r="O29"/>
      <c s="7" r="P29"/>
      <c s="7" r="Q29"/>
      <c s="7" r="R29"/>
      <c s="7" r="S29"/>
      <c s="7" r="T29"/>
    </row>
    <row r="30">
      <c t="s" s="7" r="D30">
        <v>106</v>
      </c>
      <c t="s" s="7" r="E30">
        <v>2084</v>
      </c>
      <c s="7" r="F30">
        <v>0</v>
      </c>
      <c s="7" r="G30">
        <v>1</v>
      </c>
      <c s="7" r="H30"/>
      <c s="7" r="I30">
        <f>COUNTIF(EXPERTISE!I4:I50,"*Urban and Regional Planning*")</f>
        <v>0</v>
      </c>
      <c s="7" r="J30"/>
      <c s="7" r="K30">
        <f>COUNTIF(PROJECT!Y2:Y100,"*Urban and Regional Planning*")</f>
        <v>0</v>
      </c>
      <c s="7" r="L30"/>
      <c s="7" r="M30"/>
      <c s="7" r="N30"/>
      <c s="7" r="O30"/>
      <c s="7" r="P30"/>
      <c s="7" r="Q30"/>
      <c s="7" r="R30"/>
      <c s="7" r="S30"/>
      <c s="7" r="T30"/>
    </row>
    <row r="31">
      <c t="s" s="7" r="D31">
        <v>106</v>
      </c>
      <c t="s" s="7" r="E31">
        <v>2085</v>
      </c>
      <c s="7" r="F31">
        <v>0</v>
      </c>
      <c s="7" r="G31">
        <v>1</v>
      </c>
      <c s="7" r="H31"/>
      <c s="7" r="I31">
        <f>COUNTIF(EXPERTISE!I4:I50,"*Wastewater Management*")</f>
        <v>0</v>
      </c>
      <c s="7" r="J31"/>
      <c s="7" r="K31">
        <f>COUNTIF(PROJECT!Y2:Y100,"*Wastewater Management*")</f>
        <v>0</v>
      </c>
      <c s="7" r="L31"/>
      <c s="7" r="M31"/>
      <c s="7" r="N31"/>
      <c s="7" r="O31"/>
      <c s="7" r="P31"/>
      <c s="7" r="Q31"/>
      <c s="7" r="R31"/>
      <c s="7" r="S31"/>
      <c s="7" r="T31"/>
    </row>
    <row r="32">
      <c t="s" s="7" r="D32">
        <v>106</v>
      </c>
      <c t="s" s="7" r="E32">
        <v>116</v>
      </c>
      <c s="7" r="F32">
        <v>0</v>
      </c>
      <c s="7" r="G32">
        <v>1</v>
      </c>
      <c s="7" r="H32"/>
      <c s="7" r="I32">
        <f>COUNTIF(EXPERTISE!I4:I50,"*Wastewater Management*")</f>
        <v>0</v>
      </c>
      <c s="7" r="J32"/>
      <c s="7" r="K32">
        <f>COUNTIF(PROJECT!Y2:Y100,"*Water Efficiency*")</f>
        <v>18</v>
      </c>
      <c s="7" r="L32"/>
      <c s="7" r="M32"/>
      <c s="7" r="N32"/>
      <c s="7" r="O32"/>
      <c s="7" r="P32"/>
      <c s="7" r="Q32"/>
      <c s="7" r="R32"/>
      <c s="7" r="S32"/>
      <c s="7" r="T32"/>
    </row>
    <row r="33">
      <c t="s" s="7" r="D33">
        <v>121</v>
      </c>
      <c t="s" s="7" r="E33">
        <v>2086</v>
      </c>
      <c s="7" r="F33">
        <v>1</v>
      </c>
      <c s="7" r="G33">
        <v>1</v>
      </c>
      <c s="7" r="H33">
        <f>COUNTIF(EXPERTISE!H4:H50,"*PS4: Community Health, Safety, and Security*")</f>
        <v>1</v>
      </c>
      <c s="7" r="I33">
        <f>COUNTIF(EXPERTISE!I4:I50,"*Buildings Structural Integrity*")</f>
        <v>0</v>
      </c>
      <c s="7" r="J33">
        <f>COUNTIF(PROJECT!X2:X100,"*PS4: Community Health, Safety, and Security*")</f>
        <v>1</v>
      </c>
      <c s="7" r="K33">
        <f>COUNTIF(PROJECT!Y2:Y100,"*Buildings Structural Integrity*")</f>
        <v>0</v>
      </c>
      <c s="7" r="L33"/>
      <c s="7" r="M33"/>
      <c s="7" r="N33"/>
      <c s="7" r="O33"/>
      <c s="7" r="P33"/>
      <c s="7" r="Q33"/>
      <c s="7" r="R33"/>
      <c s="7" r="S33"/>
      <c s="7" r="T33"/>
    </row>
    <row r="34">
      <c t="s" s="7" r="D34">
        <v>121</v>
      </c>
      <c t="s" s="7" r="E34">
        <v>122</v>
      </c>
      <c s="7" r="F34">
        <v>0</v>
      </c>
      <c s="7" r="G34">
        <v>1</v>
      </c>
      <c s="7" r="H34"/>
      <c s="7" r="I34">
        <f>COUNTIF(EXPERTISE!I4:I50,"*Community Health and Safety*")</f>
        <v>1</v>
      </c>
      <c s="7" r="J34"/>
      <c s="7" r="K34">
        <f>COUNTIF(PROJECT!Y2:Y100,"*Community Health and Safety*")</f>
        <v>1</v>
      </c>
      <c s="7" r="L34"/>
      <c s="7" r="M34"/>
      <c s="7" r="N34"/>
      <c s="7" r="O34"/>
      <c s="7" r="P34"/>
      <c s="7" r="Q34"/>
      <c s="7" r="R34"/>
      <c s="7" r="S34"/>
      <c s="7" r="T34"/>
    </row>
    <row r="35">
      <c t="s" s="7" r="D35">
        <v>121</v>
      </c>
      <c t="s" s="7" r="E35">
        <v>2087</v>
      </c>
      <c s="7" r="F35">
        <v>0</v>
      </c>
      <c s="7" r="G35">
        <v>1</v>
      </c>
      <c s="7" r="H35"/>
      <c s="7" r="I35">
        <f>COUNTIF(EXPERTISE!I4:I50,"*Community Security*")</f>
        <v>0</v>
      </c>
      <c s="7" r="J35"/>
      <c s="7" r="K35">
        <f>COUNTIF(PROJECT!Y2:Y100,"*Community Security*")</f>
        <v>0</v>
      </c>
      <c s="7" r="L35"/>
      <c s="7" r="M35"/>
      <c s="7" r="N35"/>
      <c s="7" r="O35"/>
      <c s="7" r="P35"/>
      <c s="7" r="Q35"/>
      <c s="7" r="R35"/>
      <c s="7" r="S35"/>
      <c s="7" r="T35"/>
    </row>
    <row r="36">
      <c t="s" s="7" r="D36">
        <v>121</v>
      </c>
      <c t="s" s="7" r="E36">
        <v>2088</v>
      </c>
      <c s="7" r="F36">
        <v>0</v>
      </c>
      <c s="7" r="G36">
        <v>1</v>
      </c>
      <c s="7" r="H36"/>
      <c s="7" r="I36">
        <f>COUNTIF(EXPERTISE!I4:I50,"*Life and Fire Safety*")</f>
        <v>0</v>
      </c>
      <c s="7" r="J36"/>
      <c s="7" r="K36">
        <f>COUNTIF(PROJECT!Y2:Y100,"*Life and Fire Safety*")</f>
        <v>0</v>
      </c>
      <c s="7" r="L36"/>
      <c s="7" r="M36"/>
      <c s="7" r="N36"/>
      <c s="7" r="O36"/>
      <c s="7" r="P36"/>
      <c s="7" r="Q36"/>
      <c s="7" r="R36"/>
      <c s="7" r="S36"/>
      <c s="7" r="T36"/>
    </row>
    <row r="37">
      <c t="s" s="7" r="D37">
        <v>121</v>
      </c>
      <c t="s" s="7" r="E37">
        <v>2089</v>
      </c>
      <c s="7" r="F37">
        <v>0</v>
      </c>
      <c s="7" r="G37">
        <v>1</v>
      </c>
      <c s="7" r="H37"/>
      <c s="7" r="I37">
        <f>COUNTIF(EXPERTISE!I4:I50,"*Infrastructure and Equipment Safety*")</f>
        <v>0</v>
      </c>
      <c s="7" r="J37"/>
      <c s="7" r="K37">
        <f>COUNTIF(PROJECT!Y2:Y100,"*Infrastructure and Equipment Safety*")</f>
        <v>0</v>
      </c>
      <c s="7" r="L37"/>
      <c s="7" r="M37"/>
      <c s="7" r="N37"/>
      <c s="7" r="O37"/>
      <c s="7" r="P37"/>
      <c s="7" r="Q37"/>
      <c s="7" r="R37"/>
      <c s="7" r="S37"/>
      <c s="7" r="T37"/>
    </row>
    <row r="38">
      <c t="s" s="7" r="D38">
        <v>127</v>
      </c>
      <c t="s" s="7" r="E38">
        <v>2090</v>
      </c>
      <c s="7" r="F38">
        <v>1</v>
      </c>
      <c s="7" r="G38">
        <v>1</v>
      </c>
      <c s="7" r="H38">
        <f>COUNTIF(EXPERTISE!H4:H50,"*PS5: Land Acquisition and Involuntary Resettlement*")</f>
        <v>1</v>
      </c>
      <c s="7" r="I38">
        <f>COUNTIF(EXPERTISE!I4:I50,"*Community Benefit Sharing Schemes*")</f>
        <v>0</v>
      </c>
      <c s="7" r="J38">
        <f>COUNTIF(PROJECT!X2:X100,"*PS5: Land Acquisition and Involuntary Resettlement*")</f>
        <v>23</v>
      </c>
      <c s="7" r="K38">
        <f>COUNTIF(PROJECT!Y2:Y100,"*Community Benefit Sharing Schemes*")</f>
        <v>0</v>
      </c>
      <c s="7" r="L38"/>
      <c s="7" r="M38"/>
      <c s="7" r="N38"/>
      <c s="7" r="O38"/>
      <c s="7" r="P38"/>
      <c s="7" r="Q38"/>
      <c s="7" r="R38"/>
      <c s="7" r="S38"/>
      <c s="7" r="T38"/>
    </row>
    <row r="39">
      <c t="s" s="7" r="D39">
        <v>127</v>
      </c>
      <c t="s" s="7" r="E39">
        <v>128</v>
      </c>
      <c s="7" r="F39">
        <v>0</v>
      </c>
      <c s="7" r="G39">
        <v>1</v>
      </c>
      <c s="7" r="H39"/>
      <c s="7" r="I39">
        <f>COUNTIF(EXPERTISE!I4:I50,"*Land Acquisition and Resettlement*")</f>
        <v>1</v>
      </c>
      <c s="7" r="J39"/>
      <c s="7" r="K39">
        <f>COUNTIF(PROJECT!Y2:Y100,"*Land Acquisition and Resettlement*")</f>
        <v>1</v>
      </c>
      <c s="7" r="L39"/>
      <c s="7" r="M39"/>
      <c s="7" r="N39"/>
      <c s="7" r="O39"/>
      <c s="7" r="P39"/>
      <c s="7" r="Q39"/>
      <c s="7" r="R39"/>
      <c s="7" r="S39"/>
      <c s="7" r="T39"/>
    </row>
    <row r="40">
      <c t="s" s="7" r="D40">
        <v>127</v>
      </c>
      <c t="s" s="7" r="E40">
        <v>2091</v>
      </c>
      <c s="7" r="F40">
        <v>0</v>
      </c>
      <c s="7" r="G40">
        <v>1</v>
      </c>
      <c s="7" r="H40"/>
      <c s="7" r="I40">
        <f>COUNTIF(EXPERTISE!I4:I50,"*Livelihood Restoration*")</f>
        <v>0</v>
      </c>
      <c s="7" r="J40"/>
      <c s="7" r="K40">
        <f>COUNTIF(PROJECT!Y2:Y100,"*Livelihood Restoration*")</f>
        <v>0</v>
      </c>
      <c s="7" r="L40"/>
      <c s="7" r="M40"/>
      <c s="7" r="N40"/>
      <c s="7" r="O40"/>
      <c s="7" r="P40"/>
      <c s="7" r="Q40"/>
      <c s="7" r="R40"/>
      <c s="7" r="S40"/>
      <c s="7" r="T40"/>
    </row>
    <row r="41">
      <c t="s" s="7" r="D41">
        <v>127</v>
      </c>
      <c t="s" s="7" r="E41">
        <v>134</v>
      </c>
      <c s="7" r="F41">
        <v>0</v>
      </c>
      <c s="7" r="G41">
        <v>1</v>
      </c>
      <c s="7" r="H41"/>
      <c s="7" r="I41">
        <f>COUNTIF(EXPERTISE!I4:I50,"*Rural Development*")</f>
        <v>1</v>
      </c>
      <c s="7" r="J41"/>
      <c s="7" r="K41">
        <f>COUNTIF(PROJECT!Y2:Y100,"*Rural Development*")</f>
        <v>21</v>
      </c>
      <c s="7" r="L41"/>
      <c s="7" r="M41"/>
      <c s="7" r="N41"/>
      <c s="7" r="O41"/>
      <c s="7" r="P41"/>
      <c s="7" r="Q41"/>
      <c s="7" r="R41"/>
      <c s="7" r="S41"/>
      <c s="7" r="T41"/>
    </row>
    <row r="42">
      <c t="s" s="7" r="D42">
        <v>139</v>
      </c>
      <c t="s" s="7" r="E42">
        <v>140</v>
      </c>
      <c s="7" r="F42">
        <v>1</v>
      </c>
      <c s="7" r="G42">
        <v>1</v>
      </c>
      <c s="7" r="H42">
        <f>COUNTIF(EXPERTISE!H4:H50,"*PS6: Biodiversity Conservation and Sustainable Management of Living Natural Resources*")</f>
        <v>1</v>
      </c>
      <c s="63" r="I42">
        <f>COUNTIF(EXPERTISE!I4:I50,"*Biodiversity Assessment*")</f>
        <v>1</v>
      </c>
      <c s="7" r="J42">
        <f>COUNTIF(PROJECT!X2:X100,"*PS6: Biodiversity Conservation and Sustainable Management of Living Natural Resources*")</f>
        <v>4</v>
      </c>
      <c s="63" r="K42">
        <f>COUNTIF(PROJECT!Y2:Y100,"*Biodiversity Assessment*")</f>
        <v>1</v>
      </c>
      <c s="7" r="L42"/>
      <c s="7" r="M42"/>
      <c s="7" r="N42"/>
      <c s="7" r="O42"/>
      <c s="7" r="P42"/>
      <c s="7" r="Q42"/>
      <c s="7" r="R42"/>
      <c s="7" r="S42"/>
      <c s="7" r="T42"/>
    </row>
    <row r="43">
      <c t="s" s="7" r="D43">
        <v>139</v>
      </c>
      <c t="s" s="7" r="E43">
        <v>2092</v>
      </c>
      <c s="7" r="F43">
        <v>0</v>
      </c>
      <c s="7" r="G43">
        <v>1</v>
      </c>
      <c s="7" r="H43"/>
      <c s="7" r="I43">
        <f>COUNTIF(EXPERTISE!I4:I50,"*Biodiversity Offset Planning and Implementation*")</f>
        <v>0</v>
      </c>
      <c s="7" r="J43"/>
      <c s="7" r="K43">
        <f>COUNTIF(PROJECT!Y2:Y100,"*Biodiversity Offset Planning and Implementation*")</f>
        <v>0</v>
      </c>
      <c s="7" r="L43"/>
      <c s="7" r="M43"/>
      <c s="7" r="N43"/>
      <c s="7" r="O43"/>
      <c s="7" r="P43"/>
      <c s="7" r="Q43"/>
      <c s="7" r="R43"/>
      <c s="7" r="S43"/>
      <c s="7" r="T43"/>
    </row>
    <row r="44">
      <c t="s" s="7" r="D44">
        <v>139</v>
      </c>
      <c t="s" s="7" r="E44">
        <v>2093</v>
      </c>
      <c s="7" r="F44">
        <v>0</v>
      </c>
      <c s="7" r="G44">
        <v>1</v>
      </c>
      <c s="7" r="H44"/>
      <c s="7" r="I44">
        <f>COUNTIF(EXPERTISE!I4:I50,"*Ecosystem Services Review*")</f>
        <v>0</v>
      </c>
      <c s="7" r="J44"/>
      <c s="7" r="K44">
        <f>COUNTIF(PROJECT!Y2:Y100,"*Ecosystem Services Review*")</f>
        <v>0</v>
      </c>
      <c s="7" r="L44"/>
      <c s="7" r="M44"/>
      <c s="7" r="N44"/>
      <c s="7" r="O44"/>
      <c s="7" r="P44"/>
      <c s="7" r="Q44"/>
      <c s="7" r="R44"/>
      <c s="7" r="S44"/>
      <c s="7" r="T44"/>
    </row>
    <row r="45">
      <c t="s" s="7" r="D45">
        <v>139</v>
      </c>
      <c t="s" s="7" r="E45">
        <v>146</v>
      </c>
      <c s="7" r="F45">
        <v>0</v>
      </c>
      <c s="7" r="G45">
        <v>1</v>
      </c>
      <c s="7" r="H45"/>
      <c s="7" r="I45">
        <f>COUNTIF(EXPERTISE!I4:I50,"*Forestry Management*")</f>
        <v>1</v>
      </c>
      <c s="7" r="J45"/>
      <c s="7" r="K45">
        <f>COUNTIF(PROJECT!Y2:Y100,"*Forestry Management*")</f>
        <v>3</v>
      </c>
      <c s="7" r="L45"/>
      <c s="7" r="M45"/>
      <c s="7" r="N45"/>
      <c s="7" r="O45"/>
      <c s="7" r="P45"/>
      <c s="7" r="Q45"/>
      <c s="7" r="R45"/>
      <c s="7" r="S45"/>
      <c s="7" r="T45"/>
    </row>
    <row r="46">
      <c t="s" s="7" r="D46">
        <v>139</v>
      </c>
      <c t="s" s="7" r="E46">
        <v>2094</v>
      </c>
      <c s="7" r="F46">
        <v>0</v>
      </c>
      <c s="7" r="G46">
        <v>1</v>
      </c>
      <c s="7" r="H46"/>
      <c s="7" r="I46">
        <f>COUNTIF(EXPERTISE!I4:I50,"*Geographic Information System &amp; Land Use Planning*")</f>
        <v>0</v>
      </c>
      <c s="7" r="J46"/>
      <c s="7" r="K46">
        <f>COUNTIF(PROJECT!Y2:Y100,"*Geographic Information System &amp; Land Use Planning*")</f>
        <v>0</v>
      </c>
      <c s="7" r="L46"/>
      <c s="7" r="M46"/>
      <c s="7" r="N46"/>
      <c s="7" r="O46"/>
      <c s="7" r="P46"/>
      <c s="7" r="Q46"/>
      <c s="7" r="R46"/>
      <c s="7" r="S46"/>
      <c s="7" r="T46"/>
    </row>
    <row r="47">
      <c t="s" s="7" r="D47">
        <v>139</v>
      </c>
      <c t="s" s="7" r="E47">
        <v>111</v>
      </c>
      <c s="7" r="F47">
        <v>0</v>
      </c>
      <c s="7" r="G47">
        <v>1</v>
      </c>
      <c s="7" r="H47"/>
      <c s="7" r="I47">
        <f>COUNTIF(EXPERTISE!I4:I50,"*Natural Resource Management*")</f>
        <v>1</v>
      </c>
      <c s="7" r="J47"/>
      <c s="7" r="K47">
        <f>COUNTIF(PROJECT!Y2:Y100,"*Natural Resource Management*")</f>
        <v>1</v>
      </c>
      <c s="7" r="L47"/>
      <c s="7" r="M47"/>
      <c s="7" r="N47"/>
      <c s="7" r="O47"/>
      <c s="7" r="P47"/>
      <c s="7" r="Q47"/>
      <c s="7" r="R47"/>
      <c s="7" r="S47"/>
      <c s="7" r="T47"/>
    </row>
    <row r="48">
      <c t="s" s="7" r="D48">
        <v>139</v>
      </c>
      <c t="s" s="7" r="E48">
        <v>2095</v>
      </c>
      <c s="7" r="F48">
        <v>0</v>
      </c>
      <c s="7" r="G48">
        <v>1</v>
      </c>
      <c s="7" r="H48"/>
      <c s="7" r="I48">
        <f>COUNTIF(EXPERTISE!I4:I50,"*Supply Chain Biodiversity Assessment*")</f>
        <v>0</v>
      </c>
      <c s="7" r="J48"/>
      <c s="7" r="K48">
        <f>COUNTIF(PROJECT!Y2:Y100,"*Supply Chain Biodiversity Assessment*")</f>
        <v>0</v>
      </c>
      <c s="7" r="L48"/>
      <c s="7" r="M48"/>
      <c s="7" r="N48"/>
      <c s="7" r="O48"/>
      <c s="7" r="P48"/>
      <c s="7" r="Q48"/>
      <c s="7" r="R48"/>
      <c s="7" r="S48"/>
      <c s="7" r="T48"/>
    </row>
    <row r="49">
      <c t="s" s="7" r="D49">
        <v>139</v>
      </c>
      <c t="s" s="7" r="E49">
        <v>2096</v>
      </c>
      <c s="7" r="F49">
        <v>0</v>
      </c>
      <c s="7" r="G49">
        <v>1</v>
      </c>
      <c s="7" r="H49"/>
      <c s="7" r="I49">
        <f>COUNTIF(EXPERTISE!I4:I50,"*Sustainable Forestry Certification (FSC, PEFC)*")</f>
        <v>0</v>
      </c>
      <c s="7" r="J49"/>
      <c s="7" r="K49">
        <f>COUNTIF(PROJECT!Y2:Y100,"*Sustainable Forestry Certification (FSC, PEFC)*")</f>
        <v>0</v>
      </c>
      <c s="7" r="L49"/>
      <c s="7" r="M49"/>
      <c s="7" r="N49"/>
      <c s="7" r="O49"/>
      <c s="7" r="P49"/>
      <c s="7" r="Q49"/>
      <c s="7" r="R49"/>
      <c s="7" r="S49"/>
      <c s="7" r="T49"/>
    </row>
    <row r="50">
      <c t="s" s="7" r="D50">
        <v>151</v>
      </c>
      <c t="s" s="7" r="E50">
        <v>2097</v>
      </c>
      <c s="7" r="F50">
        <v>1</v>
      </c>
      <c s="7" r="G50">
        <v>1</v>
      </c>
      <c s="7" r="H50">
        <f>COUNTIF(EXPERTISE!H4:H50,"*PS7: Indigenous Peoples*")</f>
        <v>1</v>
      </c>
      <c s="7" r="I50">
        <f>COUNTIF(EXPERTISE!I4:I50,"*Free Prior and Informed Consent (FPIC)*")</f>
        <v>0</v>
      </c>
      <c s="7" r="J50">
        <f>COUNTIF(PROJECT!X2:X100,"*PS7: Indigenous Peoples*")</f>
        <v>2</v>
      </c>
      <c s="7" r="K50">
        <f>COUNTIF(PROJECT!Y2:Y100,"*Free Prior and Informed Consent (FPIC)*")</f>
        <v>0</v>
      </c>
      <c s="7" r="L50"/>
      <c s="7" r="M50"/>
      <c s="7" r="N50"/>
      <c s="7" r="O50"/>
      <c s="7" r="P50"/>
      <c s="7" r="Q50"/>
      <c s="7" r="R50"/>
      <c s="7" r="S50"/>
      <c s="7" r="T50"/>
    </row>
    <row r="51">
      <c t="s" s="7" r="D51">
        <v>151</v>
      </c>
      <c t="s" s="7" r="E51">
        <v>152</v>
      </c>
      <c s="7" r="F51">
        <v>0</v>
      </c>
      <c s="7" r="G51">
        <v>1</v>
      </c>
      <c s="7" r="H51"/>
      <c s="7" r="I51">
        <f>COUNTIF(EXPERTISE!I4:I50,"*Indigenous Peoples and Ethnic Minorities*")</f>
        <v>1</v>
      </c>
      <c s="7" r="J51"/>
      <c s="7" r="K51">
        <f>COUNTIF(PROJECT!Y2:Y100,"*Indigenous Peoples and Ethnic Minorities*")</f>
        <v>2</v>
      </c>
      <c s="7" r="L51"/>
      <c s="7" r="M51"/>
      <c s="7" r="N51"/>
      <c s="7" r="O51"/>
      <c s="7" r="P51"/>
      <c s="7" r="Q51"/>
      <c s="7" r="R51"/>
      <c s="7" r="S51"/>
      <c s="7" r="T51"/>
    </row>
    <row r="52">
      <c t="s" s="7" r="D52">
        <v>2066</v>
      </c>
      <c t="s" s="7" r="E52">
        <v>2098</v>
      </c>
      <c s="7" r="F52">
        <v>1</v>
      </c>
      <c s="7" r="G52">
        <v>1</v>
      </c>
      <c s="7" r="H52">
        <f>COUNTIF(EXPERTISE!H4:H50,"*PS8: Cultural Heritage*")</f>
        <v>0</v>
      </c>
      <c s="7" r="I52">
        <f>COUNTIF(EXPERTISE!I4:I50,"*Critical Cultural Heritage*")</f>
        <v>0</v>
      </c>
      <c s="7" r="J52">
        <f>COUNTIF(PROJECT!X2:X100,"*PS8: Cultural Heritage*")</f>
        <v>0</v>
      </c>
      <c s="7" r="K52">
        <f>COUNTIF(PROJECT!Y2:Y100,"*Critical Cultural Heritage*")</f>
        <v>0</v>
      </c>
      <c s="7" r="L52"/>
      <c s="7" r="M52"/>
      <c s="7" r="N52"/>
      <c s="7" r="O52"/>
      <c s="7" r="P52"/>
      <c s="7" r="Q52"/>
      <c s="7" r="R52"/>
      <c s="7" r="S52"/>
      <c s="7" r="T52"/>
    </row>
    <row r="53">
      <c t="s" s="7" r="D53">
        <v>2066</v>
      </c>
      <c t="s" s="7" r="E53">
        <v>2099</v>
      </c>
      <c s="7" r="F53">
        <v>0</v>
      </c>
      <c s="7" r="G53">
        <v>1</v>
      </c>
      <c s="7" r="H53"/>
      <c s="7" r="I53">
        <f>COUNTIF(EXPERTISE!I4:I50,"*Cultural Heritage Assessment and Preservation*")</f>
        <v>0</v>
      </c>
      <c s="7" r="J53"/>
      <c s="7" r="K53">
        <f>COUNTIF(PROJECT!Y2:Y100,"*Cultural Heritage Assessment and Preservation*")</f>
        <v>0</v>
      </c>
      <c s="7" r="L53"/>
      <c s="7" r="M53"/>
      <c s="7" r="N53"/>
      <c s="7" r="O53"/>
      <c s="7" r="P53"/>
      <c s="7" r="Q53"/>
      <c s="7" r="R53"/>
      <c s="7" r="S53"/>
      <c s="7" r="T53"/>
    </row>
  </sheetData>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14"/>
    <col min="4" customWidth="1" max="5" width="6.86"/>
    <col min="7" customWidth="1" max="7" width="5.0"/>
    <col min="9" customWidth="1" max="9" width="3.43"/>
  </cols>
  <sheetData>
    <row r="2">
      <c t="s" s="17" r="B2">
        <v>1928</v>
      </c>
      <c s="17" r="C2"/>
      <c s="17" r="D2"/>
      <c s="17" r="E2"/>
      <c t="s" s="17" r="F2">
        <v>1930</v>
      </c>
      <c s="17" r="G2"/>
      <c t="s" s="17" r="H2">
        <v>1932</v>
      </c>
      <c s="17" r="I2"/>
      <c s="7" r="J2"/>
      <c s="7" r="K2"/>
      <c s="7" r="L2"/>
      <c s="7" r="M2"/>
      <c s="7" r="N2"/>
      <c s="7" r="O2"/>
      <c s="7" r="P2"/>
      <c s="7" r="Q2"/>
      <c s="7" r="R2"/>
      <c s="7" r="S2"/>
      <c s="7" r="T2"/>
    </row>
    <row r="3">
      <c t="s" s="7" r="B3">
        <v>2100</v>
      </c>
      <c s="63" r="C3"/>
      <c s="7" r="D3">
        <v>1</v>
      </c>
      <c s="7" r="E3">
        <v>0</v>
      </c>
      <c s="7" r="F3">
        <f>COUNTIF(EXPERTISE!G4:G50,"*Airlines*")</f>
        <v>0</v>
      </c>
      <c s="7" r="G3"/>
      <c s="7" r="H3">
        <f>COUNTIF(PROJECT!Z2:Z100,"*Airlines*")</f>
        <v>0</v>
      </c>
      <c s="7" r="I3"/>
      <c s="7" r="J3"/>
      <c s="7" r="K3"/>
      <c s="7" r="L3"/>
      <c s="7" r="M3"/>
      <c s="7" r="N3"/>
      <c s="7" r="O3"/>
      <c s="7" r="P3"/>
      <c s="7" r="Q3"/>
      <c s="7" r="R3"/>
      <c s="7" r="S3"/>
      <c s="7" r="T3"/>
    </row>
    <row r="4">
      <c t="s" s="7" r="B4">
        <v>2101</v>
      </c>
      <c s="63" r="C4"/>
      <c s="7" r="D4">
        <v>1</v>
      </c>
      <c s="7" r="E4">
        <v>0</v>
      </c>
      <c s="7" r="F4">
        <f>COUNTIF(EXPERTISE!G4:G50,"*Airports*")</f>
        <v>0</v>
      </c>
      <c s="7" r="G4"/>
      <c s="7" r="H4">
        <f>COUNTIF(PROJECT!Z2:Z100,"*Airports*")</f>
        <v>0</v>
      </c>
      <c s="7" r="I4"/>
      <c s="7" r="J4"/>
      <c s="7" r="K4"/>
      <c s="7" r="L4"/>
      <c s="7" r="M4"/>
      <c s="7" r="N4"/>
      <c s="7" r="O4"/>
      <c s="7" r="P4"/>
      <c s="7" r="Q4"/>
      <c s="7" r="R4"/>
      <c s="7" r="S4"/>
      <c s="7" r="T4"/>
    </row>
    <row r="5">
      <c t="s" s="7" r="B5">
        <v>80</v>
      </c>
      <c s="63" r="C5"/>
      <c s="7" r="D5">
        <v>1</v>
      </c>
      <c s="7" r="E5">
        <v>0</v>
      </c>
      <c s="7" r="F5">
        <f>COUNTIF(EXPERTISE!G4:G50,"*Annual Crop Production*")</f>
        <v>1</v>
      </c>
      <c s="7" r="G5"/>
      <c s="7" r="H5">
        <f>COUNTIF(PROJECT!Z2:Z100,"*Annual Crop Production*")</f>
        <v>16</v>
      </c>
      <c s="7" r="I5"/>
      <c s="7" r="J5"/>
      <c s="7" r="K5"/>
      <c s="7" r="L5"/>
      <c s="7" r="M5"/>
      <c s="7" r="N5"/>
      <c s="7" r="O5"/>
      <c s="7" r="P5"/>
      <c s="7" r="Q5"/>
      <c s="7" r="R5"/>
      <c s="7" r="S5"/>
      <c s="7" r="T5"/>
    </row>
    <row r="6">
      <c t="s" s="7" r="B6">
        <v>1936</v>
      </c>
      <c s="63" r="C6"/>
      <c s="7" r="D6">
        <v>1</v>
      </c>
      <c s="7" r="E6">
        <v>0</v>
      </c>
      <c s="7" r="F6">
        <f>COUNTIF(EXPERTISE!G4:G50,"*Aquaculture*")</f>
        <v>0</v>
      </c>
      <c s="7" r="G6"/>
      <c s="7" r="H6">
        <f>COUNTIF(PROJECT!Z2:Z100,"*Aquaculture*")</f>
        <v>0</v>
      </c>
      <c s="7" r="I6"/>
      <c s="7" r="J6"/>
      <c s="7" r="K6"/>
      <c s="7" r="L6"/>
      <c s="7" r="M6"/>
      <c s="7" r="N6"/>
      <c s="7" r="O6"/>
      <c s="7" r="P6"/>
      <c s="7" r="Q6"/>
      <c s="7" r="R6"/>
      <c s="7" r="S6"/>
      <c s="7" r="T6"/>
    </row>
    <row r="7">
      <c t="s" s="7" r="B7">
        <v>2102</v>
      </c>
      <c s="63" r="C7"/>
      <c s="7" r="D7">
        <v>1</v>
      </c>
      <c s="7" r="E7">
        <v>0</v>
      </c>
      <c s="7" r="F7">
        <f>COUNTIF(EXPERTISE!G4:G50,"*Base Metal Smelting and Refining*")</f>
        <v>0</v>
      </c>
      <c s="7" r="G7"/>
      <c s="7" r="H7">
        <f>COUNTIF(PROJECT!Z2:Z100,"*Base Metal Smelting and Refining*")</f>
        <v>0</v>
      </c>
      <c s="7" r="I7"/>
      <c s="7" r="J7"/>
      <c s="7" r="K7"/>
      <c s="7" r="L7"/>
      <c s="7" r="M7"/>
      <c s="7" r="N7"/>
      <c s="7" r="O7"/>
      <c s="7" r="P7"/>
      <c s="7" r="Q7"/>
      <c s="7" r="R7"/>
      <c s="7" r="S7"/>
      <c s="7" r="T7"/>
    </row>
    <row r="8">
      <c t="s" s="7" r="B8">
        <v>2103</v>
      </c>
      <c s="63" r="C8"/>
      <c s="7" r="D8">
        <v>1</v>
      </c>
      <c s="7" r="E8">
        <v>0</v>
      </c>
      <c s="7" r="F8">
        <f>COUNTIF(EXPERTISE!G4:G50,"*Biomass Collection and Processing*")</f>
        <v>0</v>
      </c>
      <c s="7" r="G8"/>
      <c s="7" r="H8">
        <f>COUNTIF(PROJECT!Z2:Z100,"*Biomass Collection and Processing*")</f>
        <v>0</v>
      </c>
      <c s="7" r="I8"/>
      <c s="7" r="J8"/>
      <c s="7" r="K8"/>
      <c s="7" r="L8"/>
      <c s="7" r="M8"/>
      <c s="7" r="N8"/>
      <c s="7" r="O8"/>
      <c s="7" r="P8"/>
      <c s="7" r="Q8"/>
      <c s="7" r="R8"/>
      <c s="7" r="S8"/>
      <c s="7" r="T8"/>
    </row>
    <row r="9">
      <c t="s" s="7" r="B9">
        <v>2104</v>
      </c>
      <c s="63" r="C9"/>
      <c s="7" r="D9">
        <v>1</v>
      </c>
      <c s="7" r="E9">
        <v>0</v>
      </c>
      <c s="7" r="F9">
        <f>COUNTIF(EXPERTISE!G4:G50,"*Board and Particle-based Products*")</f>
        <v>0</v>
      </c>
      <c s="7" r="G9"/>
      <c s="7" r="H9">
        <f>COUNTIF(PROJECT!Z2:Z100,"*Board and Particle-based Products*")</f>
        <v>0</v>
      </c>
      <c s="7" r="I9"/>
      <c s="7" r="J9"/>
      <c s="7" r="K9"/>
      <c s="7" r="L9"/>
      <c s="7" r="M9"/>
      <c s="7" r="N9"/>
      <c s="7" r="O9"/>
      <c s="7" r="P9"/>
      <c s="7" r="Q9"/>
      <c s="7" r="R9"/>
      <c s="7" r="S9"/>
      <c s="7" r="T9"/>
    </row>
    <row r="10">
      <c t="s" s="7" r="B10">
        <v>2105</v>
      </c>
      <c s="63" r="C10"/>
      <c s="7" r="D10">
        <v>1</v>
      </c>
      <c s="7" r="E10">
        <v>0</v>
      </c>
      <c s="7" r="F10">
        <f>COUNTIF(EXPERTISE!G4:G50,"*Breweries*")</f>
        <v>0</v>
      </c>
      <c s="7" r="G10"/>
      <c s="7" r="H10">
        <f>COUNTIF(PROJECT!Z2:Z100,"*Breweries*")</f>
        <v>0</v>
      </c>
      <c s="7" r="I10"/>
      <c s="7" r="J10"/>
      <c s="7" r="K10"/>
      <c s="7" r="L10"/>
      <c s="7" r="M10"/>
      <c s="7" r="N10"/>
      <c s="7" r="O10"/>
      <c s="7" r="P10"/>
      <c s="7" r="Q10"/>
      <c s="7" r="R10"/>
      <c s="7" r="S10"/>
      <c s="7" r="T10"/>
    </row>
    <row r="11">
      <c t="s" s="7" r="B11">
        <v>2106</v>
      </c>
      <c s="63" r="C11"/>
      <c s="7" r="D11">
        <v>1</v>
      </c>
      <c s="7" r="E11">
        <v>0</v>
      </c>
      <c s="7" r="F11">
        <f>COUNTIF(EXPERTISE!G4:G50,"*Cement and Lime Manufacturing*")</f>
        <v>0</v>
      </c>
      <c s="7" r="G11"/>
      <c s="7" r="H11">
        <f>COUNTIF(PROJECT!Z2:Z100,"*Cement and Lime Manufacturing*")</f>
        <v>0</v>
      </c>
      <c s="7" r="I11"/>
      <c s="7" r="J11"/>
      <c s="7" r="K11"/>
      <c s="7" r="L11"/>
      <c s="7" r="M11"/>
      <c s="7" r="N11"/>
      <c s="7" r="O11"/>
      <c s="7" r="P11"/>
      <c s="7" r="Q11"/>
      <c s="7" r="R11"/>
      <c s="7" r="S11"/>
      <c s="7" r="T11"/>
    </row>
    <row r="12">
      <c t="s" s="7" r="B12">
        <v>2107</v>
      </c>
      <c s="63" r="C12"/>
      <c s="7" r="D12">
        <v>1</v>
      </c>
      <c s="7" r="E12">
        <v>0</v>
      </c>
      <c s="7" r="F12">
        <f>COUNTIF(EXPERTISE!G4:G50,"*Ceramic Tile and Sanitary Ware Manufacturing*")</f>
        <v>0</v>
      </c>
      <c s="7" r="G12"/>
      <c s="7" r="H12">
        <f>COUNTIF(PROJECT!Z2:Z100,"*Ceramic Tile and Sanitary Ware Manufacturing*")</f>
        <v>0</v>
      </c>
      <c s="7" r="I12"/>
      <c s="7" r="J12"/>
      <c s="7" r="K12"/>
      <c s="7" r="L12"/>
      <c s="7" r="M12"/>
      <c s="7" r="N12"/>
      <c s="7" r="O12"/>
      <c s="7" r="P12"/>
      <c s="7" r="Q12"/>
      <c s="7" r="R12"/>
      <c s="7" r="S12"/>
      <c s="7" r="T12"/>
    </row>
    <row r="13">
      <c t="s" s="7" r="B13">
        <v>2108</v>
      </c>
      <c s="63" r="C13"/>
      <c s="7" r="D13">
        <v>1</v>
      </c>
      <c s="7" r="E13">
        <v>0</v>
      </c>
      <c s="7" r="F13">
        <f>COUNTIF(EXPERTISE!G4:G50,"*Coal Tar Distillation*")</f>
        <v>0</v>
      </c>
      <c s="63" r="G13"/>
      <c s="7" r="H13">
        <f>COUNTIF(PROJECT!Z2:Z100,"*Coal Tar Distillation*")</f>
        <v>0</v>
      </c>
      <c s="63" r="I13"/>
      <c s="7" r="J13"/>
      <c s="7" r="K13"/>
      <c s="7" r="L13"/>
      <c s="7" r="M13"/>
      <c s="7" r="N13"/>
      <c s="7" r="O13"/>
      <c s="7" r="P13"/>
      <c s="7" r="Q13"/>
      <c s="7" r="R13"/>
      <c s="7" r="S13"/>
      <c s="7" r="T13"/>
    </row>
    <row r="14">
      <c t="s" s="7" r="B14">
        <v>2109</v>
      </c>
      <c s="63" r="C14"/>
      <c s="7" r="D14">
        <v>1</v>
      </c>
      <c s="7" r="E14">
        <v>0</v>
      </c>
      <c s="7" r="F14">
        <f>COUNTIF(EXPERTISE!G4:G50,"*Coal Processing*")</f>
        <v>0</v>
      </c>
      <c s="7" r="G14"/>
      <c s="7" r="H14">
        <f>COUNTIF(PROJECT!Z2:Z100,"*Coal Processing*")</f>
        <v>0</v>
      </c>
      <c s="7" r="I14"/>
      <c s="7" r="J14"/>
      <c s="7" r="K14"/>
      <c s="7" r="L14"/>
      <c s="7" r="M14"/>
      <c s="7" r="N14"/>
      <c s="7" r="O14"/>
      <c s="7" r="P14"/>
      <c s="7" r="Q14"/>
      <c s="7" r="R14"/>
      <c s="7" r="S14"/>
      <c s="7" r="T14"/>
    </row>
    <row r="15">
      <c t="s" s="7" r="B15">
        <v>2110</v>
      </c>
      <c s="63" r="C15"/>
      <c s="7" r="D15">
        <v>1</v>
      </c>
      <c s="7" r="E15">
        <v>0</v>
      </c>
      <c s="7" r="F15">
        <f>COUNTIF(EXPERTISE!G4:G50,"*Construction Materials Extraction*")</f>
        <v>0</v>
      </c>
      <c s="7" r="G15"/>
      <c s="7" r="H15">
        <f>COUNTIF(PROJECT!Z2:Z100,"*Construction Materials Extraction*")</f>
        <v>0</v>
      </c>
      <c s="7" r="I15"/>
      <c s="7" r="J15"/>
      <c s="7" r="K15"/>
      <c s="7" r="L15"/>
      <c s="7" r="M15"/>
      <c s="7" r="N15"/>
      <c s="7" r="O15"/>
      <c s="7" r="P15"/>
      <c s="7" r="Q15"/>
      <c s="7" r="R15"/>
      <c s="7" r="S15"/>
      <c s="7" r="T15"/>
    </row>
    <row r="16">
      <c t="s" s="7" r="B16">
        <v>2111</v>
      </c>
      <c s="63" r="C16"/>
      <c s="7" r="D16">
        <v>1</v>
      </c>
      <c s="7" r="E16">
        <v>0</v>
      </c>
      <c s="7" r="F16">
        <f>COUNTIF(EXPERTISE!G4:G50,"*Crude Oil and Petroleum Product Terminals*")</f>
        <v>0</v>
      </c>
      <c s="7" r="G16"/>
      <c s="7" r="H16">
        <f>COUNTIF(PROJECT!Z2:Z100,"*Crude Oil and Petroleum Product Terminals*")</f>
        <v>0</v>
      </c>
      <c s="7" r="I16"/>
      <c s="7" r="J16"/>
      <c s="7" r="K16"/>
      <c s="7" r="L16"/>
      <c s="7" r="M16"/>
      <c s="7" r="N16"/>
      <c s="7" r="O16"/>
      <c s="7" r="P16"/>
      <c s="7" r="Q16"/>
      <c s="7" r="R16"/>
      <c s="7" r="S16"/>
      <c s="7" r="T16"/>
    </row>
    <row r="17">
      <c t="s" s="7" r="B17">
        <v>2112</v>
      </c>
      <c s="63" r="C17"/>
      <c s="7" r="D17">
        <v>1</v>
      </c>
      <c s="7" r="E17">
        <v>0</v>
      </c>
      <c s="7" r="F17">
        <f>COUNTIF(EXPERTISE!G4:G50,"*Dairy Processing*")</f>
        <v>0</v>
      </c>
      <c s="7" r="G17"/>
      <c s="7" r="H17">
        <f>COUNTIF(PROJECT!Z2:Z100,"*Dairy Processing*")</f>
        <v>0</v>
      </c>
      <c s="7" r="I17"/>
      <c s="7" r="J17"/>
      <c s="7" r="K17"/>
      <c s="7" r="L17"/>
      <c s="7" r="M17"/>
      <c s="7" r="N17"/>
      <c s="7" r="O17"/>
      <c s="7" r="P17"/>
      <c s="7" r="Q17"/>
      <c s="7" r="R17"/>
      <c s="7" r="S17"/>
      <c s="7" r="T17"/>
    </row>
    <row r="18">
      <c t="s" s="7" r="B18">
        <v>87</v>
      </c>
      <c s="63" r="C18"/>
      <c s="7" r="D18">
        <v>1</v>
      </c>
      <c s="7" r="E18">
        <v>0</v>
      </c>
      <c s="7" r="F18">
        <f>COUNTIF(EXPERTISE!G4:G50,"*Electric Power Transmission and Distribution*")</f>
        <v>1</v>
      </c>
      <c s="7" r="G18"/>
      <c s="7" r="H18">
        <f>COUNTIF(PROJECT!Z2:Z100,"*Electric Power Transmission and Distribution*")</f>
        <v>1</v>
      </c>
      <c s="7" r="I18"/>
      <c s="7" r="J18"/>
      <c s="7" r="K18"/>
      <c s="7" r="L18"/>
      <c s="7" r="M18"/>
      <c s="7" r="N18"/>
      <c s="7" r="O18"/>
      <c s="7" r="P18"/>
      <c s="7" r="Q18"/>
      <c s="7" r="R18"/>
      <c s="7" r="S18"/>
      <c s="7" r="T18"/>
    </row>
    <row r="19">
      <c t="s" s="7" r="B19">
        <v>2113</v>
      </c>
      <c s="63" r="C19"/>
      <c s="7" r="D19">
        <v>1</v>
      </c>
      <c s="7" r="E19">
        <v>0</v>
      </c>
      <c s="7" r="F19">
        <f>COUNTIF(EXPERTISE!G4:G50,"*Financial Intermediaries (e.g. Banks, PE Funds)*")</f>
        <v>0</v>
      </c>
      <c s="7" r="G19"/>
      <c s="7" r="H19">
        <f>COUNTIF(PROJECT!Z2:Z100,"*Financial Intermediaries (e.g. Banks, PE Funds)*")</f>
        <v>0</v>
      </c>
      <c s="7" r="I19"/>
      <c s="7" r="J19"/>
      <c s="7" r="K19"/>
      <c s="7" r="L19"/>
      <c s="7" r="M19"/>
      <c s="7" r="N19"/>
      <c s="7" r="O19"/>
      <c s="7" r="P19"/>
      <c s="7" r="Q19"/>
      <c s="7" r="R19"/>
      <c s="7" r="S19"/>
      <c s="7" r="T19"/>
    </row>
    <row r="20">
      <c t="s" s="7" r="B20">
        <v>2114</v>
      </c>
      <c s="63" r="C20"/>
      <c s="7" r="D20">
        <v>1</v>
      </c>
      <c s="7" r="E20">
        <v>0</v>
      </c>
      <c s="7" r="F20">
        <f>COUNTIF(EXPERTISE!G4:G50,"*Fish Processing*")</f>
        <v>0</v>
      </c>
      <c s="7" r="G20"/>
      <c s="7" r="H20">
        <f>COUNTIF(PROJECT!Z2:Z100,"*Fish Processing*")</f>
        <v>0</v>
      </c>
      <c s="7" r="I20"/>
      <c s="7" r="J20"/>
      <c s="7" r="K20"/>
      <c s="7" r="L20"/>
      <c s="7" r="M20"/>
      <c s="7" r="N20"/>
      <c s="7" r="O20"/>
      <c s="7" r="P20"/>
      <c s="7" r="Q20"/>
      <c s="7" r="R20"/>
      <c s="7" r="S20"/>
      <c s="7" r="T20"/>
    </row>
    <row r="21">
      <c t="s" s="7" r="B21">
        <v>2115</v>
      </c>
      <c s="63" r="C21"/>
      <c s="7" r="D21">
        <v>1</v>
      </c>
      <c s="7" r="E21">
        <v>0</v>
      </c>
      <c s="7" r="F21">
        <f>COUNTIF(EXPERTISE!G4:G50,"*Food and Beverage Processing*")</f>
        <v>0</v>
      </c>
      <c s="7" r="G21"/>
      <c s="7" r="H21">
        <f>COUNTIF(PROJECT!Z2:Z100,"*Food and Beverage Processing*")</f>
        <v>0</v>
      </c>
      <c s="7" r="I21"/>
      <c s="7" r="J21"/>
      <c s="7" r="K21"/>
      <c s="7" r="L21"/>
      <c s="7" r="M21"/>
      <c s="7" r="N21"/>
      <c s="7" r="O21"/>
      <c s="7" r="P21"/>
      <c s="7" r="Q21"/>
      <c s="7" r="R21"/>
      <c s="7" r="S21"/>
      <c s="7" r="T21"/>
    </row>
    <row r="22">
      <c t="s" s="7" r="B22">
        <v>92</v>
      </c>
      <c s="63" r="C22"/>
      <c s="7" r="D22">
        <v>1</v>
      </c>
      <c s="7" r="E22">
        <v>0</v>
      </c>
      <c s="7" r="F22">
        <f>COUNTIF(EXPERTISE!G4:G50,"*Forest Harvesting Operations*")</f>
        <v>1</v>
      </c>
      <c s="7" r="G22"/>
      <c s="7" r="H22">
        <f>COUNTIF(PROJECT!Z2:Z100,"*Forest Harvesting Operations*")</f>
        <v>7</v>
      </c>
      <c s="7" r="I22"/>
      <c s="7" r="J22"/>
      <c s="7" r="K22"/>
      <c s="7" r="L22"/>
      <c s="7" r="M22"/>
      <c s="7" r="N22"/>
      <c s="7" r="O22"/>
      <c s="7" r="P22"/>
      <c s="7" r="Q22"/>
      <c s="7" r="R22"/>
      <c s="7" r="S22"/>
      <c s="7" r="T22"/>
    </row>
    <row r="23">
      <c t="s" s="7" r="B23">
        <v>2116</v>
      </c>
      <c s="63" r="C23"/>
      <c s="7" r="D23">
        <v>1</v>
      </c>
      <c s="7" r="E23">
        <v>0</v>
      </c>
      <c r="F23">
        <f>COUNTIF(EXPERTISE!G4:G50,"*Foundries*")</f>
        <v>0</v>
      </c>
      <c s="7" r="G23"/>
      <c s="7" r="H23">
        <f>COUNTIF(PROJECT!Z2:Z100,"*Foundries*")</f>
        <v>0</v>
      </c>
      <c s="7" r="I23"/>
      <c s="7" r="J23"/>
      <c s="7" r="K23"/>
      <c s="7" r="L23"/>
      <c s="7" r="M23"/>
      <c s="7" r="N23"/>
      <c s="7" r="O23"/>
      <c s="7" r="P23"/>
      <c s="7" r="Q23"/>
      <c s="7" r="R23"/>
      <c s="7" r="S23"/>
      <c s="7" r="T23"/>
    </row>
    <row r="24">
      <c t="s" s="7" r="B24">
        <v>2117</v>
      </c>
      <c s="63" r="C24"/>
      <c s="7" r="D24">
        <v>1</v>
      </c>
      <c s="7" r="E24">
        <v>0</v>
      </c>
      <c s="7" r="F24">
        <f>COUNTIF(EXPERTISE!G4:G50,"*Gas Distribution Systems*")</f>
        <v>0</v>
      </c>
      <c s="7" r="G24"/>
      <c s="7" r="H24">
        <f>COUNTIF(PROJECT!Z2:Z100,"*Gas Distribution Systems*")</f>
        <v>0</v>
      </c>
      <c s="7" r="I24"/>
      <c s="7" r="J24"/>
      <c s="7" r="K24"/>
      <c s="7" r="L24"/>
      <c s="7" r="M24"/>
      <c s="7" r="N24"/>
      <c s="7" r="O24"/>
      <c s="7" r="P24"/>
      <c s="7" r="Q24"/>
      <c s="7" r="R24"/>
      <c s="7" r="S24"/>
      <c s="7" r="T24"/>
    </row>
    <row r="25">
      <c t="s" s="7" r="B25">
        <v>2118</v>
      </c>
      <c s="63" r="C25"/>
      <c s="7" r="D25">
        <v>1</v>
      </c>
      <c s="7" r="E25">
        <v>0</v>
      </c>
      <c s="7" r="F25">
        <f>COUNTIF(EXPERTISE!G4:G50,"*Geothermal Power Generation*")</f>
        <v>0</v>
      </c>
      <c s="7" r="G25"/>
      <c s="7" r="H25">
        <f>COUNTIF(PROJECT!Z2:Z100,"*Geothermal Power Generation*")</f>
        <v>0</v>
      </c>
      <c s="7" r="I25"/>
      <c s="7" r="J25"/>
      <c s="7" r="K25"/>
      <c s="7" r="L25"/>
      <c s="7" r="M25"/>
      <c s="7" r="N25"/>
      <c s="7" r="O25"/>
      <c s="7" r="P25"/>
      <c s="7" r="Q25"/>
      <c s="7" r="R25"/>
      <c s="7" r="S25"/>
      <c s="7" r="T25"/>
    </row>
    <row r="26">
      <c t="s" s="7" r="B26">
        <v>2119</v>
      </c>
      <c s="63" r="C26"/>
      <c s="7" r="D26">
        <v>1</v>
      </c>
      <c s="7" r="E26">
        <v>0</v>
      </c>
      <c s="7" r="F26">
        <f>COUNTIF(EXPERTISE!G4:G50,"*Glass Manufacturing*")</f>
        <v>0</v>
      </c>
      <c s="7" r="G26"/>
      <c s="7" r="H26">
        <f>COUNTIF(PROJECT!Z2:Z100,"*Glass Manufacturing*")</f>
        <v>0</v>
      </c>
      <c s="7" r="I26"/>
      <c s="7" r="J26"/>
      <c s="7" r="K26"/>
      <c s="7" r="L26"/>
      <c s="7" r="M26"/>
      <c s="7" r="N26"/>
      <c s="7" r="O26"/>
      <c s="7" r="P26"/>
      <c s="7" r="Q26"/>
      <c s="7" r="R26"/>
      <c s="7" r="S26"/>
      <c s="7" r="T26"/>
    </row>
    <row r="27">
      <c t="s" s="7" r="B27">
        <v>2120</v>
      </c>
      <c s="63" r="C27"/>
      <c s="7" r="D27">
        <v>1</v>
      </c>
      <c s="7" r="E27">
        <v>0</v>
      </c>
      <c s="7" r="F27">
        <f>COUNTIF(EXPERTISE!G4:G50,"*Health Care Facilities*")</f>
        <v>0</v>
      </c>
      <c s="7" r="G27"/>
      <c s="7" r="H27">
        <f>COUNTIF(PROJECT!Z2:Z100,"*Health Care Facilities*")</f>
        <v>0</v>
      </c>
      <c s="7" r="I27"/>
      <c s="7" r="J27"/>
      <c s="7" r="K27"/>
      <c s="7" r="L27"/>
      <c s="7" r="M27"/>
      <c s="7" r="N27"/>
      <c s="7" r="O27"/>
      <c s="7" r="P27"/>
      <c s="7" r="Q27"/>
      <c s="7" r="R27"/>
      <c s="7" r="S27"/>
      <c s="7" r="T27"/>
    </row>
    <row r="28">
      <c t="s" s="7" r="B28">
        <v>1965</v>
      </c>
      <c s="63" r="C28"/>
      <c s="7" r="D28">
        <v>1</v>
      </c>
      <c s="7" r="E28">
        <v>0</v>
      </c>
      <c s="7" r="F28">
        <f>COUNTIF(EXPERTISE!G4:G50,"*Hydropower*")</f>
        <v>0</v>
      </c>
      <c s="63" r="G28"/>
      <c s="7" r="H28">
        <f>COUNTIF(PROJECT!Z2:Z100,"*Hydropower*")</f>
        <v>0</v>
      </c>
      <c s="63" r="I28"/>
      <c s="7" r="J28"/>
      <c s="7" r="K28"/>
      <c s="7" r="L28"/>
      <c s="7" r="M28"/>
      <c s="7" r="N28"/>
      <c s="7" r="O28"/>
      <c s="7" r="P28"/>
      <c s="7" r="Q28"/>
      <c s="7" r="R28"/>
      <c s="7" r="S28"/>
      <c s="7" r="T28"/>
    </row>
    <row r="29">
      <c t="s" s="7" r="B29">
        <v>2121</v>
      </c>
      <c s="63" r="C29"/>
      <c s="7" r="D29">
        <v>1</v>
      </c>
      <c s="7" r="E29">
        <v>0</v>
      </c>
      <c s="7" r="F29">
        <f>COUNTIF(EXPERTISE!G4:G50,"*Integrated Steel Mills*")</f>
        <v>0</v>
      </c>
      <c s="7" r="G29"/>
      <c s="7" r="H29">
        <f>COUNTIF(PROJECT!Z2:Z100,"*Integrated Steel Mills*")</f>
        <v>0</v>
      </c>
      <c s="63" r="I29"/>
      <c s="7" r="J29"/>
      <c s="7" r="K29"/>
      <c s="7" r="L29"/>
      <c s="7" r="M29"/>
      <c s="7" r="N29"/>
      <c s="7" r="O29"/>
      <c s="7" r="P29"/>
      <c s="7" r="Q29"/>
      <c s="7" r="R29"/>
      <c s="7" r="S29"/>
      <c s="7" r="T29"/>
    </row>
    <row r="30">
      <c t="s" s="7" r="B30">
        <v>2122</v>
      </c>
      <c s="63" r="C30"/>
      <c s="7" r="D30">
        <v>1</v>
      </c>
      <c s="7" r="E30">
        <v>0</v>
      </c>
      <c s="7" r="F30">
        <f>COUNTIF(EXPERTISE!G4:G50,"*Large Volume Inorganic Compounds Manufacturing and Coal Tar Distillation*")</f>
        <v>0</v>
      </c>
      <c s="63" r="G30"/>
      <c s="7" r="H30">
        <f>COUNTIF(PROJECT!Z2:Z100,"*Large Volume Inorganic Compounds Manufacturing and Coal Tar Distillation*")</f>
        <v>0</v>
      </c>
      <c s="63" r="I30"/>
      <c s="7" r="J30"/>
      <c s="7" r="K30"/>
      <c s="7" r="L30"/>
      <c s="7" r="M30"/>
      <c s="7" r="N30"/>
      <c s="7" r="O30"/>
      <c s="7" r="P30"/>
      <c s="7" r="Q30"/>
      <c s="7" r="R30"/>
      <c s="7" r="S30"/>
      <c s="7" r="T30"/>
    </row>
    <row r="31">
      <c t="s" s="7" r="B31">
        <v>2123</v>
      </c>
      <c s="63" r="C31"/>
      <c s="7" r="D31">
        <v>1</v>
      </c>
      <c s="7" r="E31">
        <v>0</v>
      </c>
      <c s="7" r="F31">
        <f>COUNTIF(EXPERTISE!G4:G50,"*Large Volume Petroleum based Organic Chemicals Manufacturing*")</f>
        <v>0</v>
      </c>
      <c s="7" r="G31"/>
      <c s="7" r="H31">
        <f>COUNTIF(PROJECT!Z2:Z100,"*Large Volume Petroleum based Organic Chemicals Manufacturing*")</f>
        <v>0</v>
      </c>
      <c s="7" r="I31"/>
      <c s="7" r="J31"/>
      <c s="7" r="K31"/>
      <c s="7" r="L31"/>
      <c s="7" r="M31"/>
      <c s="7" r="N31"/>
      <c s="7" r="O31"/>
      <c s="7" r="P31"/>
      <c s="7" r="Q31"/>
      <c s="7" r="R31"/>
      <c s="7" r="S31"/>
      <c s="7" r="T31"/>
    </row>
    <row r="32">
      <c t="s" s="7" r="B32">
        <v>2124</v>
      </c>
      <c s="63" r="C32"/>
      <c s="7" r="D32">
        <v>1</v>
      </c>
      <c s="7" r="E32">
        <v>0</v>
      </c>
      <c s="7" r="F32">
        <f>COUNTIF(EXPERTISE!G4:G50,"*Liquefied Natural Gas (LNG) Facilities*")</f>
        <v>0</v>
      </c>
      <c s="7" r="G32"/>
      <c s="7" r="H32">
        <f>COUNTIF(PROJECT!Z2:Z100,"*Liquefied Natural Gas (LNG) Facilities*")</f>
        <v>0</v>
      </c>
      <c s="7" r="I32"/>
      <c s="7" r="J32"/>
      <c s="7" r="K32"/>
      <c s="7" r="L32"/>
      <c s="7" r="M32"/>
      <c s="7" r="N32"/>
      <c s="7" r="O32"/>
      <c s="7" r="P32"/>
      <c s="7" r="Q32"/>
      <c s="7" r="R32"/>
      <c s="7" r="S32"/>
      <c s="7" r="T32"/>
    </row>
    <row r="33">
      <c t="s" s="7" r="B33">
        <v>2125</v>
      </c>
      <c s="63" r="C33"/>
      <c s="7" r="D33">
        <v>1</v>
      </c>
      <c s="7" r="E33">
        <v>0</v>
      </c>
      <c s="7" r="F33">
        <f>COUNTIF(EXPERTISE!G4:G50,"*Mammalian Livestock Production*")</f>
        <v>0</v>
      </c>
      <c s="7" r="G33"/>
      <c s="7" r="H33">
        <f>COUNTIF(PROJECT!Z2:Z100,"*Mammalian Livestock Production*")</f>
        <v>0</v>
      </c>
      <c s="7" r="I33"/>
      <c s="7" r="J33"/>
      <c s="7" r="K33"/>
      <c s="7" r="L33"/>
      <c s="7" r="M33"/>
      <c s="7" r="N33"/>
      <c s="7" r="O33"/>
      <c s="7" r="P33"/>
      <c s="7" r="Q33"/>
      <c s="7" r="R33"/>
      <c s="7" r="S33"/>
      <c s="7" r="T33"/>
    </row>
    <row r="34">
      <c t="s" s="7" r="B34">
        <v>2126</v>
      </c>
      <c s="63" r="C34"/>
      <c s="7" r="D34">
        <v>1</v>
      </c>
      <c s="7" r="E34">
        <v>0</v>
      </c>
      <c s="7" r="F34">
        <f>COUNTIF(EXPERTISE!G4:G50,"*Meat Processing*")</f>
        <v>0</v>
      </c>
      <c s="7" r="G34"/>
      <c s="7" r="H34">
        <f>COUNTIF(PROJECT!Z2:Z100,"*Meat Processing*")</f>
        <v>0</v>
      </c>
      <c s="7" r="I34"/>
      <c s="7" r="J34"/>
      <c s="7" r="K34"/>
      <c s="7" r="L34"/>
      <c s="7" r="M34"/>
      <c s="7" r="N34"/>
      <c s="7" r="O34"/>
      <c s="7" r="P34"/>
      <c s="7" r="Q34"/>
      <c s="7" r="R34"/>
      <c s="7" r="S34"/>
      <c s="7" r="T34"/>
    </row>
    <row r="35">
      <c t="s" s="7" r="B35">
        <v>2127</v>
      </c>
      <c s="63" r="C35"/>
      <c s="7" r="D35">
        <v>1</v>
      </c>
      <c s="7" r="E35">
        <v>0</v>
      </c>
      <c s="7" r="F35">
        <f>COUNTIF(EXPERTISE!G4:G50,"*Metal, Plastic, Rubber Products Manufacturing*")</f>
        <v>0</v>
      </c>
      <c s="63" r="G35"/>
      <c s="7" r="H35">
        <f>COUNTIF(PROJECT!Z2:Z100,"*Metal, Plastic, Rubber Products Manufacturing*")</f>
        <v>0</v>
      </c>
      <c s="63" r="I35"/>
      <c s="7" r="J35"/>
      <c s="7" r="K35"/>
      <c s="7" r="L35"/>
      <c s="7" r="M35"/>
      <c s="7" r="N35"/>
      <c s="7" r="O35"/>
      <c s="7" r="P35"/>
      <c s="7" r="Q35"/>
      <c s="7" r="R35"/>
      <c s="7" r="S35"/>
      <c s="7" r="T35"/>
    </row>
    <row r="36">
      <c t="s" s="7" r="B36">
        <v>99</v>
      </c>
      <c s="63" r="C36"/>
      <c s="7" r="D36">
        <v>1</v>
      </c>
      <c s="7" r="E36">
        <v>0</v>
      </c>
      <c s="7" r="F36">
        <f>COUNTIF(EXPERTISE!G4:G50,"*Mining*")</f>
        <v>1</v>
      </c>
      <c s="7" r="G36"/>
      <c s="7" r="H36">
        <f>COUNTIF(PROJECT!Z2:Z100,"*Mining*")</f>
        <v>2</v>
      </c>
      <c s="63" r="I36"/>
      <c s="7" r="J36"/>
      <c s="7" r="K36"/>
      <c s="7" r="L36"/>
      <c s="7" r="M36"/>
      <c s="7" r="N36"/>
      <c s="7" r="O36"/>
      <c s="7" r="P36"/>
      <c s="7" r="Q36"/>
      <c s="7" r="R36"/>
      <c s="7" r="S36"/>
      <c s="7" r="T36"/>
    </row>
    <row r="37">
      <c t="s" s="7" r="B37">
        <v>2128</v>
      </c>
      <c s="63" r="C37"/>
      <c s="7" r="D37">
        <v>1</v>
      </c>
      <c s="7" r="E37">
        <v>0</v>
      </c>
      <c s="7" r="F37">
        <f>COUNTIF(EXPERTISE!G4:G50,"*Natural Gas Processing*")</f>
        <v>0</v>
      </c>
      <c s="7" r="G37"/>
      <c s="7" r="H37">
        <f>COUNTIF(PROJECT!Z2:Z100,"*Natural Gas Processing*")</f>
        <v>0</v>
      </c>
      <c s="7" r="I37"/>
      <c s="7" r="J37"/>
      <c s="7" r="K37"/>
      <c s="7" r="L37"/>
      <c s="7" r="M37"/>
      <c s="7" r="N37"/>
      <c s="7" r="O37"/>
      <c s="7" r="P37"/>
      <c s="7" r="Q37"/>
      <c s="7" r="R37"/>
      <c s="7" r="S37"/>
      <c s="7" r="T37"/>
    </row>
    <row r="38">
      <c t="s" s="7" r="B38">
        <v>2129</v>
      </c>
      <c s="63" r="C38"/>
      <c s="7" r="D38">
        <v>1</v>
      </c>
      <c s="7" r="E38">
        <v>0</v>
      </c>
      <c s="7" r="F38">
        <f>COUNTIF(EXPERTISE!G4:G50,"*Nitrogenous Fertilizer Manufacturing*")</f>
        <v>0</v>
      </c>
      <c s="7" r="G38"/>
      <c s="7" r="H38">
        <f>COUNTIF(PROJECT!Z2:Z100,"*Nitrogenous Fertilizer Manufacturing*")</f>
        <v>0</v>
      </c>
      <c s="7" r="I38"/>
      <c s="7" r="J38"/>
      <c s="7" r="K38"/>
      <c s="7" r="L38"/>
      <c s="7" r="M38"/>
      <c s="7" r="N38"/>
      <c s="7" r="O38"/>
      <c s="7" r="P38"/>
      <c s="7" r="Q38"/>
      <c s="7" r="R38"/>
      <c s="7" r="S38"/>
      <c s="7" r="T38"/>
    </row>
    <row r="39">
      <c t="s" s="7" r="B39">
        <v>2130</v>
      </c>
      <c s="63" r="C39"/>
      <c s="7" r="D39">
        <v>1</v>
      </c>
      <c s="7" r="E39">
        <v>0</v>
      </c>
      <c s="7" r="F39">
        <f>COUNTIF(EXPERTISE!G4:G50,"*Offshore Oil and Gas Development*")</f>
        <v>0</v>
      </c>
      <c s="7" r="G39"/>
      <c s="7" r="H39">
        <f>COUNTIF(PROJECT!Z2:Z100,"*Offshore Oil and Gas Development*")</f>
        <v>0</v>
      </c>
      <c s="7" r="I39"/>
      <c s="7" r="J39"/>
      <c s="7" r="K39"/>
      <c s="7" r="L39"/>
      <c s="7" r="M39"/>
      <c s="7" r="N39"/>
      <c s="7" r="O39"/>
      <c s="7" r="P39"/>
      <c s="7" r="Q39"/>
      <c s="7" r="R39"/>
      <c s="7" r="S39"/>
      <c s="7" r="T39"/>
    </row>
    <row r="40">
      <c t="s" s="7" r="B40">
        <v>2131</v>
      </c>
      <c s="63" r="C40"/>
      <c s="7" r="D40">
        <v>1</v>
      </c>
      <c s="7" r="E40">
        <v>0</v>
      </c>
      <c s="7" r="F40">
        <f>COUNTIF(EXPERTISE!G4:G50,"*Oleochemicals Manufacturing*")</f>
        <v>0</v>
      </c>
      <c s="63" r="G40"/>
      <c s="7" r="H40">
        <f>COUNTIF(PROJECT!Z2:Z100,"*Oleochemicals Manufacturing*")</f>
        <v>0</v>
      </c>
      <c s="63" r="I40"/>
      <c s="7" r="J40"/>
      <c s="7" r="K40"/>
      <c s="7" r="L40"/>
      <c s="7" r="M40"/>
      <c s="7" r="N40"/>
      <c s="7" r="O40"/>
      <c s="7" r="P40"/>
      <c s="7" r="Q40"/>
      <c s="7" r="R40"/>
      <c s="7" r="S40"/>
      <c s="7" r="T40"/>
    </row>
    <row r="41">
      <c t="s" s="7" r="B41">
        <v>2132</v>
      </c>
      <c s="63" r="C41"/>
      <c s="7" r="D41">
        <v>1</v>
      </c>
      <c s="7" r="E41">
        <v>0</v>
      </c>
      <c s="7" r="F41">
        <f>COUNTIF(EXPERTISE!G4:G50,"*Onshore Oil and Gas Development*")</f>
        <v>0</v>
      </c>
      <c s="63" r="G41"/>
      <c s="7" r="H41">
        <f>COUNTIF(PROJECT!Z2:Z100,"*Onshore Oil and Gas Development*")</f>
        <v>0</v>
      </c>
      <c s="63" r="I41"/>
      <c s="7" r="J41"/>
      <c s="7" r="K41"/>
      <c s="7" r="L41"/>
      <c s="7" r="M41"/>
      <c s="7" r="N41"/>
      <c s="7" r="O41"/>
      <c s="7" r="P41"/>
      <c s="7" r="Q41"/>
      <c s="7" r="R41"/>
      <c s="7" r="S41"/>
      <c s="7" r="T41"/>
    </row>
    <row r="42">
      <c t="s" s="7" r="B42">
        <v>2133</v>
      </c>
      <c s="63" r="C42"/>
      <c s="7" r="D42">
        <v>1</v>
      </c>
      <c s="7" r="E42">
        <v>0</v>
      </c>
      <c s="7" r="F42">
        <f>COUNTIF(EXPERTISE!G4:G50,"*Pesticides Formulation, Manufacturing and Packaging*")</f>
        <v>0</v>
      </c>
      <c s="7" r="G42"/>
      <c s="7" r="H42">
        <f>COUNTIF(PROJECT!Z2:Z100,"*Pesticides Formulation, Manufacturing and Packaging*")</f>
        <v>0</v>
      </c>
      <c s="7" r="I42"/>
      <c s="7" r="J42"/>
      <c s="7" r="K42"/>
      <c s="7" r="L42"/>
      <c s="7" r="M42"/>
      <c s="7" r="N42"/>
      <c s="7" r="O42"/>
      <c s="7" r="P42"/>
      <c s="7" r="Q42"/>
      <c s="7" r="R42"/>
      <c s="7" r="S42"/>
      <c s="7" r="T42"/>
    </row>
    <row r="43">
      <c t="s" s="7" r="B43">
        <v>2134</v>
      </c>
      <c s="63" r="C43"/>
      <c s="7" r="D43">
        <v>1</v>
      </c>
      <c s="7" r="E43">
        <v>0</v>
      </c>
      <c s="7" r="F43">
        <f>COUNTIF(EXPERTISE!G4:G50,"*Petroleum Refining*")</f>
        <v>0</v>
      </c>
      <c s="63" r="G43"/>
      <c s="7" r="H43">
        <f>COUNTIF(PROJECT!Z2:Z100,"*Petroleum Refining*")</f>
        <v>0</v>
      </c>
      <c s="63" r="I43"/>
      <c s="7" r="J43"/>
      <c s="7" r="K43"/>
      <c s="7" r="L43"/>
      <c s="7" r="M43"/>
      <c s="7" r="N43"/>
      <c s="7" r="O43"/>
      <c s="7" r="P43"/>
      <c s="7" r="Q43"/>
      <c s="7" r="R43"/>
      <c s="7" r="S43"/>
      <c s="7" r="T43"/>
    </row>
    <row r="44">
      <c t="s" s="7" r="B44">
        <v>2135</v>
      </c>
      <c s="63" r="C44"/>
      <c s="7" r="D44">
        <v>1</v>
      </c>
      <c s="7" r="E44">
        <v>0</v>
      </c>
      <c s="7" r="F44">
        <f>COUNTIF(EXPERTISE!G4:G50,"*Petroleum based Polymers Manufacturing*")</f>
        <v>0</v>
      </c>
      <c s="7" r="G44"/>
      <c s="7" r="H44">
        <f>COUNTIF(PROJECT!Z2:Z100,"*Petroleum based Polymers Manufacturing*")</f>
        <v>0</v>
      </c>
      <c s="63" r="I44"/>
      <c s="7" r="J44"/>
      <c s="7" r="K44"/>
      <c s="7" r="L44"/>
      <c s="7" r="M44"/>
      <c s="7" r="N44"/>
      <c s="7" r="O44"/>
      <c s="7" r="P44"/>
      <c s="7" r="Q44"/>
      <c s="7" r="R44"/>
      <c s="7" r="S44"/>
      <c s="7" r="T44"/>
    </row>
    <row r="45">
      <c t="s" s="7" r="B45">
        <v>2136</v>
      </c>
      <c s="63" r="C45"/>
      <c s="7" r="D45">
        <v>1</v>
      </c>
      <c s="7" r="E45">
        <v>0</v>
      </c>
      <c s="7" r="F45">
        <f>COUNTIF(EXPERTISE!G4:G50,"*Pharmaceuticals and Biotechnology*")</f>
        <v>0</v>
      </c>
      <c s="7" r="G45"/>
      <c s="7" r="H45">
        <f>COUNTIF(PROJECT!Z2:Z100,"*Pharmaceuticals and Biotechnology*")</f>
        <v>0</v>
      </c>
      <c s="63" r="I45"/>
      <c s="7" r="J45"/>
      <c s="7" r="K45"/>
      <c s="7" r="L45"/>
      <c s="7" r="M45"/>
      <c s="7" r="N45"/>
      <c s="7" r="O45"/>
      <c s="7" r="P45"/>
      <c s="7" r="Q45"/>
      <c s="7" r="R45"/>
      <c s="7" r="S45"/>
      <c s="7" r="T45"/>
    </row>
    <row r="46">
      <c t="s" s="7" r="B46">
        <v>2137</v>
      </c>
      <c s="63" r="C46"/>
      <c s="7" r="D46">
        <v>1</v>
      </c>
      <c s="7" r="E46">
        <v>0</v>
      </c>
      <c s="63" r="F46">
        <f>COUNTIF(EXPERTISE!G4:G50,"*Phosphate Fertilizer Manufacturing*")</f>
        <v>0</v>
      </c>
      <c s="63" r="G46"/>
      <c s="63" r="H46">
        <f>COUNTIF(PROJECT!Z2:Z100,"*Phosphate Fertilizer Manufacturing*")</f>
        <v>0</v>
      </c>
      <c s="63" r="I46"/>
      <c s="63" r="J46"/>
      <c s="7" r="K46"/>
      <c s="7" r="L46"/>
      <c s="7" r="M46"/>
      <c s="7" r="N46"/>
      <c s="7" r="O46"/>
      <c s="7" r="P46"/>
      <c s="7" r="Q46"/>
      <c s="7" r="R46"/>
      <c s="7" r="S46"/>
      <c s="7" r="T46"/>
    </row>
    <row r="47">
      <c t="s" s="7" r="B47">
        <v>2138</v>
      </c>
      <c s="63" r="C47"/>
      <c s="7" r="D47">
        <v>1</v>
      </c>
      <c s="7" r="E47">
        <v>0</v>
      </c>
      <c s="7" r="F47">
        <f>COUNTIF(EXPERTISE!G4:G50,"*Plantation Crop Production*")</f>
        <v>0</v>
      </c>
      <c s="7" r="G47"/>
      <c s="7" r="H47">
        <f>COUNTIF(PROJECT!Z2:Z100,"*Plantation Crop Production*")</f>
        <v>0</v>
      </c>
      <c s="7" r="I47"/>
      <c s="7" r="J47"/>
      <c s="7" r="K47"/>
      <c s="7" r="L47"/>
      <c s="7" r="M47"/>
      <c s="7" r="N47"/>
      <c s="7" r="O47"/>
      <c s="7" r="P47"/>
      <c s="7" r="Q47"/>
      <c s="7" r="R47"/>
      <c s="7" r="S47"/>
      <c s="7" r="T47"/>
    </row>
    <row r="48">
      <c t="s" s="7" r="B48">
        <v>2139</v>
      </c>
      <c s="63" r="C48"/>
      <c s="7" r="D48">
        <v>1</v>
      </c>
      <c s="7" r="E48">
        <v>0</v>
      </c>
      <c s="7" r="F48">
        <f>COUNTIF(EXPERTISE!G4:G50,"*Ports, Harbors and Terminals*")</f>
        <v>0</v>
      </c>
      <c s="7" r="G48"/>
      <c s="7" r="H48">
        <f>COUNTIF(PROJECT!Z2:Z100,"*Ports, Harbors and Terminals*")</f>
        <v>0</v>
      </c>
      <c s="7" r="I48"/>
      <c s="7" r="J48"/>
      <c s="7" r="K48"/>
      <c s="7" r="L48"/>
      <c s="7" r="M48"/>
      <c s="7" r="N48"/>
      <c s="7" r="O48"/>
      <c s="7" r="P48"/>
      <c s="7" r="Q48"/>
      <c s="7" r="R48"/>
      <c s="7" r="S48"/>
      <c s="7" r="T48"/>
    </row>
    <row r="49">
      <c t="s" s="7" r="B49">
        <v>2140</v>
      </c>
      <c s="63" r="C49"/>
      <c s="7" r="D49">
        <v>1</v>
      </c>
      <c s="7" r="E49">
        <v>0</v>
      </c>
      <c s="7" r="F49">
        <f>COUNTIF(EXPERTISE!G4:G50,"*Poultry Processing*")</f>
        <v>0</v>
      </c>
      <c s="63" r="G49"/>
      <c s="7" r="H49">
        <f>COUNTIF(PROJECT!Z2:Z100,"*Poultry Processing*")</f>
        <v>0</v>
      </c>
      <c s="63" r="I49"/>
      <c s="7" r="J49"/>
      <c s="7" r="K49"/>
      <c s="7" r="L49"/>
      <c s="7" r="M49"/>
      <c s="7" r="N49"/>
      <c s="7" r="O49"/>
      <c s="7" r="P49"/>
      <c s="7" r="Q49"/>
      <c s="7" r="R49"/>
      <c s="7" r="S49"/>
      <c s="7" r="T49"/>
    </row>
    <row r="50">
      <c t="s" s="7" r="B50">
        <v>2141</v>
      </c>
      <c s="63" r="C50"/>
      <c s="7" r="D50">
        <v>1</v>
      </c>
      <c s="7" r="E50">
        <v>0</v>
      </c>
      <c s="7" r="F50">
        <f>COUNTIF(EXPERTISE!G4:G50,"*Poultry Production*")</f>
        <v>0</v>
      </c>
      <c s="7" r="G50"/>
      <c s="7" r="H50">
        <f>COUNTIF(PROJECT!Z2:Z100,"*Poultry Production*")</f>
        <v>0</v>
      </c>
      <c s="7" r="I50"/>
      <c s="7" r="J50"/>
      <c s="7" r="K50"/>
      <c s="7" r="L50"/>
      <c s="7" r="M50"/>
      <c s="7" r="N50"/>
      <c s="7" r="O50"/>
      <c s="7" r="P50"/>
      <c s="7" r="Q50"/>
      <c s="7" r="R50"/>
      <c s="7" r="S50"/>
      <c s="7" r="T50"/>
    </row>
    <row r="51">
      <c t="s" s="7" r="B51">
        <v>2142</v>
      </c>
      <c s="63" r="C51"/>
      <c s="7" r="D51">
        <v>1</v>
      </c>
      <c s="7" r="E51">
        <v>0</v>
      </c>
      <c s="7" r="F51">
        <f>COUNTIF(EXPERTISE!G4:G50,"*Printing*")</f>
        <v>0</v>
      </c>
      <c s="7" r="G51"/>
      <c s="7" r="H51">
        <f>COUNTIF(PROJECT!Z2:Z100,"*Printing*")</f>
        <v>0</v>
      </c>
      <c s="7" r="I51"/>
      <c s="7" r="J51"/>
      <c s="7" r="K51"/>
      <c s="7" r="L51"/>
      <c s="7" r="M51"/>
      <c s="7" r="N51"/>
      <c s="7" r="O51"/>
      <c s="7" r="P51"/>
      <c s="7" r="Q51"/>
      <c s="7" r="R51"/>
      <c s="7" r="S51"/>
      <c s="7" r="T51"/>
    </row>
    <row r="52">
      <c t="s" s="7" r="B52">
        <v>2143</v>
      </c>
      <c s="63" r="C52"/>
      <c s="7" r="D52">
        <v>1</v>
      </c>
      <c s="7" r="E52">
        <v>0</v>
      </c>
      <c s="7" r="F52">
        <f>COUNTIF(EXPERTISE!G4:G50,"*Pulp and Paper Mills*")</f>
        <v>0</v>
      </c>
      <c s="7" r="G52"/>
      <c s="7" r="H52">
        <f>COUNTIF(PROJECT!Z2:Z100,"*Pulp and Paper Mills*")</f>
        <v>0</v>
      </c>
      <c s="7" r="I52"/>
      <c s="7" r="J52"/>
      <c s="7" r="K52"/>
      <c s="7" r="L52"/>
      <c s="7" r="M52"/>
      <c s="7" r="N52"/>
      <c s="7" r="O52"/>
      <c s="7" r="P52"/>
      <c s="7" r="Q52"/>
      <c s="7" r="R52"/>
      <c s="7" r="S52"/>
      <c s="7" r="T52"/>
    </row>
    <row r="53">
      <c t="s" s="7" r="B53">
        <v>2047</v>
      </c>
      <c s="63" r="C53"/>
      <c s="7" r="D53">
        <v>1</v>
      </c>
      <c s="7" r="E53">
        <v>0</v>
      </c>
      <c s="7" r="F53">
        <f>COUNTIF(EXPERTISE!G4:G50,"*Railways*")</f>
        <v>0</v>
      </c>
      <c s="7" r="G53"/>
      <c s="7" r="H53">
        <f>COUNTIF(PROJECT!Z2:Z100,"*Railways*")</f>
        <v>0</v>
      </c>
      <c s="7" r="I53"/>
      <c s="7" r="J53"/>
      <c s="7" r="K53"/>
      <c s="7" r="L53"/>
      <c s="7" r="M53"/>
      <c s="7" r="N53"/>
      <c s="7" r="O53"/>
      <c s="7" r="P53"/>
      <c s="7" r="Q53"/>
      <c s="7" r="R53"/>
      <c s="7" r="S53"/>
      <c s="7" r="T53"/>
    </row>
    <row r="54">
      <c t="s" s="7" r="B54">
        <v>2144</v>
      </c>
      <c s="63" r="C54"/>
      <c s="7" r="D54">
        <v>1</v>
      </c>
      <c s="7" r="E54">
        <v>0</v>
      </c>
      <c s="7" r="F54">
        <f>COUNTIF(EXPERTISE!G4:G50,"*Retail Petroleum Networks*")</f>
        <v>0</v>
      </c>
      <c s="7" r="G54"/>
      <c s="7" r="H54">
        <f>COUNTIF(PROJECT!Z2:Z100,"*Retail Petroleum Networks*")</f>
        <v>0</v>
      </c>
      <c s="7" r="I54"/>
      <c s="7" r="J54"/>
      <c s="7" r="K54"/>
      <c s="7" r="L54"/>
      <c s="7" r="M54"/>
      <c s="7" r="N54"/>
      <c s="7" r="O54"/>
      <c s="7" r="P54"/>
      <c s="7" r="Q54"/>
      <c s="7" r="R54"/>
      <c s="7" r="S54"/>
      <c s="7" r="T54"/>
    </row>
    <row r="55">
      <c t="s" s="7" r="B55">
        <v>2145</v>
      </c>
      <c s="63" r="C55"/>
      <c s="7" r="D55">
        <v>1</v>
      </c>
      <c s="7" r="E55">
        <v>0</v>
      </c>
      <c s="7" r="F55">
        <f>COUNTIF(EXPERTISE!G4:G50,"*Sawmilling and Wood-based Products*")</f>
        <v>0</v>
      </c>
      <c s="7" r="G55"/>
      <c s="7" r="H55">
        <f>COUNTIF(PROJECT!Z2:Z100,"*Sawmilling and Wood-based Products*")</f>
        <v>0</v>
      </c>
      <c s="7" r="I55"/>
      <c s="7" r="J55"/>
      <c s="7" r="K55"/>
      <c s="7" r="L55"/>
      <c s="7" r="M55"/>
      <c s="7" r="N55"/>
      <c s="7" r="O55"/>
      <c s="7" r="P55"/>
      <c s="7" r="Q55"/>
      <c s="7" r="R55"/>
      <c s="7" r="S55"/>
      <c s="7" r="T55"/>
    </row>
    <row r="56">
      <c t="s" s="7" r="B56">
        <v>2146</v>
      </c>
      <c s="63" r="C56"/>
      <c s="7" r="D56">
        <v>1</v>
      </c>
      <c s="7" r="E56">
        <v>0</v>
      </c>
      <c s="7" r="F56">
        <f>COUNTIF(EXPERTISE!G4:G50,"*Semiconductors and Electronics Manufacturing*")</f>
        <v>0</v>
      </c>
      <c s="7" r="G56"/>
      <c s="7" r="H56">
        <f>COUNTIF(PROJECT!Z2:Z100,"*Semiconductors and Electronics Manufacturing*")</f>
        <v>0</v>
      </c>
      <c s="7" r="I56"/>
      <c s="7" r="J56"/>
      <c s="7" r="K56"/>
      <c s="7" r="L56"/>
      <c s="7" r="M56"/>
      <c s="7" r="N56"/>
      <c s="7" r="O56"/>
      <c s="7" r="P56"/>
      <c s="7" r="Q56"/>
      <c s="7" r="R56"/>
      <c s="7" r="S56"/>
      <c s="7" r="T56"/>
    </row>
    <row r="57">
      <c t="s" s="7" r="B57">
        <v>2147</v>
      </c>
      <c s="63" r="C57"/>
      <c s="7" r="D57">
        <v>1</v>
      </c>
      <c s="7" r="E57">
        <v>0</v>
      </c>
      <c s="7" r="F57">
        <f>COUNTIF(EXPERTISE!G4:G50,"*Shipping*")</f>
        <v>0</v>
      </c>
      <c s="7" r="G57"/>
      <c s="7" r="H57">
        <f>COUNTIF(PROJECT!Z2:Z100,"*Shipping*")</f>
        <v>0</v>
      </c>
      <c s="7" r="I57"/>
      <c s="7" r="J57"/>
      <c s="7" r="K57"/>
      <c s="7" r="L57"/>
      <c s="7" r="M57"/>
      <c s="7" r="N57"/>
      <c s="7" r="O57"/>
      <c s="7" r="P57"/>
      <c s="7" r="Q57"/>
      <c s="7" r="R57"/>
      <c s="7" r="S57"/>
      <c s="7" r="T57"/>
    </row>
    <row r="58">
      <c t="s" s="7" r="B58">
        <v>2148</v>
      </c>
      <c s="63" r="C58"/>
      <c s="7" r="D58">
        <v>1</v>
      </c>
      <c s="7" r="E58">
        <v>0</v>
      </c>
      <c s="7" r="F58">
        <f>COUNTIF(EXPERTISE!G4:G50,"*Solar Power*")</f>
        <v>0</v>
      </c>
      <c s="7" r="G58"/>
      <c s="7" r="H58">
        <f>COUNTIF(PROJECT!Z2:Z100,"*Solar Power*")</f>
        <v>0</v>
      </c>
      <c s="7" r="I58"/>
      <c s="7" r="J58"/>
      <c s="7" r="K58"/>
      <c s="7" r="L58"/>
      <c s="7" r="M58"/>
      <c s="7" r="N58"/>
      <c s="7" r="O58"/>
      <c s="7" r="P58"/>
      <c s="7" r="Q58"/>
      <c s="7" r="R58"/>
      <c s="7" r="S58"/>
      <c s="7" r="T58"/>
    </row>
    <row r="59">
      <c t="s" s="7" r="B59">
        <v>2149</v>
      </c>
      <c s="63" r="C59"/>
      <c s="7" r="D59">
        <v>1</v>
      </c>
      <c s="7" r="E59">
        <v>0</v>
      </c>
      <c s="7" r="F59">
        <f>COUNTIF(EXPERTISE!G4:G50,"*Sugar Manufacturing*")</f>
        <v>0</v>
      </c>
      <c s="7" r="G59"/>
      <c s="7" r="H59">
        <f>COUNTIF(PROJECT!Z2:Z100,"*Sugar Manufacturing*")</f>
        <v>0</v>
      </c>
      <c s="7" r="I59"/>
      <c s="7" r="J59"/>
      <c s="7" r="K59"/>
      <c s="7" r="L59"/>
      <c s="7" r="M59"/>
      <c s="7" r="N59"/>
      <c s="7" r="O59"/>
      <c s="7" r="P59"/>
      <c s="7" r="Q59"/>
      <c s="7" r="R59"/>
      <c s="7" r="S59"/>
      <c s="7" r="T59"/>
    </row>
    <row r="60">
      <c t="s" s="7" r="B60">
        <v>2150</v>
      </c>
      <c s="63" r="C60"/>
      <c s="7" r="D60">
        <v>1</v>
      </c>
      <c s="7" r="E60">
        <v>0</v>
      </c>
      <c s="7" r="F60">
        <f>COUNTIF(EXPERTISE!G4:G50,"*Tanning and Leather Finishing*")</f>
        <v>0</v>
      </c>
      <c s="7" r="G60"/>
      <c s="7" r="H60">
        <f>COUNTIF(PROJECT!Z2:Z100,"*Tanning and Leather Finishing*")</f>
        <v>0</v>
      </c>
      <c s="7" r="I60"/>
      <c s="7" r="J60"/>
      <c s="7" r="K60"/>
      <c s="7" r="L60"/>
      <c s="7" r="M60"/>
      <c s="7" r="N60"/>
      <c s="7" r="O60"/>
      <c s="7" r="P60"/>
      <c s="7" r="Q60"/>
      <c s="7" r="R60"/>
      <c s="7" r="S60"/>
      <c s="7" r="T60"/>
    </row>
    <row r="61">
      <c t="s" s="7" r="B61">
        <v>2041</v>
      </c>
      <c s="63" r="C61"/>
      <c s="7" r="D61">
        <v>1</v>
      </c>
      <c s="7" r="E61">
        <v>0</v>
      </c>
      <c s="7" r="F61">
        <f>COUNTIF(EXPERTISE!G4:G50,"*Telecommunications*")</f>
        <v>0</v>
      </c>
      <c s="7" r="G61"/>
      <c s="7" r="H61">
        <f>COUNTIF(PROJECT!Z2:Z100,"*Telecommunications*")</f>
        <v>0</v>
      </c>
      <c s="7" r="I61"/>
      <c s="7" r="J61"/>
      <c s="7" r="K61"/>
      <c s="7" r="L61"/>
      <c s="7" r="M61"/>
      <c s="7" r="N61"/>
      <c s="7" r="O61"/>
      <c s="7" r="P61"/>
      <c s="7" r="Q61"/>
      <c s="7" r="R61"/>
      <c s="7" r="S61"/>
      <c s="7" r="T61"/>
    </row>
    <row r="62">
      <c t="s" s="7" r="B62">
        <v>2151</v>
      </c>
      <c s="63" r="C62"/>
      <c s="7" r="D62">
        <v>1</v>
      </c>
      <c s="7" r="E62">
        <v>0</v>
      </c>
      <c s="7" r="F62">
        <f>COUNTIF(EXPERTISE!G4:G50,"*Textiles Manufacturing*")</f>
        <v>0</v>
      </c>
      <c s="7" r="G62"/>
      <c s="7" r="H62">
        <f>COUNTIF(PROJECT!Z2:Z100,"*Textiles Manufacturing*")</f>
        <v>0</v>
      </c>
      <c s="7" r="I62"/>
      <c s="7" r="J62"/>
      <c s="7" r="K62"/>
      <c s="7" r="L62"/>
      <c s="7" r="M62"/>
      <c s="7" r="N62"/>
      <c s="7" r="O62"/>
      <c s="7" r="P62"/>
      <c s="7" r="Q62"/>
      <c s="7" r="R62"/>
      <c s="7" r="S62"/>
      <c s="7" r="T62"/>
    </row>
    <row r="63">
      <c t="s" s="7" r="B63">
        <v>2152</v>
      </c>
      <c s="63" r="C63"/>
      <c s="7" r="D63">
        <v>1</v>
      </c>
      <c s="7" r="E63">
        <v>0</v>
      </c>
      <c s="7" r="F63">
        <f>COUNTIF(EXPERTISE!G4:G50,"*Thermal Power*")</f>
        <v>0</v>
      </c>
      <c s="7" r="G63"/>
      <c s="7" r="H63">
        <f>COUNTIF(PROJECT!Z2:Z100,"*Thermal Power*")</f>
        <v>0</v>
      </c>
      <c s="7" r="I63"/>
      <c s="7" r="J63"/>
      <c s="7" r="K63"/>
      <c s="7" r="L63"/>
      <c s="7" r="M63"/>
      <c s="7" r="N63"/>
      <c s="7" r="O63"/>
      <c s="7" r="P63"/>
      <c s="7" r="Q63"/>
      <c s="7" r="R63"/>
      <c s="7" r="S63"/>
      <c s="7" r="T63"/>
    </row>
    <row r="64">
      <c t="s" s="7" r="B64">
        <v>2153</v>
      </c>
      <c s="63" r="C64"/>
      <c s="7" r="D64">
        <v>1</v>
      </c>
      <c s="7" r="E64">
        <v>0</v>
      </c>
      <c s="7" r="F64">
        <f>COUNTIF(EXPERTISE!G4:G50,"*Toll Roads*")</f>
        <v>0</v>
      </c>
      <c s="7" r="G64"/>
      <c s="7" r="H64">
        <f>COUNTIF(PROJECT!Z2:Z100,"*Toll Roads*")</f>
        <v>0</v>
      </c>
      <c s="7" r="I64"/>
      <c s="7" r="J64"/>
      <c s="7" r="K64"/>
      <c s="7" r="L64"/>
      <c s="7" r="M64"/>
      <c s="7" r="N64"/>
      <c s="7" r="O64"/>
      <c s="7" r="P64"/>
      <c s="7" r="Q64"/>
      <c s="7" r="R64"/>
      <c s="7" r="S64"/>
      <c s="7" r="T64"/>
    </row>
    <row r="65">
      <c t="s" s="7" r="B65">
        <v>2154</v>
      </c>
      <c s="63" r="C65"/>
      <c s="7" r="D65">
        <v>1</v>
      </c>
      <c s="7" r="E65">
        <v>0</v>
      </c>
      <c s="7" r="F65">
        <f>COUNTIF(EXPERTISE!G4:G50,"*Tourism and Hospitality Development*")</f>
        <v>0</v>
      </c>
      <c s="7" r="G65"/>
      <c s="7" r="H65">
        <f>COUNTIF(PROJECT!Z2:Z100,"*Tourism and Hospitality Development*")</f>
        <v>0</v>
      </c>
      <c s="7" r="I65"/>
      <c s="7" r="J65"/>
      <c s="7" r="K65"/>
      <c s="7" r="L65"/>
      <c s="7" r="M65"/>
      <c s="7" r="N65"/>
      <c s="7" r="O65"/>
      <c s="7" r="P65"/>
      <c s="7" r="Q65"/>
      <c s="7" r="R65"/>
      <c s="7" r="S65"/>
      <c s="7" r="T65"/>
    </row>
    <row r="66">
      <c t="s" s="7" r="B66">
        <v>2155</v>
      </c>
      <c s="63" r="C66"/>
      <c s="7" r="D66">
        <v>1</v>
      </c>
      <c s="7" r="E66">
        <v>0</v>
      </c>
      <c s="7" r="F66">
        <f>COUNTIF(EXPERTISE!G4:G50,"*Vegetable Oil Processing*")</f>
        <v>0</v>
      </c>
      <c s="7" r="G66"/>
      <c s="7" r="H66">
        <f>COUNTIF(PROJECT!Z2:Z100,"*Vegetable Oil Processing*")</f>
        <v>0</v>
      </c>
      <c s="7" r="I66"/>
      <c s="7" r="J66"/>
      <c s="7" r="K66"/>
      <c s="7" r="L66"/>
      <c s="7" r="M66"/>
      <c s="7" r="N66"/>
      <c s="7" r="O66"/>
      <c s="7" r="P66"/>
      <c s="7" r="Q66"/>
      <c s="7" r="R66"/>
      <c s="7" r="S66"/>
      <c s="7" r="T66"/>
    </row>
    <row r="67">
      <c t="s" s="7" r="B67">
        <v>2156</v>
      </c>
      <c s="63" r="C67"/>
      <c s="7" r="D67">
        <v>1</v>
      </c>
      <c s="7" r="E67">
        <v>0</v>
      </c>
      <c s="7" r="F67">
        <f>COUNTIF(EXPERTISE!G4:G50,"*Waste Management Facilities*")</f>
        <v>0</v>
      </c>
      <c s="7" r="G67"/>
      <c s="7" r="H67">
        <f>COUNTIF(PROJECT!Z2:Z100,"*Waste Management Facilities*")</f>
        <v>0</v>
      </c>
      <c s="7" r="I67"/>
      <c s="7" r="J67"/>
      <c s="7" r="K67"/>
      <c s="7" r="L67"/>
      <c s="7" r="M67"/>
      <c s="7" r="N67"/>
      <c s="7" r="O67"/>
      <c s="7" r="P67"/>
      <c s="7" r="Q67"/>
      <c s="7" r="R67"/>
      <c s="7" r="S67"/>
      <c s="7" r="T67"/>
    </row>
    <row r="68">
      <c t="s" s="7" r="B68">
        <v>2157</v>
      </c>
      <c s="63" r="C68"/>
      <c s="7" r="D68">
        <v>1</v>
      </c>
      <c s="7" r="E68">
        <v>0</v>
      </c>
      <c s="7" r="F68">
        <f>COUNTIF(EXPERTISE!G4:G50,"*Waste to Energy*")</f>
        <v>0</v>
      </c>
      <c s="7" r="G68"/>
      <c s="7" r="H68">
        <f>COUNTIF(PROJECT!Z2:Z100,"*Waste to Energy*")</f>
        <v>0</v>
      </c>
      <c s="7" r="I68"/>
      <c s="7" r="J68"/>
      <c s="7" r="K68"/>
      <c s="7" r="L68"/>
      <c s="7" r="M68"/>
      <c s="7" r="N68"/>
      <c s="7" r="O68"/>
      <c s="7" r="P68"/>
      <c s="7" r="Q68"/>
      <c s="7" r="R68"/>
      <c s="7" r="S68"/>
      <c s="7" r="T68"/>
    </row>
    <row r="69">
      <c t="s" s="7" r="B69">
        <v>105</v>
      </c>
      <c s="63" r="C69"/>
      <c s="7" r="D69">
        <v>1</v>
      </c>
      <c s="7" r="E69">
        <v>0</v>
      </c>
      <c s="7" r="F69">
        <f>COUNTIF(EXPERTISE!G4:G50,"*Water and Sanitation*")</f>
        <v>1</v>
      </c>
      <c s="7" r="G69"/>
      <c s="7" r="H69">
        <f>COUNTIF(PROJECT!Z2:Z100,"*Water and Sanitation*")</f>
        <v>21</v>
      </c>
      <c s="7" r="I69"/>
      <c s="7" r="J69"/>
      <c s="7" r="K69"/>
      <c s="7" r="L69"/>
      <c s="7" r="M69"/>
      <c s="7" r="N69"/>
      <c s="7" r="O69"/>
      <c s="7" r="P69"/>
      <c s="7" r="Q69"/>
      <c s="7" r="R69"/>
      <c s="7" r="S69"/>
      <c s="7" r="T69"/>
    </row>
    <row r="70">
      <c t="s" s="7" r="B70">
        <v>2158</v>
      </c>
      <c s="63" r="C70"/>
      <c s="7" r="D70">
        <v>1</v>
      </c>
      <c s="7" r="E70">
        <v>0</v>
      </c>
      <c s="7" r="F70">
        <f>COUNTIF(EXPERTISE!G4:G50,"*Wind Energy*")</f>
        <v>0</v>
      </c>
      <c s="7" r="G70"/>
      <c s="7" r="H70">
        <f>COUNTIF(PROJECT!Z2:Z100,"*Wind Energy*")</f>
        <v>0</v>
      </c>
      <c s="7" r="I70"/>
      <c s="7" r="J70"/>
      <c s="7" r="K70"/>
      <c s="7" r="L70"/>
      <c s="7" r="M70"/>
      <c s="7" r="N70"/>
      <c s="7" r="O70"/>
      <c s="7" r="P70"/>
      <c s="7" r="Q70"/>
      <c s="7" r="R70"/>
      <c s="7" r="S70"/>
      <c s="7" r="T70"/>
    </row>
  </sheetData>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3.86"/>
  </cols>
  <sheetData>
    <row r="1">
      <c t="str" r="A1">
        <f>CONCATENATE('EDU _ TRAINING'!L3," ",'EDU _ TRAINING'!M3,"/", 'EDU _ TRAINING'!N3,"/",'EDU _ TRAINING'!O3)</f>
        <v>English 5/5/5</v>
      </c>
    </row>
    <row r="2">
      <c t="str" r="A2">
        <f>CONCATENATE('EDU _ TRAINING'!L4," ",'EDU _ TRAINING'!M4,"/", 'EDU _ TRAINING'!N4,"/",'EDU _ TRAINING'!O4)</f>
        <v>Nepali //</v>
      </c>
    </row>
    <row r="3">
      <c t="str" r="A3">
        <f>CONCATENATE('EDU _ TRAINING'!L5," ",'EDU _ TRAINING'!M5,"/", 'EDU _ TRAINING'!N5,"/",'EDU _ TRAINING'!O5)</f>
        <v>French //</v>
      </c>
    </row>
    <row r="4">
      <c t="str" r="A4">
        <f>CONCATENATE('EDU _ TRAINING'!L6," ",'EDU _ TRAINING'!M6,"/", 'EDU _ TRAINING'!N6,"/",'EDU _ TRAINING'!O6)</f>
        <v> //</v>
      </c>
    </row>
    <row r="5">
      <c t="str" r="A5">
        <f>CONCATENATE('EDU _ TRAINING'!L7," ",'EDU _ TRAINING'!M7,"/", 'EDU _ TRAINING'!N7,"/",'EDU _ TRAINING'!O7)</f>
        <v> //</v>
      </c>
    </row>
    <row r="6">
      <c t="str" r="A6">
        <f>CONCATENATE('EDU _ TRAINING'!L8," ",'EDU _ TRAINING'!M8,"/", 'EDU _ TRAINING'!N8,"/",'EDU _ TRAINING'!O8)</f>
        <v> //</v>
      </c>
    </row>
    <row r="7">
      <c t="str" r="A7">
        <f>CONCATENATE('EDU _ TRAINING'!L9," ",'EDU _ TRAINING'!M9,"/", 'EDU _ TRAINING'!N9,"/",'EDU _ TRAINING'!O9)</f>
        <v> //</v>
      </c>
    </row>
    <row r="8">
      <c t="str" r="A8">
        <f>CONCATENATE('EDU _ TRAINING'!L10," ",'EDU _ TRAINING'!M10,"/", 'EDU _ TRAINING'!N10,"/",'EDU _ TRAINING'!O10)</f>
        <v> //</v>
      </c>
    </row>
    <row r="9">
      <c t="str" r="A9">
        <f>CONCATENATE('EDU _ TRAINING'!A3,"/",'EDU _ TRAINING'!B3,"/", 'EDU _ TRAINING'!C3,"/", 'EDU _ TRAINING'!D3, "/", 'EDU _ TRAINING'!E3)</f>
        <v>University of Wisconsin, Madison (USA)/1978/Ph.D./Anthropology/</v>
      </c>
    </row>
    <row r="10">
      <c t="str" r="A10">
        <f>CONCATENATE('EDU _ TRAINING'!A4,"/",'EDU _ TRAINING'!B4,"/", 'EDU _ TRAINING'!C4,"/", 'EDU _ TRAINING'!D4, "/", 'EDU _ TRAINING'!E4)</f>
        <v>University of Wisconsin, Madison (USA)/1973/M.A./Anthropology/</v>
      </c>
    </row>
    <row r="11">
      <c t="str" r="A11">
        <f>CONCATENATE('EDU _ TRAINING'!A5,"/",'EDU _ TRAINING'!B5,"/", 'EDU _ TRAINING'!C5,"/", 'EDU _ TRAINING'!D5, "/", 'EDU _ TRAINING'!E5)</f>
        <v>Annenberg School of Communications, University of Pennsylvania, Philadelphia, Pennsylvania (USA)/1969/M.A.C./Communications/</v>
      </c>
    </row>
    <row r="12">
      <c t="str" r="A12">
        <f>CONCATENATE('EDU _ TRAINING'!A6,"/",'EDU _ TRAINING'!B6,"/", 'EDU _ TRAINING'!C6,"/", 'EDU _ TRAINING'!D6, "/", 'EDU _ TRAINING'!E6)</f>
        <v>University of Wisconsin, Madison (USA)/1967/B.A. (Honrs)/Anthropology/</v>
      </c>
    </row>
    <row r="13">
      <c t="str" r="A13">
        <f>CONCATENATE('EDU _ TRAINING'!A7,"/",'EDU _ TRAINING'!B7,"/", 'EDU _ TRAINING'!C7,"/", 'EDU _ TRAINING'!D7, "/", 'EDU _ TRAINING'!E7)</f>
        <v>////</v>
      </c>
    </row>
  </sheetData>
  <dataValidations>
    <dataValidation showErrorMessage="1" sqref="A17" allowBlank="1" prompt="Enter a valid date" type="custom" showInputMessage="1">
      <formula1>ISNUMBER(DATEVALUE(A17))</formula1>
    </dataValidation>
  </dataValidation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45.86"/>
    <col min="2" customWidth="1" max="2" width="21.71"/>
    <col min="4" customWidth="1" max="4" width="29.71"/>
    <col min="6" customWidth="1" max="6" width="33.14"/>
    <col min="8" customWidth="1" max="8" width="25.43"/>
    <col min="9" customWidth="1" max="9" width="36.29"/>
    <col min="12" customWidth="1" max="12" width="18.71"/>
  </cols>
  <sheetData>
    <row r="1">
      <c t="s" s="52" r="A1">
        <v>28</v>
      </c>
      <c s="53" r="B1"/>
      <c s="53" r="C1"/>
      <c s="53" r="D1"/>
      <c s="72" r="E1"/>
      <c t="s" s="83" r="F1">
        <v>29</v>
      </c>
      <c s="35" r="G1"/>
      <c s="71" r="H1"/>
      <c t="s" s="52" r="I1">
        <v>30</v>
      </c>
      <c s="53" r="J1"/>
      <c s="72" r="K1"/>
      <c t="s" s="68" r="L1">
        <v>31</v>
      </c>
      <c s="35" r="M1"/>
      <c s="35" r="N1"/>
      <c s="35" r="O1"/>
    </row>
    <row r="2">
      <c t="s" s="101" r="A2">
        <v>32</v>
      </c>
      <c t="s" s="94" r="B2">
        <v>33</v>
      </c>
      <c t="s" s="94" r="C2">
        <v>34</v>
      </c>
      <c t="s" s="94" r="D2">
        <v>35</v>
      </c>
      <c t="s" s="19" r="E2">
        <v>36</v>
      </c>
      <c t="s" s="101" r="F2">
        <v>37</v>
      </c>
      <c t="s" s="94" r="G2">
        <v>38</v>
      </c>
      <c t="s" s="19" r="H2">
        <v>39</v>
      </c>
      <c t="s" s="101" r="I2">
        <v>40</v>
      </c>
      <c t="s" s="94" r="J2">
        <v>41</v>
      </c>
      <c t="s" s="19" r="K2">
        <v>42</v>
      </c>
      <c t="s" s="101" r="L2">
        <v>43</v>
      </c>
      <c t="s" s="94" r="M2">
        <v>44</v>
      </c>
      <c t="s" s="94" r="N2">
        <v>45</v>
      </c>
      <c t="s" s="94" r="O2">
        <v>46</v>
      </c>
    </row>
    <row r="3">
      <c t="s" s="64" r="A3">
        <v>47</v>
      </c>
      <c s="86" r="B3">
        <v>1978</v>
      </c>
      <c t="s" s="86" r="C3">
        <v>48</v>
      </c>
      <c t="s" s="86" r="D3">
        <v>49</v>
      </c>
      <c s="99" r="E3"/>
      <c t="s" s="64" r="F3">
        <v>50</v>
      </c>
      <c s="86" r="G3">
        <v>1987</v>
      </c>
      <c t="s" s="99" r="H3">
        <v>51</v>
      </c>
      <c t="s" s="64" r="I3">
        <v>52</v>
      </c>
      <c s="86" r="J3"/>
      <c t="s" s="99" r="K3">
        <v>53</v>
      </c>
      <c t="s" s="64" r="L3">
        <v>54</v>
      </c>
      <c s="86" r="M3">
        <v>5</v>
      </c>
      <c s="86" r="N3">
        <v>5</v>
      </c>
      <c s="86" r="O3">
        <v>5</v>
      </c>
    </row>
    <row r="4">
      <c t="s" s="64" r="A4">
        <v>47</v>
      </c>
      <c s="86" r="B4">
        <v>1973</v>
      </c>
      <c t="s" s="86" r="C4">
        <v>55</v>
      </c>
      <c t="s" s="86" r="D4">
        <v>49</v>
      </c>
      <c s="99" r="E4"/>
      <c s="64" r="F4"/>
      <c s="86" r="G4"/>
      <c s="99" r="H4"/>
      <c t="s" s="64" r="I4">
        <v>56</v>
      </c>
      <c s="86" r="J4"/>
      <c t="s" s="99" r="K4">
        <v>57</v>
      </c>
      <c t="s" s="64" r="L4">
        <v>58</v>
      </c>
      <c s="86" r="M4"/>
      <c s="86" r="N4"/>
      <c s="86" r="O4"/>
    </row>
    <row r="5">
      <c t="s" s="64" r="A5">
        <v>59</v>
      </c>
      <c s="86" r="B5">
        <v>1969</v>
      </c>
      <c t="s" s="86" r="C5">
        <v>60</v>
      </c>
      <c t="s" s="86" r="D5">
        <v>61</v>
      </c>
      <c s="99" r="E5"/>
      <c s="64" r="F5"/>
      <c s="86" r="G5"/>
      <c s="99" r="H5"/>
      <c s="64" r="I5"/>
      <c s="86" r="J5"/>
      <c s="99" r="K5"/>
      <c t="s" s="64" r="L5">
        <v>62</v>
      </c>
      <c s="86" r="M5"/>
      <c s="86" r="N5"/>
      <c s="86" r="O5"/>
    </row>
    <row r="6">
      <c t="s" s="64" r="A6">
        <v>47</v>
      </c>
      <c s="86" r="B6">
        <v>1967</v>
      </c>
      <c t="s" s="86" r="C6">
        <v>63</v>
      </c>
      <c t="s" s="86" r="D6">
        <v>49</v>
      </c>
      <c s="99" r="E6"/>
      <c s="64" r="F6"/>
      <c s="86" r="G6"/>
      <c s="99" r="H6"/>
      <c s="64" r="I6"/>
      <c s="86" r="J6"/>
      <c s="99" r="K6"/>
      <c s="64" r="L6"/>
      <c s="86" r="M6"/>
      <c s="86" r="N6"/>
      <c s="86" r="O6"/>
    </row>
    <row r="7">
      <c s="64" r="A7"/>
      <c s="86" r="B7"/>
      <c s="86" r="C7"/>
      <c s="86" r="D7"/>
      <c s="99" r="E7"/>
      <c s="64" r="F7"/>
      <c s="86" r="G7"/>
      <c s="99" r="H7"/>
      <c s="64" r="I7"/>
      <c s="86" r="J7"/>
      <c s="99" r="K7"/>
      <c s="64" r="L7"/>
      <c s="86" r="M7"/>
      <c s="86" r="N7"/>
      <c s="86" r="O7"/>
    </row>
    <row r="8">
      <c s="64" r="A8"/>
      <c s="86" r="B8"/>
      <c s="86" r="C8"/>
      <c s="86" r="D8"/>
      <c s="99" r="E8"/>
      <c s="64" r="F8"/>
      <c s="86" r="G8"/>
      <c s="99" r="H8"/>
      <c s="64" r="I8"/>
      <c s="86" r="J8"/>
      <c s="99" r="K8"/>
      <c s="64" r="L8"/>
      <c s="86" r="M8"/>
      <c s="86" r="N8"/>
      <c s="86" r="O8"/>
    </row>
    <row r="9">
      <c s="64" r="A9"/>
      <c s="86" r="B9"/>
      <c s="86" r="C9"/>
      <c s="86" r="D9"/>
      <c s="99" r="E9"/>
      <c s="64" r="F9"/>
      <c s="86" r="G9"/>
      <c s="99" r="H9"/>
      <c s="64" r="I9"/>
      <c s="86" r="J9"/>
      <c s="99" r="K9"/>
      <c s="64" r="L9"/>
      <c s="86" r="M9"/>
      <c s="86" r="N9"/>
      <c s="86" r="O9"/>
    </row>
    <row r="10">
      <c s="64" r="A10"/>
      <c s="86" r="B10"/>
      <c s="86" r="C10"/>
      <c s="86" r="D10"/>
      <c s="99" r="E10"/>
      <c s="64" r="F10"/>
      <c s="86" r="G10"/>
      <c s="99" r="H10"/>
      <c s="64" r="I10"/>
      <c s="86" r="J10"/>
      <c s="99" r="K10"/>
      <c s="64" r="L10"/>
      <c s="86" r="M10"/>
      <c s="86" r="N10"/>
      <c s="86" r="O10"/>
    </row>
  </sheetData>
  <mergeCells count="4">
    <mergeCell ref="A1:E1"/>
    <mergeCell ref="F1:H1"/>
    <mergeCell ref="I1:K1"/>
    <mergeCell ref="L1:O1"/>
  </mergeCell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3" customWidth="1" max="3" width="20.14"/>
    <col min="4" customWidth="1" max="4" width="30.14"/>
  </cols>
  <sheetData>
    <row r="1">
      <c t="s" s="62" r="A1">
        <v>64</v>
      </c>
      <c s="43" r="B1"/>
      <c s="41" r="C1"/>
      <c s="41" r="D1"/>
      <c s="41" r="E1"/>
      <c s="41" r="F1"/>
      <c s="74" r="G1"/>
      <c s="74" r="H1"/>
      <c s="74" r="I1"/>
    </row>
    <row r="2">
      <c s="49" r="A2"/>
      <c s="49" r="B2"/>
      <c s="49" r="C2"/>
      <c s="49" r="D2"/>
      <c s="49" r="E2"/>
      <c s="49" r="F2"/>
      <c s="79" r="G2"/>
      <c s="79" r="H2"/>
      <c s="79" r="I2"/>
    </row>
    <row r="3">
      <c t="s" s="24" r="A3">
        <v>65</v>
      </c>
      <c t="s" s="24" r="B3">
        <v>66</v>
      </c>
      <c t="s" s="47" r="C3">
        <v>67</v>
      </c>
      <c t="s" s="47" r="D3">
        <v>68</v>
      </c>
      <c t="s" s="47" r="E3">
        <v>69</v>
      </c>
      <c t="s" s="47" r="F3">
        <v>70</v>
      </c>
      <c t="s" s="97" r="G3">
        <v>71</v>
      </c>
      <c t="s" s="97" r="H3">
        <v>72</v>
      </c>
      <c t="s" s="97" r="I3">
        <v>73</v>
      </c>
    </row>
    <row r="4">
      <c t="s" s="27" r="A4">
        <v>74</v>
      </c>
      <c t="s" s="27" r="B4">
        <v>75</v>
      </c>
      <c t="s" s="27" r="C4">
        <v>76</v>
      </c>
      <c t="s" s="27" r="D4">
        <v>77</v>
      </c>
      <c t="s" s="27" r="E4">
        <v>78</v>
      </c>
      <c t="s" s="27" r="F4">
        <v>79</v>
      </c>
      <c t="s" s="79" r="G4">
        <v>80</v>
      </c>
      <c t="s" s="79" r="H4">
        <v>81</v>
      </c>
      <c t="s" s="79" r="I4">
        <v>82</v>
      </c>
    </row>
    <row r="5">
      <c t="s" s="27" r="A5">
        <v>83</v>
      </c>
      <c s="27" r="B5"/>
      <c s="27" r="C5"/>
      <c t="s" s="27" r="D5">
        <v>84</v>
      </c>
      <c t="s" s="27" r="E5">
        <v>85</v>
      </c>
      <c t="s" s="27" r="F5">
        <v>86</v>
      </c>
      <c t="s" s="79" r="G5">
        <v>87</v>
      </c>
      <c s="79" r="H5"/>
      <c t="s" s="79" r="I5">
        <v>88</v>
      </c>
    </row>
    <row r="6">
      <c t="s" s="27" r="A6">
        <v>89</v>
      </c>
      <c s="27" r="B6"/>
      <c s="27" r="C6"/>
      <c t="s" s="27" r="D6">
        <v>90</v>
      </c>
      <c s="27" r="E6"/>
      <c t="s" s="27" r="F6">
        <v>91</v>
      </c>
      <c t="s" s="79" r="G6">
        <v>92</v>
      </c>
      <c s="79" r="H6"/>
      <c t="s" s="79" r="I6">
        <v>93</v>
      </c>
    </row>
    <row r="7">
      <c t="s" s="27" r="A7">
        <v>94</v>
      </c>
      <c t="s" s="27" r="B7">
        <v>95</v>
      </c>
      <c s="27" r="C7"/>
      <c t="s" s="27" r="D7">
        <v>96</v>
      </c>
      <c t="s" s="27" r="E7">
        <v>97</v>
      </c>
      <c t="s" s="27" r="F7">
        <v>98</v>
      </c>
      <c t="s" s="79" r="G7">
        <v>99</v>
      </c>
      <c s="79" r="H7"/>
      <c t="s" s="79" r="I7">
        <v>100</v>
      </c>
    </row>
    <row r="8">
      <c t="s" s="27" r="A8">
        <v>101</v>
      </c>
      <c t="s" s="27" r="B8">
        <v>102</v>
      </c>
      <c s="27" r="C8"/>
      <c t="s" s="27" r="D8">
        <v>103</v>
      </c>
      <c s="27" r="E8"/>
      <c t="s" s="27" r="F8">
        <v>104</v>
      </c>
      <c t="s" s="79" r="G8">
        <v>105</v>
      </c>
      <c t="s" s="79" r="H8">
        <v>106</v>
      </c>
      <c t="s" s="79" r="I8">
        <v>107</v>
      </c>
    </row>
    <row r="9">
      <c t="s" s="27" r="A9">
        <v>108</v>
      </c>
      <c s="27" r="B9"/>
      <c s="27" r="C9"/>
      <c t="s" s="27" r="D9">
        <v>109</v>
      </c>
      <c s="27" r="E9"/>
      <c t="s" s="27" r="F9">
        <v>110</v>
      </c>
      <c s="79" r="G9"/>
      <c s="79" r="H9"/>
      <c t="s" s="79" r="I9">
        <v>111</v>
      </c>
    </row>
    <row r="10">
      <c t="s" s="27" r="A10">
        <v>112</v>
      </c>
      <c s="27" r="B10"/>
      <c t="s" s="27" r="C10">
        <v>113</v>
      </c>
      <c t="s" s="27" r="D10">
        <v>113</v>
      </c>
      <c t="s" s="27" r="E10">
        <v>114</v>
      </c>
      <c t="s" s="27" r="F10">
        <v>115</v>
      </c>
      <c s="79" r="G10"/>
      <c s="79" r="H10"/>
      <c t="s" s="79" r="I10">
        <v>116</v>
      </c>
    </row>
    <row r="11">
      <c t="s" s="27" r="A11">
        <v>117</v>
      </c>
      <c s="27" r="B11"/>
      <c t="s" s="27" r="C11">
        <v>118</v>
      </c>
      <c t="s" s="27" r="D11">
        <v>119</v>
      </c>
      <c s="27" r="E11"/>
      <c t="s" s="27" r="F11">
        <v>120</v>
      </c>
      <c s="79" r="G11"/>
      <c t="s" s="79" r="H11">
        <v>121</v>
      </c>
      <c t="s" s="79" r="I11">
        <v>122</v>
      </c>
    </row>
    <row r="12">
      <c t="s" s="27" r="A12">
        <v>123</v>
      </c>
      <c s="27" r="B12"/>
      <c t="s" s="27" r="C12">
        <v>124</v>
      </c>
      <c t="s" s="27" r="D12">
        <v>125</v>
      </c>
      <c s="27" r="E12"/>
      <c t="s" s="27" r="F12">
        <v>126</v>
      </c>
      <c s="79" r="G12"/>
      <c t="s" s="79" r="H12">
        <v>127</v>
      </c>
      <c t="s" s="79" r="I12">
        <v>128</v>
      </c>
    </row>
    <row r="13">
      <c t="s" s="27" r="A13">
        <v>129</v>
      </c>
      <c t="s" s="27" r="B13">
        <v>130</v>
      </c>
      <c t="s" s="27" r="C13">
        <v>131</v>
      </c>
      <c t="s" s="27" r="D13">
        <v>132</v>
      </c>
      <c s="27" r="E13"/>
      <c t="s" s="27" r="F13">
        <v>133</v>
      </c>
      <c s="79" r="G13"/>
      <c s="79" r="H13"/>
      <c t="s" s="79" r="I13">
        <v>134</v>
      </c>
    </row>
    <row r="14">
      <c t="s" s="27" r="A14">
        <v>135</v>
      </c>
      <c t="s" s="27" r="B14">
        <v>136</v>
      </c>
      <c t="s" s="27" r="C14">
        <v>137</v>
      </c>
      <c t="s" s="27" r="D14">
        <v>137</v>
      </c>
      <c s="27" r="E14"/>
      <c t="s" s="27" r="F14">
        <v>138</v>
      </c>
      <c s="79" r="G14"/>
      <c t="s" s="79" r="H14">
        <v>139</v>
      </c>
      <c t="s" s="79" r="I14">
        <v>140</v>
      </c>
    </row>
    <row r="15">
      <c t="s" s="27" r="A15">
        <v>141</v>
      </c>
      <c s="27" r="B15"/>
      <c t="s" s="27" r="C15">
        <v>142</v>
      </c>
      <c t="s" s="27" r="D15">
        <v>143</v>
      </c>
      <c t="s" s="27" r="E15">
        <v>144</v>
      </c>
      <c t="s" s="27" r="F15">
        <v>145</v>
      </c>
      <c s="79" r="G15"/>
      <c s="79" r="H15"/>
      <c t="s" s="79" r="I15">
        <v>146</v>
      </c>
    </row>
    <row r="16">
      <c t="s" s="27" r="A16">
        <v>147</v>
      </c>
      <c s="27" r="B16"/>
      <c s="27" r="C16"/>
      <c t="s" s="27" r="D16">
        <v>148</v>
      </c>
      <c t="s" s="27" r="E16">
        <v>149</v>
      </c>
      <c t="s" s="27" r="F16">
        <v>150</v>
      </c>
      <c s="79" r="G16"/>
      <c t="s" s="79" r="H16">
        <v>151</v>
      </c>
      <c t="s" s="79" r="I16">
        <v>152</v>
      </c>
    </row>
    <row r="17">
      <c t="s" s="27" r="A17">
        <v>153</v>
      </c>
      <c s="27" r="B17"/>
      <c s="27" r="C17"/>
      <c t="s" s="27" r="D17">
        <v>154</v>
      </c>
      <c s="27" r="E17"/>
      <c t="s" s="27" r="F17">
        <v>155</v>
      </c>
      <c s="79" r="G17"/>
      <c s="79" r="H17"/>
      <c s="79" r="I17"/>
    </row>
    <row r="18">
      <c t="s" s="27" r="A18">
        <v>156</v>
      </c>
      <c t="s" s="27" r="B18">
        <v>157</v>
      </c>
      <c t="s" s="27" r="C18">
        <v>158</v>
      </c>
      <c t="s" s="27" r="D18">
        <v>159</v>
      </c>
      <c t="s" s="27" r="E18">
        <v>134</v>
      </c>
      <c t="s" s="27" r="F18">
        <v>160</v>
      </c>
      <c s="79" r="G18"/>
      <c s="79" r="H18"/>
      <c s="79" r="I18"/>
    </row>
    <row r="19">
      <c t="s" s="27" r="A19">
        <v>161</v>
      </c>
      <c s="27" r="B19"/>
      <c t="s" s="27" r="C19">
        <v>162</v>
      </c>
      <c t="s" s="27" r="D19">
        <v>163</v>
      </c>
      <c s="27" r="E19"/>
      <c t="s" s="27" r="F19">
        <v>164</v>
      </c>
      <c s="79" r="G19"/>
      <c s="79" r="H19"/>
      <c s="79" r="I19"/>
    </row>
    <row r="20">
      <c t="s" s="27" r="A20">
        <v>165</v>
      </c>
      <c s="27" r="B20"/>
      <c s="27" r="C20"/>
      <c t="s" s="27" r="D20">
        <v>166</v>
      </c>
      <c s="27" r="E20"/>
      <c t="s" s="27" r="F20">
        <v>167</v>
      </c>
      <c s="79" r="G20"/>
      <c s="79" r="H20"/>
      <c s="79" r="I20"/>
    </row>
    <row r="21">
      <c t="s" s="27" r="A21">
        <v>168</v>
      </c>
      <c t="s" s="27" r="B21">
        <v>169</v>
      </c>
      <c s="27" r="C21"/>
      <c t="s" s="27" r="D21">
        <v>138</v>
      </c>
      <c t="s" s="27" r="E21">
        <v>170</v>
      </c>
      <c t="s" s="27" r="F21">
        <v>171</v>
      </c>
      <c s="79" r="G21"/>
      <c s="79" r="H21"/>
      <c s="79" r="I21"/>
    </row>
    <row r="22">
      <c t="s" s="27" r="A22">
        <v>172</v>
      </c>
      <c t="s" s="27" r="B22">
        <v>173</v>
      </c>
      <c s="27" r="C22"/>
      <c s="27" r="D22"/>
      <c s="27" r="E22"/>
      <c t="s" s="27" r="F22">
        <v>174</v>
      </c>
      <c s="79" r="G22"/>
      <c s="79" r="H22"/>
      <c s="79" r="I22"/>
    </row>
    <row r="23">
      <c t="s" s="27" r="A23">
        <v>175</v>
      </c>
      <c s="27" r="B23"/>
      <c s="27" r="C23"/>
      <c s="27" r="D23"/>
      <c s="27" r="E23"/>
      <c t="s" s="27" r="F23">
        <v>176</v>
      </c>
      <c s="79" r="G23"/>
      <c s="79" r="H23"/>
      <c s="79" r="I23"/>
    </row>
    <row r="24">
      <c t="s" s="27" r="A24">
        <v>177</v>
      </c>
      <c t="s" s="27" r="B24">
        <v>178</v>
      </c>
      <c s="27" r="C24"/>
      <c s="27" r="D24"/>
      <c s="27" r="E24"/>
      <c t="s" s="27" r="F24">
        <v>179</v>
      </c>
      <c s="79" r="G24"/>
      <c s="79" r="H24"/>
      <c s="79" r="I24"/>
    </row>
    <row r="25">
      <c s="27" r="C25"/>
      <c s="27" r="D25"/>
      <c s="27" r="E25"/>
      <c t="s" s="27" r="F25">
        <v>180</v>
      </c>
      <c s="79" r="G25"/>
      <c s="79" r="H25"/>
      <c s="79" r="I25"/>
    </row>
    <row r="26">
      <c s="27" r="C26"/>
      <c s="27" r="D26"/>
      <c s="27" r="E26"/>
      <c t="s" s="27" r="F26">
        <v>181</v>
      </c>
      <c s="79" r="G26"/>
      <c s="79" r="H26"/>
      <c s="79" r="I26"/>
    </row>
    <row r="27">
      <c s="27" r="C27"/>
      <c s="27" r="D27"/>
      <c s="27" r="E27"/>
      <c t="s" s="27" r="F27">
        <v>182</v>
      </c>
      <c s="79" r="G27"/>
      <c s="79" r="H27"/>
      <c s="79" r="I27"/>
    </row>
    <row r="28">
      <c s="27" r="C28"/>
      <c s="27" r="D28"/>
      <c s="27" r="E28"/>
      <c t="s" s="27" r="F28">
        <v>183</v>
      </c>
      <c s="79" r="G28"/>
      <c s="79" r="H28"/>
      <c s="79" r="I28"/>
    </row>
    <row r="29">
      <c s="27" r="C29"/>
      <c s="27" r="D29"/>
      <c s="27" r="E29"/>
      <c s="27" r="F29"/>
      <c s="79" r="G29"/>
      <c s="79" r="H29"/>
      <c s="79" r="I29"/>
    </row>
    <row r="30">
      <c s="27" r="C30"/>
      <c s="27" r="D30"/>
      <c s="27" r="E30"/>
      <c s="27" r="F30"/>
      <c s="79" r="G30"/>
      <c s="79" r="H30"/>
      <c s="79" r="I30"/>
    </row>
    <row r="31">
      <c s="27" r="C31"/>
      <c s="27" r="D31"/>
      <c s="27" r="E31"/>
      <c s="27" r="F31"/>
      <c s="79" r="G31"/>
      <c s="79" r="H31"/>
      <c s="79" r="I31"/>
    </row>
    <row r="32">
      <c s="27" r="C32"/>
      <c s="27" r="D32"/>
      <c s="27" r="E32"/>
      <c s="27" r="F32"/>
      <c s="79" r="G32"/>
      <c s="79" r="H32"/>
      <c s="79" r="I32"/>
    </row>
    <row r="33">
      <c s="27" r="C33"/>
      <c s="27" r="D33"/>
      <c s="27" r="E33"/>
      <c s="27" r="F33"/>
      <c s="79" r="G33"/>
      <c s="79" r="H33"/>
      <c s="79" r="I33"/>
    </row>
    <row r="34">
      <c s="27" r="C34"/>
      <c s="27" r="D34"/>
      <c s="27" r="E34"/>
      <c s="27" r="F34"/>
      <c s="79" r="G34"/>
      <c s="79" r="H34"/>
      <c s="79" r="I34"/>
    </row>
    <row r="35">
      <c s="27" r="C35"/>
      <c s="27" r="D35"/>
      <c s="27" r="E35"/>
      <c s="27" r="F35"/>
      <c s="79" r="G35"/>
      <c s="79" r="H35"/>
      <c s="79" r="I35"/>
    </row>
    <row r="36">
      <c s="27" r="C36"/>
      <c s="27" r="D36"/>
      <c s="27" r="E36"/>
      <c s="27" r="F36"/>
      <c s="79" r="G36"/>
      <c s="79" r="H36"/>
      <c s="79" r="I36"/>
    </row>
    <row r="37">
      <c s="27" r="C37"/>
      <c s="27" r="D37"/>
      <c s="27" r="E37"/>
      <c s="27" r="F37"/>
      <c s="79" r="G37"/>
      <c s="79" r="H37"/>
      <c s="79" r="I37"/>
    </row>
    <row r="38">
      <c s="27" r="C38"/>
      <c s="27" r="D38"/>
      <c s="27" r="E38"/>
      <c s="27" r="F38"/>
      <c s="79" r="G38"/>
      <c s="79" r="H38"/>
      <c s="79" r="I38"/>
    </row>
    <row r="39">
      <c s="27" r="C39"/>
      <c s="27" r="D39"/>
      <c s="27" r="E39"/>
      <c s="27" r="F39"/>
      <c s="79" r="G39"/>
      <c s="79" r="H39"/>
      <c s="79" r="I39"/>
    </row>
    <row r="40">
      <c s="27" r="C40"/>
      <c s="27" r="D40"/>
      <c s="27" r="E40"/>
      <c s="27" r="F40"/>
      <c s="79" r="G40"/>
      <c s="79" r="H40"/>
      <c s="79" r="I40"/>
    </row>
    <row r="41">
      <c s="27" r="C41"/>
      <c s="27" r="D41"/>
      <c s="27" r="E41"/>
      <c s="27" r="F41"/>
      <c s="79" r="G41"/>
      <c s="79" r="H41"/>
      <c s="79" r="I41"/>
    </row>
    <row r="42">
      <c s="27" r="C42"/>
      <c s="27" r="D42"/>
      <c s="27" r="E42"/>
      <c s="27" r="F42"/>
      <c s="79" r="G42"/>
      <c s="79" r="H42"/>
      <c s="79" r="I42"/>
    </row>
    <row r="43">
      <c s="27" r="C43"/>
      <c s="27" r="D43"/>
      <c s="27" r="E43"/>
      <c s="27" r="F43"/>
      <c s="79" r="G43"/>
      <c s="79" r="H43"/>
      <c s="79" r="I43"/>
    </row>
    <row r="44">
      <c s="27" r="C44"/>
      <c s="27" r="D44"/>
      <c s="27" r="E44"/>
      <c s="27" r="F44"/>
      <c s="79" r="G44"/>
      <c s="79" r="H44"/>
      <c s="79" r="I44"/>
    </row>
    <row r="45">
      <c s="27" r="C45"/>
      <c s="27" r="D45"/>
      <c s="27" r="E45"/>
      <c s="27" r="F45"/>
      <c s="79" r="G45"/>
      <c s="79" r="H45"/>
      <c s="79" r="I45"/>
    </row>
    <row r="46">
      <c s="27" r="C46"/>
      <c s="27" r="D46"/>
      <c s="27" r="E46"/>
      <c s="27" r="F46"/>
      <c s="79" r="G46"/>
      <c s="79" r="H46"/>
      <c s="79" r="I46"/>
    </row>
    <row r="47">
      <c s="27" r="C47"/>
      <c s="27" r="D47"/>
      <c s="27" r="E47"/>
      <c s="27" r="F47"/>
      <c s="79" r="G47"/>
      <c s="79" r="H47"/>
      <c s="79" r="I47"/>
    </row>
    <row r="48">
      <c s="27" r="C48"/>
      <c s="27" r="D48"/>
      <c s="27" r="E48"/>
      <c s="27" r="F48"/>
      <c s="79" r="G48"/>
      <c s="79" r="H48"/>
      <c s="79" r="I48"/>
    </row>
    <row r="49">
      <c s="27" r="C49"/>
      <c s="27" r="D49"/>
      <c s="27" r="E49"/>
      <c s="27" r="F49"/>
      <c s="79" r="G49"/>
      <c s="79" r="H49"/>
      <c s="79" r="I49"/>
    </row>
    <row r="50">
      <c s="27" r="C50"/>
      <c s="27" r="D50"/>
      <c s="27" r="E50"/>
      <c s="27" r="F50"/>
      <c s="79" r="G50"/>
      <c s="79" r="H50"/>
      <c s="79" r="I50"/>
    </row>
  </sheetData>
  <mergeCells count="1">
    <mergeCell ref="B1:F1"/>
  </mergeCells>
  <dataValidations>
    <dataValidation errorStyle="warning" showErrorMessage="1" sqref="C4:D4" allowBlank="1" type="list">
      <formula1>'.sector-calc, CCCS'!B3:B139</formula1>
    </dataValidation>
    <dataValidation errorStyle="warning" showErrorMessage="1" sqref="E4:F4" allowBlank="1" type="list">
      <formula1>'.theme-calc, CCCS'!A2:A125</formula1>
    </dataValidation>
    <dataValidation errorStyle="warning" showErrorMessage="1" sqref="G4" allowBlank="1" type="list">
      <formula1>'.sector-calc, IFC'!B3:B70</formula1>
    </dataValidation>
    <dataValidation errorStyle="warning" showErrorMessage="1" sqref="H4:I4" allowBlank="1" type="list">
      <formula1>'.theme-calc, IFC'!A2:A53</formula1>
    </dataValidation>
    <dataValidation errorStyle="warning" showErrorMessage="1" sqref="C5:D5" allowBlank="1" type="list">
      <formula1>'.sector-calc, CCCS'!B3:B139</formula1>
    </dataValidation>
    <dataValidation errorStyle="warning" showErrorMessage="1" sqref="E5:F5" allowBlank="1" type="list">
      <formula1>'.theme-calc, CCCS'!A2:A125</formula1>
    </dataValidation>
    <dataValidation errorStyle="warning" showErrorMessage="1" sqref="G5" allowBlank="1" type="list">
      <formula1>'.sector-calc, IFC'!B3:B70</formula1>
    </dataValidation>
    <dataValidation errorStyle="warning" showErrorMessage="1" sqref="H5:I5" allowBlank="1" type="list">
      <formula1>'.theme-calc, IFC'!A2:A53</formula1>
    </dataValidation>
    <dataValidation errorStyle="warning" showErrorMessage="1" sqref="C6:D6" allowBlank="1" type="list">
      <formula1>'.sector-calc, CCCS'!B3:B139</formula1>
    </dataValidation>
    <dataValidation errorStyle="warning" showErrorMessage="1" sqref="E6:F6" allowBlank="1" type="list">
      <formula1>'.theme-calc, CCCS'!A2:A125</formula1>
    </dataValidation>
    <dataValidation errorStyle="warning" showErrorMessage="1" sqref="G6" allowBlank="1" type="list">
      <formula1>'.sector-calc, IFC'!B3:B70</formula1>
    </dataValidation>
    <dataValidation errorStyle="warning" showErrorMessage="1" sqref="H6:I6" allowBlank="1" type="list">
      <formula1>'.theme-calc, IFC'!A2:A53</formula1>
    </dataValidation>
    <dataValidation errorStyle="warning" showErrorMessage="1" sqref="C7:D7" allowBlank="1" type="list">
      <formula1>'.sector-calc, CCCS'!B3:B139</formula1>
    </dataValidation>
    <dataValidation errorStyle="warning" showErrorMessage="1" sqref="E7:F7" allowBlank="1" type="list">
      <formula1>'.theme-calc, CCCS'!A2:A125</formula1>
    </dataValidation>
    <dataValidation errorStyle="warning" showErrorMessage="1" sqref="G7" allowBlank="1" type="list">
      <formula1>'.sector-calc, IFC'!B3:B70</formula1>
    </dataValidation>
    <dataValidation errorStyle="warning" showErrorMessage="1" sqref="H7:I7" allowBlank="1" type="list">
      <formula1>'.theme-calc, IFC'!A2:A53</formula1>
    </dataValidation>
    <dataValidation errorStyle="warning" showErrorMessage="1" sqref="C8:D8" allowBlank="1" type="list">
      <formula1>'.sector-calc, CCCS'!B3:B139</formula1>
    </dataValidation>
    <dataValidation errorStyle="warning" showErrorMessage="1" sqref="E8:F8" allowBlank="1" type="list">
      <formula1>'.theme-calc, CCCS'!A2:A125</formula1>
    </dataValidation>
    <dataValidation errorStyle="warning" showErrorMessage="1" sqref="G8" allowBlank="1" type="list">
      <formula1>'.sector-calc, IFC'!B3:B70</formula1>
    </dataValidation>
    <dataValidation errorStyle="warning" showErrorMessage="1" sqref="H8:I8" allowBlank="1" type="list">
      <formula1>'.theme-calc, IFC'!A2:A53</formula1>
    </dataValidation>
    <dataValidation errorStyle="warning" showErrorMessage="1" sqref="C9:D9" allowBlank="1" type="list">
      <formula1>'.sector-calc, CCCS'!B3:B139</formula1>
    </dataValidation>
    <dataValidation errorStyle="warning" showErrorMessage="1" sqref="E9:F9" allowBlank="1" type="list">
      <formula1>'.theme-calc, CCCS'!A2:A125</formula1>
    </dataValidation>
    <dataValidation errorStyle="warning" showErrorMessage="1" sqref="G9" allowBlank="1" type="list">
      <formula1>'.sector-calc, IFC'!B3:B70</formula1>
    </dataValidation>
    <dataValidation errorStyle="warning" showErrorMessage="1" sqref="H9:I9" allowBlank="1" type="list">
      <formula1>'.theme-calc, IFC'!A2:A53</formula1>
    </dataValidation>
    <dataValidation errorStyle="warning" showErrorMessage="1" sqref="C10:D10" allowBlank="1" type="list">
      <formula1>'.sector-calc, CCCS'!B3:B139</formula1>
    </dataValidation>
    <dataValidation errorStyle="warning" showErrorMessage="1" sqref="E10:F10" allowBlank="1" type="list">
      <formula1>'.theme-calc, CCCS'!A2:A125</formula1>
    </dataValidation>
    <dataValidation errorStyle="warning" showErrorMessage="1" sqref="G10" allowBlank="1" type="list">
      <formula1>'.sector-calc, IFC'!B3:B70</formula1>
    </dataValidation>
    <dataValidation errorStyle="warning" showErrorMessage="1" sqref="H10:I10" allowBlank="1" type="list">
      <formula1>'.theme-calc, IFC'!A2:A53</formula1>
    </dataValidation>
    <dataValidation errorStyle="warning" showErrorMessage="1" sqref="C11:D11" allowBlank="1" type="list">
      <formula1>'.sector-calc, CCCS'!B3:B139</formula1>
    </dataValidation>
    <dataValidation errorStyle="warning" showErrorMessage="1" sqref="E11:F11" allowBlank="1" type="list">
      <formula1>'.theme-calc, CCCS'!A2:A125</formula1>
    </dataValidation>
    <dataValidation errorStyle="warning" showErrorMessage="1" sqref="G11" allowBlank="1" type="list">
      <formula1>'.sector-calc, IFC'!B3:B70</formula1>
    </dataValidation>
    <dataValidation errorStyle="warning" showErrorMessage="1" sqref="H11:I11" allowBlank="1" type="list">
      <formula1>'.theme-calc, IFC'!A2:A53</formula1>
    </dataValidation>
    <dataValidation errorStyle="warning" showErrorMessage="1" sqref="C12:D12" allowBlank="1" type="list">
      <formula1>'.sector-calc, CCCS'!B3:B139</formula1>
    </dataValidation>
    <dataValidation errorStyle="warning" showErrorMessage="1" sqref="E12:F12" allowBlank="1" type="list">
      <formula1>'.theme-calc, CCCS'!A2:A125</formula1>
    </dataValidation>
    <dataValidation errorStyle="warning" showErrorMessage="1" sqref="G12" allowBlank="1" type="list">
      <formula1>'.sector-calc, IFC'!B3:B70</formula1>
    </dataValidation>
    <dataValidation errorStyle="warning" showErrorMessage="1" sqref="H12:I12" allowBlank="1" type="list">
      <formula1>'.theme-calc, IFC'!A2:A53</formula1>
    </dataValidation>
    <dataValidation errorStyle="warning" showErrorMessage="1" sqref="C13:D13" allowBlank="1" type="list">
      <formula1>'.sector-calc, CCCS'!B3:B139</formula1>
    </dataValidation>
    <dataValidation errorStyle="warning" showErrorMessage="1" sqref="E13:F13" allowBlank="1" type="list">
      <formula1>'.theme-calc, CCCS'!A2:A125</formula1>
    </dataValidation>
    <dataValidation errorStyle="warning" showErrorMessage="1" sqref="G13" allowBlank="1" type="list">
      <formula1>'.sector-calc, IFC'!B3:B70</formula1>
    </dataValidation>
    <dataValidation errorStyle="warning" showErrorMessage="1" sqref="H13:I13" allowBlank="1" type="list">
      <formula1>'.theme-calc, IFC'!A2:A53</formula1>
    </dataValidation>
    <dataValidation errorStyle="warning" showErrorMessage="1" sqref="C14:D14" allowBlank="1" type="list">
      <formula1>'.sector-calc, CCCS'!B3:B139</formula1>
    </dataValidation>
    <dataValidation errorStyle="warning" showErrorMessage="1" sqref="E14:F14" allowBlank="1" type="list">
      <formula1>'.theme-calc, CCCS'!A2:A125</formula1>
    </dataValidation>
    <dataValidation errorStyle="warning" showErrorMessage="1" sqref="G14" allowBlank="1" type="list">
      <formula1>'.sector-calc, IFC'!B3:B70</formula1>
    </dataValidation>
    <dataValidation errorStyle="warning" showErrorMessage="1" sqref="H14:I14" allowBlank="1" type="list">
      <formula1>'.theme-calc, IFC'!A2:A53</formula1>
    </dataValidation>
    <dataValidation errorStyle="warning" showErrorMessage="1" sqref="C15:D15" allowBlank="1" type="list">
      <formula1>'.sector-calc, CCCS'!B3:B139</formula1>
    </dataValidation>
    <dataValidation errorStyle="warning" showErrorMessage="1" sqref="E15:F15" allowBlank="1" type="list">
      <formula1>'.theme-calc, CCCS'!A2:A125</formula1>
    </dataValidation>
    <dataValidation errorStyle="warning" showErrorMessage="1" sqref="G15" allowBlank="1" type="list">
      <formula1>'.sector-calc, IFC'!B3:B70</formula1>
    </dataValidation>
    <dataValidation errorStyle="warning" showErrorMessage="1" sqref="H15:I15" allowBlank="1" type="list">
      <formula1>'.theme-calc, IFC'!A2:A53</formula1>
    </dataValidation>
    <dataValidation errorStyle="warning" showErrorMessage="1" sqref="C16:D16" allowBlank="1" type="list">
      <formula1>'.sector-calc, CCCS'!B3:B139</formula1>
    </dataValidation>
    <dataValidation errorStyle="warning" showErrorMessage="1" sqref="E16:F16" allowBlank="1" type="list">
      <formula1>'.theme-calc, CCCS'!A2:A125</formula1>
    </dataValidation>
    <dataValidation errorStyle="warning" showErrorMessage="1" sqref="G16" allowBlank="1" type="list">
      <formula1>'.sector-calc, IFC'!B3:B70</formula1>
    </dataValidation>
    <dataValidation errorStyle="warning" showErrorMessage="1" sqref="H16:I16" allowBlank="1" type="list">
      <formula1>'.theme-calc, IFC'!A2:A53</formula1>
    </dataValidation>
    <dataValidation errorStyle="warning" showErrorMessage="1" sqref="C17:D17" allowBlank="1" type="list">
      <formula1>'.sector-calc, CCCS'!B3:B139</formula1>
    </dataValidation>
    <dataValidation errorStyle="warning" showErrorMessage="1" sqref="E17:F17" allowBlank="1" type="list">
      <formula1>'.theme-calc, CCCS'!A2:A125</formula1>
    </dataValidation>
    <dataValidation errorStyle="warning" showErrorMessage="1" sqref="G17" allowBlank="1" type="list">
      <formula1>'.sector-calc, IFC'!B3:B70</formula1>
    </dataValidation>
    <dataValidation errorStyle="warning" showErrorMessage="1" sqref="H17:I17" allowBlank="1" type="list">
      <formula1>'.theme-calc, IFC'!A2:A53</formula1>
    </dataValidation>
    <dataValidation errorStyle="warning" showErrorMessage="1" sqref="C18:D18" allowBlank="1" type="list">
      <formula1>'.sector-calc, CCCS'!B3:B139</formula1>
    </dataValidation>
    <dataValidation errorStyle="warning" showErrorMessage="1" sqref="E18:F18" allowBlank="1" type="list">
      <formula1>'.theme-calc, CCCS'!A2:A125</formula1>
    </dataValidation>
    <dataValidation errorStyle="warning" showErrorMessage="1" sqref="G18" allowBlank="1" type="list">
      <formula1>'.sector-calc, IFC'!B3:B70</formula1>
    </dataValidation>
    <dataValidation errorStyle="warning" showErrorMessage="1" sqref="H18:I18" allowBlank="1" type="list">
      <formula1>'.theme-calc, IFC'!A2:A53</formula1>
    </dataValidation>
    <dataValidation errorStyle="warning" showErrorMessage="1" sqref="C19:D19" allowBlank="1" type="list">
      <formula1>'.sector-calc, CCCS'!B3:B139</formula1>
    </dataValidation>
    <dataValidation errorStyle="warning" showErrorMessage="1" sqref="E19:F19" allowBlank="1" type="list">
      <formula1>'.theme-calc, CCCS'!A2:A125</formula1>
    </dataValidation>
    <dataValidation errorStyle="warning" showErrorMessage="1" sqref="G19" allowBlank="1" type="list">
      <formula1>'.sector-calc, IFC'!B3:B70</formula1>
    </dataValidation>
    <dataValidation errorStyle="warning" showErrorMessage="1" sqref="H19:I19" allowBlank="1" type="list">
      <formula1>'.theme-calc, IFC'!A2:A53</formula1>
    </dataValidation>
    <dataValidation errorStyle="warning" showErrorMessage="1" sqref="C20:D20" allowBlank="1" type="list">
      <formula1>'.sector-calc, CCCS'!B3:B139</formula1>
    </dataValidation>
    <dataValidation errorStyle="warning" showErrorMessage="1" sqref="E20:F20" allowBlank="1" type="list">
      <formula1>'.theme-calc, CCCS'!A2:A125</formula1>
    </dataValidation>
    <dataValidation errorStyle="warning" showErrorMessage="1" sqref="G20" allowBlank="1" type="list">
      <formula1>'.sector-calc, IFC'!B3:B70</formula1>
    </dataValidation>
    <dataValidation errorStyle="warning" showErrorMessage="1" sqref="H20:I20" allowBlank="1" type="list">
      <formula1>'.theme-calc, IFC'!A2:A53</formula1>
    </dataValidation>
    <dataValidation errorStyle="warning" showErrorMessage="1" sqref="C21:D21" allowBlank="1" type="list">
      <formula1>'.sector-calc, CCCS'!B3:B139</formula1>
    </dataValidation>
    <dataValidation errorStyle="warning" showErrorMessage="1" sqref="E21:F21" allowBlank="1" type="list">
      <formula1>'.theme-calc, CCCS'!A2:A125</formula1>
    </dataValidation>
    <dataValidation errorStyle="warning" showErrorMessage="1" sqref="G21" allowBlank="1" type="list">
      <formula1>'.sector-calc, IFC'!B3:B70</formula1>
    </dataValidation>
    <dataValidation errorStyle="warning" showErrorMessage="1" sqref="H21:I21" allowBlank="1" type="list">
      <formula1>'.theme-calc, IFC'!A2:A53</formula1>
    </dataValidation>
    <dataValidation errorStyle="warning" showErrorMessage="1" sqref="C22:D22" allowBlank="1" type="list">
      <formula1>'.sector-calc, CCCS'!B3:B139</formula1>
    </dataValidation>
    <dataValidation errorStyle="warning" showErrorMessage="1" sqref="E22:F22" allowBlank="1" type="list">
      <formula1>'.theme-calc, CCCS'!A2:A125</formula1>
    </dataValidation>
    <dataValidation errorStyle="warning" showErrorMessage="1" sqref="G22" allowBlank="1" type="list">
      <formula1>'.sector-calc, IFC'!B3:B70</formula1>
    </dataValidation>
    <dataValidation errorStyle="warning" showErrorMessage="1" sqref="H22:I22" allowBlank="1" type="list">
      <formula1>'.theme-calc, IFC'!A2:A53</formula1>
    </dataValidation>
    <dataValidation errorStyle="warning" showErrorMessage="1" sqref="C23:D23" allowBlank="1" type="list">
      <formula1>'.sector-calc, CCCS'!B3:B139</formula1>
    </dataValidation>
    <dataValidation errorStyle="warning" showErrorMessage="1" sqref="E23:F23" allowBlank="1" type="list">
      <formula1>'.theme-calc, CCCS'!A2:A125</formula1>
    </dataValidation>
    <dataValidation errorStyle="warning" showErrorMessage="1" sqref="G23" allowBlank="1" type="list">
      <formula1>'.sector-calc, IFC'!B3:B70</formula1>
    </dataValidation>
    <dataValidation errorStyle="warning" showErrorMessage="1" sqref="H23:I23" allowBlank="1" type="list">
      <formula1>'.theme-calc, IFC'!A2:A53</formula1>
    </dataValidation>
    <dataValidation errorStyle="warning" showErrorMessage="1" sqref="C24:D24" allowBlank="1" type="list">
      <formula1>'.sector-calc, CCCS'!B3:B139</formula1>
    </dataValidation>
    <dataValidation errorStyle="warning" showErrorMessage="1" sqref="E24:F24" allowBlank="1" type="list">
      <formula1>'.theme-calc, CCCS'!A2:A125</formula1>
    </dataValidation>
    <dataValidation errorStyle="warning" showErrorMessage="1" sqref="G24" allowBlank="1" type="list">
      <formula1>'.sector-calc, IFC'!B3:B70</formula1>
    </dataValidation>
    <dataValidation errorStyle="warning" showErrorMessage="1" sqref="H24:I24" allowBlank="1" type="list">
      <formula1>'.theme-calc, IFC'!A2:A53</formula1>
    </dataValidation>
    <dataValidation errorStyle="warning" showErrorMessage="1" sqref="C25:D25" allowBlank="1" type="list">
      <formula1>'.sector-calc, CCCS'!B3:B139</formula1>
    </dataValidation>
    <dataValidation errorStyle="warning" showErrorMessage="1" sqref="E25:F25" allowBlank="1" type="list">
      <formula1>'.theme-calc, CCCS'!A2:A125</formula1>
    </dataValidation>
    <dataValidation errorStyle="warning" showErrorMessage="1" sqref="G25" allowBlank="1" type="list">
      <formula1>'.sector-calc, IFC'!B3:B70</formula1>
    </dataValidation>
    <dataValidation errorStyle="warning" showErrorMessage="1" sqref="H25:I25" allowBlank="1" type="list">
      <formula1>'.theme-calc, IFC'!A2:A53</formula1>
    </dataValidation>
    <dataValidation errorStyle="warning" showErrorMessage="1" sqref="C26:D26" allowBlank="1" type="list">
      <formula1>'.sector-calc, CCCS'!B3:B139</formula1>
    </dataValidation>
    <dataValidation errorStyle="warning" showErrorMessage="1" sqref="E26:F26" allowBlank="1" type="list">
      <formula1>'.theme-calc, CCCS'!A2:A125</formula1>
    </dataValidation>
    <dataValidation errorStyle="warning" showErrorMessage="1" sqref="G26" allowBlank="1" type="list">
      <formula1>'.sector-calc, IFC'!B3:B70</formula1>
    </dataValidation>
    <dataValidation errorStyle="warning" showErrorMessage="1" sqref="H26:I26" allowBlank="1" type="list">
      <formula1>'.theme-calc, IFC'!A2:A53</formula1>
    </dataValidation>
    <dataValidation errorStyle="warning" showErrorMessage="1" sqref="C27:D27" allowBlank="1" type="list">
      <formula1>'.sector-calc, CCCS'!B3:B139</formula1>
    </dataValidation>
    <dataValidation errorStyle="warning" showErrorMessage="1" sqref="E27:F27" allowBlank="1" type="list">
      <formula1>'.theme-calc, CCCS'!A2:A125</formula1>
    </dataValidation>
    <dataValidation errorStyle="warning" showErrorMessage="1" sqref="G27" allowBlank="1" type="list">
      <formula1>'.sector-calc, IFC'!B3:B70</formula1>
    </dataValidation>
    <dataValidation errorStyle="warning" showErrorMessage="1" sqref="H27:I27" allowBlank="1" type="list">
      <formula1>'.theme-calc, IFC'!A2:A53</formula1>
    </dataValidation>
    <dataValidation errorStyle="warning" showErrorMessage="1" sqref="C28:D28" allowBlank="1" type="list">
      <formula1>'.sector-calc, CCCS'!B3:B139</formula1>
    </dataValidation>
    <dataValidation errorStyle="warning" showErrorMessage="1" sqref="E28:F28" allowBlank="1" type="list">
      <formula1>'.theme-calc, CCCS'!A2:A125</formula1>
    </dataValidation>
    <dataValidation errorStyle="warning" showErrorMessage="1" sqref="G28" allowBlank="1" type="list">
      <formula1>'.sector-calc, IFC'!B3:B70</formula1>
    </dataValidation>
    <dataValidation errorStyle="warning" showErrorMessage="1" sqref="H28:I28" allowBlank="1" type="list">
      <formula1>'.theme-calc, IFC'!A2:A53</formula1>
    </dataValidation>
    <dataValidation errorStyle="warning" showErrorMessage="1" sqref="C29:D29" allowBlank="1" type="list">
      <formula1>'.sector-calc, CCCS'!B3:B139</formula1>
    </dataValidation>
    <dataValidation errorStyle="warning" showErrorMessage="1" sqref="E29:F29" allowBlank="1" type="list">
      <formula1>'.theme-calc, CCCS'!A2:A125</formula1>
    </dataValidation>
    <dataValidation errorStyle="warning" showErrorMessage="1" sqref="G29" allowBlank="1" type="list">
      <formula1>'.sector-calc, IFC'!B3:B70</formula1>
    </dataValidation>
    <dataValidation errorStyle="warning" showErrorMessage="1" sqref="H29:I29" allowBlank="1" type="list">
      <formula1>'.theme-calc, IFC'!A2:A53</formula1>
    </dataValidation>
    <dataValidation errorStyle="warning" showErrorMessage="1" sqref="C30:D30" allowBlank="1" type="list">
      <formula1>'.sector-calc, CCCS'!B3:B139</formula1>
    </dataValidation>
    <dataValidation errorStyle="warning" showErrorMessage="1" sqref="E30:F30" allowBlank="1" type="list">
      <formula1>'.theme-calc, CCCS'!A2:A125</formula1>
    </dataValidation>
    <dataValidation errorStyle="warning" showErrorMessage="1" sqref="G30" allowBlank="1" type="list">
      <formula1>'.sector-calc, IFC'!B3:B70</formula1>
    </dataValidation>
    <dataValidation errorStyle="warning" showErrorMessage="1" sqref="H30:I30" allowBlank="1" type="list">
      <formula1>'.theme-calc, IFC'!A2:A53</formula1>
    </dataValidation>
    <dataValidation errorStyle="warning" showErrorMessage="1" sqref="C31:D31" allowBlank="1" type="list">
      <formula1>'.sector-calc, CCCS'!B3:B139</formula1>
    </dataValidation>
    <dataValidation errorStyle="warning" showErrorMessage="1" sqref="E31:F31" allowBlank="1" type="list">
      <formula1>'.theme-calc, CCCS'!A2:A125</formula1>
    </dataValidation>
    <dataValidation errorStyle="warning" showErrorMessage="1" sqref="G31" allowBlank="1" type="list">
      <formula1>'.sector-calc, IFC'!B3:B70</formula1>
    </dataValidation>
    <dataValidation errorStyle="warning" showErrorMessage="1" sqref="H31:I31" allowBlank="1" type="list">
      <formula1>'.theme-calc, IFC'!A2:A53</formula1>
    </dataValidation>
    <dataValidation errorStyle="warning" showErrorMessage="1" sqref="C32:D32" allowBlank="1" type="list">
      <formula1>'.sector-calc, CCCS'!B3:B139</formula1>
    </dataValidation>
    <dataValidation errorStyle="warning" showErrorMessage="1" sqref="E32:F32" allowBlank="1" type="list">
      <formula1>'.theme-calc, CCCS'!A2:A125</formula1>
    </dataValidation>
    <dataValidation errorStyle="warning" showErrorMessage="1" sqref="G32" allowBlank="1" type="list">
      <formula1>'.sector-calc, IFC'!B3:B70</formula1>
    </dataValidation>
    <dataValidation errorStyle="warning" showErrorMessage="1" sqref="H32:I32" allowBlank="1" type="list">
      <formula1>'.theme-calc, IFC'!A2:A53</formula1>
    </dataValidation>
    <dataValidation errorStyle="warning" showErrorMessage="1" sqref="C33:D33" allowBlank="1" type="list">
      <formula1>'.sector-calc, CCCS'!B3:B139</formula1>
    </dataValidation>
    <dataValidation errorStyle="warning" showErrorMessage="1" sqref="E33:F33" allowBlank="1" type="list">
      <formula1>'.theme-calc, CCCS'!A2:A125</formula1>
    </dataValidation>
    <dataValidation errorStyle="warning" showErrorMessage="1" sqref="G33" allowBlank="1" type="list">
      <formula1>'.sector-calc, IFC'!B3:B70</formula1>
    </dataValidation>
    <dataValidation errorStyle="warning" showErrorMessage="1" sqref="H33:I33" allowBlank="1" type="list">
      <formula1>'.theme-calc, IFC'!A2:A53</formula1>
    </dataValidation>
    <dataValidation errorStyle="warning" showErrorMessage="1" sqref="C34:D34" allowBlank="1" type="list">
      <formula1>'.sector-calc, CCCS'!B3:B139</formula1>
    </dataValidation>
    <dataValidation errorStyle="warning" showErrorMessage="1" sqref="E34:F34" allowBlank="1" type="list">
      <formula1>'.theme-calc, CCCS'!A2:A125</formula1>
    </dataValidation>
    <dataValidation errorStyle="warning" showErrorMessage="1" sqref="G34" allowBlank="1" type="list">
      <formula1>'.sector-calc, IFC'!B3:B70</formula1>
    </dataValidation>
    <dataValidation errorStyle="warning" showErrorMessage="1" sqref="H34:I34" allowBlank="1" type="list">
      <formula1>'.theme-calc, IFC'!A2:A53</formula1>
    </dataValidation>
    <dataValidation errorStyle="warning" showErrorMessage="1" sqref="C35:D35" allowBlank="1" type="list">
      <formula1>'.sector-calc, CCCS'!B3:B139</formula1>
    </dataValidation>
    <dataValidation errorStyle="warning" showErrorMessage="1" sqref="E35:F35" allowBlank="1" type="list">
      <formula1>'.theme-calc, CCCS'!A2:A125</formula1>
    </dataValidation>
    <dataValidation errorStyle="warning" showErrorMessage="1" sqref="G35" allowBlank="1" type="list">
      <formula1>'.sector-calc, IFC'!B3:B70</formula1>
    </dataValidation>
    <dataValidation errorStyle="warning" showErrorMessage="1" sqref="H35:I35" allowBlank="1" type="list">
      <formula1>'.theme-calc, IFC'!A2:A53</formula1>
    </dataValidation>
    <dataValidation errorStyle="warning" showErrorMessage="1" sqref="C36:D36" allowBlank="1" type="list">
      <formula1>'.sector-calc, CCCS'!B3:B139</formula1>
    </dataValidation>
    <dataValidation errorStyle="warning" showErrorMessage="1" sqref="E36:F36" allowBlank="1" type="list">
      <formula1>'.theme-calc, CCCS'!A2:A125</formula1>
    </dataValidation>
    <dataValidation errorStyle="warning" showErrorMessage="1" sqref="G36" allowBlank="1" type="list">
      <formula1>'.sector-calc, IFC'!B3:B70</formula1>
    </dataValidation>
    <dataValidation errorStyle="warning" showErrorMessage="1" sqref="H36:I36" allowBlank="1" type="list">
      <formula1>'.theme-calc, IFC'!A2:A53</formula1>
    </dataValidation>
    <dataValidation errorStyle="warning" showErrorMessage="1" sqref="C37:D37" allowBlank="1" type="list">
      <formula1>'.sector-calc, CCCS'!B3:B139</formula1>
    </dataValidation>
    <dataValidation errorStyle="warning" showErrorMessage="1" sqref="E37:F37" allowBlank="1" type="list">
      <formula1>'.theme-calc, CCCS'!A2:A125</formula1>
    </dataValidation>
    <dataValidation errorStyle="warning" showErrorMessage="1" sqref="G37" allowBlank="1" type="list">
      <formula1>'.sector-calc, IFC'!B3:B70</formula1>
    </dataValidation>
    <dataValidation errorStyle="warning" showErrorMessage="1" sqref="H37:I37" allowBlank="1" type="list">
      <formula1>'.theme-calc, IFC'!A2:A53</formula1>
    </dataValidation>
    <dataValidation errorStyle="warning" showErrorMessage="1" sqref="C38:D38" allowBlank="1" type="list">
      <formula1>'.sector-calc, CCCS'!B3:B139</formula1>
    </dataValidation>
    <dataValidation errorStyle="warning" showErrorMessage="1" sqref="E38:F38" allowBlank="1" type="list">
      <formula1>'.theme-calc, CCCS'!A2:A125</formula1>
    </dataValidation>
    <dataValidation errorStyle="warning" showErrorMessage="1" sqref="G38" allowBlank="1" type="list">
      <formula1>'.sector-calc, IFC'!B3:B70</formula1>
    </dataValidation>
    <dataValidation errorStyle="warning" showErrorMessage="1" sqref="H38:I38" allowBlank="1" type="list">
      <formula1>'.theme-calc, IFC'!A2:A53</formula1>
    </dataValidation>
    <dataValidation errorStyle="warning" showErrorMessage="1" sqref="C39:D39" allowBlank="1" type="list">
      <formula1>'.sector-calc, CCCS'!B3:B139</formula1>
    </dataValidation>
    <dataValidation errorStyle="warning" showErrorMessage="1" sqref="E39:F39" allowBlank="1" type="list">
      <formula1>'.theme-calc, CCCS'!A2:A125</formula1>
    </dataValidation>
    <dataValidation errorStyle="warning" showErrorMessage="1" sqref="G39" allowBlank="1" type="list">
      <formula1>'.sector-calc, IFC'!B3:B70</formula1>
    </dataValidation>
    <dataValidation errorStyle="warning" showErrorMessage="1" sqref="H39:I39" allowBlank="1" type="list">
      <formula1>'.theme-calc, IFC'!A2:A53</formula1>
    </dataValidation>
    <dataValidation errorStyle="warning" showErrorMessage="1" sqref="C40:D40" allowBlank="1" type="list">
      <formula1>'.sector-calc, CCCS'!B3:B139</formula1>
    </dataValidation>
    <dataValidation errorStyle="warning" showErrorMessage="1" sqref="E40:F40" allowBlank="1" type="list">
      <formula1>'.theme-calc, CCCS'!A2:A125</formula1>
    </dataValidation>
    <dataValidation errorStyle="warning" showErrorMessage="1" sqref="G40" allowBlank="1" type="list">
      <formula1>'.sector-calc, IFC'!B3:B70</formula1>
    </dataValidation>
    <dataValidation errorStyle="warning" showErrorMessage="1" sqref="H40:I40" allowBlank="1" type="list">
      <formula1>'.theme-calc, IFC'!A2:A53</formula1>
    </dataValidation>
    <dataValidation errorStyle="warning" showErrorMessage="1" sqref="C41:D41" allowBlank="1" type="list">
      <formula1>'.sector-calc, CCCS'!B3:B139</formula1>
    </dataValidation>
    <dataValidation errorStyle="warning" showErrorMessage="1" sqref="E41:F41" allowBlank="1" type="list">
      <formula1>'.theme-calc, CCCS'!A2:A125</formula1>
    </dataValidation>
    <dataValidation errorStyle="warning" showErrorMessage="1" sqref="G41" allowBlank="1" type="list">
      <formula1>'.sector-calc, IFC'!B3:B70</formula1>
    </dataValidation>
    <dataValidation errorStyle="warning" showErrorMessage="1" sqref="H41:I41" allowBlank="1" type="list">
      <formula1>'.theme-calc, IFC'!A2:A53</formula1>
    </dataValidation>
    <dataValidation errorStyle="warning" showErrorMessage="1" sqref="C42:D42" allowBlank="1" type="list">
      <formula1>'.sector-calc, CCCS'!B3:B139</formula1>
    </dataValidation>
    <dataValidation errorStyle="warning" showErrorMessage="1" sqref="E42:F42" allowBlank="1" type="list">
      <formula1>'.theme-calc, CCCS'!A2:A125</formula1>
    </dataValidation>
    <dataValidation errorStyle="warning" showErrorMessage="1" sqref="G42" allowBlank="1" type="list">
      <formula1>'.sector-calc, IFC'!B3:B70</formula1>
    </dataValidation>
    <dataValidation errorStyle="warning" showErrorMessage="1" sqref="H42:I42" allowBlank="1" type="list">
      <formula1>'.theme-calc, IFC'!A2:A53</formula1>
    </dataValidation>
    <dataValidation errorStyle="warning" showErrorMessage="1" sqref="C43:D43" allowBlank="1" type="list">
      <formula1>'.sector-calc, CCCS'!B3:B139</formula1>
    </dataValidation>
    <dataValidation errorStyle="warning" showErrorMessage="1" sqref="E43:F43" allowBlank="1" type="list">
      <formula1>'.theme-calc, CCCS'!A2:A125</formula1>
    </dataValidation>
    <dataValidation errorStyle="warning" showErrorMessage="1" sqref="G43" allowBlank="1" type="list">
      <formula1>'.sector-calc, IFC'!B3:B70</formula1>
    </dataValidation>
    <dataValidation errorStyle="warning" showErrorMessage="1" sqref="H43:I43" allowBlank="1" type="list">
      <formula1>'.theme-calc, IFC'!A2:A53</formula1>
    </dataValidation>
    <dataValidation errorStyle="warning" showErrorMessage="1" sqref="C44:D44" allowBlank="1" type="list">
      <formula1>'.sector-calc, CCCS'!B3:B139</formula1>
    </dataValidation>
    <dataValidation errorStyle="warning" showErrorMessage="1" sqref="E44:F44" allowBlank="1" type="list">
      <formula1>'.theme-calc, CCCS'!A2:A125</formula1>
    </dataValidation>
    <dataValidation errorStyle="warning" showErrorMessage="1" sqref="G44" allowBlank="1" type="list">
      <formula1>'.sector-calc, IFC'!B3:B70</formula1>
    </dataValidation>
    <dataValidation errorStyle="warning" showErrorMessage="1" sqref="H44:I44" allowBlank="1" type="list">
      <formula1>'.theme-calc, IFC'!A2:A53</formula1>
    </dataValidation>
    <dataValidation errorStyle="warning" showErrorMessage="1" sqref="C45:D45" allowBlank="1" type="list">
      <formula1>'.sector-calc, CCCS'!B3:B139</formula1>
    </dataValidation>
    <dataValidation errorStyle="warning" showErrorMessage="1" sqref="E45:F45" allowBlank="1" type="list">
      <formula1>'.theme-calc, CCCS'!A2:A125</formula1>
    </dataValidation>
    <dataValidation errorStyle="warning" showErrorMessage="1" sqref="G45" allowBlank="1" type="list">
      <formula1>'.sector-calc, IFC'!B3:B70</formula1>
    </dataValidation>
    <dataValidation errorStyle="warning" showErrorMessage="1" sqref="H45:I45" allowBlank="1" type="list">
      <formula1>'.theme-calc, IFC'!A2:A53</formula1>
    </dataValidation>
    <dataValidation errorStyle="warning" showErrorMessage="1" sqref="C46:D46" allowBlank="1" type="list">
      <formula1>'.sector-calc, CCCS'!B3:B139</formula1>
    </dataValidation>
    <dataValidation errorStyle="warning" showErrorMessage="1" sqref="E46:F46" allowBlank="1" type="list">
      <formula1>'.theme-calc, CCCS'!A2:A125</formula1>
    </dataValidation>
    <dataValidation errorStyle="warning" showErrorMessage="1" sqref="G46" allowBlank="1" type="list">
      <formula1>'.sector-calc, IFC'!B3:B70</formula1>
    </dataValidation>
    <dataValidation errorStyle="warning" showErrorMessage="1" sqref="H46:I46" allowBlank="1" type="list">
      <formula1>'.theme-calc, IFC'!A2:A53</formula1>
    </dataValidation>
    <dataValidation errorStyle="warning" showErrorMessage="1" sqref="C47:D47" allowBlank="1" type="list">
      <formula1>'.sector-calc, CCCS'!B3:B139</formula1>
    </dataValidation>
    <dataValidation errorStyle="warning" showErrorMessage="1" sqref="E47:F47" allowBlank="1" type="list">
      <formula1>'.theme-calc, CCCS'!A2:A125</formula1>
    </dataValidation>
    <dataValidation errorStyle="warning" showErrorMessage="1" sqref="G47" allowBlank="1" type="list">
      <formula1>'.sector-calc, IFC'!B3:B70</formula1>
    </dataValidation>
    <dataValidation errorStyle="warning" showErrorMessage="1" sqref="H47:I47" allowBlank="1" type="list">
      <formula1>'.theme-calc, IFC'!A2:A53</formula1>
    </dataValidation>
    <dataValidation errorStyle="warning" showErrorMessage="1" sqref="C48:D48" allowBlank="1" type="list">
      <formula1>'.sector-calc, CCCS'!B3:B139</formula1>
    </dataValidation>
    <dataValidation errorStyle="warning" showErrorMessage="1" sqref="E48:F48" allowBlank="1" type="list">
      <formula1>'.theme-calc, CCCS'!A2:A125</formula1>
    </dataValidation>
    <dataValidation errorStyle="warning" showErrorMessage="1" sqref="G48" allowBlank="1" type="list">
      <formula1>'.sector-calc, IFC'!B3:B70</formula1>
    </dataValidation>
    <dataValidation errorStyle="warning" showErrorMessage="1" sqref="H48:I48" allowBlank="1" type="list">
      <formula1>'.theme-calc, IFC'!A2:A53</formula1>
    </dataValidation>
    <dataValidation errorStyle="warning" showErrorMessage="1" sqref="C49:D49" allowBlank="1" type="list">
      <formula1>'.sector-calc, CCCS'!B3:B139</formula1>
    </dataValidation>
    <dataValidation errorStyle="warning" showErrorMessage="1" sqref="E49:F49" allowBlank="1" type="list">
      <formula1>'.theme-calc, CCCS'!A2:A125</formula1>
    </dataValidation>
    <dataValidation errorStyle="warning" showErrorMessage="1" sqref="G49" allowBlank="1" type="list">
      <formula1>'.sector-calc, IFC'!B3:B70</formula1>
    </dataValidation>
    <dataValidation errorStyle="warning" showErrorMessage="1" sqref="H49:I49" allowBlank="1" type="list">
      <formula1>'.theme-calc, IFC'!A2:A53</formula1>
    </dataValidation>
    <dataValidation errorStyle="warning" showErrorMessage="1" sqref="C50:D50" allowBlank="1" type="list">
      <formula1>'.sector-calc, CCCS'!B3:B139</formula1>
    </dataValidation>
    <dataValidation errorStyle="warning" showErrorMessage="1" sqref="E50:F50" allowBlank="1" type="list">
      <formula1>'.theme-calc, CCCS'!A2:A125</formula1>
    </dataValidation>
    <dataValidation errorStyle="warning" showErrorMessage="1" sqref="G50" allowBlank="1" type="list">
      <formula1>'.sector-calc, IFC'!B3:B70</formula1>
    </dataValidation>
    <dataValidation errorStyle="warning" showErrorMessage="1" sqref="H50:I50" allowBlank="1" type="list">
      <formula1>'.theme-calc, IFC'!A2:A53</formula1>
    </dataValidation>
  </dataValidation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22.0"/>
    <col min="2" customWidth="1" max="2" width="31.57"/>
    <col min="3" customWidth="1" max="3" width="23.86"/>
    <col min="4" customWidth="1" max="4" width="33.57"/>
    <col min="5" customWidth="1" max="5" width="67.86"/>
    <col min="6" customWidth="1" max="6" width="26.29"/>
  </cols>
  <sheetData>
    <row r="1">
      <c t="s" s="28" r="A1">
        <v>184</v>
      </c>
      <c t="s" s="28" r="B1">
        <v>185</v>
      </c>
      <c t="s" s="28" r="C1">
        <v>32</v>
      </c>
      <c t="s" s="28" r="D1">
        <v>186</v>
      </c>
      <c t="s" s="28" r="E1">
        <v>187</v>
      </c>
      <c t="s" s="11" r="F1">
        <v>188</v>
      </c>
    </row>
    <row r="2">
      <c s="86" r="A2"/>
      <c s="86" r="B2"/>
      <c s="86" r="C2"/>
      <c s="86" r="D2"/>
      <c s="86" r="E2"/>
      <c s="86" r="F2"/>
    </row>
    <row r="3">
      <c s="86" r="A3"/>
      <c s="86" r="B3"/>
      <c s="86" r="C3"/>
      <c s="86" r="D3"/>
      <c s="86" r="E3"/>
      <c s="86" r="F3"/>
    </row>
    <row r="4">
      <c s="86" r="A4"/>
      <c s="86" r="B4"/>
      <c s="86" r="C4"/>
      <c s="86" r="D4"/>
      <c s="86" r="E4"/>
      <c s="86" r="F4"/>
    </row>
    <row r="5">
      <c s="86" r="A5"/>
      <c s="86" r="B5"/>
      <c s="86" r="C5"/>
      <c s="86" r="D5"/>
      <c s="86" r="E5"/>
      <c s="86" r="F5"/>
    </row>
    <row r="6">
      <c s="86" r="A6"/>
      <c s="86" r="B6"/>
      <c s="86" r="C6"/>
      <c s="86" r="D6"/>
      <c s="86" r="E6"/>
      <c s="86" r="F6"/>
    </row>
  </sheetData>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19.14"/>
    <col min="2" customWidth="1" max="2" width="41.71"/>
    <col min="4" customWidth="1" max="4" width="72.71"/>
    <col min="5" customWidth="1" max="5" width="22.43"/>
    <col min="9" customWidth="1" max="9" width="22.14"/>
    <col min="10" customWidth="1" max="10" width="24.86"/>
    <col min="12" customWidth="1" max="12" width="24.29"/>
    <col min="13" customWidth="1" max="13" width="31.29"/>
    <col min="14" customWidth="1" max="14" width="18.14"/>
    <col min="18" customWidth="1" max="18" width="89.86"/>
    <col min="19" customWidth="1" max="19" width="62.0"/>
    <col min="20" customWidth="1" max="20" width="24.86"/>
    <col min="21" customWidth="1" max="21" width="29.86"/>
    <col min="22" customWidth="1" max="22" width="43.43"/>
    <col min="23" customWidth="1" max="23" width="39.0"/>
  </cols>
  <sheetData>
    <row r="1">
      <c t="s" s="96" r="A1">
        <v>189</v>
      </c>
      <c t="s" s="28" r="B1">
        <v>190</v>
      </c>
      <c t="s" s="96" r="C1">
        <v>191</v>
      </c>
      <c t="s" s="28" r="D1">
        <v>192</v>
      </c>
      <c t="s" s="96" r="E1">
        <v>193</v>
      </c>
      <c t="s" s="44" r="F1">
        <v>194</v>
      </c>
      <c t="s" s="96" r="G1">
        <v>195</v>
      </c>
      <c t="s" s="96" r="H1">
        <v>196</v>
      </c>
      <c t="s" s="78" r="I1">
        <v>197</v>
      </c>
      <c t="s" s="28" r="J1">
        <v>186</v>
      </c>
      <c t="s" s="78" r="K1">
        <v>198</v>
      </c>
      <c t="s" s="78" r="L1">
        <v>199</v>
      </c>
      <c t="s" s="78" r="M1">
        <v>200</v>
      </c>
      <c t="s" s="78" r="N1">
        <v>201</v>
      </c>
      <c t="s" s="28" r="O1">
        <v>202</v>
      </c>
      <c t="s" s="28" r="P1">
        <v>203</v>
      </c>
      <c t="s" s="96" r="Q1">
        <v>204</v>
      </c>
      <c t="s" s="28" r="R1">
        <v>205</v>
      </c>
      <c t="s" s="28" r="S1">
        <v>206</v>
      </c>
      <c t="s" s="2" r="T1">
        <v>207</v>
      </c>
      <c t="s" s="2" r="U1">
        <v>208</v>
      </c>
      <c t="s" s="2" r="V1">
        <v>209</v>
      </c>
      <c t="s" s="2" r="W1">
        <v>210</v>
      </c>
      <c t="s" s="87" r="X1">
        <v>211</v>
      </c>
      <c t="s" s="87" r="Y1">
        <v>212</v>
      </c>
      <c t="s" s="87" r="Z1">
        <v>213</v>
      </c>
    </row>
    <row r="2">
      <c t="s" s="86" r="A2">
        <v>214</v>
      </c>
      <c t="s" s="86" r="B2">
        <v>215</v>
      </c>
      <c s="86" r="C2"/>
      <c t="s" s="86" r="D2">
        <v>216</v>
      </c>
      <c t="s" s="86" r="E2">
        <v>217</v>
      </c>
      <c t="s" s="40" r="F2">
        <v>218</v>
      </c>
      <c s="86" r="G2"/>
      <c s="86" r="H2"/>
      <c s="86" r="I2"/>
      <c s="86" r="J2"/>
      <c s="86" r="K2"/>
      <c t="s" s="86" r="L2">
        <v>219</v>
      </c>
      <c t="s" s="86" r="M2">
        <v>220</v>
      </c>
      <c s="86" r="N2"/>
      <c s="86" r="O2"/>
      <c s="25" r="P2"/>
      <c s="86" r="Q2"/>
      <c t="s" s="86" r="R2">
        <v>221</v>
      </c>
      <c s="34" r="S2"/>
      <c t="s" s="86" r="T2">
        <v>222</v>
      </c>
      <c t="s" s="86" r="U2">
        <v>223</v>
      </c>
      <c t="s" s="86" r="V2">
        <v>224</v>
      </c>
      <c t="s" s="86" r="W2">
        <v>225</v>
      </c>
      <c t="s" s="85" r="X2">
        <v>226</v>
      </c>
      <c t="s" s="85" r="Y2">
        <v>227</v>
      </c>
      <c t="s" s="85" r="Z2">
        <v>228</v>
      </c>
    </row>
    <row r="3">
      <c t="s" s="86" r="A3">
        <v>229</v>
      </c>
      <c t="s" s="86" r="B3">
        <v>230</v>
      </c>
      <c s="86" r="C3"/>
      <c t="s" s="86" r="D3">
        <v>231</v>
      </c>
      <c t="s" s="86" r="E3">
        <v>232</v>
      </c>
      <c t="s" s="26" r="F3">
        <v>233</v>
      </c>
      <c s="86" r="G3"/>
      <c s="86" r="H3"/>
      <c s="86" r="I3"/>
      <c t="s" s="86" r="J3">
        <v>234</v>
      </c>
      <c s="86" r="K3"/>
      <c t="s" s="86" r="L3">
        <v>235</v>
      </c>
      <c t="s" s="86" r="M3">
        <v>236</v>
      </c>
      <c s="86" r="N3"/>
      <c s="86" r="O3"/>
      <c s="25" r="P3"/>
      <c s="86" r="Q3"/>
      <c t="s" s="86" r="R3">
        <v>237</v>
      </c>
      <c s="34" r="S3"/>
      <c t="s" s="86" r="T3">
        <v>170</v>
      </c>
      <c t="s" s="86" r="U3">
        <v>181</v>
      </c>
      <c t="s" s="86" r="V3">
        <v>162</v>
      </c>
      <c t="s" s="86" r="W3">
        <v>138</v>
      </c>
      <c t="s" s="85" r="X3">
        <v>238</v>
      </c>
      <c t="s" s="85" r="Y3">
        <v>239</v>
      </c>
      <c t="s" s="85" r="Z3">
        <v>105</v>
      </c>
    </row>
    <row r="4">
      <c t="s" s="86" r="A4">
        <v>240</v>
      </c>
      <c t="s" s="86" r="B4">
        <v>241</v>
      </c>
      <c s="86" r="C4"/>
      <c t="s" s="86" r="D4">
        <v>242</v>
      </c>
      <c t="s" s="86" r="E4">
        <v>141</v>
      </c>
      <c t="s" s="86" r="F4">
        <v>243</v>
      </c>
      <c s="86" r="G4"/>
      <c s="86" r="H4"/>
      <c s="86" r="I4"/>
      <c s="25" r="J4"/>
      <c s="86" r="K4"/>
      <c t="s" s="86" r="L4">
        <v>244</v>
      </c>
      <c t="s" s="86" r="M4">
        <v>245</v>
      </c>
      <c s="86" r="N4"/>
      <c s="86" r="O4"/>
      <c s="25" r="P4"/>
      <c s="86" r="Q4"/>
      <c t="s" s="86" r="R4">
        <v>246</v>
      </c>
      <c t="s" s="34" r="S4">
        <v>247</v>
      </c>
      <c t="s" s="86" r="T4">
        <v>248</v>
      </c>
      <c t="s" s="86" r="U4">
        <v>249</v>
      </c>
      <c t="s" s="86" r="V4">
        <v>224</v>
      </c>
      <c t="s" s="86" r="W4">
        <v>250</v>
      </c>
      <c t="s" s="85" r="X4">
        <v>226</v>
      </c>
      <c t="s" s="85" r="Y4">
        <v>251</v>
      </c>
      <c t="s" s="85" r="Z4">
        <v>228</v>
      </c>
    </row>
    <row r="5">
      <c t="s" s="86" r="A5">
        <v>252</v>
      </c>
      <c t="s" s="86" r="B5">
        <v>253</v>
      </c>
      <c s="86" r="C5"/>
      <c t="s" s="86" r="D5">
        <v>254</v>
      </c>
      <c t="s" s="86" r="E5">
        <v>141</v>
      </c>
      <c t="s" s="86" r="F5">
        <v>243</v>
      </c>
      <c s="86" r="G5"/>
      <c s="86" r="H5"/>
      <c s="86" r="I5"/>
      <c t="s" s="86" r="J5">
        <v>255</v>
      </c>
      <c s="86" r="K5"/>
      <c t="s" s="86" r="L5">
        <v>256</v>
      </c>
      <c t="s" s="86" r="M5">
        <v>257</v>
      </c>
      <c s="86" r="N5"/>
      <c s="86" r="O5"/>
      <c t="s" s="86" r="P5">
        <v>258</v>
      </c>
      <c s="86" r="Q5"/>
      <c s="25" r="R5"/>
      <c s="86" r="S5"/>
      <c t="s" s="86" r="T5">
        <v>85</v>
      </c>
      <c t="s" s="86" r="U5">
        <v>86</v>
      </c>
      <c s="86" r="V5"/>
      <c s="86" r="W5"/>
      <c s="85" r="X5"/>
      <c s="85" r="Y5"/>
      <c s="85" r="Z5"/>
    </row>
    <row r="6">
      <c t="s" s="86" r="A6">
        <v>259</v>
      </c>
      <c t="s" s="86" r="B6">
        <v>260</v>
      </c>
      <c s="86" r="C6"/>
      <c t="s" s="86" r="D6">
        <v>261</v>
      </c>
      <c t="s" s="86" r="E6">
        <v>94</v>
      </c>
      <c t="s" s="86" r="F6">
        <v>262</v>
      </c>
      <c s="86" r="G6"/>
      <c s="86" r="H6"/>
      <c s="86" r="I6"/>
      <c t="s" s="86" r="J6">
        <v>263</v>
      </c>
      <c s="86" r="K6"/>
      <c t="s" s="86" r="L6">
        <v>264</v>
      </c>
      <c t="s" s="86" r="M6">
        <v>265</v>
      </c>
      <c s="86" r="N6"/>
      <c s="86" r="O6"/>
      <c t="s" s="86" r="P6">
        <v>266</v>
      </c>
      <c s="86" r="Q6"/>
      <c t="s" s="86" r="R6">
        <v>267</v>
      </c>
      <c t="s" s="34" r="S6">
        <v>268</v>
      </c>
      <c t="s" s="86" r="T6">
        <v>269</v>
      </c>
      <c t="s" s="86" r="U6">
        <v>270</v>
      </c>
      <c t="s" s="86" r="V6">
        <v>224</v>
      </c>
      <c t="s" s="86" r="W6">
        <v>250</v>
      </c>
      <c t="s" s="85" r="X6">
        <v>271</v>
      </c>
      <c t="s" s="85" r="Y6">
        <v>272</v>
      </c>
      <c t="s" s="85" r="Z6">
        <v>228</v>
      </c>
    </row>
    <row r="7">
      <c t="s" s="86" r="A7">
        <v>273</v>
      </c>
      <c t="s" s="86" r="B7">
        <v>274</v>
      </c>
      <c s="86" r="C7"/>
      <c t="s" s="25" r="D7">
        <v>275</v>
      </c>
      <c t="s" s="86" r="E7">
        <v>161</v>
      </c>
      <c t="s" s="86" r="F7">
        <v>276</v>
      </c>
      <c s="86" r="G7"/>
      <c s="86" r="H7"/>
      <c s="86" r="I7"/>
      <c t="s" s="25" r="J7">
        <v>277</v>
      </c>
      <c s="86" r="K7"/>
      <c t="s" s="86" r="L7">
        <v>244</v>
      </c>
      <c t="s" s="86" r="M7">
        <v>278</v>
      </c>
      <c s="86" r="N7"/>
      <c s="86" r="O7"/>
      <c t="s" s="86" r="P7">
        <v>279</v>
      </c>
      <c s="86" r="Q7"/>
      <c t="s" s="86" r="R7">
        <v>280</v>
      </c>
      <c t="s" s="34" r="S7">
        <v>281</v>
      </c>
      <c t="s" s="86" r="T7">
        <v>282</v>
      </c>
      <c t="s" s="86" r="U7">
        <v>283</v>
      </c>
      <c t="s" s="86" r="V7">
        <v>284</v>
      </c>
      <c t="s" s="86" r="W7">
        <v>285</v>
      </c>
      <c t="s" s="85" r="X7">
        <v>226</v>
      </c>
      <c t="s" s="85" r="Y7">
        <v>286</v>
      </c>
      <c t="s" s="85" r="Z7">
        <v>87</v>
      </c>
    </row>
    <row r="8">
      <c t="s" s="9" r="A8">
        <v>287</v>
      </c>
      <c t="s" s="9" r="B8">
        <v>288</v>
      </c>
      <c s="86" r="C8"/>
      <c t="s" s="86" r="D8">
        <v>289</v>
      </c>
      <c t="s" s="86" r="E8">
        <v>135</v>
      </c>
      <c t="s" s="86" r="F8">
        <v>290</v>
      </c>
      <c s="86" r="G8"/>
      <c s="86" r="H8"/>
      <c s="86" r="I8"/>
      <c t="s" s="9" r="J8">
        <v>291</v>
      </c>
      <c s="86" r="K8"/>
      <c t="s" s="86" r="L8">
        <v>292</v>
      </c>
      <c t="s" s="86" r="M8">
        <v>293</v>
      </c>
      <c s="86" r="N8"/>
      <c s="86" r="O8"/>
      <c t="s" s="86" r="P8">
        <v>294</v>
      </c>
      <c s="86" r="Q8"/>
      <c t="s" s="9" r="R8">
        <v>295</v>
      </c>
      <c s="34" r="S8"/>
      <c t="s" s="86" r="T8">
        <v>170</v>
      </c>
      <c t="s" s="86" r="U8">
        <v>296</v>
      </c>
      <c t="s" s="86" r="V8">
        <v>124</v>
      </c>
      <c t="s" s="86" r="W8">
        <v>125</v>
      </c>
      <c t="s" s="85" r="X8">
        <v>297</v>
      </c>
      <c t="s" s="85" r="Y8">
        <v>298</v>
      </c>
      <c t="s" s="85" r="Z8">
        <v>99</v>
      </c>
    </row>
    <row r="9">
      <c t="s" s="86" r="A9">
        <v>299</v>
      </c>
      <c t="s" s="86" r="B9">
        <v>300</v>
      </c>
      <c s="86" r="C9"/>
      <c t="s" s="86" r="D9">
        <v>301</v>
      </c>
      <c t="s" s="86" r="E9">
        <v>147</v>
      </c>
      <c t="s" s="86" r="F9">
        <v>302</v>
      </c>
      <c s="86" r="G9"/>
      <c s="86" r="H9"/>
      <c s="86" r="I9"/>
      <c t="s" s="86" r="J9">
        <v>303</v>
      </c>
      <c s="86" r="K9"/>
      <c t="s" s="86" r="L9">
        <v>244</v>
      </c>
      <c t="s" s="86" r="M9">
        <v>304</v>
      </c>
      <c s="86" r="N9"/>
      <c s="86" r="O9"/>
      <c t="s" s="86" r="P9">
        <v>279</v>
      </c>
      <c s="86" r="Q9"/>
      <c t="s" s="86" r="R9">
        <v>305</v>
      </c>
      <c t="s" s="34" r="S9">
        <v>306</v>
      </c>
      <c t="s" s="86" r="T9">
        <v>307</v>
      </c>
      <c t="s" s="86" r="U9">
        <v>308</v>
      </c>
      <c t="s" s="86" r="V9">
        <v>224</v>
      </c>
      <c t="s" s="86" r="W9">
        <v>309</v>
      </c>
      <c t="s" s="85" r="X9">
        <v>310</v>
      </c>
      <c t="s" s="85" r="Y9">
        <v>311</v>
      </c>
      <c t="s" s="85" r="Z9">
        <v>228</v>
      </c>
    </row>
    <row r="10">
      <c t="s" s="86" r="A10">
        <v>312</v>
      </c>
      <c t="s" s="86" r="B10">
        <v>313</v>
      </c>
      <c s="86" r="C10"/>
      <c t="s" s="86" r="D10">
        <v>314</v>
      </c>
      <c t="s" s="86" r="E10">
        <v>147</v>
      </c>
      <c t="s" s="86" r="F10">
        <v>302</v>
      </c>
      <c s="86" r="G10"/>
      <c s="86" r="H10"/>
      <c s="86" r="I10"/>
      <c t="s" s="86" r="J10">
        <v>303</v>
      </c>
      <c s="86" r="K10"/>
      <c t="s" s="86" r="L10">
        <v>315</v>
      </c>
      <c t="s" s="86" r="M10">
        <v>304</v>
      </c>
      <c s="86" r="N10"/>
      <c s="86" r="O10"/>
      <c t="s" s="86" r="P10">
        <v>294</v>
      </c>
      <c s="86" r="Q10"/>
      <c t="s" s="86" r="R10">
        <v>316</v>
      </c>
      <c t="s" s="34" r="S10">
        <v>317</v>
      </c>
      <c t="s" s="86" r="T10">
        <v>318</v>
      </c>
      <c t="s" s="86" r="U10">
        <v>319</v>
      </c>
      <c t="s" s="86" r="V10">
        <v>142</v>
      </c>
      <c t="s" s="86" r="W10">
        <v>143</v>
      </c>
      <c t="s" s="85" r="X10">
        <v>127</v>
      </c>
      <c t="s" s="85" r="Y10">
        <v>134</v>
      </c>
      <c s="85" r="Z10"/>
    </row>
    <row r="11">
      <c t="s" s="9" r="A11">
        <v>320</v>
      </c>
      <c t="s" s="9" r="B11">
        <v>288</v>
      </c>
      <c s="86" r="C11"/>
      <c t="s" s="86" r="D11">
        <v>289</v>
      </c>
      <c t="s" s="86" r="E11">
        <v>135</v>
      </c>
      <c t="s" s="86" r="F11">
        <v>290</v>
      </c>
      <c s="86" r="G11"/>
      <c s="86" r="H11"/>
      <c s="86" r="I11"/>
      <c t="s" s="9" r="J11">
        <v>291</v>
      </c>
      <c s="86" r="K11"/>
      <c t="s" s="86" r="L11">
        <v>292</v>
      </c>
      <c t="s" s="86" r="M11">
        <v>293</v>
      </c>
      <c s="86" r="N11"/>
      <c s="86" r="O11"/>
      <c t="s" s="86" r="P11">
        <v>294</v>
      </c>
      <c s="86" r="Q11"/>
      <c t="s" s="9" r="R11">
        <v>295</v>
      </c>
      <c s="34" r="S11"/>
      <c t="s" s="86" r="T11">
        <v>170</v>
      </c>
      <c t="s" s="86" r="U11">
        <v>321</v>
      </c>
      <c t="s" s="86" r="V11">
        <v>124</v>
      </c>
      <c t="s" s="86" r="W11">
        <v>125</v>
      </c>
      <c t="s" s="85" r="X11">
        <v>322</v>
      </c>
      <c t="s" s="85" r="Y11">
        <v>323</v>
      </c>
      <c t="s" s="85" r="Z11">
        <v>99</v>
      </c>
    </row>
    <row r="12">
      <c t="s" s="86" r="A12">
        <v>324</v>
      </c>
      <c t="s" s="86" r="B12">
        <v>325</v>
      </c>
      <c s="86" r="C12"/>
      <c s="25" r="D12"/>
      <c t="s" s="86" r="E12">
        <v>141</v>
      </c>
      <c t="s" s="86" r="F12">
        <v>243</v>
      </c>
      <c s="86" r="G12"/>
      <c s="86" r="H12"/>
      <c s="86" r="I12"/>
      <c t="s" s="86" r="J12">
        <v>326</v>
      </c>
      <c s="86" r="K12"/>
      <c t="s" s="86" r="L12">
        <v>327</v>
      </c>
      <c t="s" s="86" r="M12">
        <v>327</v>
      </c>
      <c s="86" r="N12"/>
      <c s="86" r="O12"/>
      <c s="25" r="P12"/>
      <c s="86" r="Q12"/>
      <c t="s" s="86" r="R12">
        <v>328</v>
      </c>
      <c s="86" r="S12"/>
      <c t="s" s="86" r="T12">
        <v>329</v>
      </c>
      <c t="s" s="86" r="U12">
        <v>330</v>
      </c>
      <c t="s" s="86" r="V12">
        <v>76</v>
      </c>
      <c t="s" s="86" r="W12">
        <v>96</v>
      </c>
      <c t="s" s="85" r="X12">
        <v>331</v>
      </c>
      <c t="s" s="85" r="Y12">
        <v>332</v>
      </c>
      <c s="85" r="Z12"/>
    </row>
    <row r="13">
      <c t="s" s="86" r="A13">
        <v>333</v>
      </c>
      <c t="s" s="86" r="B13">
        <v>334</v>
      </c>
      <c s="86" r="C13"/>
      <c t="s" s="86" r="D13">
        <v>335</v>
      </c>
      <c t="s" s="86" r="E13">
        <v>135</v>
      </c>
      <c t="s" s="86" r="F13">
        <v>290</v>
      </c>
      <c s="86" r="G13"/>
      <c s="86" r="H13"/>
      <c s="86" r="I13"/>
      <c t="s" s="25" r="J13">
        <v>336</v>
      </c>
      <c s="86" r="K13"/>
      <c t="s" s="86" r="L13">
        <v>220</v>
      </c>
      <c t="s" s="86" r="M13">
        <v>304</v>
      </c>
      <c s="86" r="N13"/>
      <c s="86" r="O13"/>
      <c t="s" s="86" r="P13">
        <v>294</v>
      </c>
      <c s="86" r="Q13"/>
      <c t="s" s="86" r="R13">
        <v>337</v>
      </c>
      <c s="34" r="S13"/>
      <c t="s" s="86" r="T13">
        <v>338</v>
      </c>
      <c t="s" s="86" r="U13">
        <v>339</v>
      </c>
      <c t="s" s="86" r="V13">
        <v>340</v>
      </c>
      <c t="s" s="86" r="W13">
        <v>341</v>
      </c>
      <c t="s" s="85" r="X13">
        <v>310</v>
      </c>
      <c t="s" s="85" r="Y13">
        <v>311</v>
      </c>
      <c t="s" s="85" r="Z13">
        <v>80</v>
      </c>
    </row>
    <row r="14">
      <c s="25" r="A14">
        <v>1997</v>
      </c>
      <c t="s" s="86" r="B14">
        <v>342</v>
      </c>
      <c s="86" r="C14"/>
      <c s="25" r="D14"/>
      <c s="25" r="E14"/>
      <c s="86" r="F14"/>
      <c s="86" r="G14"/>
      <c s="86" r="H14"/>
      <c s="86" r="I14"/>
      <c s="25" r="J14"/>
      <c s="86" r="K14"/>
      <c s="25" r="L14"/>
      <c s="25" r="M14"/>
      <c s="86" r="N14"/>
      <c s="86" r="O14"/>
      <c s="25" r="P14"/>
      <c s="25" r="Q14"/>
      <c t="s" s="86" r="R14">
        <v>343</v>
      </c>
      <c s="86" r="S14"/>
      <c t="s" s="86" r="T14">
        <v>114</v>
      </c>
      <c t="s" s="86" r="U14">
        <v>133</v>
      </c>
      <c s="86" r="V14"/>
      <c s="86" r="W14"/>
      <c s="85" r="X14"/>
      <c s="85" r="Y14"/>
      <c s="85" r="Z14"/>
    </row>
    <row r="15">
      <c t="s" s="86" r="A15">
        <v>344</v>
      </c>
      <c t="s" s="86" r="B15">
        <v>345</v>
      </c>
      <c s="86" r="C15"/>
      <c t="s" s="86" r="D15">
        <v>346</v>
      </c>
      <c t="s" s="86" r="E15">
        <v>347</v>
      </c>
      <c t="s" s="86" r="F15">
        <v>348</v>
      </c>
      <c s="86" r="G15"/>
      <c s="86" r="H15"/>
      <c s="86" r="I15"/>
      <c t="s" s="86" r="J15">
        <v>349</v>
      </c>
      <c s="86" r="K15"/>
      <c t="s" s="86" r="L15">
        <v>350</v>
      </c>
      <c t="s" s="86" r="M15">
        <v>351</v>
      </c>
      <c s="86" r="N15"/>
      <c s="86" r="O15"/>
      <c t="s" s="86" r="P15">
        <v>352</v>
      </c>
      <c s="86" r="Q15"/>
      <c t="s" s="86" r="R15">
        <v>353</v>
      </c>
      <c s="34" r="S15"/>
      <c t="s" s="86" r="T15">
        <v>354</v>
      </c>
      <c t="s" s="86" r="U15">
        <v>355</v>
      </c>
      <c t="s" s="86" r="V15">
        <v>356</v>
      </c>
      <c t="s" s="86" r="W15">
        <v>357</v>
      </c>
      <c t="s" s="85" r="X15">
        <v>139</v>
      </c>
      <c t="s" s="85" r="Y15">
        <v>146</v>
      </c>
      <c t="s" s="85" r="Z15">
        <v>92</v>
      </c>
    </row>
    <row r="16">
      <c t="s" s="86" r="A16">
        <v>358</v>
      </c>
      <c t="s" s="86" r="B16">
        <v>359</v>
      </c>
      <c s="86" r="C16"/>
      <c t="s" s="86" r="D16">
        <v>360</v>
      </c>
      <c t="s" s="86" r="E16">
        <v>147</v>
      </c>
      <c t="s" s="86" r="F16">
        <v>302</v>
      </c>
      <c s="86" r="G16"/>
      <c s="86" r="H16"/>
      <c s="86" r="I16"/>
      <c t="s" s="81" r="J16">
        <v>303</v>
      </c>
      <c s="86" r="K16"/>
      <c t="s" s="86" r="L16">
        <v>361</v>
      </c>
      <c t="s" s="86" r="M16">
        <v>304</v>
      </c>
      <c s="86" r="N16"/>
      <c s="86" r="O16"/>
      <c t="s" s="86" r="P16">
        <v>279</v>
      </c>
      <c s="86" r="Q16"/>
      <c t="s" s="86" r="R16">
        <v>362</v>
      </c>
      <c s="86" r="S16"/>
      <c t="s" s="86" r="T16">
        <v>134</v>
      </c>
      <c t="s" s="86" r="U16">
        <v>164</v>
      </c>
      <c t="s" s="86" r="V16">
        <v>363</v>
      </c>
      <c t="s" s="86" r="W16">
        <v>364</v>
      </c>
      <c t="s" s="85" r="X16">
        <v>127</v>
      </c>
      <c t="s" s="85" r="Y16">
        <v>134</v>
      </c>
      <c t="s" s="85" r="Z16">
        <v>228</v>
      </c>
    </row>
    <row r="17">
      <c t="s" s="86" r="A17">
        <v>365</v>
      </c>
      <c t="s" s="86" r="B17">
        <v>366</v>
      </c>
      <c s="86" r="C17"/>
      <c t="s" s="86" r="D17">
        <v>367</v>
      </c>
      <c t="s" s="86" r="E17">
        <v>161</v>
      </c>
      <c t="s" s="86" r="F17">
        <v>276</v>
      </c>
      <c s="86" r="G17"/>
      <c s="86" r="H17"/>
      <c s="86" r="I17"/>
      <c t="s" s="86" r="J17">
        <v>368</v>
      </c>
      <c s="86" r="K17"/>
      <c t="s" s="86" r="L17">
        <v>369</v>
      </c>
      <c t="s" s="86" r="M17">
        <v>370</v>
      </c>
      <c s="86" r="N17"/>
      <c s="86" r="O17"/>
      <c t="s" s="86" r="P17">
        <v>371</v>
      </c>
      <c s="86" r="Q17"/>
      <c t="s" s="86" r="R17">
        <v>372</v>
      </c>
      <c s="86" r="S17"/>
      <c t="s" s="86" r="T17">
        <v>85</v>
      </c>
      <c t="s" s="86" r="U17">
        <v>91</v>
      </c>
      <c t="s" s="86" r="V17">
        <v>76</v>
      </c>
      <c t="s" s="86" r="W17">
        <v>103</v>
      </c>
      <c t="s" s="85" r="X17">
        <v>81</v>
      </c>
      <c t="s" s="85" r="Y17">
        <v>82</v>
      </c>
      <c t="s" s="85" r="Z17">
        <v>92</v>
      </c>
    </row>
    <row r="18">
      <c t="s" s="86" r="A18">
        <v>373</v>
      </c>
      <c t="s" s="86" r="B18">
        <v>374</v>
      </c>
      <c s="86" r="C18"/>
      <c s="25" r="D18"/>
      <c t="s" s="86" r="E18">
        <v>375</v>
      </c>
      <c t="s" s="86" r="F18">
        <v>376</v>
      </c>
      <c s="86" r="G18"/>
      <c s="86" r="H18"/>
      <c s="86" r="I18"/>
      <c t="s" s="86" r="J18">
        <v>377</v>
      </c>
      <c s="86" r="K18"/>
      <c t="s" s="86" r="L18">
        <v>220</v>
      </c>
      <c t="s" s="86" r="M18">
        <v>378</v>
      </c>
      <c s="86" r="N18"/>
      <c s="86" r="O18"/>
      <c t="s" s="86" r="P18">
        <v>371</v>
      </c>
      <c s="86" r="Q18"/>
      <c t="s" s="86" r="R18">
        <v>379</v>
      </c>
      <c s="86" r="S18"/>
      <c s="86" r="T18"/>
      <c s="86" r="U18"/>
      <c s="86" r="V18"/>
      <c s="86" r="W18"/>
      <c s="85" r="X18"/>
      <c s="85" r="Y18"/>
      <c s="85" r="Z18"/>
    </row>
    <row r="19">
      <c t="s" s="81" r="A19">
        <v>380</v>
      </c>
      <c t="s" s="37" r="B19">
        <v>381</v>
      </c>
      <c s="86" r="C19"/>
      <c s="25" r="D19"/>
      <c t="s" s="86" r="E19">
        <v>141</v>
      </c>
      <c t="s" s="86" r="F19">
        <v>243</v>
      </c>
      <c s="86" r="G19"/>
      <c s="86" r="H19"/>
      <c s="86" r="I19"/>
      <c s="25" r="J19"/>
      <c s="86" r="K19"/>
      <c t="s" s="81" r="L19">
        <v>382</v>
      </c>
      <c t="s" s="86" r="M19">
        <v>383</v>
      </c>
      <c s="86" r="N19"/>
      <c s="86" r="O19"/>
      <c t="s" s="86" r="P19">
        <v>294</v>
      </c>
      <c s="86" r="Q19"/>
      <c s="25" r="R19"/>
      <c s="86" r="S19"/>
      <c s="86" r="T19"/>
      <c s="86" r="U19"/>
      <c t="s" s="86" r="V19">
        <v>76</v>
      </c>
      <c t="s" s="86" r="W19">
        <v>109</v>
      </c>
      <c s="85" r="X19"/>
      <c s="85" r="Y19"/>
      <c t="s" s="85" r="Z19">
        <v>105</v>
      </c>
    </row>
    <row r="20">
      <c t="s" s="81" r="A20">
        <v>384</v>
      </c>
      <c t="s" s="37" r="B20">
        <v>385</v>
      </c>
      <c s="86" r="C20"/>
      <c s="25" r="D20"/>
      <c t="s" s="86" r="E20">
        <v>141</v>
      </c>
      <c t="s" s="86" r="F20">
        <v>243</v>
      </c>
      <c s="86" r="G20"/>
      <c s="86" r="H20"/>
      <c s="86" r="I20"/>
      <c s="25" r="J20"/>
      <c s="86" r="K20"/>
      <c t="s" s="81" r="L20">
        <v>382</v>
      </c>
      <c t="s" s="86" r="M20">
        <v>220</v>
      </c>
      <c s="86" r="N20"/>
      <c s="86" r="O20"/>
      <c t="s" s="86" r="P20">
        <v>294</v>
      </c>
      <c s="86" r="Q20"/>
      <c s="25" r="R20"/>
      <c s="86" r="S20"/>
      <c s="86" r="T20"/>
      <c s="86" r="U20"/>
      <c t="s" s="86" r="V20">
        <v>76</v>
      </c>
      <c t="s" s="86" r="W20">
        <v>109</v>
      </c>
      <c s="85" r="X20"/>
      <c s="85" r="Y20"/>
      <c t="s" s="85" r="Z20">
        <v>105</v>
      </c>
    </row>
    <row r="21">
      <c t="s" s="86" r="A21">
        <v>386</v>
      </c>
      <c t="s" s="86" r="B21">
        <v>387</v>
      </c>
      <c s="86" r="C21"/>
      <c t="s" s="86" r="D21">
        <v>388</v>
      </c>
      <c t="s" s="86" r="E21">
        <v>141</v>
      </c>
      <c t="s" s="86" r="F21">
        <v>243</v>
      </c>
      <c s="86" r="G21"/>
      <c s="86" r="H21"/>
      <c s="86" r="I21"/>
      <c t="s" s="86" r="J21">
        <v>389</v>
      </c>
      <c s="86" r="K21"/>
      <c t="s" s="81" r="L21">
        <v>382</v>
      </c>
      <c t="s" s="86" r="M21">
        <v>390</v>
      </c>
      <c s="86" r="N21"/>
      <c s="86" r="O21"/>
      <c t="s" s="86" r="P21">
        <v>371</v>
      </c>
      <c s="86" r="Q21"/>
      <c t="s" s="86" r="R21">
        <v>391</v>
      </c>
      <c s="86" r="S21"/>
      <c t="s" s="86" r="T21">
        <v>392</v>
      </c>
      <c t="s" s="86" r="U21">
        <v>393</v>
      </c>
      <c t="s" s="86" r="V21">
        <v>224</v>
      </c>
      <c t="s" s="86" r="W21">
        <v>309</v>
      </c>
      <c t="s" s="85" r="X21">
        <v>310</v>
      </c>
      <c t="s" s="85" r="Y21">
        <v>311</v>
      </c>
      <c t="s" s="85" r="Z21">
        <v>228</v>
      </c>
    </row>
    <row r="22">
      <c t="s" s="86" r="A22">
        <v>394</v>
      </c>
      <c t="s" s="37" r="B22">
        <v>395</v>
      </c>
      <c s="86" r="C22"/>
      <c s="25" r="D22"/>
      <c t="s" s="86" r="E22">
        <v>161</v>
      </c>
      <c t="s" s="86" r="F22">
        <v>276</v>
      </c>
      <c s="86" r="G22"/>
      <c s="86" r="H22"/>
      <c s="86" r="I22"/>
      <c t="s" s="86" r="J22">
        <v>396</v>
      </c>
      <c s="86" r="K22"/>
      <c t="s" s="86" r="L22">
        <v>369</v>
      </c>
      <c t="s" s="86" r="M22">
        <v>370</v>
      </c>
      <c s="86" r="N22"/>
      <c s="86" r="O22"/>
      <c t="s" s="86" r="P22">
        <v>294</v>
      </c>
      <c s="86" r="Q22"/>
      <c t="s" s="86" r="R22">
        <v>397</v>
      </c>
      <c s="86" r="S22"/>
      <c t="s" s="86" r="T22">
        <v>329</v>
      </c>
      <c t="s" s="86" r="U22">
        <v>398</v>
      </c>
      <c t="s" s="86" r="V22">
        <v>76</v>
      </c>
      <c t="s" s="86" r="W22">
        <v>103</v>
      </c>
      <c t="s" s="85" r="X22">
        <v>81</v>
      </c>
      <c t="s" s="85" r="Y22">
        <v>82</v>
      </c>
      <c t="s" s="85" r="Z22">
        <v>92</v>
      </c>
    </row>
    <row r="23">
      <c t="s" s="86" r="A23">
        <v>399</v>
      </c>
      <c t="s" s="86" r="B23">
        <v>400</v>
      </c>
      <c s="86" r="C23"/>
      <c t="s" s="86" r="D23">
        <v>401</v>
      </c>
      <c t="s" s="86" r="E23">
        <v>141</v>
      </c>
      <c t="s" s="86" r="F23">
        <v>243</v>
      </c>
      <c s="86" r="G23"/>
      <c s="86" r="H23"/>
      <c s="86" r="I23"/>
      <c s="25" r="J23"/>
      <c s="86" r="K23"/>
      <c t="s" s="81" r="L23">
        <v>382</v>
      </c>
      <c t="s" s="86" r="M23">
        <v>220</v>
      </c>
      <c s="86" r="N23"/>
      <c s="86" r="O23"/>
      <c t="s" s="86" r="P23">
        <v>294</v>
      </c>
      <c s="86" r="Q23"/>
      <c t="s" s="86" r="R23">
        <v>402</v>
      </c>
      <c s="86" r="S23"/>
      <c t="s" s="86" r="T23">
        <v>338</v>
      </c>
      <c t="s" s="86" r="U23">
        <v>403</v>
      </c>
      <c t="s" s="86" r="V23">
        <v>404</v>
      </c>
      <c t="s" s="86" r="W23">
        <v>405</v>
      </c>
      <c t="s" s="85" r="X23">
        <v>106</v>
      </c>
      <c t="s" s="85" r="Y23">
        <v>116</v>
      </c>
      <c t="s" s="85" r="Z23">
        <v>105</v>
      </c>
    </row>
    <row r="24">
      <c t="s" s="86" r="A24">
        <v>406</v>
      </c>
      <c t="s" s="86" r="B24">
        <v>400</v>
      </c>
      <c s="86" r="C24"/>
      <c t="s" s="86" r="D24">
        <v>401</v>
      </c>
      <c t="s" s="86" r="E24">
        <v>141</v>
      </c>
      <c t="s" s="86" r="F24">
        <v>243</v>
      </c>
      <c s="86" r="G24"/>
      <c s="86" r="H24"/>
      <c s="86" r="I24"/>
      <c s="25" r="J24"/>
      <c s="86" r="K24"/>
      <c t="s" s="81" r="L24">
        <v>382</v>
      </c>
      <c t="s" s="86" r="M24">
        <v>220</v>
      </c>
      <c s="86" r="N24"/>
      <c s="86" r="O24"/>
      <c t="s" s="86" r="P24">
        <v>294</v>
      </c>
      <c s="86" r="Q24"/>
      <c t="s" s="86" r="R24">
        <v>402</v>
      </c>
      <c s="86" r="S24"/>
      <c t="s" s="86" r="T24">
        <v>338</v>
      </c>
      <c t="s" s="86" r="U24">
        <v>403</v>
      </c>
      <c t="s" s="86" r="V24">
        <v>404</v>
      </c>
      <c t="s" s="86" r="W24">
        <v>405</v>
      </c>
      <c t="s" s="85" r="X24">
        <v>106</v>
      </c>
      <c t="s" s="85" r="Y24">
        <v>116</v>
      </c>
      <c t="s" s="85" r="Z24">
        <v>228</v>
      </c>
    </row>
    <row r="25">
      <c t="s" s="86" r="A25">
        <v>407</v>
      </c>
      <c t="s" s="37" r="B25">
        <v>408</v>
      </c>
      <c s="86" r="C25"/>
      <c s="25" r="D25"/>
      <c t="s" s="86" r="E25">
        <v>161</v>
      </c>
      <c t="s" s="86" r="F25">
        <v>276</v>
      </c>
      <c s="86" r="G25"/>
      <c s="86" r="H25"/>
      <c s="86" r="I25"/>
      <c s="25" r="J25"/>
      <c s="86" r="K25"/>
      <c t="s" s="86" r="L25">
        <v>409</v>
      </c>
      <c t="s" s="86" r="M25">
        <v>351</v>
      </c>
      <c s="86" r="N25"/>
      <c s="86" r="O25"/>
      <c t="s" s="86" r="P25">
        <v>410</v>
      </c>
      <c s="86" r="Q25"/>
      <c s="25" r="R25"/>
      <c s="86" r="S25"/>
      <c t="s" s="86" r="T25">
        <v>114</v>
      </c>
      <c t="s" s="86" r="U25">
        <v>126</v>
      </c>
      <c s="86" r="V25"/>
      <c s="86" r="W25"/>
      <c t="s" s="85" r="X25">
        <v>106</v>
      </c>
      <c t="s" s="85" r="Y25">
        <v>111</v>
      </c>
      <c s="85" r="Z25"/>
    </row>
    <row r="26">
      <c t="s" s="86" r="A26">
        <v>411</v>
      </c>
      <c t="s" s="25" r="B26">
        <v>412</v>
      </c>
      <c s="86" r="C26"/>
      <c t="s" s="86" r="D26">
        <v>413</v>
      </c>
      <c t="s" s="86" r="E26">
        <v>375</v>
      </c>
      <c t="s" s="86" r="F26">
        <v>376</v>
      </c>
      <c s="86" r="G26"/>
      <c s="86" r="H26"/>
      <c s="86" r="I26"/>
      <c s="25" r="J26"/>
      <c s="86" r="K26"/>
      <c t="s" s="81" r="L26">
        <v>382</v>
      </c>
      <c t="s" s="86" r="M26">
        <v>220</v>
      </c>
      <c s="86" r="N26"/>
      <c s="86" r="O26"/>
      <c t="s" s="86" r="P26">
        <v>294</v>
      </c>
      <c s="86" r="Q26"/>
      <c t="s" s="86" r="R26">
        <v>414</v>
      </c>
      <c s="86" r="S26"/>
      <c t="s" s="86" r="T26">
        <v>85</v>
      </c>
      <c t="s" s="86" r="U26">
        <v>91</v>
      </c>
      <c t="s" s="86" r="V26">
        <v>76</v>
      </c>
      <c t="s" s="86" r="W26">
        <v>109</v>
      </c>
      <c s="85" r="X26"/>
      <c s="85" r="Y26"/>
      <c s="85" r="Z26"/>
    </row>
    <row r="27">
      <c t="s" s="16" r="A27">
        <v>415</v>
      </c>
      <c t="s" s="37" r="B27">
        <v>416</v>
      </c>
      <c s="86" r="C27"/>
      <c t="s" s="86" r="D27">
        <v>417</v>
      </c>
      <c t="s" s="86" r="E27">
        <v>141</v>
      </c>
      <c t="s" s="86" r="F27">
        <v>243</v>
      </c>
      <c s="86" r="G27"/>
      <c s="86" r="H27"/>
      <c s="86" r="I27"/>
      <c s="25" r="J27"/>
      <c s="86" r="K27"/>
      <c t="s" s="81" r="L27">
        <v>382</v>
      </c>
      <c t="s" s="86" r="M27">
        <v>383</v>
      </c>
      <c s="86" r="N27"/>
      <c s="86" r="O27"/>
      <c t="s" s="86" r="P27">
        <v>294</v>
      </c>
      <c s="86" r="Q27"/>
      <c s="25" r="R27"/>
      <c s="86" r="S27"/>
      <c t="s" s="86" r="T27">
        <v>134</v>
      </c>
      <c t="s" s="86" r="U27">
        <v>164</v>
      </c>
      <c t="s" s="86" r="V27">
        <v>340</v>
      </c>
      <c t="s" s="86" r="W27">
        <v>418</v>
      </c>
      <c t="s" s="85" r="X27">
        <v>106</v>
      </c>
      <c t="s" s="85" r="Y27">
        <v>116</v>
      </c>
      <c t="s" s="85" r="Z27">
        <v>105</v>
      </c>
    </row>
    <row r="28">
      <c t="s" s="16" r="A28">
        <v>419</v>
      </c>
      <c t="s" s="16" r="B28">
        <v>420</v>
      </c>
      <c s="86" r="C28"/>
      <c t="s" s="81" r="D28">
        <v>421</v>
      </c>
      <c t="s" s="86" r="E28">
        <v>141</v>
      </c>
      <c t="s" s="86" r="F28">
        <v>243</v>
      </c>
      <c s="86" r="G28"/>
      <c s="86" r="H28"/>
      <c s="86" r="I28"/>
      <c t="s" s="86" r="J28">
        <v>422</v>
      </c>
      <c s="86" r="K28"/>
      <c t="s" s="81" r="L28">
        <v>382</v>
      </c>
      <c t="s" s="86" r="M28">
        <v>390</v>
      </c>
      <c s="86" r="N28"/>
      <c s="86" r="O28"/>
      <c t="s" s="86" r="P28">
        <v>294</v>
      </c>
      <c s="86" r="Q28"/>
      <c t="s" s="86" r="R28">
        <v>423</v>
      </c>
      <c s="86" r="S28"/>
      <c t="s" s="86" r="T28">
        <v>392</v>
      </c>
      <c t="s" s="86" r="U28">
        <v>424</v>
      </c>
      <c t="s" s="86" r="V28">
        <v>224</v>
      </c>
      <c t="s" s="86" r="W28">
        <v>425</v>
      </c>
      <c t="s" s="85" r="X28">
        <v>106</v>
      </c>
      <c t="s" s="85" r="Y28">
        <v>116</v>
      </c>
      <c t="s" s="85" r="Z28">
        <v>228</v>
      </c>
    </row>
    <row r="29">
      <c t="s" s="66" r="A29">
        <v>426</v>
      </c>
      <c t="s" s="37" r="B29">
        <v>427</v>
      </c>
      <c s="86" r="C29"/>
      <c t="s" s="86" r="D29">
        <v>417</v>
      </c>
      <c t="s" s="86" r="E29">
        <v>141</v>
      </c>
      <c t="s" s="86" r="F29">
        <v>243</v>
      </c>
      <c s="86" r="G29"/>
      <c s="86" r="H29"/>
      <c s="86" r="I29"/>
      <c s="25" r="J29"/>
      <c s="86" r="K29"/>
      <c t="s" s="81" r="L29">
        <v>382</v>
      </c>
      <c t="s" s="86" r="M29">
        <v>220</v>
      </c>
      <c s="86" r="N29"/>
      <c s="86" r="O29"/>
      <c t="s" s="86" r="P29">
        <v>294</v>
      </c>
      <c s="86" r="Q29"/>
      <c s="25" r="R29"/>
      <c s="86" r="S29"/>
      <c t="s" s="86" r="T29">
        <v>114</v>
      </c>
      <c t="s" s="86" r="U29">
        <v>138</v>
      </c>
      <c t="s" s="86" r="V29">
        <v>224</v>
      </c>
      <c t="s" s="86" r="W29">
        <v>428</v>
      </c>
      <c t="s" s="85" r="X29">
        <v>106</v>
      </c>
      <c t="s" s="85" r="Y29">
        <v>116</v>
      </c>
      <c t="s" s="85" r="Z29">
        <v>105</v>
      </c>
    </row>
    <row r="30">
      <c t="s" s="84" r="A30">
        <v>429</v>
      </c>
      <c t="s" s="37" r="B30">
        <v>430</v>
      </c>
      <c s="86" r="C30"/>
      <c s="25" r="D30"/>
      <c t="s" s="86" r="E30">
        <v>135</v>
      </c>
      <c t="s" s="86" r="F30">
        <v>290</v>
      </c>
      <c s="86" r="G30"/>
      <c s="86" r="H30"/>
      <c s="86" r="I30"/>
      <c t="s" s="40" r="J30">
        <v>431</v>
      </c>
      <c s="86" r="K30"/>
      <c t="s" s="86" r="L30">
        <v>256</v>
      </c>
      <c t="s" s="86" r="M30">
        <v>432</v>
      </c>
      <c s="86" r="N30"/>
      <c s="86" r="O30"/>
      <c t="s" s="86" r="P30">
        <v>279</v>
      </c>
      <c s="86" r="Q30"/>
      <c t="s" s="86" r="R30">
        <v>433</v>
      </c>
      <c s="86" r="S30"/>
      <c t="s" s="86" r="T30">
        <v>114</v>
      </c>
      <c t="s" s="86" r="U30">
        <v>138</v>
      </c>
      <c t="s" s="86" r="V30">
        <v>224</v>
      </c>
      <c t="s" s="86" r="W30">
        <v>425</v>
      </c>
      <c t="s" s="85" r="X30">
        <v>106</v>
      </c>
      <c t="s" s="85" r="Y30">
        <v>116</v>
      </c>
      <c t="s" s="85" r="Z30">
        <v>228</v>
      </c>
    </row>
    <row r="31">
      <c t="s" s="84" r="A31">
        <v>434</v>
      </c>
      <c t="s" s="37" r="B31">
        <v>427</v>
      </c>
      <c s="86" r="C31"/>
      <c s="25" r="D31"/>
      <c t="s" s="86" r="E31">
        <v>141</v>
      </c>
      <c t="s" s="86" r="F31">
        <v>243</v>
      </c>
      <c s="86" r="G31"/>
      <c s="86" r="H31"/>
      <c s="86" r="I31"/>
      <c s="25" r="J31"/>
      <c s="86" r="K31"/>
      <c t="s" s="81" r="L31">
        <v>382</v>
      </c>
      <c t="s" s="86" r="M31">
        <v>220</v>
      </c>
      <c s="86" r="N31"/>
      <c s="86" r="O31"/>
      <c t="s" s="86" r="P31">
        <v>294</v>
      </c>
      <c s="86" r="Q31"/>
      <c s="25" r="R31"/>
      <c s="86" r="S31"/>
      <c s="86" r="T31"/>
      <c s="86" r="U31"/>
      <c t="s" s="86" r="V31">
        <v>76</v>
      </c>
      <c t="s" s="86" r="W31">
        <v>109</v>
      </c>
      <c s="85" r="X31"/>
      <c s="85" r="Y31"/>
      <c s="85" r="Z31"/>
    </row>
    <row r="32">
      <c t="s" s="51" r="A32">
        <v>435</v>
      </c>
      <c t="s" s="37" r="B32">
        <v>436</v>
      </c>
      <c s="86" r="C32"/>
      <c s="25" r="D32"/>
      <c t="s" s="86" r="E32">
        <v>135</v>
      </c>
      <c t="s" s="86" r="F32">
        <v>290</v>
      </c>
      <c s="86" r="G32"/>
      <c s="86" r="H32"/>
      <c s="86" r="I32"/>
      <c s="25" r="J32"/>
      <c s="86" r="K32"/>
      <c t="s" s="86" r="L32">
        <v>256</v>
      </c>
      <c t="s" s="86" r="M32">
        <v>437</v>
      </c>
      <c s="86" r="N32"/>
      <c s="86" r="O32"/>
      <c t="s" s="86" r="P32">
        <v>294</v>
      </c>
      <c s="86" r="Q32"/>
      <c s="25" r="R32"/>
      <c s="86" r="S32"/>
      <c s="86" r="T32"/>
      <c s="86" r="U32"/>
      <c t="s" s="86" r="V32">
        <v>162</v>
      </c>
      <c t="s" s="86" r="W32">
        <v>138</v>
      </c>
      <c s="85" r="X32"/>
      <c s="85" r="Y32"/>
      <c s="85" r="Z32"/>
    </row>
    <row r="33">
      <c t="s" s="84" r="A33">
        <v>438</v>
      </c>
      <c t="s" s="37" r="B33">
        <v>439</v>
      </c>
      <c s="86" r="C33"/>
      <c s="25" r="D33"/>
      <c t="s" s="86" r="E33">
        <v>135</v>
      </c>
      <c t="s" s="86" r="F33">
        <v>290</v>
      </c>
      <c s="86" r="G33"/>
      <c s="86" r="H33"/>
      <c s="86" r="I33"/>
      <c t="s" s="81" r="J33">
        <v>440</v>
      </c>
      <c s="86" r="K33"/>
      <c t="s" s="86" r="L33">
        <v>256</v>
      </c>
      <c t="s" s="86" r="M33">
        <v>437</v>
      </c>
      <c s="86" r="N33"/>
      <c s="86" r="O33"/>
      <c t="s" s="86" r="P33">
        <v>279</v>
      </c>
      <c s="86" r="Q33"/>
      <c t="s" s="81" r="R33">
        <v>441</v>
      </c>
      <c s="86" r="S33"/>
      <c s="86" r="T33"/>
      <c s="86" r="U33"/>
      <c s="86" r="V33"/>
      <c s="86" r="W33"/>
      <c s="85" r="X33"/>
      <c s="85" r="Y33"/>
      <c s="85" r="Z33"/>
    </row>
    <row r="34">
      <c t="s" s="89" r="A34">
        <v>442</v>
      </c>
      <c t="s" s="81" r="B34">
        <v>443</v>
      </c>
      <c s="86" r="C34"/>
      <c t="s" s="25" r="D34">
        <v>444</v>
      </c>
      <c t="s" s="86" r="E34">
        <v>141</v>
      </c>
      <c t="s" s="86" r="F34">
        <v>243</v>
      </c>
      <c s="86" r="G34"/>
      <c s="86" r="H34"/>
      <c s="86" r="I34"/>
      <c t="s" s="86" r="J34">
        <v>255</v>
      </c>
      <c s="86" r="K34"/>
      <c t="s" s="86" r="L34">
        <v>445</v>
      </c>
      <c t="s" s="86" r="M34">
        <v>445</v>
      </c>
      <c s="86" r="N34"/>
      <c s="86" r="O34"/>
      <c t="s" s="86" r="P34">
        <v>279</v>
      </c>
      <c s="86" r="Q34"/>
      <c t="s" s="86" r="R34">
        <v>446</v>
      </c>
      <c s="86" r="S34"/>
      <c t="s" s="86" r="T34">
        <v>134</v>
      </c>
      <c t="s" s="86" r="U34">
        <v>160</v>
      </c>
      <c s="86" r="V34"/>
      <c s="86" r="W34"/>
      <c t="s" s="85" r="X34">
        <v>127</v>
      </c>
      <c t="s" s="85" r="Y34">
        <v>134</v>
      </c>
      <c s="85" r="Z34"/>
    </row>
    <row r="35">
      <c t="s" s="25" r="A35">
        <v>447</v>
      </c>
      <c t="s" s="25" r="B35">
        <v>448</v>
      </c>
      <c s="86" r="C35"/>
      <c s="25" r="D35"/>
      <c t="s" s="25" r="E35">
        <v>141</v>
      </c>
      <c t="s" s="86" r="F35">
        <v>243</v>
      </c>
      <c s="25" r="G35"/>
      <c s="25" r="H35"/>
      <c s="25" r="I35"/>
      <c t="s" s="25" r="J35">
        <v>449</v>
      </c>
      <c s="86" r="K35"/>
      <c t="s" s="81" r="L35">
        <v>382</v>
      </c>
      <c t="s" s="81" r="M35">
        <v>382</v>
      </c>
      <c s="86" r="N35"/>
      <c s="81" r="O35"/>
      <c s="81" r="P35"/>
      <c s="86" r="Q35"/>
      <c t="s" s="25" r="R35">
        <v>450</v>
      </c>
      <c s="81" r="S35"/>
      <c t="s" s="81" r="T35">
        <v>451</v>
      </c>
      <c t="s" s="81" r="U35">
        <v>452</v>
      </c>
      <c t="s" s="81" r="V35">
        <v>224</v>
      </c>
      <c t="s" s="81" r="W35">
        <v>453</v>
      </c>
      <c t="s" s="85" r="X35">
        <v>310</v>
      </c>
      <c t="s" s="85" r="Y35">
        <v>311</v>
      </c>
      <c t="s" s="85" r="Z35">
        <v>105</v>
      </c>
    </row>
    <row r="36">
      <c t="s" s="9" r="A36">
        <v>454</v>
      </c>
      <c t="s" s="9" r="B36">
        <v>436</v>
      </c>
      <c s="86" r="C36"/>
      <c t="s" s="86" r="D36">
        <v>455</v>
      </c>
      <c t="s" s="86" r="E36">
        <v>135</v>
      </c>
      <c t="s" s="86" r="F36">
        <v>290</v>
      </c>
      <c s="86" r="G36"/>
      <c s="86" r="H36"/>
      <c s="86" r="I36"/>
      <c t="s" s="86" r="J36">
        <v>456</v>
      </c>
      <c s="86" r="K36"/>
      <c t="s" s="86" r="L36">
        <v>256</v>
      </c>
      <c t="s" s="25" r="M36">
        <v>457</v>
      </c>
      <c s="86" r="N36"/>
      <c s="86" r="O36"/>
      <c t="s" s="86" r="P36">
        <v>458</v>
      </c>
      <c s="86" r="Q36"/>
      <c t="s" s="86" r="R36">
        <v>459</v>
      </c>
      <c s="86" r="S36"/>
      <c t="s" s="86" r="T36">
        <v>392</v>
      </c>
      <c t="s" s="86" r="U36">
        <v>460</v>
      </c>
      <c t="s" s="86" r="V36">
        <v>224</v>
      </c>
      <c t="s" s="86" r="W36">
        <v>461</v>
      </c>
      <c t="s" s="85" r="X36">
        <v>462</v>
      </c>
      <c t="s" s="85" r="Y36">
        <v>463</v>
      </c>
      <c t="s" s="85" r="Z36">
        <v>464</v>
      </c>
    </row>
    <row r="37">
      <c t="s" s="86" r="A37">
        <v>465</v>
      </c>
      <c t="s" s="37" r="B37">
        <v>466</v>
      </c>
      <c s="86" r="C37"/>
      <c t="s" s="25" r="D37">
        <v>467</v>
      </c>
      <c t="s" s="86" r="E37">
        <v>141</v>
      </c>
      <c t="s" s="86" r="F37">
        <v>243</v>
      </c>
      <c s="86" r="G37"/>
      <c s="86" r="H37"/>
      <c s="86" r="I37"/>
      <c s="25" r="J37"/>
      <c s="86" r="K37"/>
      <c t="s" s="81" r="L37">
        <v>382</v>
      </c>
      <c t="s" s="86" r="M37">
        <v>220</v>
      </c>
      <c s="86" r="N37"/>
      <c s="86" r="O37"/>
      <c t="s" s="86" r="P37">
        <v>294</v>
      </c>
      <c s="86" r="Q37"/>
      <c s="25" r="R37"/>
      <c s="86" r="S37"/>
      <c t="s" s="86" r="T37">
        <v>282</v>
      </c>
      <c t="s" s="86" r="U37">
        <v>468</v>
      </c>
      <c t="s" s="86" r="V37">
        <v>76</v>
      </c>
      <c t="s" s="86" r="W37">
        <v>109</v>
      </c>
      <c t="s" s="85" r="X37">
        <v>106</v>
      </c>
      <c t="s" s="85" r="Y37">
        <v>116</v>
      </c>
      <c t="s" s="85" r="Z37">
        <v>105</v>
      </c>
    </row>
    <row r="38">
      <c t="s" s="81" r="A38">
        <v>469</v>
      </c>
      <c t="s" s="86" r="B38">
        <v>470</v>
      </c>
      <c s="86" r="C38"/>
      <c t="s" s="86" r="D38">
        <v>471</v>
      </c>
      <c t="s" s="86" r="E38">
        <v>141</v>
      </c>
      <c t="s" s="86" r="F38">
        <v>243</v>
      </c>
      <c s="86" r="G38"/>
      <c s="86" r="H38"/>
      <c s="86" r="I38"/>
      <c t="s" s="86" r="J38">
        <v>431</v>
      </c>
      <c s="86" r="K38"/>
      <c t="s" s="81" r="L38">
        <v>382</v>
      </c>
      <c t="s" s="86" r="M38">
        <v>220</v>
      </c>
      <c s="86" r="N38"/>
      <c s="86" r="O38"/>
      <c t="s" s="86" r="P38">
        <v>294</v>
      </c>
      <c s="86" r="Q38"/>
      <c t="s" s="86" r="R38">
        <v>472</v>
      </c>
      <c s="34" r="S38"/>
      <c t="s" s="86" r="T38">
        <v>85</v>
      </c>
      <c t="s" s="86" r="U38">
        <v>91</v>
      </c>
      <c t="s" s="86" r="V38">
        <v>404</v>
      </c>
      <c t="s" s="86" r="W38">
        <v>473</v>
      </c>
      <c t="s" s="85" r="X38">
        <v>331</v>
      </c>
      <c t="s" s="85" r="Y38">
        <v>474</v>
      </c>
      <c t="s" s="85" r="Z38">
        <v>92</v>
      </c>
    </row>
    <row r="39">
      <c t="s" s="81" r="A39">
        <v>475</v>
      </c>
      <c t="s" s="86" r="B39">
        <v>476</v>
      </c>
      <c s="86" r="C39"/>
      <c t="s" s="86" r="D39">
        <v>477</v>
      </c>
      <c t="s" s="86" r="E39">
        <v>141</v>
      </c>
      <c t="s" s="86" r="F39">
        <v>243</v>
      </c>
      <c s="86" r="G39"/>
      <c s="86" r="H39"/>
      <c s="86" r="I39"/>
      <c t="s" s="86" r="J39">
        <v>422</v>
      </c>
      <c s="86" r="K39"/>
      <c t="s" s="86" r="L39">
        <v>478</v>
      </c>
      <c t="s" s="86" r="M39">
        <v>382</v>
      </c>
      <c s="86" r="N39"/>
      <c s="86" r="O39"/>
      <c t="s" s="86" r="P39">
        <v>479</v>
      </c>
      <c s="86" r="Q39"/>
      <c t="s" s="86" r="R39">
        <v>480</v>
      </c>
      <c s="34" r="S39"/>
      <c t="s" s="86" r="T39">
        <v>134</v>
      </c>
      <c t="s" s="86" r="U39">
        <v>160</v>
      </c>
      <c t="s" s="86" r="V39">
        <v>76</v>
      </c>
      <c t="s" s="86" r="W39">
        <v>109</v>
      </c>
      <c t="s" s="85" r="X39">
        <v>106</v>
      </c>
      <c t="s" s="85" r="Y39">
        <v>116</v>
      </c>
      <c t="s" s="85" r="Z39">
        <v>228</v>
      </c>
    </row>
    <row r="40">
      <c t="s" s="86" r="A40">
        <v>481</v>
      </c>
      <c t="s" s="86" r="B40">
        <v>482</v>
      </c>
      <c s="86" r="C40"/>
      <c s="25" r="D40"/>
      <c t="s" s="86" r="E40">
        <v>483</v>
      </c>
      <c t="s" s="77" r="F40">
        <v>484</v>
      </c>
      <c s="86" r="G40"/>
      <c s="86" r="H40"/>
      <c s="86" r="I40"/>
      <c s="25" r="J40"/>
      <c s="86" r="K40"/>
      <c t="s" s="86" r="L40">
        <v>485</v>
      </c>
      <c t="s" s="86" r="M40">
        <v>486</v>
      </c>
      <c s="86" r="N40"/>
      <c s="86" r="O40"/>
      <c t="s" s="86" r="P40">
        <v>279</v>
      </c>
      <c s="86" r="Q40"/>
      <c t="s" s="86" r="R40">
        <v>487</v>
      </c>
      <c s="34" r="S40"/>
      <c s="86" r="T40"/>
      <c s="86" r="U40"/>
      <c t="s" s="86" r="V40">
        <v>76</v>
      </c>
      <c t="s" s="86" r="W40">
        <v>103</v>
      </c>
      <c s="85" r="X40"/>
      <c s="85" r="Y40"/>
      <c t="s" s="85" r="Z40">
        <v>92</v>
      </c>
    </row>
    <row r="41">
      <c t="s" s="86" r="A41">
        <v>488</v>
      </c>
      <c t="s" s="37" r="B41">
        <v>489</v>
      </c>
      <c s="86" r="C41"/>
      <c s="25" r="D41"/>
      <c s="25" r="E41"/>
      <c s="86" r="F41"/>
      <c s="86" r="G41"/>
      <c s="86" r="H41"/>
      <c s="86" r="I41"/>
      <c s="25" r="J41"/>
      <c s="86" r="K41"/>
      <c s="25" r="L41"/>
      <c s="25" r="M41"/>
      <c s="25" r="N41"/>
      <c s="86" r="O41"/>
      <c t="s" s="86" r="P41">
        <v>279</v>
      </c>
      <c s="86" r="Q41"/>
      <c s="25" r="R41"/>
      <c s="86" r="S41"/>
      <c s="86" r="T41"/>
      <c s="86" r="U41"/>
      <c t="s" s="86" r="V41">
        <v>76</v>
      </c>
      <c t="s" s="86" r="W41">
        <v>103</v>
      </c>
      <c s="85" r="X41"/>
      <c s="85" r="Y41"/>
      <c s="85" r="Z41"/>
    </row>
    <row r="42">
      <c t="s" s="86" r="A42">
        <v>490</v>
      </c>
      <c t="s" s="86" r="B42">
        <v>491</v>
      </c>
      <c s="86" r="C42"/>
      <c s="25" r="D42"/>
      <c t="s" s="86" r="E42">
        <v>492</v>
      </c>
      <c t="s" s="77" r="F42">
        <v>493</v>
      </c>
      <c s="86" r="G42"/>
      <c s="86" r="H42"/>
      <c s="86" r="I42"/>
      <c t="s" s="86" r="J42">
        <v>431</v>
      </c>
      <c s="86" r="K42"/>
      <c t="s" s="86" r="L42">
        <v>256</v>
      </c>
      <c t="s" s="86" r="M42">
        <v>486</v>
      </c>
      <c s="86" r="N42"/>
      <c s="86" r="O42"/>
      <c t="s" s="86" r="P42">
        <v>279</v>
      </c>
      <c s="86" r="Q42"/>
      <c t="s" s="86" r="R42">
        <v>494</v>
      </c>
      <c s="34" r="S42"/>
      <c t="s" s="86" r="T42">
        <v>97</v>
      </c>
      <c t="s" s="86" r="U42">
        <v>110</v>
      </c>
      <c t="s" s="86" r="V42">
        <v>76</v>
      </c>
      <c t="s" s="86" r="W42">
        <v>103</v>
      </c>
      <c s="85" r="X42"/>
      <c s="85" r="Y42"/>
      <c t="s" s="85" r="Z42">
        <v>92</v>
      </c>
    </row>
    <row r="43">
      <c t="s" s="25" r="A43">
        <v>495</v>
      </c>
      <c t="s" s="37" r="B43">
        <v>496</v>
      </c>
      <c s="86" r="C43"/>
      <c t="s" s="86" r="D43">
        <v>497</v>
      </c>
      <c t="s" s="86" r="E43">
        <v>141</v>
      </c>
      <c t="s" s="86" r="F43">
        <v>243</v>
      </c>
      <c s="86" r="G43"/>
      <c s="86" r="H43"/>
      <c s="86" r="I43"/>
      <c t="s" s="86" r="J43">
        <v>498</v>
      </c>
      <c s="86" r="K43"/>
      <c t="s" s="86" r="L43">
        <v>478</v>
      </c>
      <c t="s" s="86" r="M43">
        <v>499</v>
      </c>
      <c s="86" r="N43"/>
      <c s="86" r="O43"/>
      <c s="25" r="P43"/>
      <c s="86" r="Q43"/>
      <c t="s" s="86" r="R43">
        <v>500</v>
      </c>
      <c s="86" r="S43"/>
      <c t="s" s="86" r="T43">
        <v>114</v>
      </c>
      <c t="s" s="86" r="U43">
        <v>138</v>
      </c>
      <c t="s" s="86" r="V43">
        <v>404</v>
      </c>
      <c t="s" s="86" r="W43">
        <v>405</v>
      </c>
      <c t="s" s="85" r="X43">
        <v>238</v>
      </c>
      <c t="s" s="85" r="Y43">
        <v>501</v>
      </c>
      <c t="s" s="85" r="Z43">
        <v>105</v>
      </c>
    </row>
    <row r="44">
      <c t="s" s="86" r="A44">
        <v>502</v>
      </c>
      <c t="s" s="86" r="B44">
        <v>503</v>
      </c>
      <c s="86" r="C44"/>
      <c s="25" r="D44"/>
      <c t="s" s="86" r="E44">
        <v>141</v>
      </c>
      <c t="s" s="86" r="F44">
        <v>243</v>
      </c>
      <c s="86" r="G44"/>
      <c s="86" r="H44"/>
      <c s="86" r="I44"/>
      <c s="25" r="J44"/>
      <c s="86" r="K44"/>
      <c t="s" s="25" r="L44">
        <v>504</v>
      </c>
      <c t="s" s="86" r="M44">
        <v>504</v>
      </c>
      <c s="86" r="N44"/>
      <c s="86" r="O44"/>
      <c t="s" s="86" r="P44">
        <v>294</v>
      </c>
      <c s="86" r="Q44"/>
      <c t="s" s="86" r="R44">
        <v>505</v>
      </c>
      <c s="86" r="S44"/>
      <c t="s" s="86" r="T44">
        <v>134</v>
      </c>
      <c t="s" s="86" r="U44">
        <v>160</v>
      </c>
      <c s="86" r="V44"/>
      <c s="86" r="W44"/>
      <c s="85" r="X44"/>
      <c s="85" r="Y44"/>
      <c s="85" r="Z44"/>
    </row>
    <row r="45">
      <c t="s" s="86" r="A45">
        <v>506</v>
      </c>
      <c t="s" s="86" r="B45">
        <v>507</v>
      </c>
      <c s="86" r="C45"/>
      <c s="25" r="D45"/>
      <c t="s" s="86" r="E45">
        <v>141</v>
      </c>
      <c t="s" s="86" r="F45">
        <v>243</v>
      </c>
      <c s="86" r="G45"/>
      <c s="86" r="H45"/>
      <c s="86" r="I45"/>
      <c t="s" s="86" r="J45">
        <v>389</v>
      </c>
      <c s="86" r="K45"/>
      <c t="s" s="86" r="L45">
        <v>508</v>
      </c>
      <c t="s" s="25" r="M45">
        <v>509</v>
      </c>
      <c s="86" r="N45"/>
      <c s="86" r="O45"/>
      <c t="s" s="86" r="P45">
        <v>279</v>
      </c>
      <c s="86" r="Q45"/>
      <c t="s" s="86" r="R45">
        <v>510</v>
      </c>
      <c s="34" r="S45"/>
      <c t="s" s="86" r="T45">
        <v>134</v>
      </c>
      <c t="s" s="86" r="U45">
        <v>160</v>
      </c>
      <c t="s" s="86" r="V45">
        <v>76</v>
      </c>
      <c t="s" s="86" r="W45">
        <v>90</v>
      </c>
      <c t="s" s="85" r="X45">
        <v>127</v>
      </c>
      <c t="s" s="85" r="Y45">
        <v>134</v>
      </c>
      <c t="s" s="85" r="Z45">
        <v>80</v>
      </c>
    </row>
    <row r="46">
      <c t="s" s="81" r="A46">
        <v>511</v>
      </c>
      <c t="s" s="25" r="B46">
        <v>512</v>
      </c>
      <c s="86" r="C46"/>
      <c s="25" r="D46"/>
      <c t="s" s="81" r="E46">
        <v>375</v>
      </c>
      <c t="s" s="81" r="F46">
        <v>376</v>
      </c>
      <c s="81" r="G46"/>
      <c s="81" r="H46"/>
      <c s="81" r="I46"/>
      <c t="s" s="25" r="J46">
        <v>513</v>
      </c>
      <c s="86" r="K46"/>
      <c t="s" s="81" r="L46">
        <v>514</v>
      </c>
      <c t="s" s="81" r="M46">
        <v>515</v>
      </c>
      <c s="81" r="N46"/>
      <c s="81" r="O46"/>
      <c t="s" s="81" r="P46">
        <v>516</v>
      </c>
      <c s="81" r="Q46"/>
      <c t="s" s="81" r="R46">
        <v>517</v>
      </c>
      <c s="34" r="S46"/>
      <c s="37" r="T46"/>
      <c s="37" r="U46"/>
      <c t="s" s="81" r="V46">
        <v>137</v>
      </c>
      <c s="81" r="W46"/>
      <c t="s" s="85" r="X46">
        <v>271</v>
      </c>
      <c t="s" s="85" r="Y46">
        <v>518</v>
      </c>
      <c s="85" r="Z46"/>
    </row>
    <row r="47">
      <c t="s" s="86" r="A47">
        <v>519</v>
      </c>
      <c t="s" s="86" r="B47">
        <v>520</v>
      </c>
      <c s="86" r="C47"/>
      <c t="s" s="86" r="D47">
        <v>521</v>
      </c>
      <c t="s" s="86" r="E47">
        <v>172</v>
      </c>
      <c t="s" s="86" r="F47">
        <v>522</v>
      </c>
      <c s="86" r="G47"/>
      <c s="86" r="H47"/>
      <c s="86" r="I47"/>
      <c t="s" s="86" r="J47">
        <v>389</v>
      </c>
      <c s="86" r="K47"/>
      <c t="s" s="25" r="L47">
        <v>523</v>
      </c>
      <c t="s" s="86" r="M47">
        <v>523</v>
      </c>
      <c s="86" r="N47"/>
      <c s="86" r="O47"/>
      <c t="s" s="86" r="P47">
        <v>371</v>
      </c>
      <c s="86" r="Q47"/>
      <c t="s" s="86" r="R47">
        <v>524</v>
      </c>
      <c s="34" r="S47"/>
      <c t="s" s="37" r="T47">
        <v>525</v>
      </c>
      <c t="s" s="37" r="U47">
        <v>526</v>
      </c>
      <c t="s" s="86" r="V47">
        <v>76</v>
      </c>
      <c t="s" s="86" r="W47">
        <v>84</v>
      </c>
      <c t="s" s="85" r="X47">
        <v>271</v>
      </c>
      <c t="s" s="85" r="Y47">
        <v>272</v>
      </c>
      <c s="85" r="Z47"/>
    </row>
    <row r="48">
      <c t="s" s="86" r="A48">
        <v>527</v>
      </c>
      <c t="s" s="86" r="B48">
        <v>528</v>
      </c>
      <c s="86" r="C48"/>
      <c t="s" s="40" r="D48">
        <v>529</v>
      </c>
      <c t="s" s="86" r="E48">
        <v>117</v>
      </c>
      <c t="s" s="86" r="F48">
        <v>530</v>
      </c>
      <c s="86" r="G48"/>
      <c s="86" r="H48"/>
      <c s="86" r="I48"/>
      <c t="s" s="86" r="J48">
        <v>531</v>
      </c>
      <c s="86" r="K48"/>
      <c t="s" s="86" r="L48">
        <v>514</v>
      </c>
      <c t="s" s="25" r="M48">
        <v>532</v>
      </c>
      <c s="86" r="N48"/>
      <c s="86" r="O48"/>
      <c t="s" s="86" r="P48">
        <v>294</v>
      </c>
      <c s="86" r="Q48"/>
      <c t="s" s="86" r="R48">
        <v>533</v>
      </c>
      <c s="34" r="S48"/>
      <c t="s" s="86" r="T48">
        <v>134</v>
      </c>
      <c t="s" s="86" r="U48">
        <v>160</v>
      </c>
      <c t="s" s="86" r="V48">
        <v>534</v>
      </c>
      <c t="s" s="86" r="W48">
        <v>535</v>
      </c>
      <c s="85" r="X48"/>
      <c s="85" r="Y48"/>
      <c t="s" s="85" r="Z48">
        <v>105</v>
      </c>
    </row>
    <row r="49">
      <c t="s" s="86" r="A49">
        <v>536</v>
      </c>
      <c t="s" s="86" r="B49">
        <v>537</v>
      </c>
      <c s="86" r="C49"/>
      <c t="s" s="86" r="D49">
        <v>538</v>
      </c>
      <c t="s" s="86" r="E49">
        <v>117</v>
      </c>
      <c t="s" s="86" r="F49">
        <v>530</v>
      </c>
      <c s="86" r="G49"/>
      <c s="86" r="H49"/>
      <c s="86" r="I49"/>
      <c t="s" s="86" r="J49">
        <v>531</v>
      </c>
      <c s="86" r="K49"/>
      <c t="s" s="86" r="L49">
        <v>514</v>
      </c>
      <c t="s" s="86" r="M49">
        <v>539</v>
      </c>
      <c s="86" r="N49"/>
      <c s="86" r="O49"/>
      <c t="s" s="86" r="P49">
        <v>371</v>
      </c>
      <c s="86" r="Q49"/>
      <c t="s" s="86" r="R49">
        <v>540</v>
      </c>
      <c s="34" r="S49"/>
      <c t="s" s="86" r="T49">
        <v>541</v>
      </c>
      <c t="s" s="86" r="U49">
        <v>542</v>
      </c>
      <c t="s" s="86" r="V49">
        <v>534</v>
      </c>
      <c t="s" s="86" r="W49">
        <v>535</v>
      </c>
      <c t="s" s="85" r="X49">
        <v>238</v>
      </c>
      <c t="s" s="85" r="Y49">
        <v>501</v>
      </c>
      <c t="s" s="85" r="Z49">
        <v>80</v>
      </c>
    </row>
    <row r="50">
      <c t="s" s="86" r="A50">
        <v>543</v>
      </c>
      <c t="s" s="86" r="B50">
        <v>544</v>
      </c>
      <c s="86" r="C50"/>
      <c t="s" s="86" r="D50">
        <v>545</v>
      </c>
      <c t="s" s="86" r="E50">
        <v>546</v>
      </c>
      <c t="s" s="86" r="F50">
        <v>547</v>
      </c>
      <c s="86" r="G50"/>
      <c s="86" r="H50"/>
      <c s="86" r="I50"/>
      <c s="25" r="J50"/>
      <c s="86" r="K50"/>
      <c t="s" s="86" r="L50">
        <v>548</v>
      </c>
      <c t="s" s="86" r="M50">
        <v>549</v>
      </c>
      <c s="86" r="N50"/>
      <c s="86" r="O50"/>
      <c t="s" s="86" r="P50">
        <v>294</v>
      </c>
      <c s="86" r="Q50"/>
      <c t="s" s="81" r="R50">
        <v>550</v>
      </c>
      <c s="34" r="S50"/>
      <c t="s" s="86" r="T50">
        <v>551</v>
      </c>
      <c t="s" s="86" r="U50">
        <v>552</v>
      </c>
      <c t="s" s="86" r="V50">
        <v>553</v>
      </c>
      <c t="s" s="86" r="W50">
        <v>554</v>
      </c>
      <c s="85" r="X50"/>
      <c s="85" r="Y50"/>
      <c t="s" s="85" r="Z50">
        <v>80</v>
      </c>
    </row>
    <row r="51">
      <c t="s" s="86" r="A51">
        <v>555</v>
      </c>
      <c t="s" s="86" r="B51">
        <v>556</v>
      </c>
      <c s="86" r="C51"/>
      <c t="s" s="86" r="D51">
        <v>545</v>
      </c>
      <c t="s" s="86" r="E51">
        <v>546</v>
      </c>
      <c t="s" s="86" r="F51">
        <v>547</v>
      </c>
      <c s="86" r="G51"/>
      <c s="86" r="H51"/>
      <c s="86" r="I51"/>
      <c t="s" s="86" r="J51">
        <v>255</v>
      </c>
      <c s="86" r="K51"/>
      <c t="s" s="86" r="L51">
        <v>549</v>
      </c>
      <c t="s" s="86" r="M51">
        <v>445</v>
      </c>
      <c s="86" r="N51"/>
      <c s="86" r="O51"/>
      <c t="s" s="86" r="P51">
        <v>279</v>
      </c>
      <c s="86" r="Q51"/>
      <c t="s" s="86" r="R51">
        <v>557</v>
      </c>
      <c s="34" r="S51"/>
      <c t="s" s="86" r="T51">
        <v>551</v>
      </c>
      <c t="s" s="86" r="U51">
        <v>552</v>
      </c>
      <c t="s" s="86" r="V51">
        <v>553</v>
      </c>
      <c t="s" s="86" r="W51">
        <v>554</v>
      </c>
      <c s="85" r="X51"/>
      <c s="85" r="Y51"/>
      <c t="s" s="85" r="Z51">
        <v>80</v>
      </c>
    </row>
    <row r="52">
      <c t="s" s="86" r="A52">
        <v>558</v>
      </c>
      <c t="s" s="86" r="B52">
        <v>559</v>
      </c>
      <c s="86" r="C52"/>
      <c t="s" s="86" r="D52">
        <v>560</v>
      </c>
      <c t="s" s="86" r="E52">
        <v>561</v>
      </c>
      <c t="s" s="77" r="F52">
        <v>562</v>
      </c>
      <c s="86" r="G52"/>
      <c s="86" r="H52"/>
      <c s="86" r="I52"/>
      <c t="s" s="86" r="J52">
        <v>563</v>
      </c>
      <c s="86" r="K52"/>
      <c t="s" s="86" r="L52">
        <v>445</v>
      </c>
      <c t="s" s="86" r="M52">
        <v>564</v>
      </c>
      <c s="86" r="N52"/>
      <c s="86" r="O52"/>
      <c t="s" s="86" r="P52">
        <v>279</v>
      </c>
      <c s="86" r="Q52"/>
      <c t="s" s="86" r="R52">
        <v>565</v>
      </c>
      <c s="34" r="S52"/>
      <c t="s" s="86" r="T52">
        <v>566</v>
      </c>
      <c t="s" s="86" r="U52">
        <v>567</v>
      </c>
      <c s="86" r="V52"/>
      <c t="s" s="86" r="W52">
        <v>137</v>
      </c>
      <c t="s" s="85" r="X52">
        <v>127</v>
      </c>
      <c t="s" s="85" r="Y52">
        <v>134</v>
      </c>
      <c s="85" r="Z52"/>
    </row>
    <row r="53">
      <c t="s" s="86" r="A53">
        <v>568</v>
      </c>
      <c t="s" s="25" r="B53">
        <v>569</v>
      </c>
      <c s="86" r="C53"/>
      <c s="25" r="D53"/>
      <c t="s" s="86" r="E53">
        <v>156</v>
      </c>
      <c t="s" s="86" r="F53">
        <v>570</v>
      </c>
      <c s="86" r="G53"/>
      <c s="86" r="H53"/>
      <c s="86" r="I53"/>
      <c t="s" s="86" r="J53">
        <v>571</v>
      </c>
      <c s="86" r="K53"/>
      <c t="s" s="86" r="L53">
        <v>548</v>
      </c>
      <c t="s" s="86" r="M53">
        <v>549</v>
      </c>
      <c s="86" r="N53"/>
      <c s="86" r="O53"/>
      <c t="s" s="86" r="P53">
        <v>294</v>
      </c>
      <c s="86" r="Q53"/>
      <c t="s" s="86" r="R53">
        <v>572</v>
      </c>
      <c s="34" r="S53"/>
      <c t="s" s="86" r="T53">
        <v>573</v>
      </c>
      <c t="s" s="86" r="U53">
        <v>574</v>
      </c>
      <c t="s" s="86" r="V53">
        <v>575</v>
      </c>
      <c t="s" s="86" r="W53">
        <v>576</v>
      </c>
      <c s="85" r="X53"/>
      <c s="85" r="Y53"/>
      <c s="85" r="Z53"/>
    </row>
    <row r="54">
      <c t="s" s="86" r="A54">
        <v>577</v>
      </c>
      <c t="s" s="86" r="B54">
        <v>578</v>
      </c>
      <c s="86" r="C54"/>
      <c t="s" s="86" r="D54">
        <v>579</v>
      </c>
      <c t="s" s="81" r="E54">
        <v>580</v>
      </c>
      <c t="s" s="86" r="F54">
        <v>581</v>
      </c>
      <c s="86" r="G54"/>
      <c s="86" r="H54"/>
      <c s="86" r="I54"/>
      <c t="s" s="86" r="J54">
        <v>582</v>
      </c>
      <c s="86" r="K54"/>
      <c t="s" s="86" r="L54">
        <v>548</v>
      </c>
      <c t="s" s="86" r="M54">
        <v>549</v>
      </c>
      <c s="86" r="N54"/>
      <c s="86" r="O54"/>
      <c t="s" s="86" r="P54">
        <v>371</v>
      </c>
      <c s="86" r="Q54"/>
      <c t="s" s="86" r="R54">
        <v>583</v>
      </c>
      <c s="34" r="S54"/>
      <c t="s" s="86" r="T54">
        <v>584</v>
      </c>
      <c t="s" s="86" r="U54">
        <v>585</v>
      </c>
      <c t="s" s="40" r="V54">
        <v>586</v>
      </c>
      <c t="s" s="86" r="W54">
        <v>587</v>
      </c>
      <c t="s" s="85" r="X54">
        <v>127</v>
      </c>
      <c t="s" s="85" r="Y54">
        <v>134</v>
      </c>
      <c s="85" r="Z54"/>
    </row>
    <row r="55">
      <c t="s" s="86" r="A55">
        <v>588</v>
      </c>
      <c t="s" s="86" r="B55">
        <v>589</v>
      </c>
      <c s="86" r="C55"/>
      <c t="s" s="25" r="D55">
        <v>590</v>
      </c>
      <c t="s" s="86" r="E55">
        <v>141</v>
      </c>
      <c t="s" s="86" r="F55">
        <v>243</v>
      </c>
      <c s="86" r="G55"/>
      <c s="86" r="H55"/>
      <c s="86" r="I55"/>
      <c t="s" s="86" r="J55">
        <v>591</v>
      </c>
      <c s="86" r="K55"/>
      <c t="s" s="86" r="L55">
        <v>592</v>
      </c>
      <c t="s" s="86" r="M55">
        <v>592</v>
      </c>
      <c s="86" r="N55"/>
      <c s="86" r="O55"/>
      <c t="s" s="86" r="P55">
        <v>593</v>
      </c>
      <c s="86" r="Q55"/>
      <c t="s" s="86" r="R55">
        <v>594</v>
      </c>
      <c s="34" r="S55"/>
      <c t="s" s="86" r="T55">
        <v>595</v>
      </c>
      <c t="s" s="86" r="U55">
        <v>596</v>
      </c>
      <c t="s" s="86" r="V55">
        <v>597</v>
      </c>
      <c t="s" s="86" r="W55">
        <v>598</v>
      </c>
      <c t="s" s="85" r="X55">
        <v>271</v>
      </c>
      <c t="s" s="85" r="Y55">
        <v>599</v>
      </c>
      <c s="85" r="Z55"/>
    </row>
    <row r="56">
      <c t="s" s="86" r="A56">
        <v>600</v>
      </c>
      <c t="s" s="86" r="B56">
        <v>601</v>
      </c>
      <c s="86" r="C56"/>
      <c t="s" s="25" r="D56">
        <v>602</v>
      </c>
      <c t="s" s="86" r="E56">
        <v>141</v>
      </c>
      <c t="s" s="86" r="F56">
        <v>243</v>
      </c>
      <c s="86" r="G56"/>
      <c s="86" r="H56"/>
      <c s="86" r="I56"/>
      <c t="s" s="86" r="J56">
        <v>603</v>
      </c>
      <c s="86" r="K56"/>
      <c t="s" s="86" r="L56">
        <v>514</v>
      </c>
      <c t="s" s="86" r="M56">
        <v>604</v>
      </c>
      <c s="86" r="N56"/>
      <c s="86" r="O56"/>
      <c t="s" s="86" r="P56">
        <v>266</v>
      </c>
      <c s="86" r="Q56"/>
      <c t="s" s="86" r="R56">
        <v>605</v>
      </c>
      <c s="34" r="S56"/>
      <c t="s" s="86" r="T56">
        <v>541</v>
      </c>
      <c t="s" s="86" r="U56">
        <v>606</v>
      </c>
      <c t="s" s="86" r="V56">
        <v>607</v>
      </c>
      <c t="s" s="86" r="W56">
        <v>608</v>
      </c>
      <c t="s" s="85" r="X56">
        <v>127</v>
      </c>
      <c t="s" s="85" r="Y56">
        <v>134</v>
      </c>
      <c s="85" r="Z56"/>
    </row>
    <row r="57">
      <c t="s" s="86" r="A57">
        <v>609</v>
      </c>
      <c t="s" s="25" r="B57">
        <v>610</v>
      </c>
      <c s="86" r="C57"/>
      <c s="25" r="D57"/>
      <c t="s" s="86" r="E57">
        <v>168</v>
      </c>
      <c t="s" s="86" r="F57">
        <v>611</v>
      </c>
      <c s="86" r="G57"/>
      <c s="86" r="H57"/>
      <c s="86" r="I57"/>
      <c t="s" s="86" r="J57">
        <v>612</v>
      </c>
      <c s="86" r="K57"/>
      <c t="s" s="86" r="L57">
        <v>514</v>
      </c>
      <c t="s" s="86" r="M57">
        <v>613</v>
      </c>
      <c s="86" r="N57"/>
      <c s="86" r="O57"/>
      <c t="s" s="86" r="P57">
        <v>614</v>
      </c>
      <c s="86" r="Q57"/>
      <c t="s" s="86" r="R57">
        <v>615</v>
      </c>
      <c s="34" r="S57"/>
      <c t="s" s="86" r="T57">
        <v>595</v>
      </c>
      <c t="s" s="86" r="U57">
        <v>596</v>
      </c>
      <c t="s" s="86" r="V57">
        <v>597</v>
      </c>
      <c s="86" r="W57"/>
      <c t="s" s="85" r="X57">
        <v>271</v>
      </c>
      <c t="s" s="85" r="Y57">
        <v>272</v>
      </c>
      <c s="85" r="Z57"/>
    </row>
    <row r="58">
      <c t="s" s="86" r="A58">
        <v>616</v>
      </c>
      <c t="s" s="25" r="B58">
        <v>617</v>
      </c>
      <c s="86" r="C58"/>
      <c t="s" s="25" r="D58">
        <v>618</v>
      </c>
      <c t="s" s="86" r="E58">
        <v>175</v>
      </c>
      <c t="s" s="86" r="F58">
        <v>619</v>
      </c>
      <c s="86" r="G58"/>
      <c s="86" r="H58"/>
      <c s="86" r="I58"/>
      <c t="s" s="86" r="J58">
        <v>620</v>
      </c>
      <c s="86" r="K58"/>
      <c t="s" s="86" r="L58">
        <v>514</v>
      </c>
      <c t="s" s="86" r="M58">
        <v>613</v>
      </c>
      <c s="86" r="N58"/>
      <c s="86" r="O58"/>
      <c t="s" s="86" r="P58">
        <v>371</v>
      </c>
      <c s="86" r="Q58"/>
      <c t="s" s="86" r="R58">
        <v>621</v>
      </c>
      <c s="34" r="S58"/>
      <c t="s" s="86" r="T58">
        <v>622</v>
      </c>
      <c t="s" s="86" r="U58">
        <v>623</v>
      </c>
      <c t="s" s="86" r="V58">
        <v>597</v>
      </c>
      <c t="s" s="86" r="W58">
        <v>624</v>
      </c>
      <c t="s" s="85" r="X58">
        <v>271</v>
      </c>
      <c t="s" s="85" r="Y58">
        <v>272</v>
      </c>
      <c t="s" s="85" r="Z58">
        <v>80</v>
      </c>
    </row>
    <row r="59">
      <c t="s" s="86" r="A59">
        <v>625</v>
      </c>
      <c t="s" s="86" r="B59">
        <v>626</v>
      </c>
      <c s="86" r="C59"/>
      <c t="s" s="25" r="D59">
        <v>627</v>
      </c>
      <c t="s" s="86" r="E59">
        <v>628</v>
      </c>
      <c t="s" s="86" r="F59">
        <v>629</v>
      </c>
      <c s="86" r="G59"/>
      <c s="86" r="H59"/>
      <c s="86" r="I59"/>
      <c t="s" s="86" r="J59">
        <v>630</v>
      </c>
      <c s="86" r="K59"/>
      <c t="s" s="86" r="L59">
        <v>514</v>
      </c>
      <c t="s" s="86" r="M59">
        <v>613</v>
      </c>
      <c s="86" r="N59"/>
      <c s="86" r="O59"/>
      <c t="s" s="86" r="P59">
        <v>516</v>
      </c>
      <c s="86" r="Q59"/>
      <c t="s" s="86" r="R59">
        <v>631</v>
      </c>
      <c s="34" r="S59"/>
      <c t="s" s="86" r="T59">
        <v>622</v>
      </c>
      <c t="s" s="86" r="U59">
        <v>632</v>
      </c>
      <c t="s" s="86" r="V59">
        <v>597</v>
      </c>
      <c t="s" s="86" r="W59">
        <v>624</v>
      </c>
      <c s="85" r="X59"/>
      <c s="85" r="Y59"/>
      <c s="85" r="Z59"/>
    </row>
    <row r="60">
      <c t="s" s="25" r="A60">
        <v>633</v>
      </c>
      <c t="s" s="86" r="B60">
        <v>634</v>
      </c>
      <c s="86" r="C60"/>
      <c s="25" r="D60"/>
      <c t="s" s="86" r="E60">
        <v>141</v>
      </c>
      <c t="s" s="86" r="F60">
        <v>243</v>
      </c>
      <c s="86" r="G60"/>
      <c s="86" r="H60"/>
      <c s="86" r="I60"/>
      <c t="s" s="86" r="J60">
        <v>635</v>
      </c>
      <c s="86" r="K60"/>
      <c s="25" r="L60"/>
      <c s="25" r="M60"/>
      <c s="86" r="N60"/>
      <c s="86" r="O60"/>
      <c s="25" r="P60"/>
      <c s="86" r="Q60"/>
      <c t="s" s="86" r="R60">
        <v>636</v>
      </c>
      <c s="86" r="S60"/>
      <c s="86" r="T60"/>
      <c s="86" r="U60"/>
      <c s="86" r="V60"/>
      <c s="86" r="W60"/>
      <c s="85" r="X60"/>
      <c s="85" r="Y60"/>
      <c s="85" r="Z60"/>
    </row>
    <row r="61">
      <c s="25" r="A61">
        <v>1975</v>
      </c>
      <c s="25" r="B61"/>
      <c s="86" r="C61"/>
      <c s="25" r="D61"/>
      <c t="s" s="86" r="E61">
        <v>141</v>
      </c>
      <c t="s" s="86" r="F61">
        <v>243</v>
      </c>
      <c s="86" r="G61"/>
      <c s="86" r="H61"/>
      <c s="86" r="I61"/>
      <c t="s" s="86" r="J61">
        <v>637</v>
      </c>
      <c s="86" r="K61"/>
      <c t="s" s="86" r="L61">
        <v>256</v>
      </c>
      <c t="s" s="86" r="M61">
        <v>638</v>
      </c>
      <c s="86" r="N61"/>
      <c s="86" r="O61"/>
      <c s="25" r="P61"/>
      <c s="86" r="Q61"/>
      <c t="s" s="86" r="R61">
        <v>639</v>
      </c>
      <c s="86" r="S61"/>
      <c s="86" r="T61"/>
      <c s="86" r="U61"/>
      <c s="86" r="V61"/>
      <c s="86" r="W61"/>
      <c t="s" s="85" r="X61">
        <v>121</v>
      </c>
      <c t="s" s="85" r="Y61">
        <v>122</v>
      </c>
      <c s="85" r="Z61"/>
    </row>
    <row r="62">
      <c s="86" r="A62"/>
      <c s="86" r="B62"/>
      <c s="86" r="C62"/>
      <c s="86" r="D62"/>
      <c s="86" r="E62"/>
      <c s="86" r="F62"/>
      <c s="86" r="G62"/>
      <c s="86" r="H62"/>
      <c s="86" r="I62"/>
      <c s="86" r="J62"/>
      <c s="86" r="K62"/>
      <c s="86" r="L62"/>
      <c s="86" r="M62"/>
      <c s="86" r="N62"/>
      <c s="86" r="O62"/>
      <c s="86" r="P62"/>
      <c s="86" r="Q62"/>
      <c s="86" r="R62"/>
      <c s="86" r="S62"/>
      <c s="86" r="T62"/>
      <c s="86" r="U62"/>
      <c s="86" r="V62"/>
      <c s="86" r="W62"/>
      <c s="85" r="X62"/>
      <c s="85" r="Y62"/>
      <c s="85" r="Z62"/>
    </row>
    <row r="63">
      <c s="86" r="A63"/>
      <c s="86" r="B63"/>
      <c s="86" r="C63"/>
      <c s="86" r="D63"/>
      <c s="86" r="E63"/>
      <c s="86" r="F63"/>
      <c s="86" r="G63"/>
      <c s="86" r="H63"/>
      <c s="86" r="I63"/>
      <c s="86" r="J63"/>
      <c s="86" r="K63"/>
      <c s="86" r="L63"/>
      <c s="86" r="M63"/>
      <c s="86" r="N63"/>
      <c s="86" r="O63"/>
      <c s="86" r="P63"/>
      <c s="86" r="Q63"/>
      <c s="86" r="R63"/>
      <c s="86" r="S63"/>
      <c s="86" r="T63"/>
      <c s="86" r="U63"/>
      <c s="86" r="V63"/>
      <c s="86" r="W63"/>
      <c s="85" r="X63"/>
      <c s="85" r="Y63"/>
      <c s="85" r="Z63"/>
    </row>
    <row r="64">
      <c s="86" r="B64"/>
      <c s="86" r="C64"/>
      <c s="86" r="D64"/>
      <c s="86" r="E64"/>
      <c s="86" r="F64"/>
      <c s="86" r="G64"/>
      <c s="86" r="H64"/>
      <c s="86" r="I64"/>
      <c s="86" r="J64"/>
      <c s="86" r="K64"/>
      <c s="86" r="L64"/>
      <c s="86" r="M64"/>
      <c s="86" r="N64"/>
      <c s="86" r="O64"/>
      <c s="86" r="P64"/>
      <c s="86" r="Q64"/>
      <c s="86" r="R64"/>
      <c s="86" r="S64"/>
      <c s="86" r="T64"/>
      <c s="86" r="U64"/>
      <c s="86" r="V64"/>
      <c s="86" r="W64"/>
      <c s="85" r="X64"/>
      <c s="85" r="Y64"/>
      <c s="85" r="Z64"/>
    </row>
    <row r="65">
      <c s="86" r="B65"/>
      <c s="86" r="C65"/>
      <c s="86" r="D65"/>
      <c s="86" r="E65"/>
      <c s="86" r="F65"/>
      <c s="86" r="G65"/>
      <c s="86" r="H65"/>
      <c s="86" r="I65"/>
      <c s="86" r="J65"/>
      <c s="86" r="K65"/>
      <c s="86" r="L65"/>
      <c s="86" r="M65"/>
      <c s="86" r="N65"/>
      <c s="86" r="O65"/>
      <c s="86" r="P65"/>
      <c s="86" r="Q65"/>
      <c s="86" r="R65"/>
      <c s="86" r="S65"/>
      <c s="86" r="T65"/>
      <c s="86" r="U65"/>
      <c s="86" r="V65"/>
      <c s="86" r="W65"/>
      <c s="85" r="X65"/>
      <c s="85" r="Y65"/>
      <c s="85" r="Z65"/>
    </row>
    <row r="66">
      <c s="86" r="B66"/>
      <c s="86" r="C66"/>
      <c s="86" r="D66"/>
      <c s="86" r="E66"/>
      <c s="86" r="F66"/>
      <c s="86" r="G66"/>
      <c s="86" r="H66"/>
      <c s="86" r="I66"/>
      <c s="86" r="J66"/>
      <c s="86" r="K66"/>
      <c s="86" r="L66"/>
      <c s="86" r="M66"/>
      <c s="86" r="N66"/>
      <c s="86" r="O66"/>
      <c s="86" r="P66"/>
      <c s="86" r="Q66"/>
      <c s="86" r="R66"/>
      <c s="86" r="S66"/>
      <c s="86" r="T66"/>
      <c s="86" r="U66"/>
      <c s="86" r="V66"/>
      <c s="86" r="W66"/>
      <c s="85" r="X66"/>
      <c s="85" r="Y66"/>
      <c s="85" r="Z66"/>
    </row>
    <row r="67">
      <c s="86" r="B67"/>
      <c s="86" r="C67"/>
      <c s="86" r="D67"/>
      <c s="86" r="E67"/>
      <c s="86" r="F67"/>
      <c s="86" r="G67"/>
      <c s="86" r="H67"/>
      <c s="86" r="I67"/>
      <c s="86" r="J67"/>
      <c s="86" r="K67"/>
      <c s="86" r="L67"/>
      <c s="86" r="M67"/>
      <c s="86" r="N67"/>
      <c s="86" r="O67"/>
      <c s="86" r="P67"/>
      <c s="86" r="Q67"/>
      <c s="86" r="R67"/>
      <c s="86" r="S67"/>
      <c s="86" r="T67"/>
      <c s="86" r="U67"/>
      <c s="86" r="V67"/>
      <c s="86" r="W67"/>
      <c s="85" r="X67"/>
      <c s="85" r="Y67"/>
      <c s="85" r="Z67"/>
    </row>
    <row r="68">
      <c s="86" r="B68"/>
      <c s="86" r="C68"/>
      <c s="86" r="D68"/>
      <c s="86" r="E68"/>
      <c s="86" r="F68"/>
      <c s="86" r="G68"/>
      <c s="86" r="H68"/>
      <c s="86" r="I68"/>
      <c s="86" r="J68"/>
      <c s="86" r="K68"/>
      <c s="86" r="L68"/>
      <c s="86" r="M68"/>
      <c s="86" r="N68"/>
      <c s="86" r="O68"/>
      <c s="86" r="P68"/>
      <c s="86" r="Q68"/>
      <c s="86" r="R68"/>
      <c s="86" r="S68"/>
      <c s="86" r="T68"/>
      <c s="86" r="U68"/>
      <c s="86" r="V68"/>
      <c s="86" r="W68"/>
      <c s="85" r="X68"/>
      <c s="85" r="Y68"/>
      <c s="85" r="Z68"/>
    </row>
    <row r="69">
      <c s="86" r="B69"/>
      <c s="86" r="C69"/>
      <c s="86" r="D69"/>
      <c s="86" r="E69"/>
      <c s="86" r="F69"/>
      <c s="86" r="G69"/>
      <c s="86" r="H69"/>
      <c s="86" r="I69"/>
      <c s="86" r="J69"/>
      <c s="86" r="K69"/>
      <c s="86" r="L69"/>
      <c s="86" r="M69"/>
      <c s="86" r="N69"/>
      <c s="86" r="O69"/>
      <c s="86" r="P69"/>
      <c s="86" r="Q69"/>
      <c s="86" r="R69"/>
      <c s="86" r="S69"/>
      <c s="86" r="T69"/>
      <c s="86" r="U69"/>
      <c s="86" r="V69"/>
      <c s="86" r="W69"/>
      <c s="85" r="X69"/>
      <c s="85" r="Y69"/>
      <c s="85" r="Z69"/>
    </row>
    <row r="70">
      <c s="86" r="B70"/>
      <c s="86" r="C70"/>
      <c s="86" r="D70"/>
      <c s="86" r="E70"/>
      <c s="86" r="F70"/>
      <c s="86" r="G70"/>
      <c s="86" r="H70"/>
      <c s="86" r="I70"/>
      <c s="86" r="J70"/>
      <c s="86" r="K70"/>
      <c s="86" r="L70"/>
      <c s="86" r="M70"/>
      <c s="86" r="N70"/>
      <c s="86" r="O70"/>
      <c s="86" r="P70"/>
      <c s="86" r="Q70"/>
      <c s="86" r="R70"/>
      <c s="86" r="S70"/>
      <c s="86" r="T70"/>
      <c s="86" r="U70"/>
      <c s="86" r="V70"/>
      <c s="86" r="W70"/>
      <c s="85" r="X70"/>
      <c s="85" r="Y70"/>
      <c s="85" r="Z70"/>
    </row>
    <row r="71">
      <c s="86" r="B71"/>
      <c s="86" r="C71"/>
      <c s="86" r="D71"/>
      <c s="86" r="E71"/>
      <c s="86" r="F71"/>
      <c s="86" r="G71"/>
      <c s="86" r="H71"/>
      <c s="86" r="I71"/>
      <c s="86" r="J71"/>
      <c s="86" r="K71"/>
      <c s="86" r="L71"/>
      <c s="86" r="M71"/>
      <c s="86" r="N71"/>
      <c s="86" r="O71"/>
      <c s="86" r="P71"/>
      <c s="86" r="Q71"/>
      <c s="86" r="R71"/>
      <c s="86" r="S71"/>
      <c s="86" r="T71"/>
      <c s="86" r="U71"/>
      <c s="86" r="V71"/>
      <c s="86" r="W71"/>
      <c s="85" r="X71"/>
      <c s="85" r="Y71"/>
      <c s="85" r="Z71"/>
    </row>
    <row r="72">
      <c s="86" r="B72"/>
      <c s="86" r="C72"/>
      <c s="86" r="D72"/>
      <c s="86" r="E72"/>
      <c s="86" r="F72"/>
      <c s="86" r="G72"/>
      <c s="86" r="H72"/>
      <c s="86" r="I72"/>
      <c s="86" r="J72"/>
      <c s="86" r="K72"/>
      <c s="86" r="L72"/>
      <c s="86" r="M72"/>
      <c s="86" r="N72"/>
      <c s="86" r="O72"/>
      <c s="86" r="P72"/>
      <c s="86" r="Q72"/>
      <c s="86" r="R72"/>
      <c s="86" r="S72"/>
      <c s="86" r="T72"/>
      <c s="86" r="U72"/>
      <c s="86" r="V72"/>
      <c s="86" r="W72"/>
      <c s="85" r="X72"/>
      <c s="85" r="Y72"/>
      <c s="85" r="Z72"/>
    </row>
    <row r="73">
      <c s="86" r="B73"/>
      <c s="86" r="C73"/>
      <c s="86" r="D73"/>
      <c s="86" r="E73"/>
      <c s="86" r="F73"/>
      <c s="86" r="G73"/>
      <c s="86" r="H73"/>
      <c s="86" r="I73"/>
      <c s="86" r="J73"/>
      <c s="86" r="K73"/>
      <c s="86" r="L73"/>
      <c s="86" r="M73"/>
      <c s="86" r="N73"/>
      <c s="86" r="O73"/>
      <c s="86" r="P73"/>
      <c s="86" r="Q73"/>
      <c s="86" r="R73"/>
      <c s="86" r="S73"/>
      <c s="86" r="T73"/>
      <c s="86" r="U73"/>
      <c s="86" r="V73"/>
      <c s="86" r="W73"/>
      <c s="85" r="X73"/>
      <c s="85" r="Y73"/>
      <c s="85" r="Z73"/>
    </row>
    <row r="74">
      <c s="86" r="B74"/>
      <c s="86" r="C74"/>
      <c s="86" r="D74"/>
      <c s="86" r="E74"/>
      <c s="86" r="F74"/>
      <c s="86" r="G74"/>
      <c s="86" r="H74"/>
      <c s="86" r="I74"/>
      <c s="86" r="J74"/>
      <c s="86" r="K74"/>
      <c s="86" r="L74"/>
      <c s="86" r="M74"/>
      <c s="86" r="N74"/>
      <c s="86" r="O74"/>
      <c s="86" r="P74"/>
      <c s="86" r="Q74"/>
      <c s="86" r="R74"/>
      <c s="86" r="S74"/>
      <c s="86" r="T74"/>
      <c s="86" r="U74"/>
      <c s="86" r="V74"/>
      <c s="86" r="W74"/>
      <c s="85" r="X74"/>
      <c s="85" r="Y74"/>
      <c s="85" r="Z74"/>
    </row>
    <row r="75">
      <c s="86" r="B75"/>
      <c s="86" r="C75"/>
      <c s="86" r="D75"/>
      <c s="86" r="E75"/>
      <c s="86" r="F75"/>
      <c s="86" r="G75"/>
      <c s="86" r="H75"/>
      <c s="86" r="I75"/>
      <c s="86" r="J75"/>
      <c s="86" r="K75"/>
      <c s="86" r="L75"/>
      <c s="86" r="M75"/>
      <c s="86" r="N75"/>
      <c s="86" r="O75"/>
      <c s="86" r="P75"/>
      <c s="86" r="Q75"/>
      <c s="86" r="R75"/>
      <c s="86" r="S75"/>
      <c s="86" r="T75"/>
      <c s="86" r="U75"/>
      <c s="86" r="V75"/>
      <c s="86" r="W75"/>
      <c s="85" r="X75"/>
      <c s="85" r="Y75"/>
      <c s="85" r="Z75"/>
    </row>
    <row r="76">
      <c s="86" r="B76"/>
      <c s="86" r="C76"/>
      <c s="86" r="D76"/>
      <c s="86" r="E76"/>
      <c s="86" r="F76"/>
      <c s="86" r="G76"/>
      <c s="86" r="H76"/>
      <c s="86" r="I76"/>
      <c s="86" r="J76"/>
      <c s="86" r="K76"/>
      <c s="86" r="L76"/>
      <c s="86" r="M76"/>
      <c s="86" r="N76"/>
      <c s="86" r="O76"/>
      <c s="86" r="P76"/>
      <c s="86" r="Q76"/>
      <c s="86" r="R76"/>
      <c s="86" r="S76"/>
      <c s="86" r="T76"/>
      <c s="86" r="U76"/>
      <c s="86" r="V76"/>
      <c s="86" r="W76"/>
      <c s="85" r="X76"/>
      <c s="85" r="Y76"/>
      <c s="85" r="Z76"/>
    </row>
    <row r="77">
      <c s="86" r="B77"/>
      <c s="86" r="C77"/>
      <c s="86" r="D77"/>
      <c s="86" r="E77"/>
      <c s="86" r="F77"/>
      <c s="86" r="G77"/>
      <c s="86" r="H77"/>
      <c s="86" r="I77"/>
      <c s="86" r="J77"/>
      <c s="86" r="K77"/>
      <c s="86" r="L77"/>
      <c s="86" r="M77"/>
      <c s="86" r="N77"/>
      <c s="86" r="O77"/>
      <c s="86" r="P77"/>
      <c s="86" r="Q77"/>
      <c s="86" r="R77"/>
      <c s="86" r="S77"/>
      <c s="86" r="T77"/>
      <c s="86" r="U77"/>
      <c s="86" r="V77"/>
      <c s="86" r="W77"/>
      <c s="85" r="X77"/>
      <c s="85" r="Y77"/>
      <c s="85" r="Z77"/>
    </row>
    <row r="78">
      <c s="86" r="B78"/>
      <c s="86" r="C78"/>
      <c s="86" r="D78"/>
      <c s="86" r="E78"/>
      <c s="86" r="F78"/>
      <c s="86" r="G78"/>
      <c s="86" r="H78"/>
      <c s="86" r="I78"/>
      <c s="86" r="J78"/>
      <c s="86" r="K78"/>
      <c s="86" r="L78"/>
      <c s="86" r="M78"/>
      <c s="86" r="N78"/>
      <c s="86" r="O78"/>
      <c s="86" r="P78"/>
      <c s="86" r="Q78"/>
      <c s="86" r="R78"/>
      <c s="86" r="S78"/>
      <c s="86" r="T78"/>
      <c s="86" r="U78"/>
      <c s="86" r="V78"/>
      <c s="86" r="W78"/>
      <c s="85" r="X78"/>
      <c s="85" r="Y78"/>
      <c s="85" r="Z78"/>
    </row>
    <row r="79">
      <c s="86" r="B79"/>
      <c s="86" r="C79"/>
      <c s="86" r="D79"/>
      <c s="86" r="E79"/>
      <c s="86" r="F79"/>
      <c s="86" r="G79"/>
      <c s="86" r="H79"/>
      <c s="86" r="I79"/>
      <c s="86" r="J79"/>
      <c s="86" r="K79"/>
      <c s="86" r="L79"/>
      <c s="86" r="M79"/>
      <c s="86" r="N79"/>
      <c s="86" r="O79"/>
      <c s="86" r="P79"/>
      <c s="86" r="Q79"/>
      <c s="86" r="R79"/>
      <c s="86" r="S79"/>
      <c s="86" r="T79"/>
      <c s="86" r="U79"/>
      <c s="86" r="V79"/>
      <c s="86" r="W79"/>
      <c s="85" r="X79"/>
      <c s="85" r="Y79"/>
      <c s="85" r="Z79"/>
    </row>
    <row r="80">
      <c s="86" r="B80"/>
      <c s="86" r="C80"/>
      <c s="86" r="D80"/>
      <c s="86" r="E80"/>
      <c s="86" r="F80"/>
      <c s="86" r="G80"/>
      <c s="86" r="H80"/>
      <c s="86" r="I80"/>
      <c s="86" r="J80"/>
      <c s="86" r="K80"/>
      <c s="86" r="L80"/>
      <c s="86" r="M80"/>
      <c s="86" r="N80"/>
      <c s="86" r="O80"/>
      <c s="86" r="P80"/>
      <c s="86" r="Q80"/>
      <c s="86" r="R80"/>
      <c s="86" r="S80"/>
      <c s="86" r="T80"/>
      <c s="86" r="U80"/>
      <c s="86" r="V80"/>
      <c s="86" r="W80"/>
      <c s="85" r="X80"/>
      <c s="85" r="Y80"/>
      <c s="85" r="Z80"/>
    </row>
    <row r="81">
      <c s="86" r="B81"/>
      <c s="86" r="C81"/>
      <c s="86" r="D81"/>
      <c s="86" r="E81"/>
      <c s="86" r="F81"/>
      <c s="86" r="G81"/>
      <c s="86" r="H81"/>
      <c s="86" r="I81"/>
      <c s="86" r="J81"/>
      <c s="86" r="K81"/>
      <c s="86" r="L81"/>
      <c s="86" r="M81"/>
      <c s="86" r="N81"/>
      <c s="86" r="O81"/>
      <c s="86" r="P81"/>
      <c s="86" r="Q81"/>
      <c s="86" r="R81"/>
      <c s="86" r="S81"/>
      <c s="86" r="T81"/>
      <c s="86" r="U81"/>
      <c s="86" r="V81"/>
      <c s="86" r="W81"/>
      <c s="85" r="X81"/>
      <c s="85" r="Y81"/>
      <c s="85" r="Z81"/>
    </row>
    <row r="82">
      <c s="86" r="B82"/>
      <c s="86" r="C82"/>
      <c s="86" r="D82"/>
      <c s="86" r="E82"/>
      <c s="86" r="F82"/>
      <c s="86" r="G82"/>
      <c s="86" r="H82"/>
      <c s="86" r="I82"/>
      <c s="86" r="J82"/>
      <c s="86" r="K82"/>
      <c s="86" r="L82"/>
      <c s="86" r="M82"/>
      <c s="86" r="N82"/>
      <c s="86" r="O82"/>
      <c s="86" r="P82"/>
      <c s="86" r="Q82"/>
      <c s="86" r="R82"/>
      <c s="86" r="S82"/>
      <c s="86" r="T82"/>
      <c s="86" r="U82"/>
      <c s="86" r="V82"/>
      <c s="86" r="W82"/>
      <c s="85" r="X82"/>
      <c s="85" r="Y82"/>
      <c s="85" r="Z82"/>
    </row>
    <row r="83">
      <c s="86" r="B83"/>
      <c s="86" r="C83"/>
      <c s="86" r="D83"/>
      <c s="86" r="E83"/>
      <c s="86" r="F83"/>
      <c s="86" r="G83"/>
      <c s="86" r="H83"/>
      <c s="86" r="I83"/>
      <c s="86" r="J83"/>
      <c s="86" r="K83"/>
      <c s="86" r="L83"/>
      <c s="86" r="M83"/>
      <c s="86" r="N83"/>
      <c s="86" r="O83"/>
      <c s="86" r="P83"/>
      <c s="86" r="Q83"/>
      <c s="86" r="R83"/>
      <c s="86" r="S83"/>
      <c s="86" r="T83"/>
      <c s="86" r="U83"/>
      <c s="86" r="V83"/>
      <c s="86" r="W83"/>
      <c s="85" r="X83"/>
      <c s="85" r="Y83"/>
      <c s="85" r="Z83"/>
    </row>
    <row r="84">
      <c s="86" r="B84"/>
      <c s="86" r="C84"/>
      <c s="86" r="D84"/>
      <c s="86" r="E84"/>
      <c s="86" r="F84"/>
      <c s="86" r="G84"/>
      <c s="86" r="H84"/>
      <c s="86" r="I84"/>
      <c s="86" r="J84"/>
      <c s="86" r="K84"/>
      <c s="86" r="L84"/>
      <c s="86" r="M84"/>
      <c s="86" r="N84"/>
      <c s="86" r="O84"/>
      <c s="86" r="P84"/>
      <c s="86" r="Q84"/>
      <c s="86" r="R84"/>
      <c s="86" r="S84"/>
      <c s="86" r="T84"/>
      <c s="86" r="U84"/>
      <c s="86" r="V84"/>
      <c s="86" r="W84"/>
      <c s="85" r="X84"/>
      <c s="85" r="Y84"/>
      <c s="85" r="Z84"/>
    </row>
    <row r="85">
      <c s="86" r="B85"/>
      <c s="86" r="C85"/>
      <c s="86" r="D85"/>
      <c s="86" r="E85"/>
      <c s="86" r="F85"/>
      <c s="86" r="G85"/>
      <c s="86" r="H85"/>
      <c s="86" r="I85"/>
      <c s="86" r="J85"/>
      <c s="86" r="K85"/>
      <c s="86" r="L85"/>
      <c s="86" r="M85"/>
      <c s="86" r="N85"/>
      <c s="86" r="O85"/>
      <c s="86" r="P85"/>
      <c s="86" r="Q85"/>
      <c s="86" r="R85"/>
      <c s="86" r="S85"/>
      <c s="86" r="T85"/>
      <c s="86" r="U85"/>
      <c s="86" r="V85"/>
      <c s="86" r="W85"/>
      <c s="85" r="X85"/>
      <c s="85" r="Y85"/>
      <c s="85" r="Z85"/>
    </row>
    <row r="86">
      <c s="86" r="B86"/>
      <c s="86" r="C86"/>
      <c s="86" r="D86"/>
      <c s="86" r="E86"/>
      <c s="86" r="F86"/>
      <c s="86" r="G86"/>
      <c s="86" r="H86"/>
      <c s="86" r="I86"/>
      <c s="86" r="J86"/>
      <c s="86" r="K86"/>
      <c s="86" r="L86"/>
      <c s="86" r="M86"/>
      <c s="86" r="N86"/>
      <c s="86" r="O86"/>
      <c s="86" r="P86"/>
      <c s="86" r="Q86"/>
      <c s="86" r="R86"/>
      <c s="86" r="S86"/>
      <c s="86" r="T86"/>
      <c s="86" r="U86"/>
      <c s="86" r="V86"/>
      <c s="86" r="W86"/>
      <c s="85" r="X86"/>
      <c s="85" r="Y86"/>
      <c s="85" r="Z86"/>
    </row>
    <row r="87">
      <c s="86" r="B87"/>
      <c s="86" r="C87"/>
      <c s="86" r="D87"/>
      <c s="86" r="E87"/>
      <c s="86" r="F87"/>
      <c s="86" r="G87"/>
      <c s="86" r="H87"/>
      <c s="86" r="I87"/>
      <c s="86" r="J87"/>
      <c s="86" r="K87"/>
      <c s="86" r="L87"/>
      <c s="86" r="M87"/>
      <c s="86" r="N87"/>
      <c s="86" r="O87"/>
      <c s="86" r="P87"/>
      <c s="86" r="Q87"/>
      <c s="86" r="R87"/>
      <c s="86" r="S87"/>
      <c s="86" r="T87"/>
      <c s="86" r="U87"/>
      <c s="86" r="V87"/>
      <c s="86" r="W87"/>
      <c s="85" r="X87"/>
      <c s="85" r="Y87"/>
      <c s="85" r="Z87"/>
    </row>
    <row r="88">
      <c s="86" r="B88"/>
      <c s="86" r="C88"/>
      <c s="86" r="D88"/>
      <c s="86" r="E88"/>
      <c s="86" r="F88"/>
      <c s="86" r="G88"/>
      <c s="86" r="H88"/>
      <c s="86" r="I88"/>
      <c s="86" r="J88"/>
      <c s="86" r="K88"/>
      <c s="86" r="L88"/>
      <c s="86" r="M88"/>
      <c s="86" r="N88"/>
      <c s="86" r="O88"/>
      <c s="86" r="P88"/>
      <c s="86" r="Q88"/>
      <c s="86" r="R88"/>
      <c s="86" r="S88"/>
      <c s="86" r="T88"/>
      <c s="86" r="U88"/>
      <c s="86" r="V88"/>
      <c s="86" r="W88"/>
      <c s="85" r="X88"/>
      <c s="85" r="Y88"/>
      <c s="85" r="Z88"/>
    </row>
    <row r="89">
      <c s="86" r="B89"/>
      <c s="86" r="C89"/>
      <c s="86" r="D89"/>
      <c s="86" r="E89"/>
      <c s="86" r="F89"/>
      <c s="86" r="G89"/>
      <c s="86" r="H89"/>
      <c s="86" r="I89"/>
      <c s="86" r="J89"/>
      <c s="86" r="K89"/>
      <c s="86" r="L89"/>
      <c s="86" r="M89"/>
      <c s="86" r="N89"/>
      <c s="86" r="O89"/>
      <c s="86" r="P89"/>
      <c s="86" r="Q89"/>
      <c s="86" r="R89"/>
      <c s="86" r="S89"/>
      <c s="86" r="T89"/>
      <c s="86" r="U89"/>
      <c s="86" r="V89"/>
      <c s="86" r="W89"/>
      <c s="85" r="X89"/>
      <c s="85" r="Y89"/>
      <c s="85" r="Z89"/>
    </row>
    <row r="90">
      <c s="86" r="B90"/>
      <c s="86" r="C90"/>
      <c s="86" r="D90"/>
      <c s="86" r="E90"/>
      <c s="86" r="F90"/>
      <c s="86" r="G90"/>
      <c s="86" r="H90"/>
      <c s="86" r="I90"/>
      <c s="86" r="J90"/>
      <c s="86" r="K90"/>
      <c s="86" r="L90"/>
      <c s="86" r="M90"/>
      <c s="86" r="N90"/>
      <c s="86" r="O90"/>
      <c s="86" r="P90"/>
      <c s="86" r="Q90"/>
      <c s="86" r="R90"/>
      <c s="86" r="S90"/>
      <c s="86" r="T90"/>
      <c s="86" r="U90"/>
      <c s="86" r="V90"/>
      <c s="86" r="W90"/>
      <c s="85" r="X90"/>
      <c s="85" r="Y90"/>
      <c s="85" r="Z90"/>
    </row>
    <row r="91">
      <c s="86" r="B91"/>
      <c s="86" r="C91"/>
      <c s="86" r="D91"/>
      <c s="86" r="E91"/>
      <c s="86" r="F91"/>
      <c s="86" r="G91"/>
      <c s="86" r="H91"/>
      <c s="86" r="I91"/>
      <c s="86" r="J91"/>
      <c s="86" r="K91"/>
      <c s="86" r="L91"/>
      <c s="86" r="M91"/>
      <c s="86" r="N91"/>
      <c s="86" r="O91"/>
      <c s="86" r="P91"/>
      <c s="86" r="Q91"/>
      <c s="86" r="R91"/>
      <c s="86" r="S91"/>
      <c s="86" r="T91"/>
      <c s="86" r="U91"/>
      <c s="86" r="V91"/>
      <c s="86" r="W91"/>
      <c s="85" r="X91"/>
      <c s="85" r="Y91"/>
      <c s="85" r="Z91"/>
    </row>
    <row r="92">
      <c s="86" r="B92"/>
      <c s="86" r="C92"/>
      <c s="86" r="D92"/>
      <c s="86" r="E92"/>
      <c s="86" r="F92"/>
      <c s="86" r="G92"/>
      <c s="86" r="H92"/>
      <c s="86" r="I92"/>
      <c s="86" r="J92"/>
      <c s="86" r="K92"/>
      <c s="86" r="L92"/>
      <c s="86" r="M92"/>
      <c s="86" r="N92"/>
      <c s="86" r="O92"/>
      <c s="86" r="P92"/>
      <c s="86" r="Q92"/>
      <c s="86" r="R92"/>
      <c s="86" r="S92"/>
      <c s="86" r="T92"/>
      <c s="86" r="U92"/>
      <c s="86" r="V92"/>
      <c s="86" r="W92"/>
      <c s="85" r="X92"/>
      <c s="85" r="Y92"/>
      <c s="85" r="Z92"/>
    </row>
    <row r="93">
      <c s="86" r="B93"/>
      <c s="86" r="C93"/>
      <c s="86" r="D93"/>
      <c s="86" r="E93"/>
      <c s="86" r="F93"/>
      <c s="86" r="G93"/>
      <c s="86" r="H93"/>
      <c s="86" r="I93"/>
      <c s="86" r="J93"/>
      <c s="86" r="K93"/>
      <c s="86" r="L93"/>
      <c s="86" r="M93"/>
      <c s="86" r="N93"/>
      <c s="86" r="O93"/>
      <c s="86" r="P93"/>
      <c s="86" r="Q93"/>
      <c s="86" r="R93"/>
      <c s="86" r="S93"/>
      <c s="86" r="T93"/>
      <c s="86" r="U93"/>
      <c s="86" r="V93"/>
      <c s="86" r="W93"/>
      <c s="85" r="X93"/>
      <c s="85" r="Y93"/>
      <c s="85" r="Z93"/>
    </row>
    <row r="94">
      <c s="86" r="B94"/>
      <c s="86" r="C94"/>
      <c s="86" r="D94"/>
      <c s="86" r="E94"/>
      <c s="86" r="F94"/>
      <c s="86" r="G94"/>
      <c s="86" r="H94"/>
      <c s="86" r="I94"/>
      <c s="86" r="J94"/>
      <c s="86" r="K94"/>
      <c s="86" r="L94"/>
      <c s="86" r="M94"/>
      <c s="86" r="N94"/>
      <c s="86" r="O94"/>
      <c s="86" r="P94"/>
      <c s="86" r="Q94"/>
      <c s="86" r="R94"/>
      <c s="86" r="S94"/>
      <c s="86" r="T94"/>
      <c s="86" r="U94"/>
      <c s="86" r="V94"/>
      <c s="86" r="W94"/>
      <c s="85" r="X94"/>
      <c s="85" r="Y94"/>
      <c s="85" r="Z94"/>
    </row>
    <row r="95">
      <c s="86" r="B95"/>
      <c s="86" r="C95"/>
      <c s="86" r="D95"/>
      <c s="86" r="E95"/>
      <c s="86" r="F95"/>
      <c s="86" r="G95"/>
      <c s="86" r="H95"/>
      <c s="86" r="I95"/>
      <c s="86" r="J95"/>
      <c s="86" r="K95"/>
      <c s="86" r="L95"/>
      <c s="86" r="M95"/>
      <c s="86" r="N95"/>
      <c s="86" r="O95"/>
      <c s="86" r="P95"/>
      <c s="86" r="Q95"/>
      <c s="86" r="R95"/>
      <c s="86" r="S95"/>
      <c s="86" r="T95"/>
      <c s="86" r="U95"/>
      <c s="86" r="V95"/>
      <c s="86" r="W95"/>
      <c s="85" r="X95"/>
      <c s="85" r="Y95"/>
      <c s="85" r="Z95"/>
    </row>
    <row r="96">
      <c s="86" r="B96"/>
      <c s="86" r="C96"/>
      <c s="86" r="D96"/>
      <c s="86" r="E96"/>
      <c s="86" r="F96"/>
      <c s="86" r="G96"/>
      <c s="86" r="H96"/>
      <c s="86" r="I96"/>
      <c s="86" r="J96"/>
      <c s="86" r="K96"/>
      <c s="86" r="L96"/>
      <c s="86" r="M96"/>
      <c s="86" r="N96"/>
      <c s="86" r="O96"/>
      <c s="86" r="P96"/>
      <c s="86" r="Q96"/>
      <c s="86" r="R96"/>
      <c s="86" r="S96"/>
      <c s="86" r="T96"/>
      <c s="86" r="U96"/>
      <c s="86" r="V96"/>
      <c s="86" r="W96"/>
      <c s="85" r="X96"/>
      <c s="85" r="Y96"/>
      <c s="85" r="Z96"/>
    </row>
    <row r="97">
      <c s="86" r="B97"/>
      <c s="86" r="C97"/>
      <c s="86" r="D97"/>
      <c s="86" r="E97"/>
      <c s="86" r="F97"/>
      <c s="86" r="G97"/>
      <c s="86" r="H97"/>
      <c s="86" r="I97"/>
      <c s="86" r="J97"/>
      <c s="86" r="K97"/>
      <c s="86" r="L97"/>
      <c s="86" r="M97"/>
      <c s="86" r="N97"/>
      <c s="86" r="O97"/>
      <c s="86" r="P97"/>
      <c s="86" r="Q97"/>
      <c s="86" r="R97"/>
      <c s="86" r="S97"/>
      <c s="86" r="T97"/>
      <c s="86" r="U97"/>
      <c s="86" r="V97"/>
      <c s="86" r="W97"/>
      <c s="85" r="X97"/>
      <c s="85" r="Y97"/>
      <c s="85" r="Z97"/>
    </row>
    <row r="98">
      <c s="86" r="B98"/>
      <c s="86" r="C98"/>
      <c s="86" r="D98"/>
      <c s="86" r="E98"/>
      <c s="86" r="F98"/>
      <c s="86" r="G98"/>
      <c s="86" r="H98"/>
      <c s="86" r="I98"/>
      <c s="86" r="J98"/>
      <c s="86" r="K98"/>
      <c s="86" r="L98"/>
      <c s="86" r="M98"/>
      <c s="86" r="N98"/>
      <c s="86" r="O98"/>
      <c s="86" r="P98"/>
      <c s="86" r="Q98"/>
      <c s="86" r="R98"/>
      <c s="86" r="S98"/>
      <c s="86" r="T98"/>
      <c s="86" r="U98"/>
      <c s="86" r="V98"/>
      <c s="86" r="W98"/>
      <c s="85" r="X98"/>
      <c s="85" r="Y98"/>
      <c s="85" r="Z98"/>
    </row>
    <row r="99">
      <c s="86" r="B99"/>
      <c s="86" r="C99"/>
      <c s="86" r="D99"/>
      <c s="86" r="E99"/>
      <c s="86" r="F99"/>
      <c s="86" r="G99"/>
      <c s="86" r="H99"/>
      <c s="86" r="I99"/>
      <c s="86" r="J99"/>
      <c s="86" r="K99"/>
      <c s="86" r="L99"/>
      <c s="86" r="M99"/>
      <c s="86" r="N99"/>
      <c s="86" r="O99"/>
      <c s="86" r="P99"/>
      <c s="86" r="Q99"/>
      <c s="86" r="R99"/>
      <c s="86" r="S99"/>
      <c s="86" r="T99"/>
      <c s="86" r="U99"/>
      <c s="86" r="V99"/>
      <c s="86" r="W99"/>
      <c s="85" r="X99"/>
      <c s="85" r="Y99"/>
      <c s="85" r="Z99"/>
    </row>
    <row r="100">
      <c s="86" r="B100"/>
      <c s="86" r="C100"/>
      <c s="86" r="D100"/>
      <c s="86" r="E100"/>
      <c s="86" r="F100"/>
      <c s="86" r="G100"/>
      <c s="86" r="H100"/>
      <c s="86" r="I100"/>
      <c s="86" r="J100"/>
      <c s="86" r="K100"/>
      <c s="86" r="L100"/>
      <c s="86" r="M100"/>
      <c s="86" r="N100"/>
      <c s="86" r="O100"/>
      <c s="86" r="P100"/>
      <c s="86" r="Q100"/>
      <c s="86" r="R100"/>
      <c s="86" r="S100"/>
      <c s="86" r="T100"/>
      <c s="86" r="U100"/>
      <c s="86" r="V100"/>
      <c s="86" r="W100"/>
      <c s="85" r="X100"/>
      <c s="85" r="Y100"/>
      <c s="85" r="Z100"/>
    </row>
  </sheetData>
  <dataValidations>
    <dataValidation errorStyle="warning" showErrorMessage="1" sqref="F2" allowBlank="1" type="list">
      <formula1>'.country-calc, CCCS'!E4:E269</formula1>
    </dataValidation>
    <dataValidation errorStyle="warning" showErrorMessage="1" sqref="T2:U2" allowBlank="1" prompt="validationFailed" type="list" showInputMessage="1">
      <formula1>'.theme-calc, CCCS'!A2:A125</formula1>
    </dataValidation>
    <dataValidation errorStyle="warning" showErrorMessage="1" sqref="V2:W2" allowBlank="1" prompt="validationFailed" type="list" showInputMessage="1">
      <formula1>'.sector-calc, CCCS'!B3:B139</formula1>
    </dataValidation>
    <dataValidation errorStyle="warning" showErrorMessage="1" sqref="X2:Y2" allowBlank="1" prompt="validationFailed" type="list" showInputMessage="1">
      <formula1>'.theme-calc, IFC'!A2:A53</formula1>
    </dataValidation>
    <dataValidation errorStyle="warning" showErrorMessage="1" sqref="Z2" allowBlank="1" prompt="validationFailed" type="list" showInputMessage="1">
      <formula1>'.sector-calc, IFC'!B3:B70</formula1>
    </dataValidation>
    <dataValidation errorStyle="warning" showErrorMessage="1" sqref="F3" allowBlank="1" prompt="validationFailed" type="list" showInputMessage="1">
      <formula1>'.country-calc, CCCS'!E4:E269</formula1>
    </dataValidation>
    <dataValidation errorStyle="warning" showErrorMessage="1" sqref="T3:U3" allowBlank="1" type="list">
      <formula1>'.theme-calc, CCCS'!A2:A125</formula1>
    </dataValidation>
    <dataValidation errorStyle="warning" showErrorMessage="1" sqref="V3:W3" allowBlank="1" type="list">
      <formula1>'.sector-calc, CCCS'!B3:B139</formula1>
    </dataValidation>
    <dataValidation errorStyle="warning" showErrorMessage="1" sqref="X3:Y3" allowBlank="1" prompt="validationFailed" type="list" showInputMessage="1">
      <formula1>'.theme-calc, IFC'!A2:A53</formula1>
    </dataValidation>
    <dataValidation errorStyle="warning" showErrorMessage="1" sqref="Z3" allowBlank="1" type="list">
      <formula1>'.sector-calc, IFC'!B3:B70</formula1>
    </dataValidation>
    <dataValidation errorStyle="warning" showErrorMessage="1" sqref="F4" allowBlank="1" type="list">
      <formula1>'.country-calc, CCCS'!E4:E269</formula1>
    </dataValidation>
    <dataValidation errorStyle="warning" showErrorMessage="1" sqref="T4:U4" allowBlank="1" prompt="validationFailed" type="list" showInputMessage="1">
      <formula1>'.theme-calc, CCCS'!A2:A125</formula1>
    </dataValidation>
    <dataValidation errorStyle="warning" showErrorMessage="1" sqref="V4:W4" allowBlank="1" prompt="validationFailed" type="list" showInputMessage="1">
      <formula1>'.sector-calc, CCCS'!B3:B139</formula1>
    </dataValidation>
    <dataValidation errorStyle="warning" showErrorMessage="1" sqref="X4:Y4" allowBlank="1" prompt="validationFailed" type="list" showInputMessage="1">
      <formula1>'.theme-calc, IFC'!A2:A53</formula1>
    </dataValidation>
    <dataValidation errorStyle="warning" showErrorMessage="1" sqref="Z4" allowBlank="1" prompt="validationFailed" type="list" showInputMessage="1">
      <formula1>'.sector-calc, IFC'!B3:B70</formula1>
    </dataValidation>
    <dataValidation errorStyle="warning" showErrorMessage="1" sqref="F5" allowBlank="1" type="list">
      <formula1>'.country-calc, CCCS'!E4:E269</formula1>
    </dataValidation>
    <dataValidation errorStyle="warning" showErrorMessage="1" sqref="T5:U5" allowBlank="1" type="list">
      <formula1>'.theme-calc, CCCS'!A2:A125</formula1>
    </dataValidation>
    <dataValidation errorStyle="warning" showErrorMessage="1" sqref="V5:W5" allowBlank="1" type="list">
      <formula1>'.sector-calc, CCCS'!B3:B139</formula1>
    </dataValidation>
    <dataValidation errorStyle="warning" showErrorMessage="1" sqref="X5:Y5" allowBlank="1" type="list">
      <formula1>'.theme-calc, IFC'!A2:A53</formula1>
    </dataValidation>
    <dataValidation errorStyle="warning" showErrorMessage="1" sqref="Z5" allowBlank="1" type="list">
      <formula1>'.sector-calc, IFC'!B3:B70</formula1>
    </dataValidation>
    <dataValidation errorStyle="warning" showErrorMessage="1" sqref="F6" allowBlank="1" type="list">
      <formula1>'.country-calc, CCCS'!E4:E269</formula1>
    </dataValidation>
    <dataValidation errorStyle="warning" showErrorMessage="1" sqref="T6:U6" allowBlank="1" prompt="validationFailed" type="list" showInputMessage="1">
      <formula1>'.theme-calc, CCCS'!A2:A125</formula1>
    </dataValidation>
    <dataValidation errorStyle="warning" showErrorMessage="1" sqref="V6:W6" allowBlank="1" type="list">
      <formula1>'.sector-calc, CCCS'!B3:B139</formula1>
    </dataValidation>
    <dataValidation errorStyle="warning" showErrorMessage="1" sqref="X6:Y6" allowBlank="1" prompt="validationFailed" type="list" showInputMessage="1">
      <formula1>'.theme-calc, IFC'!A2:A53</formula1>
    </dataValidation>
    <dataValidation errorStyle="warning" showErrorMessage="1" sqref="Z6" allowBlank="1" prompt="validationFailed" type="list" showInputMessage="1">
      <formula1>'.sector-calc, IFC'!B3:B70</formula1>
    </dataValidation>
    <dataValidation errorStyle="warning" showErrorMessage="1" sqref="F7" allowBlank="1" type="list">
      <formula1>'.country-calc, CCCS'!E4:E269</formula1>
    </dataValidation>
    <dataValidation errorStyle="warning" showErrorMessage="1" sqref="T7:U7" allowBlank="1" prompt="validationFailed" type="list" showInputMessage="1">
      <formula1>'.theme-calc, CCCS'!A2:A125</formula1>
    </dataValidation>
    <dataValidation errorStyle="warning" showErrorMessage="1" sqref="V7:W7" allowBlank="1" prompt="validationFailed" type="list" showInputMessage="1">
      <formula1>'.sector-calc, CCCS'!B3:B139</formula1>
    </dataValidation>
    <dataValidation errorStyle="warning" showErrorMessage="1" sqref="X7:Y7" allowBlank="1" prompt="validationFailed" type="list" showInputMessage="1">
      <formula1>'.theme-calc, IFC'!A2:A53</formula1>
    </dataValidation>
    <dataValidation errorStyle="warning" showErrorMessage="1" sqref="Z7" allowBlank="1" type="list">
      <formula1>'.sector-calc, IFC'!B3:B70</formula1>
    </dataValidation>
    <dataValidation errorStyle="warning" showErrorMessage="1" sqref="F8" allowBlank="1" type="list">
      <formula1>'.country-calc, CCCS'!E4:E269</formula1>
    </dataValidation>
    <dataValidation errorStyle="warning" showErrorMessage="1" sqref="T8" allowBlank="1" type="list">
      <formula1>'.theme-calc, CCCS'!A2:A125</formula1>
    </dataValidation>
    <dataValidation errorStyle="warning" showErrorMessage="1" sqref="U8" allowBlank="1" prompt="validationFailed" type="list" showInputMessage="1">
      <formula1>'.theme-calc, CCCS'!B2:B125</formula1>
    </dataValidation>
    <dataValidation errorStyle="warning" showErrorMessage="1" sqref="V8:W8" allowBlank="1" type="list">
      <formula1>'.sector-calc, CCCS'!B3:B139</formula1>
    </dataValidation>
    <dataValidation errorStyle="warning" showErrorMessage="1" sqref="X8:Y8" allowBlank="1" prompt="validationFailed" type="list" showInputMessage="1">
      <formula1>'.theme-calc, IFC'!A2:A53</formula1>
    </dataValidation>
    <dataValidation errorStyle="warning" showErrorMessage="1" sqref="Z8" allowBlank="1" type="list">
      <formula1>'.sector-calc, IFC'!B3:B70</formula1>
    </dataValidation>
    <dataValidation errorStyle="warning" showErrorMessage="1" sqref="F9" allowBlank="1" type="list">
      <formula1>'.country-calc, CCCS'!E4:E269</formula1>
    </dataValidation>
    <dataValidation errorStyle="warning" showErrorMessage="1" sqref="T9:U9" allowBlank="1" prompt="validationFailed" type="list" showInputMessage="1">
      <formula1>'.theme-calc, CCCS'!A2:A125</formula1>
    </dataValidation>
    <dataValidation errorStyle="warning" showErrorMessage="1" sqref="V9:W9" allowBlank="1" prompt="validationFailed" type="list" showInputMessage="1">
      <formula1>'.sector-calc, CCCS'!B3:B139</formula1>
    </dataValidation>
    <dataValidation errorStyle="warning" showErrorMessage="1" sqref="X9:Y9" allowBlank="1" prompt="validationFailed" type="list" showInputMessage="1">
      <formula1>'.theme-calc, IFC'!A2:A53</formula1>
    </dataValidation>
    <dataValidation errorStyle="warning" showErrorMessage="1" sqref="Z9" allowBlank="1" prompt="validationFailed" type="list" showInputMessage="1">
      <formula1>'.sector-calc, IFC'!B3:B70</formula1>
    </dataValidation>
    <dataValidation errorStyle="warning" showErrorMessage="1" sqref="F10" allowBlank="1" type="list">
      <formula1>'.country-calc, CCCS'!E4:E269</formula1>
    </dataValidation>
    <dataValidation errorStyle="warning" showErrorMessage="1" sqref="T10:U10" allowBlank="1" prompt="validationFailed" type="list" showInputMessage="1">
      <formula1>'.theme-calc, CCCS'!A2:A125</formula1>
    </dataValidation>
    <dataValidation errorStyle="warning" showErrorMessage="1" sqref="V10:W10" allowBlank="1" type="list">
      <formula1>'.sector-calc, CCCS'!B3:B139</formula1>
    </dataValidation>
    <dataValidation errorStyle="warning" showErrorMessage="1" sqref="X10:Y10" allowBlank="1" type="list">
      <formula1>'.theme-calc, IFC'!A2:A53</formula1>
    </dataValidation>
    <dataValidation errorStyle="warning" showErrorMessage="1" sqref="Z10" allowBlank="1" type="list">
      <formula1>'.sector-calc, IFC'!B3:B70</formula1>
    </dataValidation>
    <dataValidation errorStyle="warning" showErrorMessage="1" sqref="F11" allowBlank="1" type="list">
      <formula1>'.country-calc, CCCS'!E4:E269</formula1>
    </dataValidation>
    <dataValidation errorStyle="warning" showErrorMessage="1" sqref="T11" allowBlank="1" type="list">
      <formula1>'.theme-calc, CCCS'!A2:A125</formula1>
    </dataValidation>
    <dataValidation errorStyle="warning" showErrorMessage="1" sqref="U11" allowBlank="1" prompt="validationFailed" type="list" showInputMessage="1">
      <formula1>'.theme-calc, CCCS'!B2:B125</formula1>
    </dataValidation>
    <dataValidation errorStyle="warning" showErrorMessage="1" sqref="V11:W11" allowBlank="1" type="list">
      <formula1>'.sector-calc, CCCS'!B3:B139</formula1>
    </dataValidation>
    <dataValidation errorStyle="warning" showErrorMessage="1" sqref="X11:Y11" allowBlank="1" prompt="validationFailed" type="list" showInputMessage="1">
      <formula1>'.theme-calc, IFC'!A2:A53</formula1>
    </dataValidation>
    <dataValidation errorStyle="warning" showErrorMessage="1" sqref="Z11" allowBlank="1" type="list">
      <formula1>'.sector-calc, IFC'!B3:B70</formula1>
    </dataValidation>
    <dataValidation errorStyle="warning" showErrorMessage="1" sqref="F12" allowBlank="1" type="list">
      <formula1>'.country-calc, CCCS'!E4:E269</formula1>
    </dataValidation>
    <dataValidation errorStyle="warning" showErrorMessage="1" sqref="T12:U12" allowBlank="1" prompt="validationFailed" type="list" showInputMessage="1">
      <formula1>'.theme-calc, CCCS'!A2:A125</formula1>
    </dataValidation>
    <dataValidation errorStyle="warning" showErrorMessage="1" sqref="V12:W12" allowBlank="1" type="list">
      <formula1>'.sector-calc, CCCS'!B3:B139</formula1>
    </dataValidation>
    <dataValidation errorStyle="warning" showErrorMessage="1" sqref="X12:Y12" allowBlank="1" prompt="validationFailed" type="list" showInputMessage="1">
      <formula1>'.theme-calc, IFC'!A2:A53</formula1>
    </dataValidation>
    <dataValidation errorStyle="warning" showErrorMessage="1" sqref="Z12" allowBlank="1" type="list">
      <formula1>'.sector-calc, IFC'!B3:B70</formula1>
    </dataValidation>
    <dataValidation errorStyle="warning" showErrorMessage="1" sqref="F13" allowBlank="1" type="list">
      <formula1>'.country-calc, CCCS'!E4:E269</formula1>
    </dataValidation>
    <dataValidation errorStyle="warning" showErrorMessage="1" sqref="T13:U13" allowBlank="1" prompt="validationFailed" type="list" showInputMessage="1">
      <formula1>'.theme-calc, CCCS'!A2:A125</formula1>
    </dataValidation>
    <dataValidation errorStyle="warning" showErrorMessage="1" sqref="V13:W13" allowBlank="1" prompt="validationFailed" type="list" showInputMessage="1">
      <formula1>'.sector-calc, CCCS'!B3:B139</formula1>
    </dataValidation>
    <dataValidation errorStyle="warning" showErrorMessage="1" sqref="X13:Y13" allowBlank="1" prompt="validationFailed" type="list" showInputMessage="1">
      <formula1>'.theme-calc, IFC'!A2:A53</formula1>
    </dataValidation>
    <dataValidation errorStyle="warning" showErrorMessage="1" sqref="Z13" allowBlank="1" type="list">
      <formula1>'.sector-calc, IFC'!B3:B70</formula1>
    </dataValidation>
    <dataValidation errorStyle="warning" showErrorMessage="1" sqref="F14" allowBlank="1" type="list">
      <formula1>'.country-calc, CCCS'!E4:E269</formula1>
    </dataValidation>
    <dataValidation errorStyle="warning" showErrorMessage="1" sqref="T14:U14" allowBlank="1" type="list">
      <formula1>'.theme-calc, CCCS'!A2:A125</formula1>
    </dataValidation>
    <dataValidation errorStyle="warning" showErrorMessage="1" sqref="V14:W14" allowBlank="1" type="list">
      <formula1>'.sector-calc, CCCS'!B3:B139</formula1>
    </dataValidation>
    <dataValidation errorStyle="warning" showErrorMessage="1" sqref="X14:Y14" allowBlank="1" type="list">
      <formula1>'.theme-calc, IFC'!A2:A53</formula1>
    </dataValidation>
    <dataValidation errorStyle="warning" showErrorMessage="1" sqref="Z14" allowBlank="1" type="list">
      <formula1>'.sector-calc, IFC'!B3:B70</formula1>
    </dataValidation>
    <dataValidation errorStyle="warning" showErrorMessage="1" sqref="F15" allowBlank="1" prompt="validationFailed" type="list" showInputMessage="1">
      <formula1>'.country-calc, CCCS'!E4:E269</formula1>
    </dataValidation>
    <dataValidation errorStyle="warning" showErrorMessage="1" sqref="T15:U15" allowBlank="1" prompt="validationFailed" type="list" showInputMessage="1">
      <formula1>'.theme-calc, CCCS'!A2:A125</formula1>
    </dataValidation>
    <dataValidation errorStyle="warning" showErrorMessage="1" sqref="V15:W15" allowBlank="1" prompt="validationFailed" type="list" showInputMessage="1">
      <formula1>'.sector-calc, CCCS'!B3:B139</formula1>
    </dataValidation>
    <dataValidation errorStyle="warning" showErrorMessage="1" sqref="X15:Y15" allowBlank="1" type="list">
      <formula1>'.theme-calc, IFC'!A2:A53</formula1>
    </dataValidation>
    <dataValidation errorStyle="warning" showErrorMessage="1" sqref="Z15" allowBlank="1" type="list">
      <formula1>'.sector-calc, IFC'!B3:B70</formula1>
    </dataValidation>
    <dataValidation errorStyle="warning" showErrorMessage="1" sqref="F16" allowBlank="1" type="list">
      <formula1>'.country-calc, CCCS'!E4:E269</formula1>
    </dataValidation>
    <dataValidation errorStyle="warning" showErrorMessage="1" sqref="T16:U16" allowBlank="1" type="list">
      <formula1>'.theme-calc, CCCS'!A2:A125</formula1>
    </dataValidation>
    <dataValidation errorStyle="warning" showErrorMessage="1" sqref="V16:W16" allowBlank="1" prompt="validationFailed" type="list" showInputMessage="1">
      <formula1>'.sector-calc, CCCS'!B3:B139</formula1>
    </dataValidation>
    <dataValidation errorStyle="warning" showErrorMessage="1" sqref="X16:Y16" allowBlank="1" type="list">
      <formula1>'.theme-calc, IFC'!A2:A53</formula1>
    </dataValidation>
    <dataValidation errorStyle="warning" showErrorMessage="1" sqref="Z16" allowBlank="1" prompt="validationFailed" type="list" showInputMessage="1">
      <formula1>'.sector-calc, IFC'!B3:B70</formula1>
    </dataValidation>
    <dataValidation errorStyle="warning" showErrorMessage="1" sqref="F17" allowBlank="1" type="list">
      <formula1>'.country-calc, CCCS'!E4:E269</formula1>
    </dataValidation>
    <dataValidation errorStyle="warning" showErrorMessage="1" sqref="T17:U17" allowBlank="1" type="list">
      <formula1>'.theme-calc, CCCS'!A2:A125</formula1>
    </dataValidation>
    <dataValidation errorStyle="warning" showErrorMessage="1" sqref="V17:W17" allowBlank="1" type="list">
      <formula1>'.sector-calc, CCCS'!B3:B139</formula1>
    </dataValidation>
    <dataValidation errorStyle="warning" showErrorMessage="1" sqref="X17:Y17" allowBlank="1" type="list">
      <formula1>'.theme-calc, IFC'!A2:A53</formula1>
    </dataValidation>
    <dataValidation errorStyle="warning" showErrorMessage="1" sqref="Z17" allowBlank="1" type="list">
      <formula1>'.sector-calc, IFC'!B3:B70</formula1>
    </dataValidation>
    <dataValidation errorStyle="warning" showErrorMessage="1" sqref="F18" allowBlank="1" type="list">
      <formula1>'.country-calc, CCCS'!E4:E269</formula1>
    </dataValidation>
    <dataValidation errorStyle="warning" showErrorMessage="1" sqref="T18:U18" allowBlank="1" type="list">
      <formula1>'.theme-calc, CCCS'!A2:A125</formula1>
    </dataValidation>
    <dataValidation errorStyle="warning" showErrorMessage="1" sqref="V18:W18" allowBlank="1" type="list">
      <formula1>'.sector-calc, CCCS'!B3:B139</formula1>
    </dataValidation>
    <dataValidation errorStyle="warning" showErrorMessage="1" sqref="X18:Y18" allowBlank="1" type="list">
      <formula1>'.theme-calc, IFC'!A2:A53</formula1>
    </dataValidation>
    <dataValidation errorStyle="warning" showErrorMessage="1" sqref="Z18" allowBlank="1" type="list">
      <formula1>'.sector-calc, IFC'!B3:B70</formula1>
    </dataValidation>
    <dataValidation errorStyle="warning" showErrorMessage="1" sqref="F19" allowBlank="1" type="list">
      <formula1>'.country-calc, CCCS'!E4:E269</formula1>
    </dataValidation>
    <dataValidation errorStyle="warning" showErrorMessage="1" sqref="T19:U19" allowBlank="1" type="list">
      <formula1>'.theme-calc, CCCS'!A2:A125</formula1>
    </dataValidation>
    <dataValidation errorStyle="warning" showErrorMessage="1" sqref="V19:W19" allowBlank="1" type="list">
      <formula1>'.sector-calc, CCCS'!B3:B139</formula1>
    </dataValidation>
    <dataValidation errorStyle="warning" showErrorMessage="1" sqref="X19:Y19" allowBlank="1" type="list">
      <formula1>'.theme-calc, IFC'!A2:A53</formula1>
    </dataValidation>
    <dataValidation errorStyle="warning" showErrorMessage="1" sqref="Z19" allowBlank="1" type="list">
      <formula1>'.sector-calc, IFC'!B3:B70</formula1>
    </dataValidation>
    <dataValidation errorStyle="warning" showErrorMessage="1" sqref="F20" allowBlank="1" type="list">
      <formula1>'.country-calc, CCCS'!E4:E269</formula1>
    </dataValidation>
    <dataValidation errorStyle="warning" showErrorMessage="1" sqref="T20:U20" allowBlank="1" type="list">
      <formula1>'.theme-calc, CCCS'!A2:A125</formula1>
    </dataValidation>
    <dataValidation errorStyle="warning" showErrorMessage="1" sqref="V20:W20" allowBlank="1" type="list">
      <formula1>'.sector-calc, CCCS'!B3:B139</formula1>
    </dataValidation>
    <dataValidation errorStyle="warning" showErrorMessage="1" sqref="X20:Y20" allowBlank="1" type="list">
      <formula1>'.theme-calc, IFC'!A2:A53</formula1>
    </dataValidation>
    <dataValidation errorStyle="warning" showErrorMessage="1" sqref="Z20" allowBlank="1" type="list">
      <formula1>'.sector-calc, IFC'!B3:B70</formula1>
    </dataValidation>
    <dataValidation errorStyle="warning" showErrorMessage="1" sqref="F21" allowBlank="1" type="list">
      <formula1>'.country-calc, CCCS'!E4:E269</formula1>
    </dataValidation>
    <dataValidation errorStyle="warning" showErrorMessage="1" sqref="T21:U21" allowBlank="1" prompt="validationFailed" type="list" showInputMessage="1">
      <formula1>'.theme-calc, CCCS'!A2:A125</formula1>
    </dataValidation>
    <dataValidation errorStyle="warning" showErrorMessage="1" sqref="V21:W21" allowBlank="1" prompt="validationFailed" type="list" showInputMessage="1">
      <formula1>'.sector-calc, CCCS'!B3:B139</formula1>
    </dataValidation>
    <dataValidation errorStyle="warning" showErrorMessage="1" sqref="X21:Y21" allowBlank="1" prompt="validationFailed" type="list" showInputMessage="1">
      <formula1>'.theme-calc, IFC'!A2:A53</formula1>
    </dataValidation>
    <dataValidation errorStyle="warning" showErrorMessage="1" sqref="Z21" allowBlank="1" prompt="validationFailed" type="list" showInputMessage="1">
      <formula1>'.sector-calc, IFC'!B3:B70</formula1>
    </dataValidation>
    <dataValidation errorStyle="warning" showErrorMessage="1" sqref="F22" allowBlank="1" type="list">
      <formula1>'.country-calc, CCCS'!E4:E269</formula1>
    </dataValidation>
    <dataValidation errorStyle="warning" showErrorMessage="1" sqref="T22:U22" allowBlank="1" prompt="validationFailed" type="list" showInputMessage="1">
      <formula1>'.theme-calc, CCCS'!A2:A125</formula1>
    </dataValidation>
    <dataValidation errorStyle="warning" showErrorMessage="1" sqref="V22:W22" allowBlank="1" type="list">
      <formula1>'.sector-calc, CCCS'!B3:B139</formula1>
    </dataValidation>
    <dataValidation errorStyle="warning" showErrorMessage="1" sqref="X22:Y22" allowBlank="1" type="list">
      <formula1>'.theme-calc, IFC'!A2:A53</formula1>
    </dataValidation>
    <dataValidation errorStyle="warning" showErrorMessage="1" sqref="Z22" allowBlank="1" type="list">
      <formula1>'.sector-calc, IFC'!B3:B70</formula1>
    </dataValidation>
    <dataValidation errorStyle="warning" showErrorMessage="1" sqref="F23" allowBlank="1" type="list">
      <formula1>'.country-calc, CCCS'!E4:E269</formula1>
    </dataValidation>
    <dataValidation errorStyle="warning" showErrorMessage="1" sqref="T23:U23" allowBlank="1" prompt="validationFailed" type="list" showInputMessage="1">
      <formula1>'.theme-calc, CCCS'!A2:A125</formula1>
    </dataValidation>
    <dataValidation errorStyle="warning" showErrorMessage="1" sqref="V23:W23" allowBlank="1" prompt="validationFailed" type="list" showInputMessage="1">
      <formula1>'.sector-calc, CCCS'!B3:B139</formula1>
    </dataValidation>
    <dataValidation errorStyle="warning" showErrorMessage="1" sqref="X23:Y23" allowBlank="1" type="list">
      <formula1>'.theme-calc, IFC'!A2:A53</formula1>
    </dataValidation>
    <dataValidation errorStyle="warning" showErrorMessage="1" sqref="Z23" allowBlank="1" type="list">
      <formula1>'.sector-calc, IFC'!B3:B70</formula1>
    </dataValidation>
    <dataValidation errorStyle="warning" showErrorMessage="1" sqref="F24" allowBlank="1" type="list">
      <formula1>'.country-calc, CCCS'!E4:E269</formula1>
    </dataValidation>
    <dataValidation errorStyle="warning" showErrorMessage="1" sqref="T24:U24" allowBlank="1" type="list">
      <formula1>'.theme-calc, CCCS'!A2:A125</formula1>
    </dataValidation>
    <dataValidation errorStyle="warning" showErrorMessage="1" sqref="V24:W24" allowBlank="1" type="list">
      <formula1>'.sector-calc, CCCS'!B3:B139</formula1>
    </dataValidation>
    <dataValidation errorStyle="warning" showErrorMessage="1" sqref="X24:Y24" allowBlank="1" type="list">
      <formula1>'.theme-calc, IFC'!A2:A53</formula1>
    </dataValidation>
    <dataValidation errorStyle="warning" showErrorMessage="1" sqref="Z24" allowBlank="1" prompt="validationFailed" type="list" showInputMessage="1">
      <formula1>'.sector-calc, IFC'!B3:B70</formula1>
    </dataValidation>
    <dataValidation errorStyle="warning" showErrorMessage="1" sqref="F25" allowBlank="1" type="list">
      <formula1>'.country-calc, CCCS'!E4:E269</formula1>
    </dataValidation>
    <dataValidation errorStyle="warning" showErrorMessage="1" sqref="T25:U25" allowBlank="1" type="list">
      <formula1>'.theme-calc, CCCS'!A2:A125</formula1>
    </dataValidation>
    <dataValidation errorStyle="warning" showErrorMessage="1" sqref="V25:W25" allowBlank="1" type="list">
      <formula1>'.sector-calc, CCCS'!B3:B139</formula1>
    </dataValidation>
    <dataValidation errorStyle="warning" showErrorMessage="1" sqref="X25:Y25" allowBlank="1" type="list">
      <formula1>'.theme-calc, IFC'!A2:A53</formula1>
    </dataValidation>
    <dataValidation errorStyle="warning" showErrorMessage="1" sqref="Z25" allowBlank="1" type="list">
      <formula1>'.sector-calc, IFC'!B3:B70</formula1>
    </dataValidation>
    <dataValidation errorStyle="warning" showErrorMessage="1" sqref="F26" allowBlank="1" type="list">
      <formula1>'.country-calc, CCCS'!E4:E269</formula1>
    </dataValidation>
    <dataValidation errorStyle="warning" showErrorMessage="1" sqref="T26:U26" allowBlank="1" type="list">
      <formula1>'.theme-calc, CCCS'!A2:A125</formula1>
    </dataValidation>
    <dataValidation errorStyle="warning" showErrorMessage="1" sqref="V26:W26" allowBlank="1" type="list">
      <formula1>'.sector-calc, CCCS'!B3:B139</formula1>
    </dataValidation>
    <dataValidation errorStyle="warning" showErrorMessage="1" sqref="X26:Y26" allowBlank="1" type="list">
      <formula1>'.theme-calc, IFC'!A2:A53</formula1>
    </dataValidation>
    <dataValidation errorStyle="warning" showErrorMessage="1" sqref="Z26" allowBlank="1" type="list">
      <formula1>'.sector-calc, IFC'!B3:B70</formula1>
    </dataValidation>
    <dataValidation errorStyle="warning" showErrorMessage="1" sqref="F27" allowBlank="1" type="list">
      <formula1>'.country-calc, CCCS'!E4:E269</formula1>
    </dataValidation>
    <dataValidation errorStyle="warning" showErrorMessage="1" sqref="T27:U27" allowBlank="1" type="list">
      <formula1>'.theme-calc, CCCS'!A2:A125</formula1>
    </dataValidation>
    <dataValidation errorStyle="warning" showErrorMessage="1" sqref="V27:W27" allowBlank="1" prompt="validationFailed" type="list" showInputMessage="1">
      <formula1>'.sector-calc, CCCS'!B3:B139</formula1>
    </dataValidation>
    <dataValidation errorStyle="warning" showErrorMessage="1" sqref="X27:Y27" allowBlank="1" type="list">
      <formula1>'.theme-calc, IFC'!A2:A53</formula1>
    </dataValidation>
    <dataValidation errorStyle="warning" showErrorMessage="1" sqref="Z27" allowBlank="1" type="list">
      <formula1>'.sector-calc, IFC'!B3:B70</formula1>
    </dataValidation>
    <dataValidation errorStyle="warning" showErrorMessage="1" sqref="F28" allowBlank="1" type="list">
      <formula1>'.country-calc, CCCS'!E4:E269</formula1>
    </dataValidation>
    <dataValidation errorStyle="warning" showErrorMessage="1" sqref="T28:U28" allowBlank="1" prompt="validationFailed" type="list" showInputMessage="1">
      <formula1>'.theme-calc, CCCS'!A2:A125</formula1>
    </dataValidation>
    <dataValidation errorStyle="warning" showErrorMessage="1" sqref="V28:W28" allowBlank="1" prompt="validationFailed" type="list" showInputMessage="1">
      <formula1>'.sector-calc, CCCS'!B3:B139</formula1>
    </dataValidation>
    <dataValidation errorStyle="warning" showErrorMessage="1" sqref="X28:Y28" allowBlank="1" type="list">
      <formula1>'.theme-calc, IFC'!A2:A53</formula1>
    </dataValidation>
    <dataValidation errorStyle="warning" showErrorMessage="1" sqref="Z28" allowBlank="1" prompt="validationFailed" type="list" showInputMessage="1">
      <formula1>'.sector-calc, IFC'!B3:B70</formula1>
    </dataValidation>
    <dataValidation errorStyle="warning" showErrorMessage="1" sqref="F29" allowBlank="1" type="list">
      <formula1>'.country-calc, CCCS'!E4:E269</formula1>
    </dataValidation>
    <dataValidation errorStyle="warning" showErrorMessage="1" sqref="T29:U29" allowBlank="1" type="list">
      <formula1>'.theme-calc, CCCS'!A2:A125</formula1>
    </dataValidation>
    <dataValidation errorStyle="warning" showErrorMessage="1" sqref="V29" allowBlank="1" type="list">
      <formula1>'.sector-calc, CCCS'!B3:B139</formula1>
    </dataValidation>
    <dataValidation errorStyle="warning" showErrorMessage="1" sqref="W29" allowBlank="1" prompt="validationFailed" type="list" showInputMessage="1">
      <formula1>'.sector-calc, CCCS'!C3:C139</formula1>
    </dataValidation>
    <dataValidation errorStyle="warning" showErrorMessage="1" sqref="X29:Y29" allowBlank="1" type="list">
      <formula1>'.theme-calc, IFC'!A2:A53</formula1>
    </dataValidation>
    <dataValidation errorStyle="warning" showErrorMessage="1" sqref="Z29" allowBlank="1" type="list">
      <formula1>'.sector-calc, IFC'!B3:B70</formula1>
    </dataValidation>
    <dataValidation errorStyle="warning" showErrorMessage="1" sqref="F30" allowBlank="1" type="list">
      <formula1>'.country-calc, CCCS'!E4:E269</formula1>
    </dataValidation>
    <dataValidation errorStyle="warning" showErrorMessage="1" sqref="T30:U30" allowBlank="1" type="list">
      <formula1>'.theme-calc, CCCS'!A2:A125</formula1>
    </dataValidation>
    <dataValidation errorStyle="warning" showErrorMessage="1" sqref="V30" allowBlank="1" type="list">
      <formula1>'.sector-calc, CCCS'!B3:B139</formula1>
    </dataValidation>
    <dataValidation errorStyle="warning" showErrorMessage="1" sqref="W30" allowBlank="1" prompt="validationFailed" type="list" showInputMessage="1">
      <formula1>'.sector-calc, CCCS'!C3:C139</formula1>
    </dataValidation>
    <dataValidation errorStyle="warning" showErrorMessage="1" sqref="X30:Y30" allowBlank="1" type="list">
      <formula1>'.theme-calc, IFC'!A2:A53</formula1>
    </dataValidation>
    <dataValidation errorStyle="warning" showErrorMessage="1" sqref="Z30" allowBlank="1" prompt="validationFailed" type="list" showInputMessage="1">
      <formula1>'.sector-calc, IFC'!B3:B70</formula1>
    </dataValidation>
    <dataValidation errorStyle="warning" showErrorMessage="1" sqref="F31" allowBlank="1" type="list">
      <formula1>'.country-calc, CCCS'!E4:E269</formula1>
    </dataValidation>
    <dataValidation errorStyle="warning" showErrorMessage="1" sqref="T31:U31" allowBlank="1" type="list">
      <formula1>'.theme-calc, CCCS'!A2:A125</formula1>
    </dataValidation>
    <dataValidation errorStyle="warning" showErrorMessage="1" sqref="V31:W31" allowBlank="1" type="list">
      <formula1>'.sector-calc, CCCS'!B3:B139</formula1>
    </dataValidation>
    <dataValidation errorStyle="warning" showErrorMessage="1" sqref="X31:Y31" allowBlank="1" type="list">
      <formula1>'.theme-calc, IFC'!A2:A53</formula1>
    </dataValidation>
    <dataValidation errorStyle="warning" showErrorMessage="1" sqref="Z31" allowBlank="1" type="list">
      <formula1>'.sector-calc, IFC'!B3:B70</formula1>
    </dataValidation>
    <dataValidation errorStyle="warning" showErrorMessage="1" sqref="F32" allowBlank="1" type="list">
      <formula1>'.country-calc, CCCS'!E4:E269</formula1>
    </dataValidation>
    <dataValidation errorStyle="warning" showErrorMessage="1" sqref="T32:U32" allowBlank="1" type="list">
      <formula1>'.theme-calc, CCCS'!A2:A125</formula1>
    </dataValidation>
    <dataValidation errorStyle="warning" showErrorMessage="1" sqref="V32:W32" allowBlank="1" type="list">
      <formula1>'.sector-calc, CCCS'!B3:B139</formula1>
    </dataValidation>
    <dataValidation errorStyle="warning" showErrorMessage="1" sqref="X32:Y32" allowBlank="1" type="list">
      <formula1>'.theme-calc, IFC'!A2:A53</formula1>
    </dataValidation>
    <dataValidation errorStyle="warning" showErrorMessage="1" sqref="Z32" allowBlank="1" type="list">
      <formula1>'.sector-calc, IFC'!B3:B70</formula1>
    </dataValidation>
    <dataValidation errorStyle="warning" showErrorMessage="1" sqref="F33" allowBlank="1" type="list">
      <formula1>'.country-calc, CCCS'!E4:E269</formula1>
    </dataValidation>
    <dataValidation errorStyle="warning" showErrorMessage="1" sqref="T33:U33" allowBlank="1" type="list">
      <formula1>'.theme-calc, CCCS'!A2:A125</formula1>
    </dataValidation>
    <dataValidation errorStyle="warning" showErrorMessage="1" sqref="V33:W33" allowBlank="1" type="list">
      <formula1>'.sector-calc, CCCS'!B3:B139</formula1>
    </dataValidation>
    <dataValidation errorStyle="warning" showErrorMessage="1" sqref="X33:Y33" allowBlank="1" type="list">
      <formula1>'.theme-calc, IFC'!A2:A53</formula1>
    </dataValidation>
    <dataValidation errorStyle="warning" showErrorMessage="1" sqref="Z33" allowBlank="1" type="list">
      <formula1>'.sector-calc, IFC'!B3:B70</formula1>
    </dataValidation>
    <dataValidation errorStyle="warning" showErrorMessage="1" sqref="F34" allowBlank="1" type="list">
      <formula1>'.country-calc, CCCS'!E4:E269</formula1>
    </dataValidation>
    <dataValidation errorStyle="warning" showErrorMessage="1" sqref="T34:U34" allowBlank="1" type="list">
      <formula1>'.theme-calc, CCCS'!A2:A125</formula1>
    </dataValidation>
    <dataValidation errorStyle="warning" showErrorMessage="1" sqref="V34:W34" allowBlank="1" type="list">
      <formula1>'.sector-calc, CCCS'!B3:B139</formula1>
    </dataValidation>
    <dataValidation errorStyle="warning" showErrorMessage="1" sqref="X34:Y34" allowBlank="1" type="list">
      <formula1>'.theme-calc, IFC'!A2:A53</formula1>
    </dataValidation>
    <dataValidation errorStyle="warning" showErrorMessage="1" sqref="Z34" allowBlank="1" type="list">
      <formula1>'.sector-calc, IFC'!B3:B70</formula1>
    </dataValidation>
    <dataValidation errorStyle="warning" showErrorMessage="1" sqref="F35" allowBlank="1" type="list">
      <formula1>'.country-calc, CCCS'!E4:E269</formula1>
    </dataValidation>
    <dataValidation errorStyle="warning" showErrorMessage="1" sqref="T35:U35" allowBlank="1" prompt="validationFailed" type="list" showInputMessage="1">
      <formula1>'.theme-calc, CCCS'!A2:A125</formula1>
    </dataValidation>
    <dataValidation errorStyle="warning" showErrorMessage="1" sqref="V35:W35" allowBlank="1" prompt="validationFailed" type="list" showInputMessage="1">
      <formula1>'.sector-calc, CCCS'!B3:B139</formula1>
    </dataValidation>
    <dataValidation errorStyle="warning" showErrorMessage="1" sqref="X35:Y35" allowBlank="1" prompt="validationFailed" type="list" showInputMessage="1">
      <formula1>'.theme-calc, IFC'!A2:A53</formula1>
    </dataValidation>
    <dataValidation errorStyle="warning" showErrorMessage="1" sqref="Z35" allowBlank="1" type="list">
      <formula1>'.sector-calc, IFC'!B3:B70</formula1>
    </dataValidation>
    <dataValidation errorStyle="warning" showErrorMessage="1" sqref="F36" allowBlank="1" type="list">
      <formula1>'.country-calc, CCCS'!E4:E269</formula1>
    </dataValidation>
    <dataValidation errorStyle="warning" showErrorMessage="1" sqref="T36:U36" allowBlank="1" prompt="validationFailed" type="list" showInputMessage="1">
      <formula1>'.theme-calc, CCCS'!A2:A125</formula1>
    </dataValidation>
    <dataValidation errorStyle="warning" showErrorMessage="1" sqref="V36:W36" allowBlank="1" prompt="validationFailed" type="list" showInputMessage="1">
      <formula1>'.sector-calc, CCCS'!B3:B139</formula1>
    </dataValidation>
    <dataValidation errorStyle="warning" showErrorMessage="1" sqref="X36:Y36" allowBlank="1" prompt="validationFailed" type="list" showInputMessage="1">
      <formula1>'.theme-calc, IFC'!A2:A53</formula1>
    </dataValidation>
    <dataValidation errorStyle="warning" showErrorMessage="1" sqref="Z36" allowBlank="1" prompt="validationFailed" type="list" showInputMessage="1">
      <formula1>'.sector-calc, IFC'!B3:B70</formula1>
    </dataValidation>
    <dataValidation errorStyle="warning" showErrorMessage="1" sqref="F37" allowBlank="1" type="list">
      <formula1>'.country-calc, CCCS'!E4:E269</formula1>
    </dataValidation>
    <dataValidation errorStyle="warning" showErrorMessage="1" sqref="T37:U37" allowBlank="1" prompt="validationFailed" type="list" showInputMessage="1">
      <formula1>'.theme-calc, CCCS'!A2:A125</formula1>
    </dataValidation>
    <dataValidation errorStyle="warning" showErrorMessage="1" sqref="V37:W37" allowBlank="1" type="list">
      <formula1>'.sector-calc, CCCS'!B3:B139</formula1>
    </dataValidation>
    <dataValidation errorStyle="warning" showErrorMessage="1" sqref="X37:Y37" allowBlank="1" type="list">
      <formula1>'.theme-calc, IFC'!A2:A53</formula1>
    </dataValidation>
    <dataValidation errorStyle="warning" showErrorMessage="1" sqref="Z37" allowBlank="1" type="list">
      <formula1>'.sector-calc, IFC'!B3:B70</formula1>
    </dataValidation>
    <dataValidation errorStyle="warning" showErrorMessage="1" sqref="F38" allowBlank="1" type="list">
      <formula1>'.country-calc, CCCS'!E4:E269</formula1>
    </dataValidation>
    <dataValidation errorStyle="warning" showErrorMessage="1" sqref="T38:U38" allowBlank="1" type="list">
      <formula1>'.theme-calc, CCCS'!A2:A125</formula1>
    </dataValidation>
    <dataValidation errorStyle="warning" showErrorMessage="1" sqref="V38:W38" allowBlank="1" prompt="validationFailed" type="list" showInputMessage="1">
      <formula1>'.sector-calc, CCCS'!B3:B139</formula1>
    </dataValidation>
    <dataValidation errorStyle="warning" showErrorMessage="1" sqref="X38:Y38" allowBlank="1" prompt="validationFailed" type="list" showInputMessage="1">
      <formula1>'.theme-calc, IFC'!A2:A53</formula1>
    </dataValidation>
    <dataValidation errorStyle="warning" showErrorMessage="1" sqref="Z38" allowBlank="1" type="list">
      <formula1>'.sector-calc, IFC'!B3:B70</formula1>
    </dataValidation>
    <dataValidation errorStyle="warning" showErrorMessage="1" sqref="F39" allowBlank="1" type="list">
      <formula1>'.country-calc, CCCS'!E4:E269</formula1>
    </dataValidation>
    <dataValidation errorStyle="warning" showErrorMessage="1" sqref="T39:U39" allowBlank="1" type="list">
      <formula1>'.theme-calc, CCCS'!A2:A125</formula1>
    </dataValidation>
    <dataValidation errorStyle="warning" showErrorMessage="1" sqref="V39:W39" allowBlank="1" type="list">
      <formula1>'.sector-calc, CCCS'!B3:B139</formula1>
    </dataValidation>
    <dataValidation errorStyle="warning" showErrorMessage="1" sqref="X39:Y39" allowBlank="1" type="list">
      <formula1>'.theme-calc, IFC'!A2:A53</formula1>
    </dataValidation>
    <dataValidation errorStyle="warning" showErrorMessage="1" sqref="Z39" allowBlank="1" prompt="validationFailed" type="list" showInputMessage="1">
      <formula1>'.sector-calc, IFC'!B3:B70</formula1>
    </dataValidation>
    <dataValidation errorStyle="warning" showErrorMessage="1" sqref="F40" allowBlank="1" prompt="validationFailed" type="list" showInputMessage="1">
      <formula1>'.country-calc, CCCS'!E4:E269</formula1>
    </dataValidation>
    <dataValidation errorStyle="warning" showErrorMessage="1" sqref="T40:U40" allowBlank="1" type="list">
      <formula1>'.theme-calc, CCCS'!A2:A125</formula1>
    </dataValidation>
    <dataValidation errorStyle="warning" showErrorMessage="1" sqref="V40:W40" allowBlank="1" type="list">
      <formula1>'.sector-calc, CCCS'!B3:B139</formula1>
    </dataValidation>
    <dataValidation errorStyle="warning" showErrorMessage="1" sqref="X40:Y40" allowBlank="1" type="list">
      <formula1>'.theme-calc, IFC'!A2:A53</formula1>
    </dataValidation>
    <dataValidation errorStyle="warning" showErrorMessage="1" sqref="Z40" allowBlank="1" type="list">
      <formula1>'.sector-calc, IFC'!B3:B70</formula1>
    </dataValidation>
    <dataValidation errorStyle="warning" showErrorMessage="1" sqref="F41" allowBlank="1" type="list">
      <formula1>'.country-calc, CCCS'!E4:E269</formula1>
    </dataValidation>
    <dataValidation errorStyle="warning" showErrorMessage="1" sqref="T41:U41" allowBlank="1" type="list">
      <formula1>'.theme-calc, CCCS'!A2:A125</formula1>
    </dataValidation>
    <dataValidation errorStyle="warning" showErrorMessage="1" sqref="V41:W41" allowBlank="1" type="list">
      <formula1>'.sector-calc, CCCS'!B3:B139</formula1>
    </dataValidation>
    <dataValidation errorStyle="warning" showErrorMessage="1" sqref="X41:Y41" allowBlank="1" type="list">
      <formula1>'.theme-calc, IFC'!A2:A53</formula1>
    </dataValidation>
    <dataValidation errorStyle="warning" showErrorMessage="1" sqref="Z41" allowBlank="1" type="list">
      <formula1>'.sector-calc, IFC'!B3:B70</formula1>
    </dataValidation>
    <dataValidation errorStyle="warning" showErrorMessage="1" sqref="F42" allowBlank="1" prompt="validationFailed" type="list" showInputMessage="1">
      <formula1>'.country-calc, CCCS'!E4:E269</formula1>
    </dataValidation>
    <dataValidation errorStyle="warning" showErrorMessage="1" sqref="T42:U42" allowBlank="1" type="list">
      <formula1>'.theme-calc, CCCS'!A2:A125</formula1>
    </dataValidation>
    <dataValidation errorStyle="warning" showErrorMessage="1" sqref="V42:W42" allowBlank="1" type="list">
      <formula1>'.sector-calc, CCCS'!B3:B139</formula1>
    </dataValidation>
    <dataValidation errorStyle="warning" showErrorMessage="1" sqref="X42:Y42" allowBlank="1" type="list">
      <formula1>'.theme-calc, IFC'!A2:A53</formula1>
    </dataValidation>
    <dataValidation errorStyle="warning" showErrorMessage="1" sqref="Z42" allowBlank="1" type="list">
      <formula1>'.sector-calc, IFC'!B3:B70</formula1>
    </dataValidation>
    <dataValidation errorStyle="warning" showErrorMessage="1" sqref="F43" allowBlank="1" type="list">
      <formula1>'.country-calc, CCCS'!E4:E269</formula1>
    </dataValidation>
    <dataValidation errorStyle="warning" showErrorMessage="1" sqref="T43:U43" allowBlank="1" type="list">
      <formula1>'.theme-calc, CCCS'!A2:A125</formula1>
    </dataValidation>
    <dataValidation errorStyle="warning" showErrorMessage="1" sqref="V43:W43" allowBlank="1" prompt="validationFailed" type="list" showInputMessage="1">
      <formula1>'.sector-calc, CCCS'!B3:B139</formula1>
    </dataValidation>
    <dataValidation errorStyle="warning" showErrorMessage="1" sqref="X43:Y43" allowBlank="1" prompt="validationFailed" type="list" showInputMessage="1">
      <formula1>'.theme-calc, IFC'!A2:A53</formula1>
    </dataValidation>
    <dataValidation errorStyle="warning" showErrorMessage="1" sqref="Z43" allowBlank="1" type="list">
      <formula1>'.sector-calc, IFC'!B3:B70</formula1>
    </dataValidation>
    <dataValidation errorStyle="warning" showErrorMessage="1" sqref="F44" allowBlank="1" type="list">
      <formula1>'.country-calc, CCCS'!E4:E269</formula1>
    </dataValidation>
    <dataValidation errorStyle="warning" showErrorMessage="1" sqref="T44:U44" allowBlank="1" type="list">
      <formula1>'.theme-calc, CCCS'!A2:A125</formula1>
    </dataValidation>
    <dataValidation errorStyle="warning" showErrorMessage="1" sqref="V44:W44" allowBlank="1" type="list">
      <formula1>'.sector-calc, CCCS'!B3:B139</formula1>
    </dataValidation>
    <dataValidation errorStyle="warning" showErrorMessage="1" sqref="X44:Y44" allowBlank="1" type="list">
      <formula1>'.theme-calc, IFC'!A2:A53</formula1>
    </dataValidation>
    <dataValidation errorStyle="warning" showErrorMessage="1" sqref="Z44" allowBlank="1" type="list">
      <formula1>'.sector-calc, IFC'!B3:B70</formula1>
    </dataValidation>
    <dataValidation errorStyle="warning" showErrorMessage="1" sqref="F45" allowBlank="1" type="list">
      <formula1>'.country-calc, CCCS'!E4:E269</formula1>
    </dataValidation>
    <dataValidation errorStyle="warning" showErrorMessage="1" sqref="T45:U45" allowBlank="1" prompt="validationFailed" type="list" showInputMessage="1">
      <formula1>'.theme-calc, CCCS'!A2:A125</formula1>
    </dataValidation>
    <dataValidation errorStyle="warning" showErrorMessage="1" sqref="V45:W45" allowBlank="1" type="list">
      <formula1>'.sector-calc, CCCS'!B3:B139</formula1>
    </dataValidation>
    <dataValidation errorStyle="warning" showErrorMessage="1" sqref="X45:Y45" allowBlank="1" type="list">
      <formula1>'.theme-calc, IFC'!A2:A53</formula1>
    </dataValidation>
    <dataValidation errorStyle="warning" showErrorMessage="1" sqref="Z45" allowBlank="1" type="list">
      <formula1>'.sector-calc, IFC'!B3:B70</formula1>
    </dataValidation>
    <dataValidation errorStyle="warning" showErrorMessage="1" sqref="F46" allowBlank="1" type="list">
      <formula1>'.country-calc, CCCS'!E4:E269</formula1>
    </dataValidation>
    <dataValidation errorStyle="warning" showErrorMessage="1" sqref="T46:U46" allowBlank="1" type="list">
      <formula1>'.theme-calc, CCCS'!A2:A125</formula1>
    </dataValidation>
    <dataValidation errorStyle="warning" showErrorMessage="1" sqref="V46:W46" allowBlank="1" type="list">
      <formula1>'.sector-calc, CCCS'!B3:B139</formula1>
    </dataValidation>
    <dataValidation errorStyle="warning" showErrorMessage="1" sqref="X46:Y46" allowBlank="1" prompt="validationFailed" type="list" showInputMessage="1">
      <formula1>'.theme-calc, IFC'!A2:A53</formula1>
    </dataValidation>
    <dataValidation errorStyle="warning" showErrorMessage="1" sqref="Z46" allowBlank="1" type="list">
      <formula1>'.sector-calc, IFC'!B3:B70</formula1>
    </dataValidation>
    <dataValidation errorStyle="warning" showErrorMessage="1" sqref="F47" allowBlank="1" type="list">
      <formula1>'.country-calc, CCCS'!E4:E269</formula1>
    </dataValidation>
    <dataValidation errorStyle="warning" showErrorMessage="1" sqref="T47:U47" allowBlank="1" prompt="validationFailed" type="list" showInputMessage="1">
      <formula1>'.theme-calc, CCCS'!A2:A125</formula1>
    </dataValidation>
    <dataValidation errorStyle="warning" showErrorMessage="1" sqref="V47:W47" allowBlank="1" type="list">
      <formula1>'.sector-calc, CCCS'!B3:B139</formula1>
    </dataValidation>
    <dataValidation errorStyle="warning" showErrorMessage="1" sqref="X47:Y47" allowBlank="1" prompt="validationFailed" type="list" showInputMessage="1">
      <formula1>'.theme-calc, IFC'!A2:A53</formula1>
    </dataValidation>
    <dataValidation errorStyle="warning" showErrorMessage="1" sqref="Z47" allowBlank="1" type="list">
      <formula1>'.sector-calc, IFC'!B3:B70</formula1>
    </dataValidation>
    <dataValidation errorStyle="warning" showErrorMessage="1" sqref="F48" allowBlank="1" type="list">
      <formula1>'.country-calc, CCCS'!E4:E269</formula1>
    </dataValidation>
    <dataValidation errorStyle="warning" showErrorMessage="1" sqref="T48:U48" allowBlank="1" prompt="validationFailed" type="list" showInputMessage="1">
      <formula1>'.theme-calc, CCCS'!A2:A125</formula1>
    </dataValidation>
    <dataValidation errorStyle="warning" showErrorMessage="1" sqref="V48:W48" allowBlank="1" prompt="validationFailed" type="list" showInputMessage="1">
      <formula1>'.sector-calc, CCCS'!B3:B139</formula1>
    </dataValidation>
    <dataValidation errorStyle="warning" showErrorMessage="1" sqref="X48:Y48" allowBlank="1" type="list">
      <formula1>'.theme-calc, IFC'!A2:A53</formula1>
    </dataValidation>
    <dataValidation errorStyle="warning" showErrorMessage="1" sqref="Z48" allowBlank="1" type="list">
      <formula1>'.sector-calc, IFC'!B3:B70</formula1>
    </dataValidation>
    <dataValidation errorStyle="warning" showErrorMessage="1" sqref="F49" allowBlank="1" type="list">
      <formula1>'.country-calc, CCCS'!E4:E269</formula1>
    </dataValidation>
    <dataValidation errorStyle="warning" showErrorMessage="1" sqref="T49:U49" allowBlank="1" prompt="validationFailed" type="list" showInputMessage="1">
      <formula1>'.theme-calc, CCCS'!A2:A125</formula1>
    </dataValidation>
    <dataValidation errorStyle="warning" showErrorMessage="1" sqref="V49:W49" allowBlank="1" prompt="validationFailed" type="list" showInputMessage="1">
      <formula1>'.sector-calc, CCCS'!B3:B139</formula1>
    </dataValidation>
    <dataValidation errorStyle="warning" showErrorMessage="1" sqref="X49:Y49" allowBlank="1" prompt="validationFailed" type="list" showInputMessage="1">
      <formula1>'.theme-calc, IFC'!A2:A53</formula1>
    </dataValidation>
    <dataValidation errorStyle="warning" showErrorMessage="1" sqref="Z49" allowBlank="1" type="list">
      <formula1>'.sector-calc, IFC'!B3:B70</formula1>
    </dataValidation>
    <dataValidation errorStyle="warning" showErrorMessage="1" sqref="F50" allowBlank="1" type="list">
      <formula1>'.country-calc, CCCS'!E4:E269</formula1>
    </dataValidation>
    <dataValidation errorStyle="warning" showErrorMessage="1" sqref="T50:U50" allowBlank="1" prompt="validationFailed" type="list" showInputMessage="1">
      <formula1>'.theme-calc, CCCS'!A2:A125</formula1>
    </dataValidation>
    <dataValidation errorStyle="warning" showErrorMessage="1" sqref="V50:W50" allowBlank="1" prompt="validationFailed" type="list" showInputMessage="1">
      <formula1>'.sector-calc, CCCS'!B3:B139</formula1>
    </dataValidation>
    <dataValidation errorStyle="warning" showErrorMessage="1" sqref="X50:Y50" allowBlank="1" type="list">
      <formula1>'.theme-calc, IFC'!A2:A53</formula1>
    </dataValidation>
    <dataValidation errorStyle="warning" showErrorMessage="1" sqref="Z50" allowBlank="1" type="list">
      <formula1>'.sector-calc, IFC'!B3:B70</formula1>
    </dataValidation>
    <dataValidation errorStyle="warning" showErrorMessage="1" sqref="F51" allowBlank="1" type="list">
      <formula1>'.country-calc, CCCS'!E4:E269</formula1>
    </dataValidation>
    <dataValidation errorStyle="warning" showErrorMessage="1" sqref="T51:U51" allowBlank="1" prompt="validationFailed" type="list" showInputMessage="1">
      <formula1>'.theme-calc, CCCS'!A2:A125</formula1>
    </dataValidation>
    <dataValidation errorStyle="warning" showErrorMessage="1" sqref="V51:W51" allowBlank="1" prompt="validationFailed" type="list" showInputMessage="1">
      <formula1>'.sector-calc, CCCS'!B3:B139</formula1>
    </dataValidation>
    <dataValidation errorStyle="warning" showErrorMessage="1" sqref="X51:Y51" allowBlank="1" type="list">
      <formula1>'.theme-calc, IFC'!A2:A53</formula1>
    </dataValidation>
    <dataValidation errorStyle="warning" showErrorMessage="1" sqref="Z51" allowBlank="1" type="list">
      <formula1>'.sector-calc, IFC'!B3:B70</formula1>
    </dataValidation>
    <dataValidation errorStyle="warning" showErrorMessage="1" sqref="F52" allowBlank="1" prompt="validationFailed" type="list" showInputMessage="1">
      <formula1>'.country-calc, CCCS'!E4:E269</formula1>
    </dataValidation>
    <dataValidation errorStyle="warning" showErrorMessage="1" sqref="T52:U52" allowBlank="1" prompt="validationFailed" type="list" showInputMessage="1">
      <formula1>'.theme-calc, CCCS'!A2:A125</formula1>
    </dataValidation>
    <dataValidation errorStyle="warning" showErrorMessage="1" sqref="V52:W52" allowBlank="1" type="list">
      <formula1>'.sector-calc, CCCS'!B3:B139</formula1>
    </dataValidation>
    <dataValidation errorStyle="warning" showErrorMessage="1" sqref="X52:Y52" allowBlank="1" type="list">
      <formula1>'.theme-calc, IFC'!A2:A53</formula1>
    </dataValidation>
    <dataValidation errorStyle="warning" showErrorMessage="1" sqref="Z52" allowBlank="1" type="list">
      <formula1>'.sector-calc, IFC'!B3:B70</formula1>
    </dataValidation>
    <dataValidation errorStyle="warning" showErrorMessage="1" sqref="F53" allowBlank="1" type="list">
      <formula1>'.country-calc, CCCS'!E4:E269</formula1>
    </dataValidation>
    <dataValidation errorStyle="warning" showErrorMessage="1" sqref="T53:U53" allowBlank="1" prompt="validationFailed" type="list" showInputMessage="1">
      <formula1>'.theme-calc, CCCS'!A2:A125</formula1>
    </dataValidation>
    <dataValidation errorStyle="warning" showErrorMessage="1" sqref="V53:W53" allowBlank="1" prompt="validationFailed" type="list" showInputMessage="1">
      <formula1>'.sector-calc, CCCS'!B3:B139</formula1>
    </dataValidation>
    <dataValidation errorStyle="warning" showErrorMessage="1" sqref="X53:Y53" allowBlank="1" type="list">
      <formula1>'.theme-calc, IFC'!A2:A53</formula1>
    </dataValidation>
    <dataValidation errorStyle="warning" showErrorMessage="1" sqref="Z53" allowBlank="1" type="list">
      <formula1>'.sector-calc, IFC'!B3:B70</formula1>
    </dataValidation>
    <dataValidation errorStyle="warning" showErrorMessage="1" sqref="F54" allowBlank="1" type="list">
      <formula1>'.country-calc, CCCS'!E4:E269</formula1>
    </dataValidation>
    <dataValidation errorStyle="warning" showErrorMessage="1" sqref="T54:U54" allowBlank="1" prompt="validationFailed" type="list" showInputMessage="1">
      <formula1>'.theme-calc, CCCS'!A2:A125</formula1>
    </dataValidation>
    <dataValidation errorStyle="warning" showErrorMessage="1" sqref="V54:W54" allowBlank="1" prompt="validationFailed" type="list" showInputMessage="1">
      <formula1>'.sector-calc, CCCS'!B3:B139</formula1>
    </dataValidation>
    <dataValidation errorStyle="warning" showErrorMessage="1" sqref="X54:Y54" allowBlank="1" type="list">
      <formula1>'.theme-calc, IFC'!A2:A53</formula1>
    </dataValidation>
    <dataValidation errorStyle="warning" showErrorMessage="1" sqref="Z54" allowBlank="1" type="list">
      <formula1>'.sector-calc, IFC'!B3:B70</formula1>
    </dataValidation>
    <dataValidation errorStyle="warning" showErrorMessage="1" sqref="F55" allowBlank="1" type="list">
      <formula1>'.country-calc, CCCS'!E4:E269</formula1>
    </dataValidation>
    <dataValidation errorStyle="warning" showErrorMessage="1" sqref="T55:U55" allowBlank="1" prompt="validationFailed" type="list" showInputMessage="1">
      <formula1>'.theme-calc, CCCS'!A2:A125</formula1>
    </dataValidation>
    <dataValidation errorStyle="warning" showErrorMessage="1" sqref="V55:W55" allowBlank="1" prompt="validationFailed" type="list" showInputMessage="1">
      <formula1>'.sector-calc, CCCS'!B3:B139</formula1>
    </dataValidation>
    <dataValidation errorStyle="warning" showErrorMessage="1" sqref="X55:Y55" allowBlank="1" prompt="validationFailed" type="list" showInputMessage="1">
      <formula1>'.theme-calc, IFC'!A2:A53</formula1>
    </dataValidation>
    <dataValidation errorStyle="warning" showErrorMessage="1" sqref="Z55" allowBlank="1" type="list">
      <formula1>'.sector-calc, IFC'!B3:B70</formula1>
    </dataValidation>
    <dataValidation errorStyle="warning" showErrorMessage="1" sqref="F56" allowBlank="1" type="list">
      <formula1>'.country-calc, CCCS'!E4:E269</formula1>
    </dataValidation>
    <dataValidation errorStyle="warning" showErrorMessage="1" sqref="T56:U56" allowBlank="1" prompt="validationFailed" type="list" showInputMessage="1">
      <formula1>'.theme-calc, CCCS'!A2:A125</formula1>
    </dataValidation>
    <dataValidation errorStyle="warning" showErrorMessage="1" sqref="V56:W56" allowBlank="1" prompt="validationFailed" type="list" showInputMessage="1">
      <formula1>'.sector-calc, CCCS'!B3:B139</formula1>
    </dataValidation>
    <dataValidation errorStyle="warning" showErrorMessage="1" sqref="X56:Y56" allowBlank="1" type="list">
      <formula1>'.theme-calc, IFC'!A2:A53</formula1>
    </dataValidation>
    <dataValidation errorStyle="warning" showErrorMessage="1" sqref="Z56" allowBlank="1" type="list">
      <formula1>'.sector-calc, IFC'!B3:B70</formula1>
    </dataValidation>
    <dataValidation errorStyle="warning" showErrorMessage="1" sqref="F57" allowBlank="1" type="list">
      <formula1>'.country-calc, CCCS'!E4:E269</formula1>
    </dataValidation>
    <dataValidation errorStyle="warning" showErrorMessage="1" sqref="T57:U57" allowBlank="1" prompt="validationFailed" type="list" showInputMessage="1">
      <formula1>'.theme-calc, CCCS'!A2:A125</formula1>
    </dataValidation>
    <dataValidation errorStyle="warning" showErrorMessage="1" sqref="V57" allowBlank="1" prompt="validationFailed" type="list" showInputMessage="1">
      <formula1>'.sector-calc, CCCS'!B3:B139</formula1>
    </dataValidation>
    <dataValidation errorStyle="warning" showErrorMessage="1" sqref="W57" allowBlank="1" type="list">
      <formula1>'.sector-calc, CCCS'!C3:C139</formula1>
    </dataValidation>
    <dataValidation errorStyle="warning" showErrorMessage="1" sqref="X57:Y57" allowBlank="1" prompt="validationFailed" type="list" showInputMessage="1">
      <formula1>'.theme-calc, IFC'!A2:A53</formula1>
    </dataValidation>
    <dataValidation errorStyle="warning" showErrorMessage="1" sqref="Z57" allowBlank="1" type="list">
      <formula1>'.sector-calc, IFC'!B3:B70</formula1>
    </dataValidation>
    <dataValidation errorStyle="warning" showErrorMessage="1" sqref="F58" allowBlank="1" type="list">
      <formula1>'.country-calc, CCCS'!E4:E269</formula1>
    </dataValidation>
    <dataValidation errorStyle="warning" showErrorMessage="1" sqref="T58:U58" allowBlank="1" prompt="validationFailed" type="list" showInputMessage="1">
      <formula1>'.theme-calc, CCCS'!A2:A125</formula1>
    </dataValidation>
    <dataValidation errorStyle="warning" showErrorMessage="1" sqref="V58:W58" allowBlank="1" prompt="validationFailed" type="list" showInputMessage="1">
      <formula1>'.sector-calc, CCCS'!B3:B139</formula1>
    </dataValidation>
    <dataValidation errorStyle="warning" showErrorMessage="1" sqref="X58:Y58" allowBlank="1" prompt="validationFailed" type="list" showInputMessage="1">
      <formula1>'.theme-calc, IFC'!A2:A53</formula1>
    </dataValidation>
    <dataValidation errorStyle="warning" showErrorMessage="1" sqref="Z58" allowBlank="1" type="list">
      <formula1>'.sector-calc, IFC'!B3:B70</formula1>
    </dataValidation>
    <dataValidation errorStyle="warning" showErrorMessage="1" sqref="F59" allowBlank="1" type="list">
      <formula1>'.country-calc, CCCS'!E4:E269</formula1>
    </dataValidation>
    <dataValidation errorStyle="warning" showErrorMessage="1" sqref="T59:U59" allowBlank="1" prompt="validationFailed" type="list" showInputMessage="1">
      <formula1>'.theme-calc, CCCS'!A2:A125</formula1>
    </dataValidation>
    <dataValidation errorStyle="warning" showErrorMessage="1" sqref="V59:W59" allowBlank="1" prompt="validationFailed" type="list" showInputMessage="1">
      <formula1>'.sector-calc, CCCS'!B3:B139</formula1>
    </dataValidation>
    <dataValidation errorStyle="warning" showErrorMessage="1" sqref="X59:Y59" allowBlank="1" type="list">
      <formula1>'.theme-calc, IFC'!A2:A53</formula1>
    </dataValidation>
    <dataValidation errorStyle="warning" showErrorMessage="1" sqref="Z59" allowBlank="1" type="list">
      <formula1>'.sector-calc, IFC'!B3:B70</formula1>
    </dataValidation>
    <dataValidation errorStyle="warning" showErrorMessage="1" sqref="F60" allowBlank="1" type="list">
      <formula1>'.country-calc, CCCS'!E4:E269</formula1>
    </dataValidation>
    <dataValidation errorStyle="warning" showErrorMessage="1" sqref="T60:U60" allowBlank="1" type="list">
      <formula1>'.theme-calc, CCCS'!A2:A125</formula1>
    </dataValidation>
    <dataValidation errorStyle="warning" showErrorMessage="1" sqref="V60:W60" allowBlank="1" type="list">
      <formula1>'.sector-calc, CCCS'!B3:B139</formula1>
    </dataValidation>
    <dataValidation errorStyle="warning" showErrorMessage="1" sqref="X60:Y60" allowBlank="1" type="list">
      <formula1>'.theme-calc, IFC'!A2:A53</formula1>
    </dataValidation>
    <dataValidation errorStyle="warning" showErrorMessage="1" sqref="Z60" allowBlank="1" type="list">
      <formula1>'.sector-calc, IFC'!B3:B70</formula1>
    </dataValidation>
    <dataValidation errorStyle="warning" showErrorMessage="1" sqref="F61" allowBlank="1" type="list">
      <formula1>'.country-calc, CCCS'!E4:E269</formula1>
    </dataValidation>
    <dataValidation errorStyle="warning" showErrorMessage="1" sqref="T61:U61" allowBlank="1" type="list">
      <formula1>'.theme-calc, CCCS'!A2:A125</formula1>
    </dataValidation>
    <dataValidation errorStyle="warning" showErrorMessage="1" sqref="V61:W61" allowBlank="1" type="list">
      <formula1>'.sector-calc, CCCS'!B3:B139</formula1>
    </dataValidation>
    <dataValidation errorStyle="warning" showErrorMessage="1" sqref="X61:Y61" allowBlank="1" type="list">
      <formula1>'.theme-calc, IFC'!A2:A53</formula1>
    </dataValidation>
    <dataValidation errorStyle="warning" showErrorMessage="1" sqref="Z61" allowBlank="1" type="list">
      <formula1>'.sector-calc, IFC'!B3:B70</formula1>
    </dataValidation>
    <dataValidation errorStyle="warning" showErrorMessage="1" sqref="F62" allowBlank="1" type="list">
      <formula1>'.country-calc, CCCS'!E4:E269</formula1>
    </dataValidation>
    <dataValidation errorStyle="warning" showErrorMessage="1" sqref="T62:U62" allowBlank="1" type="list">
      <formula1>'.theme-calc, CCCS'!A2:A125</formula1>
    </dataValidation>
    <dataValidation errorStyle="warning" showErrorMessage="1" sqref="V62:W62" allowBlank="1" type="list">
      <formula1>'.sector-calc, CCCS'!B3:B139</formula1>
    </dataValidation>
    <dataValidation errorStyle="warning" showErrorMessage="1" sqref="X62:Y62" allowBlank="1" type="list">
      <formula1>'.theme-calc, IFC'!A2:A53</formula1>
    </dataValidation>
    <dataValidation errorStyle="warning" showErrorMessage="1" sqref="Z62" allowBlank="1" type="list">
      <formula1>'.sector-calc, IFC'!B3:B70</formula1>
    </dataValidation>
    <dataValidation errorStyle="warning" showErrorMessage="1" sqref="F63" allowBlank="1" type="list">
      <formula1>'.country-calc, CCCS'!E4:E269</formula1>
    </dataValidation>
    <dataValidation errorStyle="warning" showErrorMessage="1" sqref="T63:U63" allowBlank="1" type="list">
      <formula1>'.theme-calc, CCCS'!A2:A125</formula1>
    </dataValidation>
    <dataValidation errorStyle="warning" showErrorMessage="1" sqref="V63:W63" allowBlank="1" type="list">
      <formula1>'.sector-calc, CCCS'!B3:B139</formula1>
    </dataValidation>
    <dataValidation errorStyle="warning" showErrorMessage="1" sqref="X63:Y63" allowBlank="1" type="list">
      <formula1>'.theme-calc, IFC'!A2:A53</formula1>
    </dataValidation>
    <dataValidation errorStyle="warning" showErrorMessage="1" sqref="Z63" allowBlank="1" type="list">
      <formula1>'.sector-calc, IFC'!B3:B70</formula1>
    </dataValidation>
    <dataValidation errorStyle="warning" showErrorMessage="1" sqref="F64" allowBlank="1" type="list">
      <formula1>'.country-calc, CCCS'!E4:E269</formula1>
    </dataValidation>
    <dataValidation errorStyle="warning" showErrorMessage="1" sqref="T64:U64" allowBlank="1" type="list">
      <formula1>'.theme-calc, CCCS'!A2:A125</formula1>
    </dataValidation>
    <dataValidation errorStyle="warning" showErrorMessage="1" sqref="V64:W64" allowBlank="1" type="list">
      <formula1>'.sector-calc, CCCS'!B3:B139</formula1>
    </dataValidation>
    <dataValidation errorStyle="warning" showErrorMessage="1" sqref="X64:Y64" allowBlank="1" type="list">
      <formula1>'.theme-calc, IFC'!A2:A53</formula1>
    </dataValidation>
    <dataValidation errorStyle="warning" showErrorMessage="1" sqref="Z64" allowBlank="1" type="list">
      <formula1>'.sector-calc, IFC'!B3:B70</formula1>
    </dataValidation>
    <dataValidation errorStyle="warning" showErrorMessage="1" sqref="F65" allowBlank="1" type="list">
      <formula1>'.country-calc, CCCS'!E4:E269</formula1>
    </dataValidation>
    <dataValidation errorStyle="warning" showErrorMessage="1" sqref="T65:U65" allowBlank="1" type="list">
      <formula1>'.theme-calc, CCCS'!A2:A125</formula1>
    </dataValidation>
    <dataValidation errorStyle="warning" showErrorMessage="1" sqref="V65:W65" allowBlank="1" type="list">
      <formula1>'.sector-calc, CCCS'!B3:B139</formula1>
    </dataValidation>
    <dataValidation errorStyle="warning" showErrorMessage="1" sqref="X65:Y65" allowBlank="1" type="list">
      <formula1>'.theme-calc, IFC'!A2:A53</formula1>
    </dataValidation>
    <dataValidation errorStyle="warning" showErrorMessage="1" sqref="Z65" allowBlank="1" type="list">
      <formula1>'.sector-calc, IFC'!B3:B70</formula1>
    </dataValidation>
    <dataValidation errorStyle="warning" showErrorMessage="1" sqref="F66" allowBlank="1" type="list">
      <formula1>'.country-calc, CCCS'!E4:E269</formula1>
    </dataValidation>
    <dataValidation errorStyle="warning" showErrorMessage="1" sqref="T66:U66" allowBlank="1" type="list">
      <formula1>'.theme-calc, CCCS'!A2:A125</formula1>
    </dataValidation>
    <dataValidation errorStyle="warning" showErrorMessage="1" sqref="V66:W66" allowBlank="1" type="list">
      <formula1>'.sector-calc, CCCS'!B3:B139</formula1>
    </dataValidation>
    <dataValidation errorStyle="warning" showErrorMessage="1" sqref="X66:Y66" allowBlank="1" type="list">
      <formula1>'.theme-calc, IFC'!A2:A53</formula1>
    </dataValidation>
    <dataValidation errorStyle="warning" showErrorMessage="1" sqref="Z66" allowBlank="1" type="list">
      <formula1>'.sector-calc, IFC'!B3:B70</formula1>
    </dataValidation>
    <dataValidation errorStyle="warning" showErrorMessage="1" sqref="F67" allowBlank="1" type="list">
      <formula1>'.country-calc, CCCS'!E4:E269</formula1>
    </dataValidation>
    <dataValidation errorStyle="warning" showErrorMessage="1" sqref="T67:U67" allowBlank="1" type="list">
      <formula1>'.theme-calc, CCCS'!A2:A125</formula1>
    </dataValidation>
    <dataValidation errorStyle="warning" showErrorMessage="1" sqref="V67:W67" allowBlank="1" type="list">
      <formula1>'.sector-calc, CCCS'!B3:B139</formula1>
    </dataValidation>
    <dataValidation errorStyle="warning" showErrorMessage="1" sqref="X67:Y67" allowBlank="1" type="list">
      <formula1>'.theme-calc, IFC'!A2:A53</formula1>
    </dataValidation>
    <dataValidation errorStyle="warning" showErrorMessage="1" sqref="Z67" allowBlank="1" type="list">
      <formula1>'.sector-calc, IFC'!B3:B70</formula1>
    </dataValidation>
    <dataValidation errorStyle="warning" showErrorMessage="1" sqref="F68" allowBlank="1" type="list">
      <formula1>'.country-calc, CCCS'!E4:E269</formula1>
    </dataValidation>
    <dataValidation errorStyle="warning" showErrorMessage="1" sqref="T68:U68" allowBlank="1" type="list">
      <formula1>'.theme-calc, CCCS'!A2:A125</formula1>
    </dataValidation>
    <dataValidation errorStyle="warning" showErrorMessage="1" sqref="V68:W68" allowBlank="1" type="list">
      <formula1>'.sector-calc, CCCS'!B3:B139</formula1>
    </dataValidation>
    <dataValidation errorStyle="warning" showErrorMessage="1" sqref="X68:Y68" allowBlank="1" type="list">
      <formula1>'.theme-calc, IFC'!A2:A53</formula1>
    </dataValidation>
    <dataValidation errorStyle="warning" showErrorMessage="1" sqref="Z68" allowBlank="1" type="list">
      <formula1>'.sector-calc, IFC'!B3:B70</formula1>
    </dataValidation>
    <dataValidation errorStyle="warning" showErrorMessage="1" sqref="F69" allowBlank="1" type="list">
      <formula1>'.country-calc, CCCS'!E4:E269</formula1>
    </dataValidation>
    <dataValidation errorStyle="warning" showErrorMessage="1" sqref="T69:U69" allowBlank="1" type="list">
      <formula1>'.theme-calc, CCCS'!A2:A125</formula1>
    </dataValidation>
    <dataValidation errorStyle="warning" showErrorMessage="1" sqref="V69:W69" allowBlank="1" type="list">
      <formula1>'.sector-calc, CCCS'!B3:B139</formula1>
    </dataValidation>
    <dataValidation errorStyle="warning" showErrorMessage="1" sqref="X69:Y69" allowBlank="1" type="list">
      <formula1>'.theme-calc, IFC'!A2:A53</formula1>
    </dataValidation>
    <dataValidation errorStyle="warning" showErrorMessage="1" sqref="Z69" allowBlank="1" type="list">
      <formula1>'.sector-calc, IFC'!B3:B70</formula1>
    </dataValidation>
    <dataValidation errorStyle="warning" showErrorMessage="1" sqref="F70" allowBlank="1" type="list">
      <formula1>'.country-calc, CCCS'!E4:E269</formula1>
    </dataValidation>
    <dataValidation errorStyle="warning" showErrorMessage="1" sqref="T70:U70" allowBlank="1" type="list">
      <formula1>'.theme-calc, CCCS'!A2:A125</formula1>
    </dataValidation>
    <dataValidation errorStyle="warning" showErrorMessage="1" sqref="V70:W70" allowBlank="1" type="list">
      <formula1>'.sector-calc, CCCS'!B3:B139</formula1>
    </dataValidation>
    <dataValidation errorStyle="warning" showErrorMessage="1" sqref="X70:Y70" allowBlank="1" type="list">
      <formula1>'.theme-calc, IFC'!A2:A53</formula1>
    </dataValidation>
    <dataValidation errorStyle="warning" showErrorMessage="1" sqref="Z70" allowBlank="1" type="list">
      <formula1>'.sector-calc, IFC'!B3:B70</formula1>
    </dataValidation>
    <dataValidation errorStyle="warning" showErrorMessage="1" sqref="F71" allowBlank="1" type="list">
      <formula1>'.country-calc, CCCS'!E4:E269</formula1>
    </dataValidation>
    <dataValidation errorStyle="warning" showErrorMessage="1" sqref="T71:U71" allowBlank="1" type="list">
      <formula1>'.theme-calc, CCCS'!A2:A125</formula1>
    </dataValidation>
    <dataValidation errorStyle="warning" showErrorMessage="1" sqref="V71:W71" allowBlank="1" type="list">
      <formula1>'.sector-calc, CCCS'!B3:B139</formula1>
    </dataValidation>
    <dataValidation errorStyle="warning" showErrorMessage="1" sqref="X71:Y71" allowBlank="1" type="list">
      <formula1>'.theme-calc, IFC'!A2:A53</formula1>
    </dataValidation>
    <dataValidation errorStyle="warning" showErrorMessage="1" sqref="Z71" allowBlank="1" type="list">
      <formula1>'.sector-calc, IFC'!B3:B70</formula1>
    </dataValidation>
    <dataValidation errorStyle="warning" showErrorMessage="1" sqref="F72" allowBlank="1" type="list">
      <formula1>'.country-calc, CCCS'!E4:E269</formula1>
    </dataValidation>
    <dataValidation errorStyle="warning" showErrorMessage="1" sqref="T72:U72" allowBlank="1" type="list">
      <formula1>'.theme-calc, CCCS'!A2:A125</formula1>
    </dataValidation>
    <dataValidation errorStyle="warning" showErrorMessage="1" sqref="V72:W72" allowBlank="1" type="list">
      <formula1>'.sector-calc, CCCS'!B3:B139</formula1>
    </dataValidation>
    <dataValidation errorStyle="warning" showErrorMessage="1" sqref="X72:Y72" allowBlank="1" type="list">
      <formula1>'.theme-calc, IFC'!A2:A53</formula1>
    </dataValidation>
    <dataValidation errorStyle="warning" showErrorMessage="1" sqref="Z72" allowBlank="1" type="list">
      <formula1>'.sector-calc, IFC'!B3:B70</formula1>
    </dataValidation>
    <dataValidation errorStyle="warning" showErrorMessage="1" sqref="F73" allowBlank="1" type="list">
      <formula1>'.country-calc, CCCS'!E4:E269</formula1>
    </dataValidation>
    <dataValidation errorStyle="warning" showErrorMessage="1" sqref="T73:U73" allowBlank="1" type="list">
      <formula1>'.theme-calc, CCCS'!A2:A125</formula1>
    </dataValidation>
    <dataValidation errorStyle="warning" showErrorMessage="1" sqref="V73:W73" allowBlank="1" type="list">
      <formula1>'.sector-calc, CCCS'!B3:B139</formula1>
    </dataValidation>
    <dataValidation errorStyle="warning" showErrorMessage="1" sqref="X73:Y73" allowBlank="1" type="list">
      <formula1>'.theme-calc, IFC'!A2:A53</formula1>
    </dataValidation>
    <dataValidation errorStyle="warning" showErrorMessage="1" sqref="Z73" allowBlank="1" type="list">
      <formula1>'.sector-calc, IFC'!B3:B70</formula1>
    </dataValidation>
    <dataValidation errorStyle="warning" showErrorMessage="1" sqref="F74" allowBlank="1" type="list">
      <formula1>'.country-calc, CCCS'!E4:E269</formula1>
    </dataValidation>
    <dataValidation errorStyle="warning" showErrorMessage="1" sqref="T74:U74" allowBlank="1" type="list">
      <formula1>'.theme-calc, CCCS'!A2:A125</formula1>
    </dataValidation>
    <dataValidation errorStyle="warning" showErrorMessage="1" sqref="V74:W74" allowBlank="1" type="list">
      <formula1>'.sector-calc, CCCS'!B3:B139</formula1>
    </dataValidation>
    <dataValidation errorStyle="warning" showErrorMessage="1" sqref="X74:Y74" allowBlank="1" type="list">
      <formula1>'.theme-calc, IFC'!A2:A53</formula1>
    </dataValidation>
    <dataValidation errorStyle="warning" showErrorMessage="1" sqref="Z74" allowBlank="1" type="list">
      <formula1>'.sector-calc, IFC'!B3:B70</formula1>
    </dataValidation>
    <dataValidation errorStyle="warning" showErrorMessage="1" sqref="F75" allowBlank="1" type="list">
      <formula1>'.country-calc, CCCS'!E4:E269</formula1>
    </dataValidation>
    <dataValidation errorStyle="warning" showErrorMessage="1" sqref="T75:U75" allowBlank="1" type="list">
      <formula1>'.theme-calc, CCCS'!A2:A125</formula1>
    </dataValidation>
    <dataValidation errorStyle="warning" showErrorMessage="1" sqref="V75:W75" allowBlank="1" type="list">
      <formula1>'.sector-calc, CCCS'!B3:B139</formula1>
    </dataValidation>
    <dataValidation errorStyle="warning" showErrorMessage="1" sqref="X75:Y75" allowBlank="1" type="list">
      <formula1>'.theme-calc, IFC'!A2:A53</formula1>
    </dataValidation>
    <dataValidation errorStyle="warning" showErrorMessage="1" sqref="Z75" allowBlank="1" type="list">
      <formula1>'.sector-calc, IFC'!B3:B70</formula1>
    </dataValidation>
    <dataValidation errorStyle="warning" showErrorMessage="1" sqref="F76" allowBlank="1" type="list">
      <formula1>'.country-calc, CCCS'!E4:E269</formula1>
    </dataValidation>
    <dataValidation errorStyle="warning" showErrorMessage="1" sqref="T76:U76" allowBlank="1" type="list">
      <formula1>'.theme-calc, CCCS'!A2:A125</formula1>
    </dataValidation>
    <dataValidation errorStyle="warning" showErrorMessage="1" sqref="V76:W76" allowBlank="1" type="list">
      <formula1>'.sector-calc, CCCS'!B3:B139</formula1>
    </dataValidation>
    <dataValidation errorStyle="warning" showErrorMessage="1" sqref="X76:Y76" allowBlank="1" type="list">
      <formula1>'.theme-calc, IFC'!A2:A53</formula1>
    </dataValidation>
    <dataValidation errorStyle="warning" showErrorMessage="1" sqref="Z76" allowBlank="1" type="list">
      <formula1>'.sector-calc, IFC'!B3:B70</formula1>
    </dataValidation>
    <dataValidation errorStyle="warning" showErrorMessage="1" sqref="F77" allowBlank="1" type="list">
      <formula1>'.country-calc, CCCS'!E4:E269</formula1>
    </dataValidation>
    <dataValidation errorStyle="warning" showErrorMessage="1" sqref="T77:U77" allowBlank="1" type="list">
      <formula1>'.theme-calc, CCCS'!A2:A125</formula1>
    </dataValidation>
    <dataValidation errorStyle="warning" showErrorMessage="1" sqref="V77:W77" allowBlank="1" type="list">
      <formula1>'.sector-calc, CCCS'!B3:B139</formula1>
    </dataValidation>
    <dataValidation errorStyle="warning" showErrorMessage="1" sqref="X77:Y77" allowBlank="1" type="list">
      <formula1>'.theme-calc, IFC'!A2:A53</formula1>
    </dataValidation>
    <dataValidation errorStyle="warning" showErrorMessage="1" sqref="Z77" allowBlank="1" type="list">
      <formula1>'.sector-calc, IFC'!B3:B70</formula1>
    </dataValidation>
    <dataValidation errorStyle="warning" showErrorMessage="1" sqref="F78" allowBlank="1" type="list">
      <formula1>'.country-calc, CCCS'!E4:E269</formula1>
    </dataValidation>
    <dataValidation errorStyle="warning" showErrorMessage="1" sqref="T78:U78" allowBlank="1" type="list">
      <formula1>'.theme-calc, CCCS'!A2:A125</formula1>
    </dataValidation>
    <dataValidation errorStyle="warning" showErrorMessage="1" sqref="V78:W78" allowBlank="1" type="list">
      <formula1>'.sector-calc, CCCS'!B3:B139</formula1>
    </dataValidation>
    <dataValidation errorStyle="warning" showErrorMessage="1" sqref="X78:Y78" allowBlank="1" type="list">
      <formula1>'.theme-calc, IFC'!A2:A53</formula1>
    </dataValidation>
    <dataValidation errorStyle="warning" showErrorMessage="1" sqref="Z78" allowBlank="1" type="list">
      <formula1>'.sector-calc, IFC'!B3:B70</formula1>
    </dataValidation>
    <dataValidation errorStyle="warning" showErrorMessage="1" sqref="F79" allowBlank="1" type="list">
      <formula1>'.country-calc, CCCS'!E4:E269</formula1>
    </dataValidation>
    <dataValidation errorStyle="warning" showErrorMessage="1" sqref="T79:U79" allowBlank="1" type="list">
      <formula1>'.theme-calc, CCCS'!A2:A125</formula1>
    </dataValidation>
    <dataValidation errorStyle="warning" showErrorMessage="1" sqref="V79:W79" allowBlank="1" type="list">
      <formula1>'.sector-calc, CCCS'!B3:B139</formula1>
    </dataValidation>
    <dataValidation errorStyle="warning" showErrorMessage="1" sqref="X79:Y79" allowBlank="1" type="list">
      <formula1>'.theme-calc, IFC'!A2:A53</formula1>
    </dataValidation>
    <dataValidation errorStyle="warning" showErrorMessage="1" sqref="Z79" allowBlank="1" type="list">
      <formula1>'.sector-calc, IFC'!B3:B70</formula1>
    </dataValidation>
    <dataValidation errorStyle="warning" showErrorMessage="1" sqref="F80" allowBlank="1" type="list">
      <formula1>'.country-calc, CCCS'!E4:E269</formula1>
    </dataValidation>
    <dataValidation errorStyle="warning" showErrorMessage="1" sqref="T80:U80" allowBlank="1" type="list">
      <formula1>'.theme-calc, CCCS'!A2:A125</formula1>
    </dataValidation>
    <dataValidation errorStyle="warning" showErrorMessage="1" sqref="V80:W80" allowBlank="1" type="list">
      <formula1>'.sector-calc, CCCS'!B3:B139</formula1>
    </dataValidation>
    <dataValidation errorStyle="warning" showErrorMessage="1" sqref="X80:Y80" allowBlank="1" type="list">
      <formula1>'.theme-calc, IFC'!A2:A53</formula1>
    </dataValidation>
    <dataValidation errorStyle="warning" showErrorMessage="1" sqref="Z80" allowBlank="1" type="list">
      <formula1>'.sector-calc, IFC'!B3:B70</formula1>
    </dataValidation>
    <dataValidation errorStyle="warning" showErrorMessage="1" sqref="F81" allowBlank="1" type="list">
      <formula1>'.country-calc, CCCS'!E4:E269</formula1>
    </dataValidation>
    <dataValidation errorStyle="warning" showErrorMessage="1" sqref="T81:U81" allowBlank="1" type="list">
      <formula1>'.theme-calc, CCCS'!A2:A125</formula1>
    </dataValidation>
    <dataValidation errorStyle="warning" showErrorMessage="1" sqref="V81:W81" allowBlank="1" type="list">
      <formula1>'.sector-calc, CCCS'!B3:B139</formula1>
    </dataValidation>
    <dataValidation errorStyle="warning" showErrorMessage="1" sqref="X81:Y81" allowBlank="1" type="list">
      <formula1>'.theme-calc, IFC'!A2:A53</formula1>
    </dataValidation>
    <dataValidation errorStyle="warning" showErrorMessage="1" sqref="Z81" allowBlank="1" type="list">
      <formula1>'.sector-calc, IFC'!B3:B70</formula1>
    </dataValidation>
    <dataValidation errorStyle="warning" showErrorMessage="1" sqref="F82" allowBlank="1" type="list">
      <formula1>'.country-calc, CCCS'!E4:E269</formula1>
    </dataValidation>
    <dataValidation errorStyle="warning" showErrorMessage="1" sqref="T82:U82" allowBlank="1" type="list">
      <formula1>'.theme-calc, CCCS'!A2:A125</formula1>
    </dataValidation>
    <dataValidation errorStyle="warning" showErrorMessage="1" sqref="V82:W82" allowBlank="1" type="list">
      <formula1>'.sector-calc, CCCS'!B3:B139</formula1>
    </dataValidation>
    <dataValidation errorStyle="warning" showErrorMessage="1" sqref="X82:Y82" allowBlank="1" type="list">
      <formula1>'.theme-calc, IFC'!A2:A53</formula1>
    </dataValidation>
    <dataValidation errorStyle="warning" showErrorMessage="1" sqref="Z82" allowBlank="1" type="list">
      <formula1>'.sector-calc, IFC'!B3:B70</formula1>
    </dataValidation>
    <dataValidation errorStyle="warning" showErrorMessage="1" sqref="F83" allowBlank="1" type="list">
      <formula1>'.country-calc, CCCS'!E4:E269</formula1>
    </dataValidation>
    <dataValidation errorStyle="warning" showErrorMessage="1" sqref="T83:U83" allowBlank="1" type="list">
      <formula1>'.theme-calc, CCCS'!A2:A125</formula1>
    </dataValidation>
    <dataValidation errorStyle="warning" showErrorMessage="1" sqref="V83:W83" allowBlank="1" type="list">
      <formula1>'.sector-calc, CCCS'!B3:B139</formula1>
    </dataValidation>
    <dataValidation errorStyle="warning" showErrorMessage="1" sqref="X83:Y83" allowBlank="1" type="list">
      <formula1>'.theme-calc, IFC'!A2:A53</formula1>
    </dataValidation>
    <dataValidation errorStyle="warning" showErrorMessage="1" sqref="Z83" allowBlank="1" type="list">
      <formula1>'.sector-calc, IFC'!B3:B70</formula1>
    </dataValidation>
    <dataValidation errorStyle="warning" showErrorMessage="1" sqref="F84" allowBlank="1" type="list">
      <formula1>'.country-calc, CCCS'!E4:E269</formula1>
    </dataValidation>
    <dataValidation errorStyle="warning" showErrorMessage="1" sqref="T84:U84" allowBlank="1" type="list">
      <formula1>'.theme-calc, CCCS'!A2:A125</formula1>
    </dataValidation>
    <dataValidation errorStyle="warning" showErrorMessage="1" sqref="V84:W84" allowBlank="1" type="list">
      <formula1>'.sector-calc, CCCS'!B3:B139</formula1>
    </dataValidation>
    <dataValidation errorStyle="warning" showErrorMessage="1" sqref="X84:Y84" allowBlank="1" type="list">
      <formula1>'.theme-calc, IFC'!A2:A53</formula1>
    </dataValidation>
    <dataValidation errorStyle="warning" showErrorMessage="1" sqref="Z84" allowBlank="1" type="list">
      <formula1>'.sector-calc, IFC'!B3:B70</formula1>
    </dataValidation>
    <dataValidation errorStyle="warning" showErrorMessage="1" sqref="F85" allowBlank="1" type="list">
      <formula1>'.country-calc, CCCS'!E4:E269</formula1>
    </dataValidation>
    <dataValidation errorStyle="warning" showErrorMessage="1" sqref="T85:U85" allowBlank="1" type="list">
      <formula1>'.theme-calc, CCCS'!A2:A125</formula1>
    </dataValidation>
    <dataValidation errorStyle="warning" showErrorMessage="1" sqref="V85:W85" allowBlank="1" type="list">
      <formula1>'.sector-calc, CCCS'!B3:B139</formula1>
    </dataValidation>
    <dataValidation errorStyle="warning" showErrorMessage="1" sqref="X85:Y85" allowBlank="1" type="list">
      <formula1>'.theme-calc, IFC'!A2:A53</formula1>
    </dataValidation>
    <dataValidation errorStyle="warning" showErrorMessage="1" sqref="Z85" allowBlank="1" type="list">
      <formula1>'.sector-calc, IFC'!B3:B70</formula1>
    </dataValidation>
    <dataValidation errorStyle="warning" showErrorMessage="1" sqref="F86" allowBlank="1" type="list">
      <formula1>'.country-calc, CCCS'!E4:E269</formula1>
    </dataValidation>
    <dataValidation errorStyle="warning" showErrorMessage="1" sqref="T86:U86" allowBlank="1" type="list">
      <formula1>'.theme-calc, CCCS'!A2:A125</formula1>
    </dataValidation>
    <dataValidation errorStyle="warning" showErrorMessage="1" sqref="V86:W86" allowBlank="1" type="list">
      <formula1>'.sector-calc, CCCS'!B3:B139</formula1>
    </dataValidation>
    <dataValidation errorStyle="warning" showErrorMessage="1" sqref="X86:Y86" allowBlank="1" type="list">
      <formula1>'.theme-calc, IFC'!A2:A53</formula1>
    </dataValidation>
    <dataValidation errorStyle="warning" showErrorMessage="1" sqref="Z86" allowBlank="1" type="list">
      <formula1>'.sector-calc, IFC'!B3:B70</formula1>
    </dataValidation>
    <dataValidation errorStyle="warning" showErrorMessage="1" sqref="F87" allowBlank="1" type="list">
      <formula1>'.country-calc, CCCS'!E4:E269</formula1>
    </dataValidation>
    <dataValidation errorStyle="warning" showErrorMessage="1" sqref="T87:U87" allowBlank="1" type="list">
      <formula1>'.theme-calc, CCCS'!A2:A125</formula1>
    </dataValidation>
    <dataValidation errorStyle="warning" showErrorMessage="1" sqref="V87:W87" allowBlank="1" type="list">
      <formula1>'.sector-calc, CCCS'!B3:B139</formula1>
    </dataValidation>
    <dataValidation errorStyle="warning" showErrorMessage="1" sqref="X87:Y87" allowBlank="1" type="list">
      <formula1>'.theme-calc, IFC'!A2:A53</formula1>
    </dataValidation>
    <dataValidation errorStyle="warning" showErrorMessage="1" sqref="Z87" allowBlank="1" type="list">
      <formula1>'.sector-calc, IFC'!B3:B70</formula1>
    </dataValidation>
    <dataValidation errorStyle="warning" showErrorMessage="1" sqref="F88" allowBlank="1" type="list">
      <formula1>'.country-calc, CCCS'!E4:E269</formula1>
    </dataValidation>
    <dataValidation errorStyle="warning" showErrorMessage="1" sqref="T88:U88" allowBlank="1" type="list">
      <formula1>'.theme-calc, CCCS'!A2:A125</formula1>
    </dataValidation>
    <dataValidation errorStyle="warning" showErrorMessage="1" sqref="V88:W88" allowBlank="1" type="list">
      <formula1>'.sector-calc, CCCS'!B3:B139</formula1>
    </dataValidation>
    <dataValidation errorStyle="warning" showErrorMessage="1" sqref="X88:Y88" allowBlank="1" type="list">
      <formula1>'.theme-calc, IFC'!A2:A53</formula1>
    </dataValidation>
    <dataValidation errorStyle="warning" showErrorMessage="1" sqref="Z88" allowBlank="1" type="list">
      <formula1>'.sector-calc, IFC'!B3:B70</formula1>
    </dataValidation>
    <dataValidation errorStyle="warning" showErrorMessage="1" sqref="F89" allowBlank="1" type="list">
      <formula1>'.country-calc, CCCS'!E4:E269</formula1>
    </dataValidation>
    <dataValidation errorStyle="warning" showErrorMessage="1" sqref="T89:U89" allowBlank="1" type="list">
      <formula1>'.theme-calc, CCCS'!A2:A125</formula1>
    </dataValidation>
    <dataValidation errorStyle="warning" showErrorMessage="1" sqref="V89:W89" allowBlank="1" type="list">
      <formula1>'.sector-calc, CCCS'!B3:B139</formula1>
    </dataValidation>
    <dataValidation errorStyle="warning" showErrorMessage="1" sqref="X89:Y89" allowBlank="1" type="list">
      <formula1>'.theme-calc, IFC'!A2:A53</formula1>
    </dataValidation>
    <dataValidation errorStyle="warning" showErrorMessage="1" sqref="Z89" allowBlank="1" type="list">
      <formula1>'.sector-calc, IFC'!B3:B70</formula1>
    </dataValidation>
    <dataValidation errorStyle="warning" showErrorMessage="1" sqref="F90" allowBlank="1" type="list">
      <formula1>'.country-calc, CCCS'!E4:E269</formula1>
    </dataValidation>
    <dataValidation errorStyle="warning" showErrorMessage="1" sqref="T90:U90" allowBlank="1" type="list">
      <formula1>'.theme-calc, CCCS'!A2:A125</formula1>
    </dataValidation>
    <dataValidation errorStyle="warning" showErrorMessage="1" sqref="V90:W90" allowBlank="1" type="list">
      <formula1>'.sector-calc, CCCS'!B3:B139</formula1>
    </dataValidation>
    <dataValidation errorStyle="warning" showErrorMessage="1" sqref="X90:Y90" allowBlank="1" type="list">
      <formula1>'.theme-calc, IFC'!A2:A53</formula1>
    </dataValidation>
    <dataValidation errorStyle="warning" showErrorMessage="1" sqref="Z90" allowBlank="1" type="list">
      <formula1>'.sector-calc, IFC'!B3:B70</formula1>
    </dataValidation>
    <dataValidation errorStyle="warning" showErrorMessage="1" sqref="F91" allowBlank="1" type="list">
      <formula1>'.country-calc, CCCS'!E4:E269</formula1>
    </dataValidation>
    <dataValidation errorStyle="warning" showErrorMessage="1" sqref="T91:U91" allowBlank="1" type="list">
      <formula1>'.theme-calc, CCCS'!A2:A125</formula1>
    </dataValidation>
    <dataValidation errorStyle="warning" showErrorMessage="1" sqref="V91:W91" allowBlank="1" type="list">
      <formula1>'.sector-calc, CCCS'!B3:B139</formula1>
    </dataValidation>
    <dataValidation errorStyle="warning" showErrorMessage="1" sqref="X91:Y91" allowBlank="1" type="list">
      <formula1>'.theme-calc, IFC'!A2:A53</formula1>
    </dataValidation>
    <dataValidation errorStyle="warning" showErrorMessage="1" sqref="Z91" allowBlank="1" type="list">
      <formula1>'.sector-calc, IFC'!B3:B70</formula1>
    </dataValidation>
    <dataValidation errorStyle="warning" showErrorMessage="1" sqref="F92" allowBlank="1" type="list">
      <formula1>'.country-calc, CCCS'!E4:E269</formula1>
    </dataValidation>
    <dataValidation errorStyle="warning" showErrorMessage="1" sqref="T92:U92" allowBlank="1" type="list">
      <formula1>'.theme-calc, CCCS'!A2:A125</formula1>
    </dataValidation>
    <dataValidation errorStyle="warning" showErrorMessage="1" sqref="V92:W92" allowBlank="1" type="list">
      <formula1>'.sector-calc, CCCS'!B3:B139</formula1>
    </dataValidation>
    <dataValidation errorStyle="warning" showErrorMessage="1" sqref="X92:Y92" allowBlank="1" type="list">
      <formula1>'.theme-calc, IFC'!A2:A53</formula1>
    </dataValidation>
    <dataValidation errorStyle="warning" showErrorMessage="1" sqref="Z92" allowBlank="1" type="list">
      <formula1>'.sector-calc, IFC'!B3:B70</formula1>
    </dataValidation>
    <dataValidation errorStyle="warning" showErrorMessage="1" sqref="F93" allowBlank="1" type="list">
      <formula1>'.country-calc, CCCS'!E4:E269</formula1>
    </dataValidation>
    <dataValidation errorStyle="warning" showErrorMessage="1" sqref="T93:U93" allowBlank="1" type="list">
      <formula1>'.theme-calc, CCCS'!A2:A125</formula1>
    </dataValidation>
    <dataValidation errorStyle="warning" showErrorMessage="1" sqref="V93:W93" allowBlank="1" type="list">
      <formula1>'.sector-calc, CCCS'!B3:B139</formula1>
    </dataValidation>
    <dataValidation errorStyle="warning" showErrorMessage="1" sqref="X93:Y93" allowBlank="1" type="list">
      <formula1>'.theme-calc, IFC'!A2:A53</formula1>
    </dataValidation>
    <dataValidation errorStyle="warning" showErrorMessage="1" sqref="Z93" allowBlank="1" type="list">
      <formula1>'.sector-calc, IFC'!B3:B70</formula1>
    </dataValidation>
    <dataValidation errorStyle="warning" showErrorMessage="1" sqref="F94" allowBlank="1" type="list">
      <formula1>'.country-calc, CCCS'!E4:E269</formula1>
    </dataValidation>
    <dataValidation errorStyle="warning" showErrorMessage="1" sqref="T94:U94" allowBlank="1" type="list">
      <formula1>'.theme-calc, CCCS'!A2:A125</formula1>
    </dataValidation>
    <dataValidation errorStyle="warning" showErrorMessage="1" sqref="V94:W94" allowBlank="1" type="list">
      <formula1>'.sector-calc, CCCS'!B3:B139</formula1>
    </dataValidation>
    <dataValidation errorStyle="warning" showErrorMessage="1" sqref="X94:Y94" allowBlank="1" type="list">
      <formula1>'.theme-calc, IFC'!A2:A53</formula1>
    </dataValidation>
    <dataValidation errorStyle="warning" showErrorMessage="1" sqref="Z94" allowBlank="1" type="list">
      <formula1>'.sector-calc, IFC'!B3:B70</formula1>
    </dataValidation>
    <dataValidation errorStyle="warning" showErrorMessage="1" sqref="F95" allowBlank="1" type="list">
      <formula1>'.country-calc, CCCS'!E4:E269</formula1>
    </dataValidation>
    <dataValidation errorStyle="warning" showErrorMessage="1" sqref="T95:U95" allowBlank="1" type="list">
      <formula1>'.theme-calc, CCCS'!A2:A125</formula1>
    </dataValidation>
    <dataValidation errorStyle="warning" showErrorMessage="1" sqref="V95:W95" allowBlank="1" type="list">
      <formula1>'.sector-calc, CCCS'!B3:B139</formula1>
    </dataValidation>
    <dataValidation errorStyle="warning" showErrorMessage="1" sqref="X95:Y95" allowBlank="1" type="list">
      <formula1>'.theme-calc, IFC'!A2:A53</formula1>
    </dataValidation>
    <dataValidation errorStyle="warning" showErrorMessage="1" sqref="Z95" allowBlank="1" type="list">
      <formula1>'.sector-calc, IFC'!B3:B70</formula1>
    </dataValidation>
    <dataValidation errorStyle="warning" showErrorMessage="1" sqref="F96" allowBlank="1" type="list">
      <formula1>'.country-calc, CCCS'!E4:E269</formula1>
    </dataValidation>
    <dataValidation errorStyle="warning" showErrorMessage="1" sqref="T96:U96" allowBlank="1" type="list">
      <formula1>'.theme-calc, CCCS'!A2:A125</formula1>
    </dataValidation>
    <dataValidation errorStyle="warning" showErrorMessage="1" sqref="V96:W96" allowBlank="1" type="list">
      <formula1>'.sector-calc, CCCS'!B3:B139</formula1>
    </dataValidation>
    <dataValidation errorStyle="warning" showErrorMessage="1" sqref="X96:Y96" allowBlank="1" type="list">
      <formula1>'.theme-calc, IFC'!A2:A53</formula1>
    </dataValidation>
    <dataValidation errorStyle="warning" showErrorMessage="1" sqref="Z96" allowBlank="1" type="list">
      <formula1>'.sector-calc, IFC'!B3:B70</formula1>
    </dataValidation>
    <dataValidation errorStyle="warning" showErrorMessage="1" sqref="F97" allowBlank="1" type="list">
      <formula1>'.country-calc, CCCS'!E4:E269</formula1>
    </dataValidation>
    <dataValidation errorStyle="warning" showErrorMessage="1" sqref="T97:U97" allowBlank="1" type="list">
      <formula1>'.theme-calc, CCCS'!A2:A125</formula1>
    </dataValidation>
    <dataValidation errorStyle="warning" showErrorMessage="1" sqref="V97:W97" allowBlank="1" type="list">
      <formula1>'.sector-calc, CCCS'!B3:B139</formula1>
    </dataValidation>
    <dataValidation errorStyle="warning" showErrorMessage="1" sqref="X97:Y97" allowBlank="1" type="list">
      <formula1>'.theme-calc, IFC'!A2:A53</formula1>
    </dataValidation>
    <dataValidation errorStyle="warning" showErrorMessage="1" sqref="Z97" allowBlank="1" type="list">
      <formula1>'.sector-calc, IFC'!B3:B70</formula1>
    </dataValidation>
    <dataValidation errorStyle="warning" showErrorMessage="1" sqref="F98" allowBlank="1" type="list">
      <formula1>'.country-calc, CCCS'!E4:E269</formula1>
    </dataValidation>
    <dataValidation errorStyle="warning" showErrorMessage="1" sqref="T98:U98" allowBlank="1" type="list">
      <formula1>'.theme-calc, CCCS'!A2:A125</formula1>
    </dataValidation>
    <dataValidation errorStyle="warning" showErrorMessage="1" sqref="V98:W98" allowBlank="1" type="list">
      <formula1>'.sector-calc, CCCS'!B3:B139</formula1>
    </dataValidation>
    <dataValidation errorStyle="warning" showErrorMessage="1" sqref="X98:Y98" allowBlank="1" type="list">
      <formula1>'.theme-calc, IFC'!A2:A53</formula1>
    </dataValidation>
    <dataValidation errorStyle="warning" showErrorMessage="1" sqref="Z98" allowBlank="1" type="list">
      <formula1>'.sector-calc, IFC'!B3:B70</formula1>
    </dataValidation>
    <dataValidation errorStyle="warning" showErrorMessage="1" sqref="F99" allowBlank="1" type="list">
      <formula1>'.country-calc, CCCS'!E4:E269</formula1>
    </dataValidation>
    <dataValidation errorStyle="warning" showErrorMessage="1" sqref="T99:U99" allowBlank="1" type="list">
      <formula1>'.theme-calc, CCCS'!A2:A125</formula1>
    </dataValidation>
    <dataValidation errorStyle="warning" showErrorMessage="1" sqref="V99:W99" allowBlank="1" type="list">
      <formula1>'.sector-calc, CCCS'!B3:B139</formula1>
    </dataValidation>
    <dataValidation errorStyle="warning" showErrorMessage="1" sqref="X99:Y99" allowBlank="1" type="list">
      <formula1>'.theme-calc, IFC'!A2:A53</formula1>
    </dataValidation>
    <dataValidation errorStyle="warning" showErrorMessage="1" sqref="Z99" allowBlank="1" type="list">
      <formula1>'.sector-calc, IFC'!B3:B70</formula1>
    </dataValidation>
    <dataValidation errorStyle="warning" showErrorMessage="1" sqref="F100" allowBlank="1" type="list">
      <formula1>'.country-calc, CCCS'!E4:E269</formula1>
    </dataValidation>
    <dataValidation errorStyle="warning" showErrorMessage="1" sqref="T100:U100" allowBlank="1" type="list">
      <formula1>'.theme-calc, CCCS'!A2:A125</formula1>
    </dataValidation>
    <dataValidation errorStyle="warning" showErrorMessage="1" sqref="V100:W100" allowBlank="1" type="list">
      <formula1>'.sector-calc, CCCS'!B3:B139</formula1>
    </dataValidation>
    <dataValidation errorStyle="warning" showErrorMessage="1" sqref="X100:Y100" allowBlank="1" type="list">
      <formula1>'.theme-calc, IFC'!A2:A53</formula1>
    </dataValidation>
    <dataValidation errorStyle="warning" showErrorMessage="1" sqref="Z100" allowBlank="1" type="list">
      <formula1>'.sector-calc, IFC'!B3:B70</formula1>
    </dataValidation>
  </dataValidations>
  <legacy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2" customWidth="1" max="2" width="21.29"/>
    <col min="3" customWidth="1" max="3" width="22.0"/>
    <col min="4" customWidth="1" max="4" width="39.57"/>
    <col min="5" customWidth="1" max="5" width="57.43"/>
    <col min="6" customWidth="1" max="6" width="21.86"/>
  </cols>
  <sheetData>
    <row r="1">
      <c t="s" s="100" r="A1">
        <v>640</v>
      </c>
      <c t="s" s="100" r="B1">
        <v>641</v>
      </c>
      <c t="s" s="100" r="C1">
        <v>642</v>
      </c>
      <c t="s" s="100" r="D1">
        <v>643</v>
      </c>
      <c t="s" s="100" r="E1">
        <v>644</v>
      </c>
      <c t="s" s="100" r="F1">
        <v>645</v>
      </c>
    </row>
    <row r="2">
      <c t="s" s="86" r="A2">
        <v>646</v>
      </c>
      <c t="s" s="86" r="B2">
        <v>647</v>
      </c>
      <c t="s" s="86" r="C2">
        <v>648</v>
      </c>
      <c t="s" s="86" r="D2">
        <v>649</v>
      </c>
      <c t="s" s="86" r="E2">
        <v>650</v>
      </c>
      <c s="86" r="F2"/>
    </row>
    <row r="3">
      <c t="s" s="86" r="A3">
        <v>646</v>
      </c>
      <c t="s" s="86" r="B3">
        <v>647</v>
      </c>
      <c t="s" s="86" r="C3">
        <v>648</v>
      </c>
      <c t="s" s="86" r="D3">
        <v>651</v>
      </c>
      <c t="s" s="86" r="E3">
        <v>650</v>
      </c>
      <c s="86" r="F3"/>
    </row>
    <row r="4">
      <c t="s" s="86" r="A4">
        <v>652</v>
      </c>
      <c t="s" s="86" r="B4">
        <v>653</v>
      </c>
      <c t="s" s="86" r="C4">
        <v>648</v>
      </c>
      <c t="s" s="86" r="D4">
        <v>654</v>
      </c>
      <c t="s" s="86" r="E4">
        <v>655</v>
      </c>
      <c s="86" r="F4"/>
    </row>
    <row r="5">
      <c t="s" s="86" r="A5">
        <v>656</v>
      </c>
      <c t="s" s="86" r="B5">
        <v>647</v>
      </c>
      <c t="s" s="86" r="C5">
        <v>657</v>
      </c>
      <c t="s" s="86" r="D5">
        <v>658</v>
      </c>
      <c t="s" s="86" r="E5">
        <v>659</v>
      </c>
      <c s="86" r="F5"/>
    </row>
    <row r="6">
      <c s="86" r="A6"/>
      <c s="86" r="B6"/>
      <c s="86" r="C6"/>
      <c s="86" r="D6"/>
      <c s="86" r="E6"/>
      <c s="86" r="F6"/>
    </row>
    <row r="7">
      <c s="86" r="A7"/>
      <c s="86" r="B7"/>
      <c s="86" r="C7"/>
      <c s="86" r="D7"/>
      <c s="86" r="E7"/>
      <c s="86" r="F7"/>
    </row>
    <row r="8">
      <c s="86" r="A8"/>
      <c s="86" r="B8"/>
      <c s="86" r="C8"/>
      <c s="86" r="D8"/>
      <c s="86" r="E8"/>
      <c s="86" r="F8"/>
    </row>
    <row r="9">
      <c s="86" r="A9"/>
      <c s="86" r="B9"/>
      <c s="86" r="C9"/>
      <c s="86" r="D9"/>
      <c s="86" r="E9"/>
      <c s="86" r="F9"/>
    </row>
    <row r="10">
      <c s="86" r="A10"/>
      <c s="86" r="B10"/>
      <c s="86" r="C10"/>
      <c s="86" r="D10"/>
      <c s="86" r="E10"/>
      <c s="86" r="F10"/>
    </row>
  </sheetData>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4" ySplit="3.0" activePane="bottomLeft" state="frozen"/>
      <selection sqref="A4" activeCell="A4" pane="bottomLeft"/>
    </sheetView>
  </sheetViews>
  <sheetFormatPr customHeight="1" defaultColWidth="17.14" defaultRowHeight="12.75"/>
  <cols>
    <col min="1" customWidth="1" max="1" width="19.86"/>
    <col min="2" customWidth="1" max="2" width="26.29"/>
    <col min="3" customWidth="1" max="5" width="13.0"/>
    <col min="6" customWidth="1" max="6" width="9.57"/>
    <col min="7" customWidth="1" max="7" width="44.86"/>
    <col min="8" customWidth="1" max="8" width="14.0"/>
  </cols>
  <sheetData>
    <row r="1">
      <c t="s" s="42" r="A1">
        <v>660</v>
      </c>
      <c t="s" s="42" r="B1">
        <v>660</v>
      </c>
      <c t="s" s="32" r="C1">
        <v>661</v>
      </c>
      <c t="s" s="75" r="D1">
        <v>661</v>
      </c>
      <c s="7" r="E1"/>
      <c s="7" r="F1"/>
      <c s="7" r="G1"/>
      <c t="s" s="39" r="H1">
        <v>662</v>
      </c>
      <c s="7" r="I1"/>
      <c s="7" r="J1"/>
      <c s="7" r="K1"/>
      <c s="7" r="L1"/>
      <c s="7" r="M1"/>
      <c s="7" r="N1"/>
      <c s="7" r="O1"/>
      <c s="7" r="P1"/>
      <c s="7" r="Q1"/>
    </row>
    <row r="2">
      <c s="7" r="A2"/>
      <c s="7" r="B2"/>
      <c s="7" r="C2"/>
      <c s="48" r="D2"/>
      <c s="7" r="E2"/>
      <c s="7" r="F2"/>
      <c s="7" r="G2"/>
      <c s="7" r="H2"/>
      <c s="7" r="I2"/>
      <c s="7" r="J2"/>
      <c s="7" r="K2"/>
      <c s="7" r="L2"/>
      <c s="7" r="M2"/>
      <c s="7" r="N2"/>
      <c s="7" r="O2"/>
      <c s="7" r="P2"/>
      <c s="7" r="Q2"/>
    </row>
    <row r="3">
      <c t="s" s="88" r="A3">
        <v>663</v>
      </c>
      <c t="s" s="88" r="B3">
        <v>664</v>
      </c>
      <c t="s" s="88" r="C3">
        <v>665</v>
      </c>
      <c t="s" s="57" r="D3">
        <v>666</v>
      </c>
      <c t="s" s="88" r="E3">
        <v>667</v>
      </c>
      <c t="s" s="88" r="F3">
        <v>668</v>
      </c>
      <c t="s" s="6" r="G3">
        <v>669</v>
      </c>
      <c t="s" s="3" r="H3">
        <v>670</v>
      </c>
      <c s="86" r="I3"/>
      <c s="86" r="J3"/>
      <c s="86" r="K3"/>
      <c s="86" r="L3"/>
      <c s="86" r="M3"/>
      <c s="86" r="N3"/>
      <c s="86" r="O3"/>
      <c s="86" r="P3"/>
      <c s="86" r="Q3"/>
    </row>
    <row r="4">
      <c t="s" s="86" r="A4">
        <v>671</v>
      </c>
      <c t="s" s="86" r="B4">
        <v>671</v>
      </c>
      <c t="s" s="40" r="C4">
        <v>672</v>
      </c>
      <c t="s" s="95" r="D4">
        <v>673</v>
      </c>
      <c t="s" s="86" r="E4">
        <v>674</v>
      </c>
      <c t="s" s="86" r="F4">
        <v>672</v>
      </c>
      <c s="86" r="G4"/>
      <c s="7" r="H4">
        <f>COUNTIF(PROJECT!F2:F100, "*AFG*")</f>
        <v>0</v>
      </c>
      <c s="86" r="I4"/>
      <c s="86" r="J4"/>
      <c s="86" r="K4"/>
      <c s="86" r="L4"/>
      <c s="86" r="M4"/>
      <c s="86" r="N4"/>
      <c s="86" r="O4"/>
      <c s="86" r="P4"/>
      <c s="86" r="Q4"/>
    </row>
    <row r="5">
      <c t="s" s="86" r="A5">
        <v>675</v>
      </c>
      <c t="s" s="86" r="B5">
        <v>675</v>
      </c>
      <c s="102" r="C5"/>
      <c t="s" s="95" r="D5">
        <v>676</v>
      </c>
      <c t="s" s="26" r="E5">
        <v>677</v>
      </c>
      <c t="s" s="26" r="F5">
        <v>678</v>
      </c>
      <c s="86" r="G5"/>
      <c s="7" r="H5">
        <f>COUNTIF(PROJECT!F2:F100, "*ALA*")</f>
        <v>0</v>
      </c>
      <c s="86" r="I5"/>
      <c s="86" r="J5"/>
      <c s="86" r="K5"/>
      <c s="86" r="L5"/>
      <c s="86" r="M5"/>
      <c s="86" r="N5"/>
      <c s="86" r="O5"/>
      <c s="86" r="P5"/>
      <c s="86" r="Q5"/>
    </row>
    <row r="6">
      <c t="s" s="86" r="A6">
        <v>679</v>
      </c>
      <c t="s" s="86" r="B6">
        <v>679</v>
      </c>
      <c t="s" s="40" r="C6">
        <v>680</v>
      </c>
      <c t="s" s="95" r="D6">
        <v>681</v>
      </c>
      <c t="s" s="86" r="E6">
        <v>682</v>
      </c>
      <c t="s" s="86" r="F6">
        <v>680</v>
      </c>
      <c s="86" r="G6"/>
      <c s="7" r="H6">
        <f>COUNTIF(PROJECT!F2:F100, "*ALB*")</f>
        <v>0</v>
      </c>
      <c s="86" r="I6"/>
      <c s="86" r="J6"/>
      <c s="86" r="K6"/>
      <c s="86" r="L6"/>
      <c s="86" r="M6"/>
      <c s="86" r="N6"/>
      <c s="86" r="O6"/>
      <c s="86" r="P6"/>
      <c s="86" r="Q6"/>
    </row>
    <row r="7">
      <c t="s" s="86" r="A7">
        <v>683</v>
      </c>
      <c t="s" s="86" r="B7">
        <v>683</v>
      </c>
      <c t="s" s="8" r="C7">
        <v>684</v>
      </c>
      <c t="s" s="95" r="D7">
        <v>685</v>
      </c>
      <c t="s" s="26" r="E7">
        <v>686</v>
      </c>
      <c t="s" s="86" r="F7">
        <v>687</v>
      </c>
      <c s="86" r="G7"/>
      <c s="7" r="H7">
        <f>COUNTIF(PROJECT!F2:F100, "*DZA*")</f>
        <v>0</v>
      </c>
      <c s="86" r="I7"/>
      <c s="86" r="J7"/>
      <c s="86" r="K7"/>
      <c s="86" r="L7"/>
      <c s="86" r="M7"/>
      <c s="86" r="N7"/>
      <c s="86" r="O7"/>
      <c s="86" r="P7"/>
      <c s="86" r="Q7"/>
    </row>
    <row r="8">
      <c t="s" s="86" r="A8">
        <v>688</v>
      </c>
      <c t="s" s="86" r="B8">
        <v>688</v>
      </c>
      <c t="s" s="40" r="C8">
        <v>689</v>
      </c>
      <c t="s" s="95" r="D8">
        <v>690</v>
      </c>
      <c t="s" s="86" r="E8">
        <v>691</v>
      </c>
      <c t="s" s="86" r="F8">
        <v>692</v>
      </c>
      <c s="86" r="G8"/>
      <c s="7" r="H8">
        <f>COUNTIF(PROJECT!F2:F100, "*ASM*")</f>
        <v>0</v>
      </c>
      <c s="86" r="I8"/>
      <c s="86" r="J8"/>
      <c s="86" r="K8"/>
      <c s="86" r="L8"/>
      <c s="86" r="M8"/>
      <c s="86" r="N8"/>
      <c s="86" r="O8"/>
      <c s="86" r="P8"/>
      <c s="86" r="Q8"/>
    </row>
    <row r="9">
      <c t="s" s="86" r="A9">
        <v>693</v>
      </c>
      <c t="s" s="86" r="B9">
        <v>694</v>
      </c>
      <c t="s" s="40" r="C9">
        <v>695</v>
      </c>
      <c t="s" s="95" r="D9">
        <v>696</v>
      </c>
      <c t="s" s="86" r="E9">
        <v>697</v>
      </c>
      <c t="s" s="86" r="F9">
        <v>698</v>
      </c>
      <c s="86" r="G9"/>
      <c s="7" r="H9">
        <f>COUNTIF(PROJECT!F2:F100, "*AND*")</f>
        <v>0</v>
      </c>
      <c s="86" r="I9"/>
      <c s="86" r="J9"/>
      <c s="86" r="K9"/>
      <c s="86" r="L9"/>
      <c s="86" r="M9"/>
      <c s="86" r="N9"/>
      <c s="86" r="O9"/>
      <c s="86" r="P9"/>
      <c s="86" r="Q9"/>
    </row>
    <row r="10">
      <c t="s" s="86" r="A10">
        <v>699</v>
      </c>
      <c t="s" s="86" r="B10">
        <v>699</v>
      </c>
      <c t="s" s="40" r="C10">
        <v>700</v>
      </c>
      <c t="s" s="95" r="D10">
        <v>701</v>
      </c>
      <c t="s" s="86" r="E10">
        <v>702</v>
      </c>
      <c t="s" s="86" r="F10">
        <v>700</v>
      </c>
      <c s="86" r="G10"/>
      <c s="7" r="H10">
        <f>COUNTIF(PROJECT!F2:F100, "*AGO*")</f>
        <v>0</v>
      </c>
      <c s="86" r="I10"/>
      <c s="86" r="J10"/>
      <c s="86" r="K10"/>
      <c s="86" r="L10"/>
      <c s="86" r="M10"/>
      <c s="86" r="N10"/>
      <c s="86" r="O10"/>
      <c s="86" r="P10"/>
      <c s="86" r="Q10"/>
    </row>
    <row r="11">
      <c t="s" s="86" r="A11">
        <v>703</v>
      </c>
      <c t="s" s="86" r="B11">
        <v>703</v>
      </c>
      <c t="s" s="40" r="C11">
        <v>704</v>
      </c>
      <c t="s" s="95" r="D11">
        <v>705</v>
      </c>
      <c t="s" s="86" r="E11">
        <v>706</v>
      </c>
      <c t="s" s="86" r="F11">
        <v>707</v>
      </c>
      <c s="86" r="G11"/>
      <c s="7" r="H11">
        <f>COUNTIF(PROJECT!F2:F100, "*AIA*")</f>
        <v>0</v>
      </c>
      <c s="86" r="I11"/>
      <c s="86" r="J11"/>
      <c s="86" r="K11"/>
      <c s="86" r="L11"/>
      <c s="86" r="M11"/>
      <c s="86" r="N11"/>
      <c s="86" r="O11"/>
      <c s="86" r="P11"/>
      <c s="86" r="Q11"/>
    </row>
    <row r="12">
      <c t="s" s="86" r="A12">
        <v>708</v>
      </c>
      <c t="s" s="86" r="B12">
        <v>708</v>
      </c>
      <c t="s" s="40" r="C12">
        <v>709</v>
      </c>
      <c t="s" s="95" r="D12">
        <v>710</v>
      </c>
      <c t="s" s="86" r="E12">
        <v>711</v>
      </c>
      <c t="s" s="86" r="F12">
        <v>689</v>
      </c>
      <c s="86" r="G12"/>
      <c s="7" r="H12">
        <f>COUNTIF(PROJECT!F2:F100, "*ATA*")</f>
        <v>0</v>
      </c>
      <c s="86" r="I12"/>
      <c s="86" r="J12"/>
      <c s="86" r="K12"/>
      <c s="86" r="L12"/>
      <c s="86" r="M12"/>
      <c s="86" r="N12"/>
      <c s="86" r="O12"/>
      <c s="86" r="P12"/>
      <c s="86" r="Q12"/>
    </row>
    <row r="13">
      <c t="s" s="86" r="A13">
        <v>712</v>
      </c>
      <c t="s" s="86" r="B13">
        <v>713</v>
      </c>
      <c t="s" s="40" r="C13">
        <v>714</v>
      </c>
      <c t="s" s="95" r="D13">
        <v>715</v>
      </c>
      <c t="s" s="86" r="E13">
        <v>716</v>
      </c>
      <c t="s" s="86" r="F13">
        <v>684</v>
      </c>
      <c s="86" r="G13"/>
      <c s="7" r="H13">
        <f>COUNTIF(PROJECT!F2:F100, "*ATG*")</f>
        <v>0</v>
      </c>
      <c s="86" r="I13"/>
      <c s="86" r="J13"/>
      <c s="86" r="K13"/>
      <c s="86" r="L13"/>
      <c s="86" r="M13"/>
      <c s="86" r="N13"/>
      <c s="86" r="O13"/>
      <c s="86" r="P13"/>
      <c s="86" r="Q13"/>
    </row>
    <row r="14">
      <c t="s" s="86" r="A14">
        <v>717</v>
      </c>
      <c t="s" s="86" r="B14">
        <v>717</v>
      </c>
      <c t="s" s="40" r="C14">
        <v>718</v>
      </c>
      <c t="s" s="95" r="D14">
        <v>719</v>
      </c>
      <c t="s" s="86" r="E14">
        <v>720</v>
      </c>
      <c t="s" s="86" r="F14">
        <v>718</v>
      </c>
      <c s="86" r="G14"/>
      <c s="7" r="H14">
        <f>COUNTIF(PROJECT!F2:F100, "*ARG*")</f>
        <v>0</v>
      </c>
      <c s="86" r="I14"/>
      <c s="86" r="J14"/>
      <c s="86" r="K14"/>
      <c s="86" r="L14"/>
      <c s="86" r="M14"/>
      <c s="86" r="N14"/>
      <c s="86" r="O14"/>
      <c s="86" r="P14"/>
      <c s="86" r="Q14"/>
    </row>
    <row r="15">
      <c t="s" s="86" r="A15">
        <v>721</v>
      </c>
      <c t="s" s="86" r="B15">
        <v>721</v>
      </c>
      <c t="s" s="40" r="C15">
        <v>722</v>
      </c>
      <c t="s" s="95" r="D15">
        <v>723</v>
      </c>
      <c t="s" s="86" r="E15">
        <v>724</v>
      </c>
      <c t="s" s="86" r="F15">
        <v>722</v>
      </c>
      <c s="86" r="G15"/>
      <c s="7" r="H15">
        <f>COUNTIF(PROJECT!F2:F100, "*ARM*")</f>
        <v>0</v>
      </c>
      <c s="86" r="I15"/>
      <c s="86" r="J15"/>
      <c s="86" r="K15"/>
      <c s="86" r="L15"/>
      <c s="86" r="M15"/>
      <c s="86" r="N15"/>
      <c s="86" r="O15"/>
      <c s="86" r="P15"/>
      <c s="86" r="Q15"/>
    </row>
    <row r="16">
      <c t="s" s="86" r="A16">
        <v>725</v>
      </c>
      <c t="s" s="86" r="B16">
        <v>725</v>
      </c>
      <c t="s" s="40" r="C16">
        <v>726</v>
      </c>
      <c t="s" s="95" r="D16">
        <v>727</v>
      </c>
      <c t="s" s="86" r="E16">
        <v>728</v>
      </c>
      <c t="s" s="86" r="F16">
        <v>729</v>
      </c>
      <c s="86" r="G16"/>
      <c s="7" r="H16">
        <f>COUNTIF(PROJECT!F2:F100, "*ABW*")</f>
        <v>0</v>
      </c>
      <c s="86" r="I16"/>
      <c s="86" r="J16"/>
      <c s="86" r="K16"/>
      <c s="86" r="L16"/>
      <c s="86" r="M16"/>
      <c s="86" r="N16"/>
      <c s="86" r="O16"/>
      <c s="86" r="P16"/>
      <c s="86" r="Q16"/>
    </row>
    <row r="17">
      <c t="s" s="86" r="A17">
        <v>730</v>
      </c>
      <c t="s" s="86" r="B17">
        <v>730</v>
      </c>
      <c t="s" s="40" r="C17">
        <v>692</v>
      </c>
      <c t="s" s="95" r="D17">
        <v>731</v>
      </c>
      <c t="s" s="86" r="E17">
        <v>732</v>
      </c>
      <c t="s" s="86" r="F17">
        <v>733</v>
      </c>
      <c s="86" r="G17"/>
      <c s="7" r="H17">
        <f>COUNTIF(PROJECT!F2:F100, "*AUS*")</f>
        <v>0</v>
      </c>
      <c s="86" r="I17"/>
      <c s="86" r="J17"/>
      <c s="86" r="K17"/>
      <c s="86" r="L17"/>
      <c s="86" r="M17"/>
      <c s="86" r="N17"/>
      <c s="86" r="O17"/>
      <c s="86" r="P17"/>
      <c s="86" r="Q17"/>
    </row>
    <row r="18">
      <c t="s" s="86" r="A18">
        <v>734</v>
      </c>
      <c t="s" s="86" r="B18">
        <v>734</v>
      </c>
      <c t="s" s="40" r="C18">
        <v>733</v>
      </c>
      <c t="s" s="95" r="D18">
        <v>735</v>
      </c>
      <c t="s" s="86" r="E18">
        <v>736</v>
      </c>
      <c t="s" s="86" r="F18">
        <v>737</v>
      </c>
      <c s="86" r="G18"/>
      <c s="7" r="H18">
        <f>COUNTIF(PROJECT!F2:F100, "*AUT*")</f>
        <v>0</v>
      </c>
      <c s="86" r="I18"/>
      <c s="86" r="J18"/>
      <c s="86" r="K18"/>
      <c s="86" r="L18"/>
      <c s="86" r="M18"/>
      <c s="86" r="N18"/>
      <c s="86" r="O18"/>
      <c s="86" r="P18"/>
      <c s="86" r="Q18"/>
    </row>
    <row r="19">
      <c t="s" s="86" r="A19">
        <v>738</v>
      </c>
      <c t="s" s="86" r="B19">
        <v>738</v>
      </c>
      <c t="s" s="40" r="C19">
        <v>739</v>
      </c>
      <c t="s" s="95" r="D19">
        <v>740</v>
      </c>
      <c t="s" s="86" r="E19">
        <v>741</v>
      </c>
      <c t="s" s="86" r="F19">
        <v>742</v>
      </c>
      <c s="86" r="G19"/>
      <c s="7" r="H19">
        <f>COUNTIF(PROJECT!F2:F100, "*AZE*")</f>
        <v>0</v>
      </c>
      <c s="86" r="I19"/>
      <c s="86" r="J19"/>
      <c s="86" r="K19"/>
      <c s="86" r="L19"/>
      <c s="86" r="M19"/>
      <c s="86" r="N19"/>
      <c s="86" r="O19"/>
      <c s="86" r="P19"/>
      <c s="86" r="Q19"/>
    </row>
    <row r="20">
      <c t="s" s="86" r="A20">
        <v>743</v>
      </c>
      <c t="s" s="86" r="B20">
        <v>743</v>
      </c>
      <c t="s" s="8" r="C20">
        <v>744</v>
      </c>
      <c t="s" s="82" r="D20">
        <v>745</v>
      </c>
      <c t="s" s="26" r="E20">
        <v>746</v>
      </c>
      <c t="s" s="26" r="F20">
        <v>747</v>
      </c>
      <c s="86" r="G20"/>
      <c s="63" r="H20">
        <f>COUNTIF(PROJECT!F2:F100, "*BHR*")</f>
        <v>0</v>
      </c>
      <c s="86" r="I20"/>
      <c s="86" r="J20"/>
      <c s="86" r="K20"/>
      <c s="86" r="L20"/>
      <c s="86" r="M20"/>
      <c s="86" r="N20"/>
      <c s="86" r="O20"/>
      <c s="86" r="P20"/>
      <c s="86" r="Q20"/>
    </row>
    <row r="21">
      <c t="s" s="86" r="A21">
        <v>748</v>
      </c>
      <c t="s" s="86" r="B21">
        <v>748</v>
      </c>
      <c t="s" s="40" r="C21">
        <v>749</v>
      </c>
      <c s="102" r="D21"/>
      <c s="102" r="E21"/>
      <c t="s" s="86" r="F21">
        <v>750</v>
      </c>
      <c t="s" s="7" r="G21">
        <v>751</v>
      </c>
      <c s="59" r="H21"/>
      <c s="86" r="I21"/>
      <c s="86" r="J21"/>
      <c s="86" r="K21"/>
      <c s="86" r="L21"/>
      <c s="86" r="M21"/>
      <c s="86" r="N21"/>
      <c s="86" r="O21"/>
      <c s="86" r="P21"/>
      <c s="86" r="Q21"/>
    </row>
    <row r="22">
      <c t="s" s="86" r="A22">
        <v>546</v>
      </c>
      <c t="s" s="86" r="B22">
        <v>546</v>
      </c>
      <c t="s" s="40" r="C22">
        <v>752</v>
      </c>
      <c t="s" s="95" r="D22">
        <v>753</v>
      </c>
      <c t="s" s="86" r="E22">
        <v>547</v>
      </c>
      <c t="s" s="86" r="F22">
        <v>754</v>
      </c>
      <c s="86" r="G22"/>
      <c s="7" r="H22">
        <f>COUNTIF(PROJECT!F2:F100, "*BGD*")</f>
        <v>3</v>
      </c>
      <c s="86" r="I22"/>
      <c s="86" r="J22"/>
      <c s="86" r="K22"/>
      <c s="86" r="L22"/>
      <c s="86" r="M22"/>
      <c s="86" r="N22"/>
      <c s="86" r="O22"/>
      <c s="86" r="P22"/>
      <c s="86" r="Q22"/>
    </row>
    <row r="23">
      <c t="s" s="86" r="A23">
        <v>755</v>
      </c>
      <c t="s" s="86" r="B23">
        <v>755</v>
      </c>
      <c t="s" s="40" r="C23">
        <v>756</v>
      </c>
      <c t="s" s="95" r="D23">
        <v>757</v>
      </c>
      <c t="s" s="86" r="E23">
        <v>758</v>
      </c>
      <c t="s" s="86" r="F23">
        <v>756</v>
      </c>
      <c s="86" r="G23"/>
      <c s="7" r="H23">
        <f>COUNTIF(PROJECT!F2:F100, "*BRB*")</f>
        <v>0</v>
      </c>
      <c s="86" r="I23"/>
      <c s="86" r="J23"/>
      <c s="86" r="K23"/>
      <c s="86" r="L23"/>
      <c s="86" r="M23"/>
      <c s="86" r="N23"/>
      <c s="86" r="O23"/>
      <c s="86" r="P23"/>
      <c s="86" r="Q23"/>
    </row>
    <row r="24">
      <c t="s" s="86" r="A24">
        <v>759</v>
      </c>
      <c t="s" s="86" r="B24">
        <v>759</v>
      </c>
      <c t="s" s="40" r="C24">
        <v>760</v>
      </c>
      <c t="s" s="95" r="D24">
        <v>761</v>
      </c>
      <c t="s" s="86" r="E24">
        <v>762</v>
      </c>
      <c t="s" s="86" r="F24">
        <v>763</v>
      </c>
      <c s="86" r="G24"/>
      <c s="7" r="H24">
        <f>COUNTIF(PROJECT!F2:F100, "*BLR*")</f>
        <v>0</v>
      </c>
      <c s="86" r="I24"/>
      <c s="86" r="J24"/>
      <c s="86" r="K24"/>
      <c s="86" r="L24"/>
      <c s="86" r="M24"/>
      <c s="86" r="N24"/>
      <c s="86" r="O24"/>
      <c s="86" r="P24"/>
      <c s="86" r="Q24"/>
    </row>
    <row r="25">
      <c t="s" s="86" r="A25">
        <v>764</v>
      </c>
      <c t="s" s="86" r="B25">
        <v>764</v>
      </c>
      <c t="s" s="40" r="C25">
        <v>765</v>
      </c>
      <c t="s" s="95" r="D25">
        <v>766</v>
      </c>
      <c t="s" s="86" r="E25">
        <v>767</v>
      </c>
      <c t="s" s="86" r="F25">
        <v>765</v>
      </c>
      <c s="86" r="G25"/>
      <c s="7" r="H25">
        <f>COUNTIF(PROJECT!F2:F100, "*BEL*")</f>
        <v>0</v>
      </c>
      <c s="86" r="I25"/>
      <c s="86" r="J25"/>
      <c s="86" r="K25"/>
      <c s="86" r="L25"/>
      <c s="86" r="M25"/>
      <c s="86" r="N25"/>
      <c s="86" r="O25"/>
      <c s="86" r="P25"/>
      <c s="86" r="Q25"/>
    </row>
    <row r="26">
      <c t="s" s="86" r="A26">
        <v>768</v>
      </c>
      <c t="s" s="86" r="B26">
        <v>768</v>
      </c>
      <c t="s" s="40" r="C26">
        <v>747</v>
      </c>
      <c t="s" s="95" r="D26">
        <v>769</v>
      </c>
      <c t="s" s="86" r="E26">
        <v>770</v>
      </c>
      <c t="s" s="86" r="F26">
        <v>771</v>
      </c>
      <c s="86" r="G26"/>
      <c s="7" r="H26">
        <f>COUNTIF(PROJECT!F2:F100, "*BLZ*")</f>
        <v>0</v>
      </c>
      <c s="86" r="I26"/>
      <c s="86" r="J26"/>
      <c s="86" r="K26"/>
      <c s="86" r="L26"/>
      <c s="86" r="M26"/>
      <c s="86" r="N26"/>
      <c s="86" r="O26"/>
      <c s="86" r="P26"/>
      <c s="86" r="Q26"/>
    </row>
    <row r="27">
      <c t="s" s="86" r="A27">
        <v>772</v>
      </c>
      <c t="s" s="86" r="B27">
        <v>772</v>
      </c>
      <c t="s" s="40" r="C27">
        <v>773</v>
      </c>
      <c t="s" s="95" r="D27">
        <v>774</v>
      </c>
      <c t="s" s="86" r="E27">
        <v>775</v>
      </c>
      <c t="s" s="86" r="F27">
        <v>776</v>
      </c>
      <c s="86" r="G27"/>
      <c s="7" r="H27">
        <f>COUNTIF(PROJECT!F2:F100, "*BEN*")</f>
        <v>0</v>
      </c>
      <c s="86" r="I27"/>
      <c s="86" r="J27"/>
      <c s="86" r="K27"/>
      <c s="86" r="L27"/>
      <c s="86" r="M27"/>
      <c s="86" r="N27"/>
      <c s="86" r="O27"/>
      <c s="86" r="P27"/>
      <c s="86" r="Q27"/>
    </row>
    <row r="28">
      <c t="s" s="86" r="A28">
        <v>777</v>
      </c>
      <c t="s" s="86" r="B28">
        <v>777</v>
      </c>
      <c t="s" s="40" r="C28">
        <v>754</v>
      </c>
      <c t="s" s="95" r="D28">
        <v>778</v>
      </c>
      <c t="s" s="86" r="E28">
        <v>779</v>
      </c>
      <c t="s" s="86" r="F28">
        <v>780</v>
      </c>
      <c s="86" r="G28"/>
      <c s="7" r="H28">
        <f>COUNTIF(PROJECT!F2:F100, "*BMU*")</f>
        <v>0</v>
      </c>
      <c s="86" r="I28"/>
      <c s="86" r="J28"/>
      <c s="86" r="K28"/>
      <c s="86" r="L28"/>
      <c s="86" r="M28"/>
      <c s="86" r="N28"/>
      <c s="86" r="O28"/>
      <c s="86" r="P28"/>
      <c s="86" r="Q28"/>
    </row>
    <row r="29">
      <c t="s" s="86" r="A29">
        <v>781</v>
      </c>
      <c t="s" s="86" r="B29">
        <v>781</v>
      </c>
      <c t="s" s="40" r="C29">
        <v>782</v>
      </c>
      <c t="s" s="95" r="D29">
        <v>783</v>
      </c>
      <c t="s" s="86" r="E29">
        <v>784</v>
      </c>
      <c t="s" s="86" r="F29">
        <v>782</v>
      </c>
      <c s="86" r="G29"/>
      <c s="7" r="H29">
        <f>COUNTIF(PROJECT!F2:F100, "*BTN*")</f>
        <v>0</v>
      </c>
      <c s="86" r="I29"/>
      <c s="86" r="J29"/>
      <c s="86" r="K29"/>
      <c s="86" r="L29"/>
      <c s="86" r="M29"/>
      <c s="86" r="N29"/>
      <c s="86" r="O29"/>
      <c s="86" r="P29"/>
      <c s="86" r="Q29"/>
    </row>
    <row r="30">
      <c t="s" s="86" r="A30">
        <v>785</v>
      </c>
      <c t="s" s="86" r="B30">
        <v>786</v>
      </c>
      <c t="s" s="40" r="C30">
        <v>787</v>
      </c>
      <c t="s" s="95" r="D30">
        <v>788</v>
      </c>
      <c t="s" s="86" r="E30">
        <v>789</v>
      </c>
      <c t="s" s="86" r="F30">
        <v>760</v>
      </c>
      <c s="86" r="G30"/>
      <c s="7" r="H30">
        <f>COUNTIF(PROJECT!F2:F100, "*BOL*")</f>
        <v>0</v>
      </c>
      <c s="86" r="I30"/>
      <c s="86" r="J30"/>
      <c s="86" r="K30"/>
      <c s="86" r="L30"/>
      <c s="86" r="M30"/>
      <c s="86" r="N30"/>
      <c s="86" r="O30"/>
      <c s="86" r="P30"/>
      <c s="86" r="Q30"/>
    </row>
    <row r="31">
      <c t="s" s="86" r="A31">
        <v>790</v>
      </c>
      <c t="s" s="86" r="B31">
        <v>790</v>
      </c>
      <c s="102" r="C31"/>
      <c t="s" s="95" r="D31">
        <v>791</v>
      </c>
      <c t="s" s="86" r="E31">
        <v>792</v>
      </c>
      <c t="s" s="86" r="F31">
        <v>793</v>
      </c>
      <c s="86" r="G31"/>
      <c s="7" r="H31">
        <f>COUNTIF(PROJECT!F2:F100, "*BES*")</f>
        <v>0</v>
      </c>
      <c s="86" r="I31"/>
      <c s="86" r="J31"/>
      <c s="86" r="K31"/>
      <c s="86" r="L31"/>
      <c s="86" r="M31"/>
      <c s="86" r="N31"/>
      <c s="86" r="O31"/>
      <c s="86" r="P31"/>
      <c s="86" r="Q31"/>
    </row>
    <row r="32">
      <c t="s" s="86" r="A32">
        <v>794</v>
      </c>
      <c t="s" s="86" r="B32">
        <v>795</v>
      </c>
      <c t="s" s="40" r="C32">
        <v>796</v>
      </c>
      <c t="s" s="95" r="D32">
        <v>797</v>
      </c>
      <c t="s" s="86" r="E32">
        <v>798</v>
      </c>
      <c t="s" s="86" r="F32">
        <v>744</v>
      </c>
      <c s="86" r="G32"/>
      <c s="7" r="H32">
        <f>COUNTIF(PROJECT!F2:F100, "*BIH*")</f>
        <v>0</v>
      </c>
      <c s="86" r="I32"/>
      <c s="86" r="J32"/>
      <c s="86" r="K32"/>
      <c s="86" r="L32"/>
      <c s="86" r="M32"/>
      <c s="86" r="N32"/>
      <c s="86" r="O32"/>
      <c s="86" r="P32"/>
      <c s="86" r="Q32"/>
    </row>
    <row r="33">
      <c t="s" s="86" r="A33">
        <v>168</v>
      </c>
      <c t="s" s="86" r="B33">
        <v>168</v>
      </c>
      <c t="s" s="40" r="C33">
        <v>799</v>
      </c>
      <c t="s" s="95" r="D33">
        <v>800</v>
      </c>
      <c t="s" s="86" r="E33">
        <v>611</v>
      </c>
      <c t="s" s="86" r="F33">
        <v>801</v>
      </c>
      <c s="86" r="G33"/>
      <c s="7" r="H33">
        <f>COUNTIF(PROJECT!F2:F100, "*BWA*")</f>
        <v>1</v>
      </c>
      <c s="86" r="I33"/>
      <c s="86" r="J33"/>
      <c s="86" r="K33"/>
      <c s="86" r="L33"/>
      <c s="86" r="M33"/>
      <c s="86" r="N33"/>
      <c s="86" r="O33"/>
      <c s="86" r="P33"/>
      <c s="86" r="Q33"/>
    </row>
    <row r="34">
      <c t="s" s="86" r="A34">
        <v>802</v>
      </c>
      <c t="s" s="86" r="B34">
        <v>803</v>
      </c>
      <c t="s" s="40" r="C34">
        <v>804</v>
      </c>
      <c t="s" s="95" r="D34">
        <v>805</v>
      </c>
      <c t="s" s="86" r="E34">
        <v>806</v>
      </c>
      <c t="s" s="86" r="F34">
        <v>804</v>
      </c>
      <c s="86" r="G34"/>
      <c s="7" r="H34">
        <f>COUNTIF(PROJECT!F2:F100, "*BVT*")</f>
        <v>0</v>
      </c>
      <c s="86" r="I34"/>
      <c s="86" r="J34"/>
      <c s="86" r="K34"/>
      <c s="86" r="L34"/>
      <c s="86" r="M34"/>
      <c s="86" r="N34"/>
      <c s="86" r="O34"/>
      <c s="86" r="P34"/>
      <c s="86" r="Q34"/>
    </row>
    <row r="35">
      <c t="s" s="86" r="A35">
        <v>807</v>
      </c>
      <c t="s" s="86" r="B35">
        <v>807</v>
      </c>
      <c t="s" s="40" r="C35">
        <v>808</v>
      </c>
      <c t="s" s="95" r="D35">
        <v>809</v>
      </c>
      <c t="s" s="86" r="E35">
        <v>810</v>
      </c>
      <c t="s" s="86" r="F35">
        <v>808</v>
      </c>
      <c s="86" r="G35"/>
      <c s="7" r="H35">
        <f>COUNTIF(PROJECT!F2:F100, "*BRA*")</f>
        <v>0</v>
      </c>
      <c s="86" r="I35"/>
      <c s="86" r="J35"/>
      <c s="86" r="K35"/>
      <c s="86" r="L35"/>
      <c s="86" r="M35"/>
      <c s="86" r="N35"/>
      <c s="86" r="O35"/>
      <c s="86" r="P35"/>
      <c s="86" r="Q35"/>
    </row>
    <row r="36">
      <c t="s" s="86" r="A36">
        <v>811</v>
      </c>
      <c t="s" s="86" r="B36">
        <v>811</v>
      </c>
      <c t="s" s="40" r="C36">
        <v>812</v>
      </c>
      <c t="s" s="95" r="D36">
        <v>813</v>
      </c>
      <c t="s" s="86" r="E36">
        <v>814</v>
      </c>
      <c t="s" s="86" r="F36">
        <v>812</v>
      </c>
      <c s="86" r="G36"/>
      <c s="7" r="H36">
        <f>COUNTIF(PROJECT!F2:F100, "*IOT*")</f>
        <v>0</v>
      </c>
      <c s="86" r="I36"/>
      <c s="86" r="J36"/>
      <c s="86" r="K36"/>
      <c s="86" r="L36"/>
      <c s="86" r="M36"/>
      <c s="86" r="N36"/>
      <c s="86" r="O36"/>
      <c s="86" r="P36"/>
      <c s="86" r="Q36"/>
    </row>
    <row r="37">
      <c t="s" s="86" r="A37">
        <v>815</v>
      </c>
      <c t="s" s="86" r="B37">
        <v>816</v>
      </c>
      <c t="s" s="40" r="C37">
        <v>817</v>
      </c>
      <c t="s" s="95" r="D37">
        <v>818</v>
      </c>
      <c t="s" s="86" r="E37">
        <v>819</v>
      </c>
      <c t="s" s="86" r="F37">
        <v>773</v>
      </c>
      <c s="86" r="G37"/>
      <c s="7" r="H37">
        <f>COUNTIF(PROJECT!F2:F100, "*BRN*")</f>
        <v>0</v>
      </c>
      <c s="86" r="I37"/>
      <c s="86" r="J37"/>
      <c s="86" r="K37"/>
      <c s="86" r="L37"/>
      <c s="86" r="M37"/>
      <c s="86" r="N37"/>
      <c s="86" r="O37"/>
      <c s="86" r="P37"/>
      <c s="86" r="Q37"/>
    </row>
    <row r="38">
      <c t="s" s="86" r="A38">
        <v>820</v>
      </c>
      <c t="s" s="86" r="B38">
        <v>820</v>
      </c>
      <c t="s" s="40" r="C38">
        <v>821</v>
      </c>
      <c t="s" s="95" r="D38">
        <v>822</v>
      </c>
      <c t="s" s="86" r="E38">
        <v>823</v>
      </c>
      <c t="s" s="86" r="F38">
        <v>752</v>
      </c>
      <c s="86" r="G38"/>
      <c s="7" r="H38">
        <f>COUNTIF(PROJECT!F2:F100, "*BGR*")</f>
        <v>0</v>
      </c>
      <c s="86" r="I38"/>
      <c s="86" r="J38"/>
      <c s="86" r="K38"/>
      <c s="86" r="L38"/>
      <c s="86" r="M38"/>
      <c s="86" r="N38"/>
      <c s="86" r="O38"/>
      <c s="86" r="P38"/>
      <c s="86" r="Q38"/>
    </row>
    <row r="39">
      <c t="s" s="26" r="A39">
        <v>824</v>
      </c>
      <c t="s" s="26" r="B39">
        <v>824</v>
      </c>
      <c t="s" s="40" r="C39">
        <v>825</v>
      </c>
      <c t="s" s="95" r="D39">
        <v>826</v>
      </c>
      <c t="s" s="86" r="E39">
        <v>827</v>
      </c>
      <c t="s" s="86" r="F39">
        <v>828</v>
      </c>
      <c s="86" r="G39"/>
      <c s="7" r="H39">
        <f>COUNTIF(PROJECT!F2:F100, "*BFA*")</f>
        <v>0</v>
      </c>
      <c s="86" r="I39"/>
      <c s="86" r="J39"/>
      <c s="86" r="K39"/>
      <c s="86" r="L39"/>
      <c s="86" r="M39"/>
      <c s="86" r="N39"/>
      <c s="86" r="O39"/>
      <c s="86" r="P39"/>
      <c s="86" r="Q39"/>
    </row>
    <row r="40">
      <c t="s" s="86" r="A40">
        <v>101</v>
      </c>
      <c t="s" s="86" r="B40">
        <v>101</v>
      </c>
      <c t="s" s="40" r="C40">
        <v>763</v>
      </c>
      <c t="s" s="95" r="D40">
        <v>829</v>
      </c>
      <c t="s" s="86" r="E40">
        <v>830</v>
      </c>
      <c t="s" s="86" r="F40">
        <v>831</v>
      </c>
      <c s="86" r="G40"/>
      <c s="7" r="H40">
        <f>COUNTIF(PROJECT!F2:F100, "*BDI*")</f>
        <v>1</v>
      </c>
      <c s="86" r="I40"/>
      <c s="86" r="J40"/>
      <c s="86" r="K40"/>
      <c s="86" r="L40"/>
      <c s="86" r="M40"/>
      <c s="86" r="N40"/>
      <c s="86" r="O40"/>
      <c s="86" r="P40"/>
      <c s="86" r="Q40"/>
    </row>
    <row r="41">
      <c t="s" s="86" r="A41">
        <v>832</v>
      </c>
      <c t="s" s="86" r="B41">
        <v>832</v>
      </c>
      <c t="s" s="8" r="C41">
        <v>833</v>
      </c>
      <c t="s" s="95" r="D41">
        <v>834</v>
      </c>
      <c t="s" s="26" r="E41">
        <v>835</v>
      </c>
      <c t="s" s="86" r="F41">
        <v>836</v>
      </c>
      <c s="86" r="G41"/>
      <c s="7" r="H41">
        <f>COUNTIF(PROJECT!F2:F100, "*KHM*")</f>
        <v>0</v>
      </c>
      <c s="86" r="I41"/>
      <c s="86" r="J41"/>
      <c s="86" r="K41"/>
      <c s="86" r="L41"/>
      <c s="86" r="M41"/>
      <c s="86" r="N41"/>
      <c s="86" r="O41"/>
      <c s="86" r="P41"/>
      <c s="86" r="Q41"/>
    </row>
    <row r="42">
      <c t="s" s="86" r="A42">
        <v>837</v>
      </c>
      <c t="s" s="86" r="B42">
        <v>837</v>
      </c>
      <c t="s" s="40" r="C42">
        <v>838</v>
      </c>
      <c t="s" s="95" r="D42">
        <v>839</v>
      </c>
      <c t="s" s="86" r="E42">
        <v>840</v>
      </c>
      <c t="s" s="86" r="F42">
        <v>838</v>
      </c>
      <c s="86" r="G42"/>
      <c s="7" r="H42">
        <f>COUNTIF(PROJECT!F2:F100, "*CMR*")</f>
        <v>0</v>
      </c>
      <c s="86" r="I42"/>
      <c s="86" r="J42"/>
      <c s="86" r="K42"/>
      <c s="86" r="L42"/>
      <c s="86" r="M42"/>
      <c s="86" r="N42"/>
      <c s="86" r="O42"/>
      <c s="86" r="P42"/>
      <c s="86" r="Q42"/>
    </row>
    <row r="43">
      <c t="s" s="86" r="A43">
        <v>841</v>
      </c>
      <c t="s" s="86" r="B43">
        <v>841</v>
      </c>
      <c t="s" s="40" r="C43">
        <v>842</v>
      </c>
      <c t="s" s="95" r="D43">
        <v>843</v>
      </c>
      <c t="s" s="86" r="E43">
        <v>844</v>
      </c>
      <c t="s" s="86" r="F43">
        <v>842</v>
      </c>
      <c s="86" r="G43"/>
      <c s="7" r="H43">
        <f>COUNTIF(PROJECT!F2:F100, "*CAN*")</f>
        <v>0</v>
      </c>
      <c s="86" r="I43"/>
      <c s="86" r="J43"/>
      <c s="86" r="K43"/>
      <c s="86" r="L43"/>
      <c s="86" r="M43"/>
      <c s="86" r="N43"/>
      <c s="86" r="O43"/>
      <c s="86" r="P43"/>
      <c s="86" r="Q43"/>
    </row>
    <row r="44">
      <c t="s" s="86" r="A44">
        <v>845</v>
      </c>
      <c t="s" s="86" r="B44">
        <v>845</v>
      </c>
      <c t="s" s="40" r="C44">
        <v>846</v>
      </c>
      <c t="s" s="95" r="D44">
        <v>847</v>
      </c>
      <c t="s" s="86" r="E44">
        <v>848</v>
      </c>
      <c t="s" s="86" r="F44">
        <v>846</v>
      </c>
      <c s="86" r="G44"/>
      <c s="7" r="H44">
        <f>COUNTIF(PROJECT!F2:F100, "*CPV*")</f>
        <v>0</v>
      </c>
      <c s="86" r="I44"/>
      <c s="86" r="J44"/>
      <c s="86" r="K44"/>
      <c s="86" r="L44"/>
      <c s="86" r="M44"/>
      <c s="86" r="N44"/>
      <c s="86" r="O44"/>
      <c s="86" r="P44"/>
      <c s="86" r="Q44"/>
    </row>
    <row r="45">
      <c t="s" s="86" r="A45">
        <v>849</v>
      </c>
      <c t="s" s="86" r="B45">
        <v>850</v>
      </c>
      <c t="s" s="8" r="C45">
        <v>851</v>
      </c>
      <c t="s" s="95" r="D45">
        <v>852</v>
      </c>
      <c t="s" s="26" r="E45">
        <v>853</v>
      </c>
      <c t="s" s="86" r="F45">
        <v>854</v>
      </c>
      <c s="86" r="G45"/>
      <c s="7" r="H45">
        <f>COUNTIF(PROJECT!F2:F100, "*CYM*")</f>
        <v>0</v>
      </c>
      <c s="86" r="I45"/>
      <c s="86" r="J45"/>
      <c s="86" r="K45"/>
      <c s="86" r="L45"/>
      <c s="86" r="M45"/>
      <c s="86" r="N45"/>
      <c s="86" r="O45"/>
      <c s="86" r="P45"/>
      <c s="86" r="Q45"/>
    </row>
    <row r="46">
      <c t="s" s="86" r="A46">
        <v>855</v>
      </c>
      <c t="s" s="86" r="B46">
        <v>855</v>
      </c>
      <c t="s" s="40" r="C46">
        <v>856</v>
      </c>
      <c t="s" s="95" r="D46">
        <v>857</v>
      </c>
      <c t="s" s="86" r="E46">
        <v>858</v>
      </c>
      <c t="s" s="86" r="F46">
        <v>859</v>
      </c>
      <c s="86" r="G46"/>
      <c s="7" r="H46">
        <f>COUNTIF(PROJECT!F2:F100, "*CAF*")</f>
        <v>0</v>
      </c>
      <c s="86" r="I46"/>
      <c s="86" r="J46"/>
      <c s="86" r="K46"/>
      <c s="86" r="L46"/>
      <c s="86" r="M46"/>
      <c s="86" r="N46"/>
      <c s="86" r="O46"/>
      <c s="86" r="P46"/>
      <c s="86" r="Q46"/>
    </row>
    <row r="47">
      <c t="s" s="86" r="A47">
        <v>860</v>
      </c>
      <c t="s" s="86" r="B47">
        <v>860</v>
      </c>
      <c t="s" s="8" r="C47">
        <v>861</v>
      </c>
      <c t="s" s="95" r="D47">
        <v>862</v>
      </c>
      <c t="s" s="26" r="E47">
        <v>863</v>
      </c>
      <c t="s" s="86" r="F47">
        <v>864</v>
      </c>
      <c s="86" r="G47"/>
      <c s="7" r="H47">
        <f>COUNTIF(PROJECT!F2:F100, "*TCD*")</f>
        <v>0</v>
      </c>
      <c s="86" r="I47"/>
      <c s="86" r="J47"/>
      <c s="86" r="K47"/>
      <c s="86" r="L47"/>
      <c s="86" r="M47"/>
      <c s="86" r="N47"/>
      <c s="86" r="O47"/>
      <c s="86" r="P47"/>
      <c s="86" r="Q47"/>
    </row>
    <row r="48">
      <c t="s" s="86" r="A48">
        <v>865</v>
      </c>
      <c t="s" s="86" r="B48">
        <v>865</v>
      </c>
      <c t="s" s="40" r="C48">
        <v>866</v>
      </c>
      <c t="s" s="95" r="D48">
        <v>867</v>
      </c>
      <c t="s" s="86" r="E48">
        <v>868</v>
      </c>
      <c t="s" s="86" r="F48">
        <v>869</v>
      </c>
      <c s="86" r="G48"/>
      <c s="7" r="H48">
        <f>COUNTIF(PROJECT!F2:F100, "*CHL*")</f>
        <v>0</v>
      </c>
      <c s="86" r="I48"/>
      <c s="86" r="J48"/>
      <c s="86" r="K48"/>
      <c s="86" r="L48"/>
      <c s="86" r="M48"/>
      <c s="86" r="N48"/>
      <c s="86" r="O48"/>
      <c s="86" r="P48"/>
      <c s="86" r="Q48"/>
    </row>
    <row r="49">
      <c t="s" s="86" r="A49">
        <v>129</v>
      </c>
      <c t="s" s="86" r="B49">
        <v>129</v>
      </c>
      <c t="s" s="40" r="C49">
        <v>870</v>
      </c>
      <c t="s" s="95" r="D49">
        <v>871</v>
      </c>
      <c t="s" s="86" r="E49">
        <v>218</v>
      </c>
      <c t="s" s="86" r="F49">
        <v>872</v>
      </c>
      <c s="86" r="G49"/>
      <c s="7" r="H49">
        <f>COUNTIF(PROJECT!F2:F100, "*CHN*")</f>
        <v>2</v>
      </c>
      <c s="86" r="I49"/>
      <c s="86" r="J49"/>
      <c s="86" r="K49"/>
      <c s="86" r="L49"/>
      <c s="86" r="M49"/>
      <c s="86" r="N49"/>
      <c s="86" r="O49"/>
      <c s="86" r="P49"/>
      <c s="86" r="Q49"/>
    </row>
    <row r="50">
      <c t="s" s="86" r="A50">
        <v>873</v>
      </c>
      <c t="s" s="86" r="B50">
        <v>874</v>
      </c>
      <c t="s" s="8" r="C50">
        <v>875</v>
      </c>
      <c t="s" s="95" r="D50">
        <v>876</v>
      </c>
      <c t="s" s="26" r="E50">
        <v>877</v>
      </c>
      <c t="s" s="86" r="F50">
        <v>878</v>
      </c>
      <c s="86" r="G50"/>
      <c s="7" r="H50">
        <f>COUNTIF(PROJECT!F2:F100, "*CXR*")</f>
        <v>0</v>
      </c>
      <c s="86" r="I50"/>
      <c s="86" r="J50"/>
      <c s="86" r="K50"/>
      <c s="86" r="L50"/>
      <c s="86" r="M50"/>
      <c s="86" r="N50"/>
      <c s="86" r="O50"/>
      <c s="86" r="P50"/>
      <c s="86" r="Q50"/>
    </row>
    <row r="51">
      <c t="s" s="86" r="A51">
        <v>879</v>
      </c>
      <c t="s" s="86" r="B51">
        <v>880</v>
      </c>
      <c t="s" s="40" r="C51">
        <v>881</v>
      </c>
      <c t="s" s="95" r="D51">
        <v>882</v>
      </c>
      <c t="s" s="86" r="E51">
        <v>883</v>
      </c>
      <c t="s" s="86" r="F51">
        <v>884</v>
      </c>
      <c s="86" r="G51"/>
      <c s="7" r="H51">
        <f>COUNTIF(PROJECT!F2:F100, "*CCK*")</f>
        <v>0</v>
      </c>
      <c s="86" r="I51"/>
      <c s="86" r="J51"/>
      <c s="86" r="K51"/>
      <c s="86" r="L51"/>
      <c s="86" r="M51"/>
      <c s="86" r="N51"/>
      <c s="86" r="O51"/>
      <c s="86" r="P51"/>
      <c s="86" r="Q51"/>
    </row>
    <row r="52">
      <c t="s" s="86" r="A52">
        <v>885</v>
      </c>
      <c t="s" s="86" r="B52">
        <v>885</v>
      </c>
      <c t="s" s="40" r="C52">
        <v>886</v>
      </c>
      <c t="s" s="95" r="D52">
        <v>887</v>
      </c>
      <c t="s" s="86" r="E52">
        <v>888</v>
      </c>
      <c t="s" s="86" r="F52">
        <v>886</v>
      </c>
      <c s="86" r="G52"/>
      <c s="7" r="H52">
        <f>COUNTIF(PROJECT!F2:F100, "*COL*")</f>
        <v>0</v>
      </c>
      <c s="86" r="I52"/>
      <c s="86" r="J52"/>
      <c s="86" r="K52"/>
      <c s="86" r="L52"/>
      <c s="86" r="M52"/>
      <c s="86" r="N52"/>
      <c s="86" r="O52"/>
      <c s="86" r="P52"/>
      <c s="86" r="Q52"/>
    </row>
    <row r="53">
      <c t="s" s="86" r="A53">
        <v>889</v>
      </c>
      <c t="s" s="86" r="B53">
        <v>889</v>
      </c>
      <c t="s" s="40" r="C53">
        <v>872</v>
      </c>
      <c t="s" s="95" r="D53">
        <v>890</v>
      </c>
      <c t="s" s="86" r="E53">
        <v>891</v>
      </c>
      <c t="s" s="86" r="F53">
        <v>892</v>
      </c>
      <c s="86" r="G53"/>
      <c s="7" r="H53">
        <f>COUNTIF(PROJECT!F2:F100, "*COM*")</f>
        <v>0</v>
      </c>
      <c s="86" r="I53"/>
      <c s="86" r="J53"/>
      <c s="86" r="K53"/>
      <c s="86" r="L53"/>
      <c s="86" r="M53"/>
      <c s="86" r="N53"/>
      <c s="86" r="O53"/>
      <c s="86" r="P53"/>
      <c s="86" r="Q53"/>
    </row>
    <row r="54">
      <c t="s" s="86" r="A54">
        <v>893</v>
      </c>
      <c t="s" s="86" r="B54">
        <v>893</v>
      </c>
      <c t="s" s="40" r="C54">
        <v>859</v>
      </c>
      <c t="s" s="95" r="D54">
        <v>894</v>
      </c>
      <c t="s" s="86" r="E54">
        <v>895</v>
      </c>
      <c t="s" s="86" r="F54">
        <v>896</v>
      </c>
      <c s="86" r="G54"/>
      <c s="7" r="H54">
        <f>COUNTIF(PROJECT!F2:F100, "*COG*")</f>
        <v>0</v>
      </c>
      <c s="86" r="I54"/>
      <c s="86" r="J54"/>
      <c s="86" r="K54"/>
      <c s="86" r="L54"/>
      <c s="86" r="M54"/>
      <c s="86" r="N54"/>
      <c s="86" r="O54"/>
      <c s="86" r="P54"/>
      <c s="86" r="Q54"/>
    </row>
    <row r="55">
      <c t="s" s="86" r="A55">
        <v>897</v>
      </c>
      <c t="s" s="86" r="B55">
        <v>898</v>
      </c>
      <c t="s" s="40" r="C55">
        <v>896</v>
      </c>
      <c t="s" s="95" r="D55">
        <v>899</v>
      </c>
      <c t="s" s="86" r="E55">
        <v>900</v>
      </c>
      <c t="s" s="86" r="F55">
        <v>861</v>
      </c>
      <c s="86" r="G55"/>
      <c s="7" r="H55">
        <f>COUNTIF(PROJECT!F2:F100, "*COD*")</f>
        <v>0</v>
      </c>
      <c s="86" r="I55"/>
      <c s="86" r="J55"/>
      <c s="86" r="K55"/>
      <c s="86" r="L55"/>
      <c s="86" r="M55"/>
      <c s="86" r="N55"/>
      <c s="86" r="O55"/>
      <c s="86" r="P55"/>
      <c s="86" r="Q55"/>
    </row>
    <row r="56">
      <c t="s" s="26" r="A56">
        <v>901</v>
      </c>
      <c t="s" s="26" r="B56">
        <v>902</v>
      </c>
      <c t="s" s="40" r="C56">
        <v>903</v>
      </c>
      <c t="s" s="95" r="D56">
        <v>904</v>
      </c>
      <c t="s" s="86" r="E56">
        <v>905</v>
      </c>
      <c t="s" s="86" r="F56">
        <v>881</v>
      </c>
      <c s="86" r="G56"/>
      <c s="7" r="H56">
        <f>COUNTIF(PROJECT!F2:F100, "*COK*")</f>
        <v>0</v>
      </c>
      <c s="86" r="I56"/>
      <c s="86" r="J56"/>
      <c s="86" r="K56"/>
      <c s="86" r="L56"/>
      <c s="86" r="M56"/>
      <c s="86" r="N56"/>
      <c s="86" r="O56"/>
      <c s="86" r="P56"/>
      <c s="86" r="Q56"/>
    </row>
    <row r="57">
      <c t="s" s="86" r="A57">
        <v>906</v>
      </c>
      <c t="s" s="86" r="B57">
        <v>906</v>
      </c>
      <c t="s" s="40" r="C57">
        <v>907</v>
      </c>
      <c t="s" s="95" r="D57">
        <v>908</v>
      </c>
      <c t="s" s="86" r="E57">
        <v>909</v>
      </c>
      <c t="s" s="86" r="F57">
        <v>910</v>
      </c>
      <c s="86" r="G57"/>
      <c s="7" r="H57">
        <f>COUNTIF(PROJECT!F2:F100, "*CRI*")</f>
        <v>0</v>
      </c>
      <c s="86" r="I57"/>
      <c s="86" r="J57"/>
      <c s="86" r="K57"/>
      <c s="86" r="L57"/>
      <c s="86" r="M57"/>
      <c s="86" r="N57"/>
      <c s="86" r="O57"/>
      <c s="86" r="P57"/>
      <c s="86" r="Q57"/>
    </row>
    <row r="58">
      <c t="s" s="26" r="A58">
        <v>911</v>
      </c>
      <c t="s" s="86" r="B58">
        <v>912</v>
      </c>
      <c t="s" s="8" r="C58">
        <v>913</v>
      </c>
      <c t="s" s="95" r="D58">
        <v>914</v>
      </c>
      <c t="s" s="26" r="E58">
        <v>915</v>
      </c>
      <c t="s" s="86" r="F58">
        <v>866</v>
      </c>
      <c s="86" r="G58"/>
      <c s="7" r="H58">
        <f>COUNTIF(PROJECT!F2:F100, "*CIV*")</f>
        <v>0</v>
      </c>
      <c s="86" r="I58"/>
      <c s="86" r="J58"/>
      <c s="86" r="K58"/>
      <c s="86" r="L58"/>
      <c s="86" r="M58"/>
      <c s="86" r="N58"/>
      <c s="86" r="O58"/>
      <c s="86" r="P58"/>
      <c s="86" r="Q58"/>
    </row>
    <row r="59">
      <c t="s" s="86" r="A59">
        <v>916</v>
      </c>
      <c t="s" s="86" r="B59">
        <v>916</v>
      </c>
      <c t="s" s="40" r="C59">
        <v>917</v>
      </c>
      <c t="s" s="95" r="D59">
        <v>918</v>
      </c>
      <c t="s" s="86" r="E59">
        <v>919</v>
      </c>
      <c t="s" s="86" r="F59">
        <v>917</v>
      </c>
      <c s="86" r="G59"/>
      <c s="7" r="H59">
        <f>COUNTIF(PROJECT!F2:F100, "*HRV*")</f>
        <v>0</v>
      </c>
      <c s="86" r="I59"/>
      <c s="86" r="J59"/>
      <c s="86" r="K59"/>
      <c s="86" r="L59"/>
      <c s="86" r="M59"/>
      <c s="86" r="N59"/>
      <c s="86" r="O59"/>
      <c s="86" r="P59"/>
      <c s="86" r="Q59"/>
    </row>
    <row r="60">
      <c t="s" s="86" r="A60">
        <v>920</v>
      </c>
      <c t="s" s="86" r="B60">
        <v>920</v>
      </c>
      <c t="s" s="40" r="C60">
        <v>921</v>
      </c>
      <c t="s" s="95" r="D60">
        <v>922</v>
      </c>
      <c t="s" s="86" r="E60">
        <v>923</v>
      </c>
      <c t="s" s="86" r="F60">
        <v>921</v>
      </c>
      <c s="86" r="G60"/>
      <c s="7" r="H60">
        <f>COUNTIF(PROJECT!F2:F100, "*CUB*")</f>
        <v>0</v>
      </c>
      <c s="86" r="I60"/>
      <c s="86" r="J60"/>
      <c s="86" r="K60"/>
      <c s="86" r="L60"/>
      <c s="86" r="M60"/>
      <c s="86" r="N60"/>
      <c s="86" r="O60"/>
      <c s="86" r="P60"/>
      <c s="86" r="Q60"/>
    </row>
    <row r="61">
      <c t="s" s="86" r="A61">
        <v>924</v>
      </c>
      <c t="s" s="86" r="B61">
        <v>924</v>
      </c>
      <c t="s" s="40" r="C61">
        <v>925</v>
      </c>
      <c t="s" s="95" r="D61">
        <v>926</v>
      </c>
      <c t="s" s="86" r="E61">
        <v>927</v>
      </c>
      <c t="s" s="86" r="F61">
        <v>903</v>
      </c>
      <c s="86" r="G61"/>
      <c s="7" r="H61">
        <f>COUNTIF(PROJECT!F2:F100, "*CUW*")</f>
        <v>0</v>
      </c>
      <c s="86" r="I61"/>
      <c s="86" r="J61"/>
      <c s="86" r="K61"/>
      <c s="86" r="L61"/>
      <c s="86" r="M61"/>
      <c s="86" r="N61"/>
      <c s="86" r="O61"/>
      <c s="86" r="P61"/>
      <c s="86" r="Q61"/>
    </row>
    <row r="62">
      <c t="s" s="86" r="A62">
        <v>928</v>
      </c>
      <c t="s" s="86" r="B62">
        <v>928</v>
      </c>
      <c t="s" s="40" r="C62">
        <v>929</v>
      </c>
      <c t="s" s="95" r="D62">
        <v>930</v>
      </c>
      <c t="s" s="86" r="E62">
        <v>931</v>
      </c>
      <c t="s" s="86" r="F62">
        <v>929</v>
      </c>
      <c s="86" r="G62"/>
      <c s="7" r="H62">
        <f>COUNTIF(PROJECT!F2:F100, "*CYP*")</f>
        <v>0</v>
      </c>
      <c s="86" r="I62"/>
      <c s="86" r="J62"/>
      <c s="86" r="K62"/>
      <c s="86" r="L62"/>
      <c s="86" r="M62"/>
      <c s="86" r="N62"/>
      <c s="86" r="O62"/>
      <c s="86" r="P62"/>
      <c s="86" r="Q62"/>
    </row>
    <row r="63">
      <c t="s" s="86" r="A63">
        <v>932</v>
      </c>
      <c t="s" s="86" r="B63">
        <v>932</v>
      </c>
      <c t="s" s="40" r="C63">
        <v>933</v>
      </c>
      <c t="s" s="95" r="D63">
        <v>934</v>
      </c>
      <c t="s" s="86" r="E63">
        <v>935</v>
      </c>
      <c t="s" s="86" r="F63">
        <v>936</v>
      </c>
      <c s="86" r="G63"/>
      <c s="7" r="H63">
        <f>COUNTIF(PROJECT!F2:F100, "*CZE*")</f>
        <v>0</v>
      </c>
      <c s="86" r="I63"/>
      <c s="86" r="J63"/>
      <c s="86" r="K63"/>
      <c s="86" r="L63"/>
      <c s="86" r="M63"/>
      <c s="86" r="N63"/>
      <c s="86" r="O63"/>
      <c s="86" r="P63"/>
      <c s="86" r="Q63"/>
    </row>
    <row r="64">
      <c t="s" s="86" r="A64">
        <v>937</v>
      </c>
      <c t="s" s="86" r="B64">
        <v>937</v>
      </c>
      <c t="s" s="40" r="C64">
        <v>938</v>
      </c>
      <c t="s" s="95" r="D64">
        <v>939</v>
      </c>
      <c t="s" s="86" r="E64">
        <v>940</v>
      </c>
      <c t="s" s="86" r="F64">
        <v>941</v>
      </c>
      <c s="86" r="G64"/>
      <c s="7" r="H64">
        <f>COUNTIF(PROJECT!F2:F100, "*DNK*")</f>
        <v>0</v>
      </c>
      <c s="86" r="I64"/>
      <c s="86" r="J64"/>
      <c s="86" r="K64"/>
      <c s="86" r="L64"/>
      <c s="86" r="M64"/>
      <c s="86" r="N64"/>
      <c s="86" r="O64"/>
      <c s="86" r="P64"/>
      <c s="86" r="Q64"/>
    </row>
    <row r="65">
      <c t="s" s="86" r="A65">
        <v>942</v>
      </c>
      <c t="s" s="86" r="B65">
        <v>942</v>
      </c>
      <c t="s" s="40" r="C65">
        <v>943</v>
      </c>
      <c t="s" s="95" r="D65">
        <v>944</v>
      </c>
      <c t="s" s="86" r="E65">
        <v>945</v>
      </c>
      <c t="s" s="86" r="F65">
        <v>943</v>
      </c>
      <c s="86" r="G65"/>
      <c s="7" r="H65">
        <f>COUNTIF(PROJECT!F2:F100, "*DJI*")</f>
        <v>0</v>
      </c>
      <c s="86" r="I65"/>
      <c s="86" r="J65"/>
      <c s="86" r="K65"/>
      <c s="86" r="L65"/>
      <c s="86" r="M65"/>
      <c s="86" r="N65"/>
      <c s="86" r="O65"/>
      <c s="86" r="P65"/>
      <c s="86" r="Q65"/>
    </row>
    <row r="66">
      <c t="s" s="86" r="A66">
        <v>946</v>
      </c>
      <c t="s" s="86" r="B66">
        <v>946</v>
      </c>
      <c t="s" s="40" r="C66">
        <v>947</v>
      </c>
      <c t="s" s="95" r="D66">
        <v>948</v>
      </c>
      <c t="s" s="86" r="E66">
        <v>949</v>
      </c>
      <c t="s" s="86" r="F66">
        <v>950</v>
      </c>
      <c s="86" r="G66"/>
      <c s="7" r="H66">
        <f>COUNTIF(PROJECT!F2:F100, "*DMA*")</f>
        <v>0</v>
      </c>
      <c s="86" r="I66"/>
      <c s="86" r="J66"/>
      <c s="86" r="K66"/>
      <c s="86" r="L66"/>
      <c s="86" r="M66"/>
      <c s="86" r="N66"/>
      <c s="86" r="O66"/>
      <c s="86" r="P66"/>
      <c s="86" r="Q66"/>
    </row>
    <row r="67">
      <c t="s" s="86" r="A67">
        <v>951</v>
      </c>
      <c t="s" s="86" r="B67">
        <v>951</v>
      </c>
      <c t="s" s="40" r="C67">
        <v>952</v>
      </c>
      <c t="s" s="95" r="D67">
        <v>953</v>
      </c>
      <c t="s" s="86" r="E67">
        <v>954</v>
      </c>
      <c t="s" s="86" r="F67">
        <v>947</v>
      </c>
      <c s="86" r="G67"/>
      <c s="7" r="H67">
        <f>COUNTIF(PROJECT!F2:F100, "*DOM*")</f>
        <v>0</v>
      </c>
      <c s="86" r="I67"/>
      <c s="86" r="J67"/>
      <c s="86" r="K67"/>
      <c s="86" r="L67"/>
      <c s="86" r="M67"/>
      <c s="86" r="N67"/>
      <c s="86" r="O67"/>
      <c s="86" r="P67"/>
      <c s="86" r="Q67"/>
    </row>
    <row r="68">
      <c t="s" s="86" r="A68">
        <v>955</v>
      </c>
      <c t="s" s="86" r="B68">
        <v>955</v>
      </c>
      <c t="s" s="40" r="C68">
        <v>956</v>
      </c>
      <c t="s" s="95" r="D68">
        <v>957</v>
      </c>
      <c t="s" s="86" r="E68">
        <v>958</v>
      </c>
      <c t="s" s="86" r="F68">
        <v>956</v>
      </c>
      <c s="86" r="G68"/>
      <c s="7" r="H68">
        <f>COUNTIF(PROJECT!F2:F100, "*ECU*")</f>
        <v>0</v>
      </c>
      <c s="86" r="I68"/>
      <c s="86" r="J68"/>
      <c s="86" r="K68"/>
      <c s="86" r="L68"/>
      <c s="86" r="M68"/>
      <c s="86" r="N68"/>
      <c s="86" r="O68"/>
      <c s="86" r="P68"/>
      <c s="86" r="Q68"/>
    </row>
    <row r="69">
      <c t="s" s="86" r="A69">
        <v>959</v>
      </c>
      <c t="s" s="86" r="B69">
        <v>959</v>
      </c>
      <c t="s" s="40" r="C69">
        <v>960</v>
      </c>
      <c t="s" s="95" r="D69">
        <v>961</v>
      </c>
      <c t="s" s="86" r="E69">
        <v>962</v>
      </c>
      <c t="s" s="86" r="F69">
        <v>960</v>
      </c>
      <c s="86" r="G69"/>
      <c s="7" r="H69">
        <f>COUNTIF(PROJECT!F2:F100, "*EGY*")</f>
        <v>0</v>
      </c>
      <c s="86" r="I69"/>
      <c s="86" r="J69"/>
      <c s="86" r="K69"/>
      <c s="86" r="L69"/>
      <c s="86" r="M69"/>
      <c s="86" r="N69"/>
      <c s="86" r="O69"/>
      <c s="86" r="P69"/>
      <c s="86" r="Q69"/>
    </row>
    <row r="70">
      <c t="s" s="86" r="A70">
        <v>963</v>
      </c>
      <c t="s" s="86" r="B70">
        <v>963</v>
      </c>
      <c t="s" s="8" r="C70">
        <v>964</v>
      </c>
      <c t="s" s="95" r="D70">
        <v>965</v>
      </c>
      <c t="s" s="26" r="E70">
        <v>966</v>
      </c>
      <c t="s" s="86" r="F70">
        <v>967</v>
      </c>
      <c s="86" r="G70"/>
      <c s="7" r="H70">
        <f>COUNTIF(PROJECT!F2:F100, "*SLV*")</f>
        <v>0</v>
      </c>
      <c s="86" r="I70"/>
      <c s="86" r="J70"/>
      <c s="86" r="K70"/>
      <c s="86" r="L70"/>
      <c s="86" r="M70"/>
      <c s="86" r="N70"/>
      <c s="86" r="O70"/>
      <c s="86" r="P70"/>
      <c s="86" r="Q70"/>
    </row>
    <row r="71">
      <c t="s" s="86" r="A71">
        <v>968</v>
      </c>
      <c t="s" s="86" r="B71">
        <v>968</v>
      </c>
      <c t="s" s="8" r="C71">
        <v>969</v>
      </c>
      <c t="s" s="95" r="D71">
        <v>970</v>
      </c>
      <c t="s" s="26" r="E71">
        <v>971</v>
      </c>
      <c t="s" s="86" r="F71">
        <v>972</v>
      </c>
      <c s="86" r="G71"/>
      <c s="7" r="H71">
        <f>COUNTIF(PROJECT!F2:F100, "*GNQ*")</f>
        <v>0</v>
      </c>
      <c s="86" r="I71"/>
      <c s="86" r="J71"/>
      <c s="86" r="K71"/>
      <c s="86" r="L71"/>
      <c s="86" r="M71"/>
      <c s="86" r="N71"/>
      <c s="86" r="O71"/>
      <c s="86" r="P71"/>
      <c s="86" r="Q71"/>
    </row>
    <row r="72">
      <c t="s" s="86" r="A72">
        <v>973</v>
      </c>
      <c t="s" s="86" r="B72">
        <v>973</v>
      </c>
      <c t="s" s="40" r="C72">
        <v>974</v>
      </c>
      <c t="s" s="95" r="D72">
        <v>975</v>
      </c>
      <c t="s" s="86" r="E72">
        <v>976</v>
      </c>
      <c t="s" s="86" r="F72">
        <v>974</v>
      </c>
      <c s="86" r="G72"/>
      <c s="7" r="H72">
        <f>COUNTIF(PROJECT!F2:F100, "*ERI*")</f>
        <v>0</v>
      </c>
      <c s="86" r="I72"/>
      <c s="86" r="J72"/>
      <c s="86" r="K72"/>
      <c s="86" r="L72"/>
      <c s="86" r="M72"/>
      <c s="86" r="N72"/>
      <c s="86" r="O72"/>
      <c s="86" r="P72"/>
      <c s="86" r="Q72"/>
    </row>
    <row r="73">
      <c t="s" s="86" r="A73">
        <v>977</v>
      </c>
      <c t="s" s="86" r="B73">
        <v>977</v>
      </c>
      <c t="s" s="40" r="C73">
        <v>978</v>
      </c>
      <c t="s" s="95" r="D73">
        <v>979</v>
      </c>
      <c t="s" s="86" r="E73">
        <v>980</v>
      </c>
      <c t="s" s="86" r="F73">
        <v>981</v>
      </c>
      <c s="86" r="G73"/>
      <c s="7" r="H73">
        <f>COUNTIF(PROJECT!F2:F100, "*EST*")</f>
        <v>0</v>
      </c>
      <c s="86" r="I73"/>
      <c s="86" r="J73"/>
      <c s="86" r="K73"/>
      <c s="86" r="L73"/>
      <c s="86" r="M73"/>
      <c s="86" r="N73"/>
      <c s="86" r="O73"/>
      <c s="86" r="P73"/>
      <c s="86" r="Q73"/>
    </row>
    <row r="74">
      <c t="s" s="86" r="A74">
        <v>982</v>
      </c>
      <c t="s" s="86" r="B74">
        <v>982</v>
      </c>
      <c t="s" s="40" r="C74">
        <v>983</v>
      </c>
      <c t="s" s="95" r="D74">
        <v>984</v>
      </c>
      <c t="s" s="86" r="E74">
        <v>985</v>
      </c>
      <c t="s" s="86" r="F74">
        <v>983</v>
      </c>
      <c s="86" r="G74"/>
      <c s="7" r="H74">
        <f>COUNTIF(PROJECT!F2:F100, "*ETH*")</f>
        <v>0</v>
      </c>
      <c s="86" r="I74"/>
      <c s="86" r="J74"/>
      <c s="86" r="K74"/>
      <c s="86" r="L74"/>
      <c s="86" r="M74"/>
      <c s="86" r="N74"/>
      <c s="86" r="O74"/>
      <c s="86" r="P74"/>
      <c s="86" r="Q74"/>
    </row>
    <row r="75">
      <c t="s" s="86" r="A75">
        <v>986</v>
      </c>
      <c t="s" s="86" r="B75">
        <v>987</v>
      </c>
      <c t="s" s="40" r="C75">
        <v>988</v>
      </c>
      <c t="s" s="95" r="D75">
        <v>989</v>
      </c>
      <c t="s" s="86" r="E75">
        <v>990</v>
      </c>
      <c t="s" s="86" r="F75">
        <v>988</v>
      </c>
      <c s="86" r="G75"/>
      <c s="7" r="H75">
        <f>COUNTIF(PROJECT!F2:F100, "*FLK*")</f>
        <v>0</v>
      </c>
      <c s="86" r="I75"/>
      <c s="86" r="J75"/>
      <c s="86" r="K75"/>
      <c s="86" r="L75"/>
      <c s="86" r="M75"/>
      <c s="86" r="N75"/>
      <c s="86" r="O75"/>
      <c s="86" r="P75"/>
      <c s="86" r="Q75"/>
    </row>
    <row r="76">
      <c t="s" s="86" r="A76">
        <v>991</v>
      </c>
      <c t="s" s="86" r="B76">
        <v>992</v>
      </c>
      <c t="s" s="40" r="C76">
        <v>993</v>
      </c>
      <c t="s" s="95" r="D76">
        <v>994</v>
      </c>
      <c t="s" s="86" r="E76">
        <v>995</v>
      </c>
      <c t="s" s="86" r="F76">
        <v>993</v>
      </c>
      <c s="86" r="G76"/>
      <c s="7" r="H76">
        <f>COUNTIF(PROJECT!F2:F100, "*FRO*")</f>
        <v>0</v>
      </c>
      <c s="86" r="I76"/>
      <c s="86" r="J76"/>
      <c s="86" r="K76"/>
      <c s="86" r="L76"/>
      <c s="86" r="M76"/>
      <c s="86" r="N76"/>
      <c s="86" r="O76"/>
      <c s="86" r="P76"/>
      <c s="86" r="Q76"/>
    </row>
    <row r="77">
      <c t="s" s="86" r="A77">
        <v>996</v>
      </c>
      <c t="s" s="86" r="B77">
        <v>996</v>
      </c>
      <c t="s" s="40" r="C77">
        <v>997</v>
      </c>
      <c t="s" s="95" r="D77">
        <v>998</v>
      </c>
      <c t="s" s="86" r="E77">
        <v>999</v>
      </c>
      <c t="s" s="86" r="F77">
        <v>997</v>
      </c>
      <c s="86" r="G77"/>
      <c s="7" r="H77">
        <f>COUNTIF(PROJECT!F2:F100, "*FJI*")</f>
        <v>0</v>
      </c>
      <c s="86" r="I77"/>
      <c s="86" r="J77"/>
      <c s="86" r="K77"/>
      <c s="86" r="L77"/>
      <c s="86" r="M77"/>
      <c s="86" r="N77"/>
      <c s="86" r="O77"/>
      <c s="86" r="P77"/>
      <c s="86" r="Q77"/>
    </row>
    <row r="78">
      <c t="s" s="86" r="A78">
        <v>1000</v>
      </c>
      <c t="s" s="86" r="B78">
        <v>1000</v>
      </c>
      <c t="s" s="40" r="C78">
        <v>1001</v>
      </c>
      <c t="s" s="95" r="D78">
        <v>1002</v>
      </c>
      <c t="s" s="86" r="E78">
        <v>1003</v>
      </c>
      <c t="s" s="86" r="F78">
        <v>1001</v>
      </c>
      <c s="86" r="G78"/>
      <c s="7" r="H78">
        <f>COUNTIF(PROJECT!F2:F100, "*FIN*")</f>
        <v>0</v>
      </c>
      <c s="86" r="I78"/>
      <c s="86" r="J78"/>
      <c s="86" r="K78"/>
      <c s="86" r="L78"/>
      <c s="86" r="M78"/>
      <c s="86" r="N78"/>
      <c s="86" r="O78"/>
      <c s="86" r="P78"/>
      <c s="86" r="Q78"/>
    </row>
    <row r="79">
      <c t="s" s="86" r="A79">
        <v>1004</v>
      </c>
      <c t="s" s="86" r="B79">
        <v>1004</v>
      </c>
      <c t="s" s="40" r="C79">
        <v>1005</v>
      </c>
      <c t="s" s="95" r="D79">
        <v>1006</v>
      </c>
      <c t="s" s="86" r="E79">
        <v>1007</v>
      </c>
      <c t="s" s="86" r="F79">
        <v>1005</v>
      </c>
      <c s="86" r="G79"/>
      <c s="7" r="H79">
        <f>COUNTIF(PROJECT!F2:F100, "*FRA*")</f>
        <v>0</v>
      </c>
      <c s="86" r="I79"/>
      <c s="86" r="J79"/>
      <c s="86" r="K79"/>
      <c s="86" r="L79"/>
      <c s="86" r="M79"/>
      <c s="86" r="N79"/>
      <c s="86" r="O79"/>
      <c s="86" r="P79"/>
      <c s="86" r="Q79"/>
    </row>
    <row r="80">
      <c t="s" s="86" r="A80">
        <v>1008</v>
      </c>
      <c t="s" s="86" r="B80">
        <v>1008</v>
      </c>
      <c t="s" s="8" r="C80">
        <v>1009</v>
      </c>
      <c t="s" s="95" r="D80">
        <v>1010</v>
      </c>
      <c t="s" s="26" r="E80">
        <v>1011</v>
      </c>
      <c t="s" s="86" r="F80">
        <v>1012</v>
      </c>
      <c s="86" r="G80"/>
      <c s="7" r="H80">
        <f>COUNTIF(PROJECT!F2:F100, "*GUF*")</f>
        <v>0</v>
      </c>
      <c s="86" r="I80"/>
      <c s="86" r="J80"/>
      <c s="86" r="K80"/>
      <c s="86" r="L80"/>
      <c s="86" r="M80"/>
      <c s="86" r="N80"/>
      <c s="86" r="O80"/>
      <c s="86" r="P80"/>
      <c s="86" r="Q80"/>
    </row>
    <row r="81">
      <c t="s" s="86" r="A81">
        <v>1013</v>
      </c>
      <c t="s" s="86" r="B81">
        <v>1013</v>
      </c>
      <c t="s" s="8" r="C81">
        <v>1014</v>
      </c>
      <c t="s" s="95" r="D81">
        <v>1015</v>
      </c>
      <c t="s" s="26" r="E81">
        <v>1016</v>
      </c>
      <c t="s" s="86" r="F81">
        <v>1017</v>
      </c>
      <c s="86" r="G81"/>
      <c s="7" r="H81">
        <f>COUNTIF(PROJECT!F2:F100, "*PYF*")</f>
        <v>0</v>
      </c>
      <c s="86" r="I81"/>
      <c s="86" r="J81"/>
      <c s="86" r="K81"/>
      <c s="86" r="L81"/>
      <c s="86" r="M81"/>
      <c s="86" r="N81"/>
      <c s="86" r="O81"/>
      <c s="86" r="P81"/>
      <c s="86" r="Q81"/>
    </row>
    <row r="82">
      <c t="s" s="26" r="A82">
        <v>1018</v>
      </c>
      <c t="s" s="86" r="B82">
        <v>1019</v>
      </c>
      <c t="s" s="8" r="C82">
        <v>1020</v>
      </c>
      <c t="s" s="95" r="D82">
        <v>1021</v>
      </c>
      <c t="s" s="26" r="E82">
        <v>1022</v>
      </c>
      <c t="s" s="86" r="F82">
        <v>1023</v>
      </c>
      <c t="s" s="86" r="G82">
        <v>1024</v>
      </c>
      <c s="7" r="H82">
        <f>COUNTIF(PROJECT!F2:F100, "*ATF*")</f>
        <v>0</v>
      </c>
      <c s="86" r="I82"/>
      <c s="86" r="J82"/>
      <c s="86" r="K82"/>
      <c s="86" r="L82"/>
      <c s="86" r="M82"/>
      <c s="86" r="N82"/>
      <c s="86" r="O82"/>
      <c s="86" r="P82"/>
      <c s="86" r="Q82"/>
    </row>
    <row r="83">
      <c t="s" s="86" r="A83">
        <v>1025</v>
      </c>
      <c t="s" s="86" r="B83">
        <v>1025</v>
      </c>
      <c t="s" s="40" r="C83">
        <v>1026</v>
      </c>
      <c t="s" s="95" r="D83">
        <v>1027</v>
      </c>
      <c t="s" s="86" r="E83">
        <v>1028</v>
      </c>
      <c t="s" s="86" r="F83">
        <v>1029</v>
      </c>
      <c s="86" r="G83"/>
      <c s="7" r="H83">
        <f>COUNTIF(PROJECT!F2:F100, "*GAB*")</f>
        <v>0</v>
      </c>
      <c s="86" r="I83"/>
      <c s="86" r="J83"/>
      <c s="86" r="K83"/>
      <c s="86" r="L83"/>
      <c s="86" r="M83"/>
      <c s="86" r="N83"/>
      <c s="86" r="O83"/>
      <c s="86" r="P83"/>
      <c s="86" r="Q83"/>
    </row>
    <row r="84">
      <c t="s" s="86" r="A84">
        <v>1030</v>
      </c>
      <c t="s" s="86" r="B84">
        <v>1030</v>
      </c>
      <c t="s" s="40" r="C84">
        <v>1029</v>
      </c>
      <c t="s" s="95" r="D84">
        <v>1031</v>
      </c>
      <c t="s" s="86" r="E84">
        <v>1032</v>
      </c>
      <c t="s" s="86" r="F84">
        <v>1033</v>
      </c>
      <c s="86" r="G84"/>
      <c s="7" r="H84">
        <f>COUNTIF(PROJECT!F2:F100, "*GMB*")</f>
        <v>0</v>
      </c>
      <c s="86" r="I84"/>
      <c s="86" r="J84"/>
      <c s="86" r="K84"/>
      <c s="86" r="L84"/>
      <c s="86" r="M84"/>
      <c s="86" r="N84"/>
      <c s="86" r="O84"/>
      <c s="86" r="P84"/>
      <c s="86" r="Q84"/>
    </row>
    <row r="85">
      <c t="s" s="26" r="A85">
        <v>1030</v>
      </c>
      <c t="s" s="26" r="B85">
        <v>1034</v>
      </c>
      <c t="s" s="8" r="C85">
        <v>1029</v>
      </c>
      <c t="s" s="82" r="D85">
        <v>1031</v>
      </c>
      <c t="s" s="26" r="E85">
        <v>1032</v>
      </c>
      <c t="s" s="26" r="F85">
        <v>1033</v>
      </c>
      <c s="86" r="G85"/>
      <c s="59" r="H85">
        <f>COUNTIF(PROJECT!F2:F100, "*GMB*")</f>
        <v>0</v>
      </c>
      <c s="86" r="I85"/>
      <c s="86" r="J85"/>
      <c s="86" r="K85"/>
      <c s="86" r="L85"/>
      <c s="86" r="M85"/>
      <c s="86" r="N85"/>
      <c s="86" r="O85"/>
      <c s="86" r="P85"/>
      <c s="86" r="Q85"/>
    </row>
    <row r="86">
      <c t="s" s="86" r="A86">
        <v>1035</v>
      </c>
      <c t="s" s="86" r="B86">
        <v>1036</v>
      </c>
      <c t="s" s="63" r="C86">
        <v>1037</v>
      </c>
      <c t="s" s="95" r="D86">
        <v>1038</v>
      </c>
      <c s="102" r="E86"/>
      <c t="s" s="86" r="F86">
        <v>1039</v>
      </c>
      <c s="86" r="G86"/>
      <c s="59" r="H86">
        <f>COUNTIF(PROJECT!F2:F100, "*PS-GZA*")</f>
        <v>0</v>
      </c>
      <c s="86" r="I86"/>
      <c s="86" r="J86"/>
      <c s="86" r="K86"/>
      <c s="86" r="L86"/>
      <c s="86" r="M86"/>
      <c s="86" r="N86"/>
      <c s="86" r="O86"/>
      <c s="86" r="P86"/>
      <c s="86" r="Q86"/>
    </row>
    <row r="87">
      <c t="s" s="86" r="A87">
        <v>1040</v>
      </c>
      <c t="s" s="86" r="B87">
        <v>1040</v>
      </c>
      <c t="s" s="40" r="C87">
        <v>1041</v>
      </c>
      <c t="s" s="95" r="D87">
        <v>1042</v>
      </c>
      <c t="s" s="86" r="E87">
        <v>1043</v>
      </c>
      <c t="s" s="86" r="F87">
        <v>1044</v>
      </c>
      <c s="86" r="G87"/>
      <c s="7" r="H87">
        <f>COUNTIF(PROJECT!F2:F100, "*GEO*")</f>
        <v>0</v>
      </c>
      <c s="86" r="I87"/>
      <c s="86" r="J87"/>
      <c s="86" r="K87"/>
      <c s="86" r="L87"/>
      <c s="86" r="M87"/>
      <c s="86" r="N87"/>
      <c s="86" r="O87"/>
      <c s="86" r="P87"/>
      <c s="86" r="Q87"/>
    </row>
    <row r="88">
      <c t="s" s="86" r="A88">
        <v>1045</v>
      </c>
      <c t="s" s="86" r="B88">
        <v>1045</v>
      </c>
      <c t="s" s="8" r="C88">
        <v>1033</v>
      </c>
      <c t="s" s="95" r="D88">
        <v>1046</v>
      </c>
      <c t="s" s="26" r="E88">
        <v>1047</v>
      </c>
      <c t="s" s="86" r="F88">
        <v>1048</v>
      </c>
      <c s="86" r="G88"/>
      <c s="7" r="H88">
        <f>COUNTIF(PROJECT!F2:F100, "*DEU*")</f>
        <v>0</v>
      </c>
      <c s="86" r="I88"/>
      <c s="86" r="J88"/>
      <c s="86" r="K88"/>
      <c s="86" r="L88"/>
      <c s="86" r="M88"/>
      <c s="86" r="N88"/>
      <c s="86" r="O88"/>
      <c s="86" r="P88"/>
      <c s="86" r="Q88"/>
    </row>
    <row r="89">
      <c t="s" s="86" r="A89">
        <v>1049</v>
      </c>
      <c t="s" s="86" r="B89">
        <v>1049</v>
      </c>
      <c t="s" s="40" r="C89">
        <v>1050</v>
      </c>
      <c t="s" s="95" r="D89">
        <v>1051</v>
      </c>
      <c t="s" s="86" r="E89">
        <v>1052</v>
      </c>
      <c t="s" s="86" r="F89">
        <v>1050</v>
      </c>
      <c s="86" r="G89"/>
      <c s="7" r="H89">
        <f>COUNTIF(PROJECT!F2:F100, "*GHA*")</f>
        <v>0</v>
      </c>
      <c s="86" r="I89"/>
      <c s="86" r="J89"/>
      <c s="86" r="K89"/>
      <c s="86" r="L89"/>
      <c s="86" r="M89"/>
      <c s="86" r="N89"/>
      <c s="86" r="O89"/>
      <c s="86" r="P89"/>
      <c s="86" r="Q89"/>
    </row>
    <row r="90">
      <c t="s" s="86" r="A90">
        <v>1053</v>
      </c>
      <c t="s" s="86" r="B90">
        <v>1053</v>
      </c>
      <c t="s" s="40" r="C90">
        <v>1054</v>
      </c>
      <c t="s" s="95" r="D90">
        <v>1055</v>
      </c>
      <c t="s" s="86" r="E90">
        <v>1056</v>
      </c>
      <c t="s" s="86" r="F90">
        <v>1054</v>
      </c>
      <c s="86" r="G90"/>
      <c s="7" r="H90">
        <f>COUNTIF(PROJECT!F2:F100, "*GIB*")</f>
        <v>0</v>
      </c>
      <c s="86" r="I90"/>
      <c s="86" r="J90"/>
      <c s="86" r="K90"/>
      <c s="86" r="L90"/>
      <c s="86" r="M90"/>
      <c s="86" r="N90"/>
      <c s="86" r="O90"/>
      <c s="86" r="P90"/>
      <c s="86" r="Q90"/>
    </row>
    <row r="91">
      <c t="s" s="86" r="A91">
        <v>1057</v>
      </c>
      <c t="s" s="86" r="B91">
        <v>1058</v>
      </c>
      <c t="s" s="40" r="C91">
        <v>1059</v>
      </c>
      <c s="102" r="D91"/>
      <c s="102" r="E91"/>
      <c t="s" s="26" r="F91">
        <v>1023</v>
      </c>
      <c t="s" s="86" r="G91">
        <v>1060</v>
      </c>
      <c s="59" r="H91"/>
      <c s="86" r="I91"/>
      <c s="86" r="J91"/>
      <c s="86" r="K91"/>
      <c s="86" r="L91"/>
      <c s="86" r="M91"/>
      <c s="86" r="N91"/>
      <c s="86" r="O91"/>
      <c s="86" r="P91"/>
      <c s="86" r="Q91"/>
    </row>
    <row r="92">
      <c t="s" s="86" r="A92">
        <v>1061</v>
      </c>
      <c t="s" s="86" r="B92">
        <v>1061</v>
      </c>
      <c t="s" s="40" r="C92">
        <v>1062</v>
      </c>
      <c t="s" s="95" r="D92">
        <v>1063</v>
      </c>
      <c t="s" s="86" r="E92">
        <v>1064</v>
      </c>
      <c t="s" s="86" r="F92">
        <v>1062</v>
      </c>
      <c s="86" r="G92"/>
      <c s="7" r="H92">
        <f>COUNTIF(PROJECT!F2:F100, "*GRC*")</f>
        <v>0</v>
      </c>
      <c s="86" r="I92"/>
      <c s="86" r="J92"/>
      <c s="86" r="K92"/>
      <c s="86" r="L92"/>
      <c s="86" r="M92"/>
      <c s="86" r="N92"/>
      <c s="86" r="O92"/>
      <c s="86" r="P92"/>
      <c s="86" r="Q92"/>
    </row>
    <row r="93">
      <c t="s" s="86" r="A93">
        <v>1065</v>
      </c>
      <c t="s" s="86" r="B93">
        <v>1065</v>
      </c>
      <c t="s" s="40" r="C93">
        <v>1066</v>
      </c>
      <c t="s" s="95" r="D93">
        <v>1067</v>
      </c>
      <c t="s" s="86" r="E93">
        <v>1068</v>
      </c>
      <c t="s" s="86" r="F93">
        <v>1066</v>
      </c>
      <c s="86" r="G93"/>
      <c s="7" r="H93">
        <f>COUNTIF(PROJECT!F2:F100, "*GRL*")</f>
        <v>0</v>
      </c>
      <c s="86" r="I93"/>
      <c s="86" r="J93"/>
      <c s="86" r="K93"/>
      <c s="86" r="L93"/>
      <c s="86" r="M93"/>
      <c s="86" r="N93"/>
      <c s="86" r="O93"/>
      <c s="86" r="P93"/>
      <c s="86" r="Q93"/>
    </row>
    <row r="94">
      <c t="s" s="86" r="A94">
        <v>1069</v>
      </c>
      <c t="s" s="86" r="B94">
        <v>1069</v>
      </c>
      <c t="s" s="40" r="C94">
        <v>1070</v>
      </c>
      <c t="s" s="95" r="D94">
        <v>1071</v>
      </c>
      <c t="s" s="86" r="E94">
        <v>1072</v>
      </c>
      <c t="s" s="86" r="F94">
        <v>1073</v>
      </c>
      <c s="86" r="G94"/>
      <c s="7" r="H94">
        <f>COUNTIF(PROJECT!F2:F100, "*GRD*")</f>
        <v>0</v>
      </c>
      <c s="86" r="I94"/>
      <c s="86" r="J94"/>
      <c s="86" r="K94"/>
      <c s="86" r="L94"/>
      <c s="86" r="M94"/>
      <c s="86" r="N94"/>
      <c s="86" r="O94"/>
      <c s="86" r="P94"/>
      <c s="86" r="Q94"/>
    </row>
    <row r="95">
      <c t="s" s="86" r="A95">
        <v>1074</v>
      </c>
      <c t="s" s="86" r="B95">
        <v>1074</v>
      </c>
      <c t="s" s="40" r="C95">
        <v>1075</v>
      </c>
      <c t="s" s="95" r="D95">
        <v>1076</v>
      </c>
      <c t="s" s="86" r="E95">
        <v>1077</v>
      </c>
      <c t="s" s="86" r="F95">
        <v>1075</v>
      </c>
      <c s="86" r="G95"/>
      <c s="7" r="H95">
        <f>COUNTIF(PROJECT!F2:F100, "*GLP*")</f>
        <v>0</v>
      </c>
      <c s="86" r="I95"/>
      <c s="86" r="J95"/>
      <c s="86" r="K95"/>
      <c s="86" r="L95"/>
      <c s="86" r="M95"/>
      <c s="86" r="N95"/>
      <c s="86" r="O95"/>
      <c s="86" r="P95"/>
      <c s="86" r="Q95"/>
    </row>
    <row r="96">
      <c t="s" s="86" r="A96">
        <v>1078</v>
      </c>
      <c t="s" s="86" r="B96">
        <v>1078</v>
      </c>
      <c t="s" s="40" r="C96">
        <v>972</v>
      </c>
      <c t="s" s="95" r="D96">
        <v>1079</v>
      </c>
      <c t="s" s="86" r="E96">
        <v>1080</v>
      </c>
      <c t="s" s="86" r="F96">
        <v>1081</v>
      </c>
      <c s="86" r="G96"/>
      <c s="7" r="H96">
        <f>COUNTIF(PROJECT!F2:F100, "*GUM*")</f>
        <v>0</v>
      </c>
      <c s="86" r="I96"/>
      <c s="86" r="J96"/>
      <c s="86" r="K96"/>
      <c s="86" r="L96"/>
      <c s="86" r="M96"/>
      <c s="86" r="N96"/>
      <c s="86" r="O96"/>
      <c s="86" r="P96"/>
      <c s="86" r="Q96"/>
    </row>
    <row r="97">
      <c t="s" s="86" r="A97">
        <v>1082</v>
      </c>
      <c t="s" s="86" r="B97">
        <v>1082</v>
      </c>
      <c t="s" s="40" r="C97">
        <v>1083</v>
      </c>
      <c t="s" s="95" r="D97">
        <v>1084</v>
      </c>
      <c t="s" s="86" r="E97">
        <v>1085</v>
      </c>
      <c t="s" s="86" r="F97">
        <v>1083</v>
      </c>
      <c s="86" r="G97"/>
      <c s="7" r="H97">
        <f>COUNTIF(PROJECT!F2:F100, "*GTM*")</f>
        <v>0</v>
      </c>
      <c s="86" r="I97"/>
      <c s="86" r="J97"/>
      <c s="86" r="K97"/>
      <c s="86" r="L97"/>
      <c s="86" r="M97"/>
      <c s="86" r="N97"/>
      <c s="86" r="O97"/>
      <c s="86" r="P97"/>
      <c s="86" r="Q97"/>
    </row>
    <row r="98">
      <c t="s" s="86" r="A98">
        <v>1086</v>
      </c>
      <c t="s" s="86" r="B98">
        <v>1086</v>
      </c>
      <c t="s" s="40" r="C98">
        <v>1087</v>
      </c>
      <c t="s" s="95" r="D98">
        <v>1088</v>
      </c>
      <c t="s" s="86" r="E98">
        <v>1089</v>
      </c>
      <c t="s" s="86" r="F98">
        <v>1041</v>
      </c>
      <c s="86" r="G98"/>
      <c s="7" r="H98">
        <f>COUNTIF(PROJECT!F2:F100, "*GGY*")</f>
        <v>0</v>
      </c>
      <c s="86" r="I98"/>
      <c s="86" r="J98"/>
      <c s="86" r="K98"/>
      <c s="86" r="L98"/>
      <c s="86" r="M98"/>
      <c s="86" r="N98"/>
      <c s="86" r="O98"/>
      <c s="86" r="P98"/>
      <c s="86" r="Q98"/>
    </row>
    <row r="99">
      <c t="s" s="86" r="A99">
        <v>1090</v>
      </c>
      <c t="s" s="86" r="B99">
        <v>1090</v>
      </c>
      <c t="s" s="40" r="C99">
        <v>1091</v>
      </c>
      <c t="s" s="95" r="D99">
        <v>1092</v>
      </c>
      <c t="s" s="86" r="E99">
        <v>1093</v>
      </c>
      <c t="s" s="86" r="F99">
        <v>1094</v>
      </c>
      <c s="86" r="G99"/>
      <c s="7" r="H99">
        <f>COUNTIF(PROJECT!F2:F100, "*GIN*")</f>
        <v>0</v>
      </c>
      <c s="86" r="I99"/>
      <c s="86" r="J99"/>
      <c s="86" r="K99"/>
      <c s="86" r="L99"/>
      <c s="86" r="M99"/>
      <c s="86" r="N99"/>
      <c s="86" r="O99"/>
      <c s="86" r="P99"/>
      <c s="86" r="Q99"/>
    </row>
    <row r="100">
      <c t="s" s="86" r="A100">
        <v>1095</v>
      </c>
      <c t="s" s="86" r="B100">
        <v>1095</v>
      </c>
      <c t="s" s="40" r="C100">
        <v>1096</v>
      </c>
      <c t="s" s="95" r="D100">
        <v>1097</v>
      </c>
      <c t="s" s="86" r="E100">
        <v>1098</v>
      </c>
      <c t="s" s="86" r="F100">
        <v>1099</v>
      </c>
      <c s="86" r="G100"/>
      <c s="7" r="H100">
        <f>COUNTIF(PROJECT!F2:F100, "*GNB*")</f>
        <v>0</v>
      </c>
      <c s="86" r="I100"/>
      <c s="86" r="J100"/>
      <c s="86" r="K100"/>
      <c s="86" r="L100"/>
      <c s="86" r="M100"/>
      <c s="86" r="N100"/>
      <c s="86" r="O100"/>
      <c s="86" r="P100"/>
      <c s="86" r="Q100"/>
    </row>
    <row r="101">
      <c t="s" s="86" r="A101">
        <v>1100</v>
      </c>
      <c t="s" s="86" r="B101">
        <v>1100</v>
      </c>
      <c t="s" s="40" r="C101">
        <v>1101</v>
      </c>
      <c t="s" s="95" r="D101">
        <v>1102</v>
      </c>
      <c t="s" s="86" r="E101">
        <v>1103</v>
      </c>
      <c t="s" s="86" r="F101">
        <v>1101</v>
      </c>
      <c s="86" r="G101"/>
      <c s="7" r="H101">
        <f>COUNTIF(PROJECT!F2:F100, "*GUY*")</f>
        <v>0</v>
      </c>
      <c s="86" r="I101"/>
      <c s="86" r="J101"/>
      <c s="86" r="K101"/>
      <c s="86" r="L101"/>
      <c s="86" r="M101"/>
      <c s="86" r="N101"/>
      <c s="86" r="O101"/>
      <c s="86" r="P101"/>
      <c s="86" r="Q101"/>
    </row>
    <row r="102">
      <c t="s" s="86" r="A102">
        <v>1104</v>
      </c>
      <c t="s" s="86" r="B102">
        <v>1104</v>
      </c>
      <c t="s" s="40" r="C102">
        <v>1105</v>
      </c>
      <c t="s" s="95" r="D102">
        <v>1106</v>
      </c>
      <c t="s" s="86" r="E102">
        <v>1107</v>
      </c>
      <c t="s" s="86" r="F102">
        <v>1108</v>
      </c>
      <c s="86" r="G102"/>
      <c s="7" r="H102">
        <f>COUNTIF(PROJECT!F2:F100, "*HTI*")</f>
        <v>0</v>
      </c>
      <c s="86" r="I102"/>
      <c s="86" r="J102"/>
      <c s="86" r="K102"/>
      <c s="86" r="L102"/>
      <c s="86" r="M102"/>
      <c s="86" r="N102"/>
      <c s="86" r="O102"/>
      <c s="86" r="P102"/>
      <c s="86" r="Q102"/>
    </row>
    <row r="103">
      <c t="s" s="86" r="A103">
        <v>1109</v>
      </c>
      <c t="s" s="86" r="B103">
        <v>1110</v>
      </c>
      <c t="s" s="40" r="C103">
        <v>1111</v>
      </c>
      <c t="s" s="95" r="D103">
        <v>1112</v>
      </c>
      <c t="s" s="86" r="E103">
        <v>1113</v>
      </c>
      <c t="s" s="86" r="F103">
        <v>1111</v>
      </c>
      <c s="86" r="G103"/>
      <c s="7" r="H103">
        <f>COUNTIF(PROJECT!F2:F100, "*HMD*")</f>
        <v>0</v>
      </c>
      <c s="86" r="I103"/>
      <c s="86" r="J103"/>
      <c s="86" r="K103"/>
      <c s="86" r="L103"/>
      <c s="86" r="M103"/>
      <c s="86" r="N103"/>
      <c s="86" r="O103"/>
      <c s="86" r="P103"/>
      <c s="86" r="Q103"/>
    </row>
    <row r="104">
      <c t="s" s="86" r="A104">
        <v>1114</v>
      </c>
      <c t="s" s="86" r="B104">
        <v>1114</v>
      </c>
      <c t="s" s="40" r="C104">
        <v>1115</v>
      </c>
      <c t="s" s="95" r="D104">
        <v>1116</v>
      </c>
      <c t="s" s="86" r="E104">
        <v>1117</v>
      </c>
      <c t="s" s="86" r="F104">
        <v>1118</v>
      </c>
      <c s="86" r="G104"/>
      <c s="7" r="H104">
        <f>COUNTIF(PROJECT!F2:F100, "*HND*")</f>
        <v>0</v>
      </c>
      <c s="86" r="I104"/>
      <c s="86" r="J104"/>
      <c s="86" r="K104"/>
      <c s="86" r="L104"/>
      <c s="86" r="M104"/>
      <c s="86" r="N104"/>
      <c s="86" r="O104"/>
      <c s="86" r="P104"/>
      <c s="86" r="Q104"/>
    </row>
    <row r="105">
      <c t="s" s="86" r="A105">
        <v>1119</v>
      </c>
      <c t="s" s="86" r="B105">
        <v>1120</v>
      </c>
      <c t="s" s="40" r="C105">
        <v>1121</v>
      </c>
      <c s="102" r="D105"/>
      <c s="102" r="E105"/>
      <c t="s" s="86" r="F105">
        <v>1122</v>
      </c>
      <c t="s" s="7" r="G105">
        <v>751</v>
      </c>
      <c s="59" r="H105"/>
      <c s="86" r="I105"/>
      <c s="86" r="J105"/>
      <c s="86" r="K105"/>
      <c s="86" r="L105"/>
      <c s="86" r="M105"/>
      <c s="86" r="N105"/>
      <c s="86" r="O105"/>
      <c s="86" r="P105"/>
      <c s="86" r="Q105"/>
    </row>
    <row r="106">
      <c t="s" s="86" r="A106">
        <v>1123</v>
      </c>
      <c t="s" s="86" r="B106">
        <v>1123</v>
      </c>
      <c t="s" s="40" r="C106">
        <v>1124</v>
      </c>
      <c t="s" s="95" r="D106">
        <v>1125</v>
      </c>
      <c t="s" s="86" r="E106">
        <v>1126</v>
      </c>
      <c t="s" s="86" r="F106">
        <v>1124</v>
      </c>
      <c s="86" r="G106"/>
      <c s="7" r="H106">
        <f>COUNTIF(PROJECT!F2:F100, "*HUN*")</f>
        <v>0</v>
      </c>
      <c s="86" r="I106"/>
      <c s="86" r="J106"/>
      <c s="86" r="K106"/>
      <c s="86" r="L106"/>
      <c s="86" r="M106"/>
      <c s="86" r="N106"/>
      <c s="86" r="O106"/>
      <c s="86" r="P106"/>
      <c s="86" r="Q106"/>
    </row>
    <row r="107">
      <c t="s" s="86" r="A107">
        <v>1127</v>
      </c>
      <c t="s" s="86" r="B107">
        <v>1127</v>
      </c>
      <c t="s" s="40" r="C107">
        <v>1128</v>
      </c>
      <c t="s" s="95" r="D107">
        <v>1129</v>
      </c>
      <c t="s" s="86" r="E107">
        <v>1130</v>
      </c>
      <c t="s" s="86" r="F107">
        <v>1131</v>
      </c>
      <c s="86" r="G107"/>
      <c s="7" r="H107">
        <f>COUNTIF(PROJECT!F2:F100, "*ISL*")</f>
        <v>0</v>
      </c>
      <c s="86" r="I107"/>
      <c s="86" r="J107"/>
      <c s="86" r="K107"/>
      <c s="86" r="L107"/>
      <c s="86" r="M107"/>
      <c s="86" r="N107"/>
      <c s="86" r="O107"/>
      <c s="86" r="P107"/>
      <c s="86" r="Q107"/>
    </row>
    <row r="108">
      <c t="s" s="86" r="A108">
        <v>135</v>
      </c>
      <c t="s" s="86" r="B108">
        <v>135</v>
      </c>
      <c t="s" s="40" r="C108">
        <v>1132</v>
      </c>
      <c t="s" s="95" r="D108">
        <v>1133</v>
      </c>
      <c t="s" s="86" r="E108">
        <v>290</v>
      </c>
      <c t="s" s="86" r="F108">
        <v>1132</v>
      </c>
      <c s="86" r="G108"/>
      <c s="7" r="H108">
        <f>COUNTIF(PROJECT!F2:F100, "*IND*")</f>
        <v>7</v>
      </c>
      <c s="86" r="I108"/>
      <c s="86" r="J108"/>
      <c s="86" r="K108"/>
      <c s="86" r="L108"/>
      <c s="86" r="M108"/>
      <c s="86" r="N108"/>
      <c s="86" r="O108"/>
      <c s="86" r="P108"/>
      <c s="86" r="Q108"/>
    </row>
    <row r="109">
      <c t="s" s="86" r="A109">
        <v>1134</v>
      </c>
      <c t="s" s="86" r="B109">
        <v>1135</v>
      </c>
      <c t="s" s="40" r="C109">
        <v>1136</v>
      </c>
      <c t="s" s="95" r="D109">
        <v>1137</v>
      </c>
      <c t="s" s="86" r="E109">
        <v>1138</v>
      </c>
      <c t="s" s="86" r="F109">
        <v>1136</v>
      </c>
      <c s="86" r="G109"/>
      <c s="7" r="H109">
        <f>COUNTIF(PROJECT!F2:F100, "*IDN*")</f>
        <v>0</v>
      </c>
      <c s="86" r="I109"/>
      <c s="86" r="J109"/>
      <c s="86" r="K109"/>
      <c s="86" r="L109"/>
      <c s="86" r="M109"/>
      <c s="86" r="N109"/>
      <c s="86" r="O109"/>
      <c s="86" r="P109"/>
      <c s="86" r="Q109"/>
    </row>
    <row r="110">
      <c t="s" s="26" r="A110">
        <v>1139</v>
      </c>
      <c t="s" s="86" r="B110">
        <v>1140</v>
      </c>
      <c t="s" s="40" r="C110">
        <v>1141</v>
      </c>
      <c t="s" s="95" r="D110">
        <v>1142</v>
      </c>
      <c t="s" s="86" r="E110">
        <v>1143</v>
      </c>
      <c t="s" s="86" r="F110">
        <v>1141</v>
      </c>
      <c s="86" r="G110"/>
      <c s="7" r="H110">
        <f>COUNTIF(PROJECT!F2:F100, "*IRN*")</f>
        <v>0</v>
      </c>
      <c s="86" r="I110"/>
      <c s="86" r="J110"/>
      <c s="86" r="K110"/>
      <c s="86" r="L110"/>
      <c s="86" r="M110"/>
      <c s="86" r="N110"/>
      <c s="86" r="O110"/>
      <c s="86" r="P110"/>
      <c s="86" r="Q110"/>
    </row>
    <row r="111">
      <c t="s" s="86" r="A111">
        <v>1144</v>
      </c>
      <c t="s" s="86" r="B111">
        <v>1144</v>
      </c>
      <c t="s" s="40" r="C111">
        <v>1145</v>
      </c>
      <c t="s" s="95" r="D111">
        <v>1146</v>
      </c>
      <c t="s" s="86" r="E111">
        <v>1147</v>
      </c>
      <c t="s" s="86" r="F111">
        <v>1148</v>
      </c>
      <c s="86" r="G111"/>
      <c s="7" r="H111">
        <f>COUNTIF(PROJECT!F2:F100, "*IRQ*")</f>
        <v>0</v>
      </c>
      <c s="86" r="I111"/>
      <c s="86" r="J111"/>
      <c s="86" r="K111"/>
      <c s="86" r="L111"/>
      <c s="86" r="M111"/>
      <c s="86" r="N111"/>
      <c s="86" r="O111"/>
      <c s="86" r="P111"/>
      <c s="86" r="Q111"/>
    </row>
    <row r="112">
      <c t="s" s="86" r="A112">
        <v>1149</v>
      </c>
      <c t="s" s="86" r="B112">
        <v>1149</v>
      </c>
      <c t="s" s="40" r="C112">
        <v>1150</v>
      </c>
      <c t="s" s="95" r="D112">
        <v>1151</v>
      </c>
      <c t="s" s="86" r="E112">
        <v>1152</v>
      </c>
      <c t="s" s="86" r="F112">
        <v>1153</v>
      </c>
      <c s="86" r="G112"/>
      <c s="7" r="H112">
        <f>COUNTIF(PROJECT!F2:F100, "*IRL*")</f>
        <v>0</v>
      </c>
      <c s="86" r="I112"/>
      <c s="86" r="J112"/>
      <c s="86" r="K112"/>
      <c s="86" r="L112"/>
      <c s="86" r="M112"/>
      <c s="86" r="N112"/>
      <c s="86" r="O112"/>
      <c s="86" r="P112"/>
      <c s="86" r="Q112"/>
    </row>
    <row r="113">
      <c t="s" s="86" r="A113">
        <v>1154</v>
      </c>
      <c t="s" s="86" r="B113">
        <v>1154</v>
      </c>
      <c t="s" s="40" r="C113">
        <v>1155</v>
      </c>
      <c t="s" s="95" r="D113">
        <v>1156</v>
      </c>
      <c t="s" s="86" r="E113">
        <v>1157</v>
      </c>
      <c t="s" s="86" r="F113">
        <v>1155</v>
      </c>
      <c s="86" r="G113"/>
      <c s="7" r="H113">
        <f>COUNTIF(PROJECT!F2:F100, "*IMN*")</f>
        <v>0</v>
      </c>
      <c s="86" r="I113"/>
      <c s="86" r="J113"/>
      <c s="86" r="K113"/>
      <c s="86" r="L113"/>
      <c s="86" r="M113"/>
      <c s="86" r="N113"/>
      <c s="86" r="O113"/>
      <c s="86" r="P113"/>
      <c s="86" r="Q113"/>
    </row>
    <row r="114">
      <c t="s" s="86" r="A114">
        <v>1158</v>
      </c>
      <c t="s" s="86" r="B114">
        <v>1158</v>
      </c>
      <c t="s" s="40" r="C114">
        <v>1131</v>
      </c>
      <c t="s" s="95" r="D114">
        <v>1159</v>
      </c>
      <c t="s" s="86" r="E114">
        <v>1160</v>
      </c>
      <c t="s" s="86" r="F114">
        <v>1161</v>
      </c>
      <c s="86" r="G114"/>
      <c s="7" r="H114">
        <f>COUNTIF(PROJECT!F2:F100, "*ISR*")</f>
        <v>0</v>
      </c>
      <c s="86" r="I114"/>
      <c s="86" r="J114"/>
      <c s="86" r="K114"/>
      <c s="86" r="L114"/>
      <c s="86" r="M114"/>
      <c s="86" r="N114"/>
      <c s="86" r="O114"/>
      <c s="86" r="P114"/>
      <c s="86" r="Q114"/>
    </row>
    <row r="115">
      <c t="s" s="86" r="A115">
        <v>1162</v>
      </c>
      <c t="s" s="86" r="B115">
        <v>1162</v>
      </c>
      <c t="s" s="40" r="C115">
        <v>1163</v>
      </c>
      <c t="s" s="95" r="D115">
        <v>1164</v>
      </c>
      <c t="s" s="86" r="E115">
        <v>581</v>
      </c>
      <c t="s" s="86" r="F115">
        <v>1163</v>
      </c>
      <c s="86" r="G115"/>
      <c s="7" r="H115">
        <f>COUNTIF(PROJECT!F2:F100, "*ITA*")</f>
        <v>1</v>
      </c>
      <c s="86" r="I115"/>
      <c s="86" r="J115"/>
      <c s="86" r="K115"/>
      <c s="86" r="L115"/>
      <c s="86" r="M115"/>
      <c s="86" r="N115"/>
      <c s="86" r="O115"/>
      <c s="86" r="P115"/>
      <c s="86" r="Q115"/>
    </row>
    <row r="116">
      <c t="s" s="86" r="A116">
        <v>1165</v>
      </c>
      <c t="s" s="86" r="B116">
        <v>1165</v>
      </c>
      <c t="s" s="40" r="C116">
        <v>1166</v>
      </c>
      <c t="s" s="95" r="D116">
        <v>1167</v>
      </c>
      <c t="s" s="86" r="E116">
        <v>1168</v>
      </c>
      <c t="s" s="86" r="F116">
        <v>1166</v>
      </c>
      <c s="86" r="G116"/>
      <c s="7" r="H116">
        <f>COUNTIF(PROJECT!F2:F100, "*JAM*")</f>
        <v>0</v>
      </c>
      <c s="86" r="I116"/>
      <c s="86" r="J116"/>
      <c s="86" r="K116"/>
      <c s="86" r="L116"/>
      <c s="86" r="M116"/>
      <c s="86" r="N116"/>
      <c s="86" r="O116"/>
      <c s="86" r="P116"/>
      <c s="86" r="Q116"/>
    </row>
    <row r="117">
      <c t="s" s="86" r="A117">
        <v>1169</v>
      </c>
      <c t="s" s="86" r="B117">
        <v>1169</v>
      </c>
      <c t="s" s="40" r="C117">
        <v>1170</v>
      </c>
      <c t="s" s="95" r="D117">
        <v>1171</v>
      </c>
      <c t="s" s="61" r="E117">
        <v>1172</v>
      </c>
      <c t="s" s="86" r="F117">
        <v>1173</v>
      </c>
      <c t="s" s="86" r="G117">
        <v>1174</v>
      </c>
      <c s="7" r="H117">
        <f>COUNTIF(PROJECT!F2:F100, "*SJM*")</f>
        <v>0</v>
      </c>
      <c s="86" r="I117"/>
      <c s="86" r="J117"/>
      <c s="86" r="K117"/>
      <c s="86" r="L117"/>
      <c s="86" r="M117"/>
      <c s="86" r="N117"/>
      <c s="86" r="O117"/>
      <c s="86" r="P117"/>
      <c s="86" r="Q117"/>
    </row>
    <row r="118">
      <c t="s" s="86" r="A118">
        <v>1175</v>
      </c>
      <c t="s" s="86" r="B118">
        <v>1175</v>
      </c>
      <c t="s" s="40" r="C118">
        <v>1176</v>
      </c>
      <c t="s" s="95" r="D118">
        <v>1177</v>
      </c>
      <c t="s" s="86" r="E118">
        <v>1178</v>
      </c>
      <c t="s" s="86" r="F118">
        <v>1179</v>
      </c>
      <c s="86" r="G118"/>
      <c s="7" r="H118">
        <f>COUNTIF(PROJECT!F2:F100, "*JPN*")</f>
        <v>0</v>
      </c>
      <c s="86" r="I118"/>
      <c s="86" r="J118"/>
      <c s="86" r="K118"/>
      <c s="86" r="L118"/>
      <c s="86" r="M118"/>
      <c s="86" r="N118"/>
      <c s="86" r="O118"/>
      <c s="86" r="P118"/>
      <c s="86" r="Q118"/>
    </row>
    <row r="119">
      <c t="s" s="86" r="A119">
        <v>1180</v>
      </c>
      <c t="s" s="86" r="B119">
        <v>1181</v>
      </c>
      <c t="s" s="40" r="C119">
        <v>1182</v>
      </c>
      <c s="102" r="D119"/>
      <c s="102" r="E119"/>
      <c t="s" s="86" r="F119">
        <v>1183</v>
      </c>
      <c t="s" s="7" r="G119">
        <v>751</v>
      </c>
      <c s="59" r="H119"/>
      <c s="86" r="I119"/>
      <c s="86" r="J119"/>
      <c s="86" r="K119"/>
      <c s="86" r="L119"/>
      <c s="86" r="M119"/>
      <c s="86" r="N119"/>
      <c s="86" r="O119"/>
      <c s="86" r="P119"/>
      <c s="86" r="Q119"/>
    </row>
    <row r="120">
      <c t="s" s="86" r="A120">
        <v>1184</v>
      </c>
      <c t="s" s="86" r="B120">
        <v>1184</v>
      </c>
      <c t="s" s="40" r="C120">
        <v>1185</v>
      </c>
      <c t="s" s="95" r="D120">
        <v>1186</v>
      </c>
      <c t="s" s="86" r="E120">
        <v>1187</v>
      </c>
      <c t="s" s="86" r="F120">
        <v>1185</v>
      </c>
      <c s="86" r="G120"/>
      <c s="7" r="H120">
        <f>COUNTIF(PROJECT!F2:F100, "*JEY*")</f>
        <v>0</v>
      </c>
      <c s="86" r="I120"/>
      <c s="86" r="J120"/>
      <c s="86" r="K120"/>
      <c s="86" r="L120"/>
      <c s="86" r="M120"/>
      <c s="86" r="N120"/>
      <c s="86" r="O120"/>
      <c s="86" r="P120"/>
      <c s="86" r="Q120"/>
    </row>
    <row r="121">
      <c t="s" s="86" r="A121">
        <v>1188</v>
      </c>
      <c t="s" s="86" r="B121">
        <v>1189</v>
      </c>
      <c t="s" s="40" r="C121">
        <v>1190</v>
      </c>
      <c t="s" s="30" r="D121">
        <v>1191</v>
      </c>
      <c s="102" r="E121"/>
      <c t="s" s="86" r="F121">
        <v>1192</v>
      </c>
      <c t="s" s="7" r="G121">
        <v>751</v>
      </c>
      <c s="59" r="H121"/>
      <c s="86" r="I121"/>
      <c s="86" r="J121"/>
      <c s="86" r="K121"/>
      <c s="86" r="L121"/>
      <c s="86" r="M121"/>
      <c s="86" r="N121"/>
      <c s="86" r="O121"/>
      <c s="86" r="P121"/>
      <c s="86" r="Q121"/>
    </row>
    <row r="122">
      <c t="s" s="86" r="A122">
        <v>1193</v>
      </c>
      <c t="s" s="86" r="B122">
        <v>1193</v>
      </c>
      <c t="s" s="40" r="C122">
        <v>1194</v>
      </c>
      <c t="s" s="95" r="D122">
        <v>1195</v>
      </c>
      <c t="s" s="86" r="E122">
        <v>1196</v>
      </c>
      <c t="s" s="86" r="F122">
        <v>1194</v>
      </c>
      <c s="86" r="G122"/>
      <c s="7" r="H122">
        <f>COUNTIF(PROJECT!F2:F100, "*JOR*")</f>
        <v>0</v>
      </c>
      <c s="86" r="I122"/>
      <c s="86" r="J122"/>
      <c s="86" r="K122"/>
      <c s="86" r="L122"/>
      <c s="86" r="M122"/>
      <c s="86" r="N122"/>
      <c s="86" r="O122"/>
      <c s="86" r="P122"/>
      <c s="86" r="Q122"/>
    </row>
    <row r="123">
      <c t="s" s="86" r="A123">
        <v>1197</v>
      </c>
      <c t="s" s="86" r="B123">
        <v>1197</v>
      </c>
      <c t="s" s="40" r="C123">
        <v>1170</v>
      </c>
      <c s="102" r="D123"/>
      <c s="102" r="E123"/>
      <c t="s" s="26" r="F123">
        <v>1023</v>
      </c>
      <c t="s" s="86" r="G123">
        <v>1060</v>
      </c>
      <c s="59" r="H123"/>
      <c s="86" r="I123"/>
      <c s="86" r="J123"/>
      <c s="86" r="K123"/>
      <c s="86" r="L123"/>
      <c s="86" r="M123"/>
      <c s="86" r="N123"/>
      <c s="86" r="O123"/>
      <c s="86" r="P123"/>
      <c s="86" r="Q123"/>
    </row>
    <row r="124">
      <c t="s" s="86" r="A124">
        <v>1198</v>
      </c>
      <c t="s" s="86" r="B124">
        <v>1198</v>
      </c>
      <c t="s" s="40" r="C124">
        <v>1199</v>
      </c>
      <c t="s" s="95" r="D124">
        <v>1200</v>
      </c>
      <c t="s" s="86" r="E124">
        <v>1201</v>
      </c>
      <c t="s" s="86" r="F124">
        <v>1199</v>
      </c>
      <c s="86" r="G124"/>
      <c s="7" r="H124">
        <f>COUNTIF(PROJECT!F2:F100, "*KAZ*")</f>
        <v>0</v>
      </c>
      <c s="86" r="I124"/>
      <c s="86" r="J124"/>
      <c s="86" r="K124"/>
      <c s="86" r="L124"/>
      <c s="86" r="M124"/>
      <c s="86" r="N124"/>
      <c s="86" r="O124"/>
      <c s="86" r="P124"/>
      <c s="86" r="Q124"/>
    </row>
    <row r="125">
      <c t="s" s="86" r="A125">
        <v>108</v>
      </c>
      <c t="s" s="86" r="B125">
        <v>108</v>
      </c>
      <c t="s" s="40" r="C125">
        <v>1202</v>
      </c>
      <c t="s" s="95" r="D125">
        <v>1203</v>
      </c>
      <c t="s" s="86" r="E125">
        <v>1204</v>
      </c>
      <c t="s" s="86" r="F125">
        <v>1202</v>
      </c>
      <c s="86" r="G125"/>
      <c s="7" r="H125">
        <f>COUNTIF(PROJECT!F2:F100, "*KEN*")</f>
        <v>1</v>
      </c>
      <c s="86" r="I125"/>
      <c s="86" r="J125"/>
      <c s="86" r="K125"/>
      <c s="86" r="L125"/>
      <c s="86" r="M125"/>
      <c s="86" r="N125"/>
      <c s="86" r="O125"/>
      <c s="86" r="P125"/>
      <c s="86" r="Q125"/>
    </row>
    <row r="126">
      <c t="s" s="26" r="A126">
        <v>1205</v>
      </c>
      <c t="s" s="26" r="B126">
        <v>1205</v>
      </c>
      <c t="s" s="86" r="C126">
        <v>1206</v>
      </c>
      <c s="102" r="D126"/>
      <c s="102" r="E126"/>
      <c t="s" s="86" r="F126">
        <v>1207</v>
      </c>
      <c t="s" s="7" r="G126">
        <v>751</v>
      </c>
      <c s="59" r="H126"/>
      <c s="86" r="I126"/>
      <c s="86" r="J126"/>
      <c s="86" r="K126"/>
      <c s="86" r="L126"/>
      <c s="86" r="M126"/>
      <c s="86" r="N126"/>
      <c s="86" r="O126"/>
      <c s="86" r="P126"/>
      <c s="86" r="Q126"/>
    </row>
    <row r="127">
      <c t="s" s="86" r="A127">
        <v>1208</v>
      </c>
      <c t="s" s="86" r="B127">
        <v>1208</v>
      </c>
      <c t="s" s="40" r="C127">
        <v>1209</v>
      </c>
      <c t="s" s="95" r="D127">
        <v>1210</v>
      </c>
      <c t="s" s="86" r="E127">
        <v>1211</v>
      </c>
      <c t="s" s="86" r="F127">
        <v>1212</v>
      </c>
      <c s="86" r="G127"/>
      <c s="7" r="H127">
        <f>COUNTIF(PROJECT!F2:F100, "*KIR*")</f>
        <v>0</v>
      </c>
      <c s="86" r="I127"/>
      <c s="86" r="J127"/>
      <c s="86" r="K127"/>
      <c s="86" r="L127"/>
      <c s="86" r="M127"/>
      <c s="86" r="N127"/>
      <c s="86" r="O127"/>
      <c s="86" r="P127"/>
      <c s="86" r="Q127"/>
    </row>
    <row r="128">
      <c t="s" s="26" r="A128">
        <v>1213</v>
      </c>
      <c t="s" s="86" r="B128">
        <v>1214</v>
      </c>
      <c t="s" s="40" r="C128">
        <v>1215</v>
      </c>
      <c t="s" s="95" r="D128">
        <v>1216</v>
      </c>
      <c t="s" s="86" r="E128">
        <v>1217</v>
      </c>
      <c t="s" s="86" r="F128">
        <v>1218</v>
      </c>
      <c s="86" r="G128"/>
      <c s="7" r="H128">
        <f>COUNTIF(PROJECT!F2:F100, "*PRK*")</f>
        <v>0</v>
      </c>
      <c s="86" r="I128"/>
      <c s="86" r="J128"/>
      <c s="86" r="K128"/>
      <c s="86" r="L128"/>
      <c s="86" r="M128"/>
      <c s="86" r="N128"/>
      <c s="86" r="O128"/>
      <c s="86" r="P128"/>
      <c s="86" r="Q128"/>
    </row>
    <row r="129">
      <c t="s" s="26" r="A129">
        <v>1219</v>
      </c>
      <c t="s" s="86" r="B129">
        <v>1220</v>
      </c>
      <c t="s" s="40" r="C129">
        <v>1221</v>
      </c>
      <c t="s" s="95" r="D129">
        <v>1222</v>
      </c>
      <c t="s" s="86" r="E129">
        <v>1223</v>
      </c>
      <c t="s" s="86" r="F129">
        <v>1209</v>
      </c>
      <c s="86" r="G129"/>
      <c s="7" r="H129">
        <f>COUNTIF(PROJECT!F2:F100, "*KOR*")</f>
        <v>0</v>
      </c>
      <c s="86" r="I129"/>
      <c s="86" r="J129"/>
      <c s="86" r="K129"/>
      <c s="86" r="L129"/>
      <c s="86" r="M129"/>
      <c s="86" r="N129"/>
      <c s="86" r="O129"/>
      <c s="86" r="P129"/>
      <c s="86" r="Q129"/>
    </row>
    <row r="130">
      <c t="s" s="86" r="A130">
        <v>1224</v>
      </c>
      <c t="s" s="86" r="B130">
        <v>1224</v>
      </c>
      <c t="s" s="40" r="C130">
        <v>1225</v>
      </c>
      <c t="s" s="95" r="D130">
        <v>1226</v>
      </c>
      <c t="s" s="86" r="E130">
        <v>1227</v>
      </c>
      <c t="s" s="86" r="F130">
        <v>1228</v>
      </c>
      <c s="86" r="G130"/>
      <c s="7" r="H130">
        <f>COUNTIF(PROJECT!F2:F100, "*KWT*")</f>
        <v>0</v>
      </c>
      <c s="86" r="I130"/>
      <c s="86" r="J130"/>
      <c s="86" r="K130"/>
      <c s="86" r="L130"/>
      <c s="86" r="M130"/>
      <c s="86" r="N130"/>
      <c s="86" r="O130"/>
      <c s="86" r="P130"/>
      <c s="86" r="Q130"/>
    </row>
    <row r="131">
      <c t="s" s="86" r="A131">
        <v>74</v>
      </c>
      <c t="s" s="86" r="B131">
        <v>74</v>
      </c>
      <c t="s" s="40" r="C131">
        <v>1229</v>
      </c>
      <c t="s" s="95" r="D131">
        <v>1230</v>
      </c>
      <c t="s" s="86" r="E131">
        <v>1231</v>
      </c>
      <c t="s" s="86" r="F131">
        <v>1229</v>
      </c>
      <c s="86" r="G131"/>
      <c s="7" r="H131">
        <f>COUNTIF(PROJECT!F2:F100, "*KGZ*")</f>
        <v>1</v>
      </c>
      <c s="86" r="I131"/>
      <c s="86" r="J131"/>
      <c s="86" r="K131"/>
      <c s="86" r="L131"/>
      <c s="86" r="M131"/>
      <c s="86" r="N131"/>
      <c s="86" r="O131"/>
      <c s="86" r="P131"/>
      <c s="86" r="Q131"/>
    </row>
    <row r="132">
      <c t="s" s="26" r="A132">
        <v>1232</v>
      </c>
      <c t="s" s="86" r="B132">
        <v>1233</v>
      </c>
      <c t="s" s="40" r="C132">
        <v>1234</v>
      </c>
      <c t="s" s="95" r="D132">
        <v>1235</v>
      </c>
      <c t="s" s="86" r="E132">
        <v>1236</v>
      </c>
      <c t="s" s="86" r="F132">
        <v>1234</v>
      </c>
      <c s="86" r="G132"/>
      <c s="7" r="H132">
        <f>COUNTIF(PROJECT!F2:F100, "*LAO*")</f>
        <v>0</v>
      </c>
      <c s="86" r="I132"/>
      <c s="86" r="J132"/>
      <c s="86" r="K132"/>
      <c s="86" r="L132"/>
      <c s="86" r="M132"/>
      <c s="86" r="N132"/>
      <c s="86" r="O132"/>
      <c s="86" r="P132"/>
      <c s="86" r="Q132"/>
    </row>
    <row r="133">
      <c t="s" s="86" r="A133">
        <v>1237</v>
      </c>
      <c t="s" s="86" r="B133">
        <v>1237</v>
      </c>
      <c t="s" s="40" r="C133">
        <v>1238</v>
      </c>
      <c t="s" s="95" r="D133">
        <v>1239</v>
      </c>
      <c t="s" s="86" r="E133">
        <v>1240</v>
      </c>
      <c t="s" s="86" r="F133">
        <v>1241</v>
      </c>
      <c s="86" r="G133"/>
      <c s="7" r="H133">
        <f>COUNTIF(PROJECT!F2:F100, "*LVA*")</f>
        <v>0</v>
      </c>
      <c s="86" r="I133"/>
      <c s="86" r="J133"/>
      <c s="86" r="K133"/>
      <c s="86" r="L133"/>
      <c s="86" r="M133"/>
      <c s="86" r="N133"/>
      <c s="86" r="O133"/>
      <c s="86" r="P133"/>
      <c s="86" r="Q133"/>
    </row>
    <row r="134">
      <c t="s" s="86" r="A134">
        <v>1242</v>
      </c>
      <c t="s" s="86" r="B134">
        <v>1242</v>
      </c>
      <c t="s" s="40" r="C134">
        <v>1243</v>
      </c>
      <c t="s" s="95" r="D134">
        <v>1244</v>
      </c>
      <c t="s" s="86" r="E134">
        <v>1245</v>
      </c>
      <c t="s" s="86" r="F134">
        <v>1246</v>
      </c>
      <c s="86" r="G134"/>
      <c s="7" r="H134">
        <f>COUNTIF(PROJECT!F2:F100, "*LBN*")</f>
        <v>0</v>
      </c>
      <c s="86" r="I134"/>
      <c s="86" r="J134"/>
      <c s="86" r="K134"/>
      <c s="86" r="L134"/>
      <c s="86" r="M134"/>
      <c s="86" r="N134"/>
      <c s="86" r="O134"/>
      <c s="86" r="P134"/>
      <c s="86" r="Q134"/>
    </row>
    <row r="135">
      <c t="s" s="86" r="A135">
        <v>1247</v>
      </c>
      <c t="s" s="86" r="B135">
        <v>1247</v>
      </c>
      <c t="s" s="40" r="C135">
        <v>1248</v>
      </c>
      <c t="s" s="95" r="D135">
        <v>1249</v>
      </c>
      <c t="s" s="86" r="E135">
        <v>1250</v>
      </c>
      <c t="s" s="86" r="F135">
        <v>1251</v>
      </c>
      <c s="86" r="G135"/>
      <c s="7" r="H135">
        <f>COUNTIF(PROJECT!F2:F100, "*LSO*")</f>
        <v>0</v>
      </c>
      <c s="86" r="I135"/>
      <c s="86" r="J135"/>
      <c s="86" r="K135"/>
      <c s="86" r="L135"/>
      <c s="86" r="M135"/>
      <c s="86" r="N135"/>
      <c s="86" r="O135"/>
      <c s="86" r="P135"/>
      <c s="86" r="Q135"/>
    </row>
    <row r="136">
      <c t="s" s="86" r="A136">
        <v>172</v>
      </c>
      <c t="s" s="86" r="B136">
        <v>172</v>
      </c>
      <c t="s" s="40" r="C136">
        <v>1252</v>
      </c>
      <c t="s" s="95" r="D136">
        <v>1253</v>
      </c>
      <c t="s" s="86" r="E136">
        <v>522</v>
      </c>
      <c t="s" s="86" r="F136">
        <v>1254</v>
      </c>
      <c s="86" r="G136"/>
      <c s="7" r="H136">
        <f>COUNTIF(PROJECT!F2:F100, "*LBR*")</f>
        <v>1</v>
      </c>
      <c s="86" r="I136"/>
      <c s="86" r="J136"/>
      <c s="86" r="K136"/>
      <c s="86" r="L136"/>
      <c s="86" r="M136"/>
      <c s="86" r="N136"/>
      <c s="86" r="O136"/>
      <c s="86" r="P136"/>
      <c s="86" r="Q136"/>
    </row>
    <row r="137">
      <c t="s" s="86" r="A137">
        <v>1255</v>
      </c>
      <c t="s" s="86" r="B137">
        <v>1256</v>
      </c>
      <c t="s" s="40" r="C137">
        <v>1257</v>
      </c>
      <c t="s" s="95" r="D137">
        <v>1258</v>
      </c>
      <c t="s" s="86" r="E137">
        <v>1259</v>
      </c>
      <c t="s" s="86" r="F137">
        <v>1257</v>
      </c>
      <c s="86" r="G137"/>
      <c s="7" r="H137">
        <f>COUNTIF(PROJECT!F2:F100, "*LBY*")</f>
        <v>0</v>
      </c>
      <c s="86" r="I137"/>
      <c s="86" r="J137"/>
      <c s="86" r="K137"/>
      <c s="86" r="L137"/>
      <c s="86" r="M137"/>
      <c s="86" r="N137"/>
      <c s="86" r="O137"/>
      <c s="86" r="P137"/>
      <c s="86" r="Q137"/>
    </row>
    <row r="138">
      <c t="s" s="86" r="A138">
        <v>1260</v>
      </c>
      <c t="s" s="86" r="B138">
        <v>1260</v>
      </c>
      <c t="s" s="40" r="C138">
        <v>1251</v>
      </c>
      <c t="s" s="95" r="D138">
        <v>1261</v>
      </c>
      <c t="s" s="86" r="E138">
        <v>1262</v>
      </c>
      <c t="s" s="86" r="F138">
        <v>1252</v>
      </c>
      <c s="86" r="G138"/>
      <c s="7" r="H138">
        <f>COUNTIF(PROJECT!F2:F100, "*LIE*")</f>
        <v>0</v>
      </c>
      <c s="86" r="I138"/>
      <c s="86" r="J138"/>
      <c s="86" r="K138"/>
      <c s="86" r="L138"/>
      <c s="86" r="M138"/>
      <c s="86" r="N138"/>
      <c s="86" r="O138"/>
      <c s="86" r="P138"/>
      <c s="86" r="Q138"/>
    </row>
    <row r="139">
      <c t="s" s="86" r="A139">
        <v>1263</v>
      </c>
      <c t="s" s="86" r="B139">
        <v>1263</v>
      </c>
      <c t="s" s="40" r="C139">
        <v>1264</v>
      </c>
      <c t="s" s="95" r="D139">
        <v>1265</v>
      </c>
      <c t="s" s="86" r="E139">
        <v>1266</v>
      </c>
      <c t="s" s="86" r="F139">
        <v>1248</v>
      </c>
      <c s="86" r="G139"/>
      <c s="7" r="H139">
        <f>COUNTIF(PROJECT!F2:F100, "*LTU*")</f>
        <v>0</v>
      </c>
      <c s="86" r="I139"/>
      <c s="86" r="J139"/>
      <c s="86" r="K139"/>
      <c s="86" r="L139"/>
      <c s="86" r="M139"/>
      <c s="86" r="N139"/>
      <c s="86" r="O139"/>
      <c s="86" r="P139"/>
      <c s="86" r="Q139"/>
    </row>
    <row r="140">
      <c t="s" s="86" r="A140">
        <v>1267</v>
      </c>
      <c t="s" s="86" r="B140">
        <v>1267</v>
      </c>
      <c t="s" s="40" r="C140">
        <v>1268</v>
      </c>
      <c t="s" s="95" r="D140">
        <v>1269</v>
      </c>
      <c t="s" s="86" r="E140">
        <v>1270</v>
      </c>
      <c t="s" s="86" r="F140">
        <v>1268</v>
      </c>
      <c s="86" r="G140"/>
      <c s="7" r="H140">
        <f>COUNTIF(PROJECT!F2:F100, "*LUX*")</f>
        <v>0</v>
      </c>
      <c s="86" r="I140"/>
      <c s="86" r="J140"/>
      <c s="86" r="K140"/>
      <c s="86" r="L140"/>
      <c s="86" r="M140"/>
      <c s="86" r="N140"/>
      <c s="86" r="O140"/>
      <c s="86" r="P140"/>
      <c s="86" r="Q140"/>
    </row>
    <row r="141">
      <c t="s" s="86" r="A141">
        <v>1271</v>
      </c>
      <c t="s" s="86" r="B141">
        <v>1271</v>
      </c>
      <c t="s" s="40" r="C141">
        <v>1272</v>
      </c>
      <c t="s" s="95" r="D141">
        <v>1273</v>
      </c>
      <c t="s" s="86" r="E141">
        <v>1274</v>
      </c>
      <c t="s" s="86" r="F141">
        <v>1275</v>
      </c>
      <c s="86" r="G141"/>
      <c s="7" r="H141">
        <f>COUNTIF(PROJECT!F2:F100, "*MAC*")</f>
        <v>0</v>
      </c>
      <c s="86" r="I141"/>
      <c s="86" r="J141"/>
      <c s="86" r="K141"/>
      <c s="86" r="L141"/>
      <c s="86" r="M141"/>
      <c s="86" r="N141"/>
      <c s="86" r="O141"/>
      <c s="86" r="P141"/>
      <c s="86" r="Q141"/>
    </row>
    <row r="142">
      <c t="s" s="26" r="A142">
        <v>1276</v>
      </c>
      <c t="s" s="86" r="B142">
        <v>1277</v>
      </c>
      <c t="s" s="40" r="C142">
        <v>1278</v>
      </c>
      <c t="s" s="95" r="D142">
        <v>1279</v>
      </c>
      <c t="s" s="86" r="E142">
        <v>1280</v>
      </c>
      <c t="s" s="86" r="F142">
        <v>1278</v>
      </c>
      <c s="86" r="G142"/>
      <c s="7" r="H142">
        <f>COUNTIF(PROJECT!F2:F100, "*MKD*")</f>
        <v>0</v>
      </c>
      <c s="86" r="I142"/>
      <c s="86" r="J142"/>
      <c s="86" r="K142"/>
      <c s="86" r="L142"/>
      <c s="86" r="M142"/>
      <c s="86" r="N142"/>
      <c s="86" r="O142"/>
      <c s="86" r="P142"/>
      <c s="86" r="Q142"/>
    </row>
    <row r="143">
      <c t="s" s="86" r="A143">
        <v>1281</v>
      </c>
      <c t="s" s="86" r="B143">
        <v>1281</v>
      </c>
      <c t="s" s="40" r="C143">
        <v>12</v>
      </c>
      <c t="s" s="95" r="D143">
        <v>1282</v>
      </c>
      <c t="s" s="86" r="E143">
        <v>1283</v>
      </c>
      <c t="s" s="86" r="F143">
        <v>1284</v>
      </c>
      <c s="86" r="G143"/>
      <c s="7" r="H143">
        <f>COUNTIF(PROJECT!F2:F100, "*MDG*")</f>
        <v>0</v>
      </c>
      <c s="86" r="I143"/>
      <c s="86" r="J143"/>
      <c s="86" r="K143"/>
      <c s="86" r="L143"/>
      <c s="86" r="M143"/>
      <c s="86" r="N143"/>
      <c s="86" r="O143"/>
      <c s="86" r="P143"/>
      <c s="86" r="Q143"/>
    </row>
    <row r="144">
      <c t="s" s="86" r="A144">
        <v>1285</v>
      </c>
      <c t="s" s="86" r="B144">
        <v>1285</v>
      </c>
      <c t="s" s="40" r="C144">
        <v>1286</v>
      </c>
      <c t="s" s="95" r="D144">
        <v>1287</v>
      </c>
      <c t="s" s="86" r="E144">
        <v>1288</v>
      </c>
      <c t="s" s="86" r="F144">
        <v>1289</v>
      </c>
      <c s="86" r="G144"/>
      <c s="7" r="H144">
        <f>COUNTIF(PROJECT!F2:F100, "*MWI*")</f>
        <v>0</v>
      </c>
      <c s="86" r="I144"/>
      <c s="86" r="J144"/>
      <c s="86" r="K144"/>
      <c s="86" r="L144"/>
      <c s="86" r="M144"/>
      <c s="86" r="N144"/>
      <c s="86" r="O144"/>
      <c s="86" r="P144"/>
      <c s="86" r="Q144"/>
    </row>
    <row r="145">
      <c t="s" s="86" r="A145">
        <v>156</v>
      </c>
      <c t="s" s="86" r="B145">
        <v>156</v>
      </c>
      <c t="s" s="40" r="C145">
        <v>1290</v>
      </c>
      <c t="s" s="95" r="D145">
        <v>1291</v>
      </c>
      <c t="s" s="86" r="E145">
        <v>570</v>
      </c>
      <c t="s" s="86" r="F145">
        <v>1290</v>
      </c>
      <c s="86" r="G145"/>
      <c s="7" r="H145">
        <f>COUNTIF(PROJECT!F2:F100, "*MYS*")</f>
        <v>1</v>
      </c>
      <c s="86" r="I145"/>
      <c s="86" r="J145"/>
      <c s="86" r="K145"/>
      <c s="86" r="L145"/>
      <c s="86" r="M145"/>
      <c s="86" r="N145"/>
      <c s="86" r="O145"/>
      <c s="86" r="P145"/>
      <c s="86" r="Q145"/>
    </row>
    <row r="146">
      <c t="s" s="86" r="A146">
        <v>1292</v>
      </c>
      <c t="s" s="86" r="B146">
        <v>1292</v>
      </c>
      <c t="s" s="40" r="C146">
        <v>1293</v>
      </c>
      <c t="s" s="95" r="D146">
        <v>1294</v>
      </c>
      <c t="s" s="86" r="E146">
        <v>1295</v>
      </c>
      <c t="s" s="86" r="F146">
        <v>1293</v>
      </c>
      <c s="86" r="G146"/>
      <c s="7" r="H146">
        <f>COUNTIF(PROJECT!F2:F100, "*MDV*")</f>
        <v>0</v>
      </c>
      <c s="86" r="I146"/>
      <c s="86" r="J146"/>
      <c s="86" r="K146"/>
      <c s="86" r="L146"/>
      <c s="86" r="M146"/>
      <c s="86" r="N146"/>
      <c s="86" r="O146"/>
      <c s="86" r="P146"/>
      <c s="86" r="Q146"/>
    </row>
    <row r="147">
      <c t="s" s="86" r="A147">
        <v>1296</v>
      </c>
      <c t="s" s="86" r="B147">
        <v>1296</v>
      </c>
      <c t="s" s="40" r="C147">
        <v>1297</v>
      </c>
      <c t="s" s="95" r="D147">
        <v>1298</v>
      </c>
      <c t="s" s="86" r="E147">
        <v>1299</v>
      </c>
      <c t="s" s="86" r="F147">
        <v>1297</v>
      </c>
      <c s="86" r="G147"/>
      <c s="7" r="H147">
        <f>COUNTIF(PROJECT!F2:F100, "*MLI*")</f>
        <v>0</v>
      </c>
      <c s="86" r="I147"/>
      <c s="86" r="J147"/>
      <c s="86" r="K147"/>
      <c s="86" r="L147"/>
      <c s="86" r="M147"/>
      <c s="86" r="N147"/>
      <c s="86" r="O147"/>
      <c s="86" r="P147"/>
      <c s="86" r="Q147"/>
    </row>
    <row r="148">
      <c t="s" s="86" r="A148">
        <v>1300</v>
      </c>
      <c t="s" s="86" r="B148">
        <v>1300</v>
      </c>
      <c t="s" s="40" r="C148">
        <v>1301</v>
      </c>
      <c t="s" s="95" r="D148">
        <v>1302</v>
      </c>
      <c t="s" s="86" r="E148">
        <v>1303</v>
      </c>
      <c t="s" s="86" r="F148">
        <v>1301</v>
      </c>
      <c s="86" r="G148"/>
      <c s="7" r="H148">
        <f>COUNTIF(PROJECT!F2:F100, "*MLT*")</f>
        <v>0</v>
      </c>
      <c s="86" r="I148"/>
      <c s="86" r="J148"/>
      <c s="86" r="K148"/>
      <c s="86" r="L148"/>
      <c s="86" r="M148"/>
      <c s="86" r="N148"/>
      <c s="86" r="O148"/>
      <c s="86" r="P148"/>
      <c s="86" r="Q148"/>
    </row>
    <row r="149">
      <c t="s" s="86" r="A149">
        <v>1304</v>
      </c>
      <c t="s" s="86" r="B149">
        <v>1305</v>
      </c>
      <c t="s" s="8" r="C149">
        <v>1306</v>
      </c>
      <c t="s" s="95" r="D149">
        <v>1307</v>
      </c>
      <c t="s" s="26" r="E149">
        <v>1308</v>
      </c>
      <c t="s" s="86" r="F149">
        <v>1309</v>
      </c>
      <c s="86" r="G149"/>
      <c s="7" r="H149">
        <f>COUNTIF(PROJECT!F2:F100, "*MHL*")</f>
        <v>0</v>
      </c>
      <c s="86" r="I149"/>
      <c s="86" r="J149"/>
      <c s="86" r="K149"/>
      <c s="86" r="L149"/>
      <c s="86" r="M149"/>
      <c s="86" r="N149"/>
      <c s="86" r="O149"/>
      <c s="86" r="P149"/>
      <c s="86" r="Q149"/>
    </row>
    <row r="150">
      <c t="s" s="86" r="A150">
        <v>1310</v>
      </c>
      <c t="s" s="86" r="B150">
        <v>1310</v>
      </c>
      <c t="s" s="8" r="C150">
        <v>1311</v>
      </c>
      <c t="s" s="95" r="D150">
        <v>1312</v>
      </c>
      <c t="s" s="26" r="E150">
        <v>1313</v>
      </c>
      <c t="s" s="86" r="F150">
        <v>1314</v>
      </c>
      <c s="86" r="G150"/>
      <c s="7" r="H150">
        <f>COUNTIF(PROJECT!F2:F100, "*MTQ*")</f>
        <v>0</v>
      </c>
      <c s="86" r="I150"/>
      <c s="86" r="J150"/>
      <c s="86" r="K150"/>
      <c s="86" r="L150"/>
      <c s="86" r="M150"/>
      <c s="86" r="N150"/>
      <c s="86" r="O150"/>
      <c s="86" r="P150"/>
      <c s="86" r="Q150"/>
    </row>
    <row r="151">
      <c t="s" s="86" r="A151">
        <v>175</v>
      </c>
      <c t="s" s="86" r="B151">
        <v>175</v>
      </c>
      <c t="s" s="40" r="C151">
        <v>1315</v>
      </c>
      <c t="s" s="95" r="D151">
        <v>1316</v>
      </c>
      <c t="s" s="86" r="E151">
        <v>1317</v>
      </c>
      <c t="s" s="86" r="F151">
        <v>1315</v>
      </c>
      <c s="86" r="G151"/>
      <c s="7" r="H151">
        <f>COUNTIF(PROJECT!F2:F100, "*MRT*")</f>
        <v>0</v>
      </c>
      <c s="86" r="I151"/>
      <c s="86" r="J151"/>
      <c s="86" r="K151"/>
      <c s="86" r="L151"/>
      <c s="86" r="M151"/>
      <c s="86" r="N151"/>
      <c s="86" r="O151"/>
      <c s="86" r="P151"/>
      <c s="86" r="Q151"/>
    </row>
    <row r="152">
      <c t="s" s="86" r="A152">
        <v>1318</v>
      </c>
      <c t="s" s="86" r="B152">
        <v>1318</v>
      </c>
      <c t="s" s="8" r="C152">
        <v>1319</v>
      </c>
      <c t="s" s="95" r="D152">
        <v>1320</v>
      </c>
      <c t="s" s="26" r="E152">
        <v>619</v>
      </c>
      <c t="s" s="86" r="F152">
        <v>1321</v>
      </c>
      <c s="86" r="G152"/>
      <c s="7" r="H152">
        <f>COUNTIF(PROJECT!F2:F100, "*MUS*")</f>
        <v>1</v>
      </c>
      <c s="86" r="I152"/>
      <c s="86" r="J152"/>
      <c s="86" r="K152"/>
      <c s="86" r="L152"/>
      <c s="86" r="M152"/>
      <c s="86" r="N152"/>
      <c s="86" r="O152"/>
      <c s="86" r="P152"/>
      <c s="86" r="Q152"/>
    </row>
    <row r="153">
      <c t="s" s="86" r="A153">
        <v>1322</v>
      </c>
      <c t="s" s="86" r="B153">
        <v>1322</v>
      </c>
      <c t="s" s="40" r="C153">
        <v>1323</v>
      </c>
      <c t="s" s="95" r="D153">
        <v>1324</v>
      </c>
      <c t="s" s="86" r="E153">
        <v>1325</v>
      </c>
      <c t="s" s="86" r="F153">
        <v>1326</v>
      </c>
      <c s="86" r="G153"/>
      <c s="7" r="H153">
        <f>COUNTIF(PROJECT!F2:F100, "*MYT*")</f>
        <v>0</v>
      </c>
      <c s="86" r="I153"/>
      <c s="86" r="J153"/>
      <c s="86" r="K153"/>
      <c s="86" r="L153"/>
      <c s="86" r="M153"/>
      <c s="86" r="N153"/>
      <c s="86" r="O153"/>
      <c s="86" r="P153"/>
      <c s="86" r="Q153"/>
    </row>
    <row r="154">
      <c t="s" s="86" r="A154">
        <v>1327</v>
      </c>
      <c t="s" s="86" r="B154">
        <v>1327</v>
      </c>
      <c t="s" s="40" r="C154">
        <v>1328</v>
      </c>
      <c t="s" s="95" r="D154">
        <v>1329</v>
      </c>
      <c t="s" s="26" r="E154">
        <v>1330</v>
      </c>
      <c t="s" s="86" r="F154">
        <v>1328</v>
      </c>
      <c s="86" r="G154"/>
      <c s="7" r="H154">
        <f>COUNTIF(PROJECT!F2:F100, "*MEX*")</f>
        <v>0</v>
      </c>
      <c s="86" r="I154"/>
      <c s="86" r="J154"/>
      <c s="86" r="K154"/>
      <c s="86" r="L154"/>
      <c s="86" r="M154"/>
      <c s="86" r="N154"/>
      <c s="86" r="O154"/>
      <c s="86" r="P154"/>
      <c s="86" r="Q154"/>
    </row>
    <row r="155">
      <c t="s" s="86" r="A155">
        <v>1331</v>
      </c>
      <c t="s" s="86" r="B155">
        <v>1332</v>
      </c>
      <c t="s" s="40" r="C155">
        <v>1333</v>
      </c>
      <c t="s" s="95" r="D155">
        <v>1334</v>
      </c>
      <c t="s" s="86" r="E155">
        <v>1335</v>
      </c>
      <c t="s" s="86" r="F155">
        <v>1333</v>
      </c>
      <c s="86" r="G155"/>
      <c s="7" r="H155">
        <f>COUNTIF(PROJECT!F2:F100, "*FSM*")</f>
        <v>0</v>
      </c>
      <c s="86" r="I155"/>
      <c s="86" r="J155"/>
      <c s="86" r="K155"/>
      <c s="86" r="L155"/>
      <c s="86" r="M155"/>
      <c s="86" r="N155"/>
      <c s="86" r="O155"/>
      <c s="86" r="P155"/>
      <c s="86" r="Q155"/>
    </row>
    <row r="156">
      <c t="s" s="86" r="A156">
        <v>1336</v>
      </c>
      <c t="s" s="86" r="B156">
        <v>1337</v>
      </c>
      <c t="s" s="40" r="C156">
        <v>1314</v>
      </c>
      <c t="s" s="82" r="D156">
        <v>1338</v>
      </c>
      <c s="102" r="E156"/>
      <c t="s" s="86" r="F156">
        <v>1339</v>
      </c>
      <c t="s" s="7" r="G156">
        <v>751</v>
      </c>
      <c s="59" r="H156"/>
      <c s="86" r="I156"/>
      <c s="86" r="J156"/>
      <c s="86" r="K156"/>
      <c s="86" r="L156"/>
      <c s="86" r="M156"/>
      <c s="86" r="N156"/>
      <c s="86" r="O156"/>
      <c s="86" r="P156"/>
      <c s="86" r="Q156"/>
    </row>
    <row r="157">
      <c t="s" s="86" r="A157">
        <v>1340</v>
      </c>
      <c t="s" s="86" r="B157">
        <v>1341</v>
      </c>
      <c t="s" s="40" r="C157">
        <v>1342</v>
      </c>
      <c t="s" s="95" r="D157">
        <v>1343</v>
      </c>
      <c t="s" s="86" r="E157">
        <v>1344</v>
      </c>
      <c t="s" s="86" r="F157">
        <v>1342</v>
      </c>
      <c s="86" r="G157"/>
      <c s="7" r="H157">
        <f>COUNTIF(PROJECT!F2:F100, "*MDA*")</f>
        <v>0</v>
      </c>
      <c s="86" r="I157"/>
      <c s="86" r="J157"/>
      <c s="86" r="K157"/>
      <c s="86" r="L157"/>
      <c s="86" r="M157"/>
      <c s="86" r="N157"/>
      <c s="86" r="O157"/>
      <c s="86" r="P157"/>
      <c s="86" r="Q157"/>
    </row>
    <row r="158">
      <c t="s" s="86" r="A158">
        <v>1345</v>
      </c>
      <c t="s" s="86" r="B158">
        <v>1345</v>
      </c>
      <c t="s" s="8" r="C158">
        <v>1346</v>
      </c>
      <c t="s" s="95" r="D158">
        <v>1347</v>
      </c>
      <c t="s" s="26" r="E158">
        <v>1348</v>
      </c>
      <c t="s" s="86" r="F158">
        <v>1272</v>
      </c>
      <c s="86" r="G158"/>
      <c s="7" r="H158">
        <f>COUNTIF(PROJECT!F2:F100, "*MCO*")</f>
        <v>0</v>
      </c>
      <c s="86" r="I158"/>
      <c s="86" r="J158"/>
      <c s="86" r="K158"/>
      <c s="86" r="L158"/>
      <c s="86" r="M158"/>
      <c s="86" r="N158"/>
      <c s="86" r="O158"/>
      <c s="86" r="P158"/>
      <c s="86" r="Q158"/>
    </row>
    <row r="159">
      <c t="s" s="86" r="A159">
        <v>1349</v>
      </c>
      <c t="s" s="86" r="B159">
        <v>1349</v>
      </c>
      <c t="s" s="40" r="C159">
        <v>1284</v>
      </c>
      <c t="s" s="95" r="D159">
        <v>1350</v>
      </c>
      <c t="s" s="86" r="E159">
        <v>1351</v>
      </c>
      <c t="s" s="86" r="F159">
        <v>1346</v>
      </c>
      <c s="86" r="G159"/>
      <c s="7" r="H159">
        <f>COUNTIF(PROJECT!F2:F100, "*MNG*")</f>
        <v>0</v>
      </c>
      <c s="86" r="I159"/>
      <c s="86" r="J159"/>
      <c s="86" r="K159"/>
      <c s="86" r="L159"/>
      <c s="86" r="M159"/>
      <c s="86" r="N159"/>
      <c s="86" r="O159"/>
      <c s="86" r="P159"/>
      <c s="86" r="Q159"/>
    </row>
    <row r="160">
      <c t="s" s="86" r="A160">
        <v>1352</v>
      </c>
      <c t="s" s="86" r="B160">
        <v>1352</v>
      </c>
      <c t="s" s="8" r="C160">
        <v>1353</v>
      </c>
      <c t="s" s="95" r="D160">
        <v>1354</v>
      </c>
      <c t="s" s="26" r="E160">
        <v>1355</v>
      </c>
      <c t="s" s="86" r="F160">
        <v>1356</v>
      </c>
      <c s="86" r="G160"/>
      <c s="7" r="H160">
        <f>COUNTIF(PROJECT!F2:F100, "*MNE*")</f>
        <v>0</v>
      </c>
      <c s="86" r="I160"/>
      <c s="86" r="J160"/>
      <c s="86" r="K160"/>
      <c s="86" r="L160"/>
      <c s="86" r="M160"/>
      <c s="86" r="N160"/>
      <c s="86" r="O160"/>
      <c s="86" r="P160"/>
      <c s="86" r="Q160"/>
    </row>
    <row r="161">
      <c t="s" s="86" r="A161">
        <v>1357</v>
      </c>
      <c t="s" s="86" r="B161">
        <v>1357</v>
      </c>
      <c t="s" s="40" r="C161">
        <v>1309</v>
      </c>
      <c t="s" s="95" r="D161">
        <v>1358</v>
      </c>
      <c t="s" s="86" r="E161">
        <v>1359</v>
      </c>
      <c t="s" s="86" r="F161">
        <v>1360</v>
      </c>
      <c s="86" r="G161"/>
      <c s="7" r="H161">
        <f>COUNTIF(PROJECT!F2:F100, "*MSR*")</f>
        <v>0</v>
      </c>
      <c s="86" r="I161"/>
      <c s="86" r="J161"/>
      <c s="86" r="K161"/>
      <c s="86" r="L161"/>
      <c s="86" r="M161"/>
      <c s="86" r="N161"/>
      <c s="86" r="O161"/>
      <c s="86" r="P161"/>
      <c s="86" r="Q161"/>
    </row>
    <row r="162">
      <c t="s" s="86" r="A162">
        <v>1361</v>
      </c>
      <c t="s" s="86" r="B162">
        <v>1361</v>
      </c>
      <c t="s" s="8" r="C162">
        <v>1275</v>
      </c>
      <c t="s" s="95" r="D162">
        <v>1362</v>
      </c>
      <c t="s" s="26" r="E162">
        <v>1363</v>
      </c>
      <c t="s" s="86" r="F162">
        <v>12</v>
      </c>
      <c s="86" r="G162"/>
      <c s="7" r="H162">
        <f>COUNTIF(PROJECT!F2:F100, "*MAR*")</f>
        <v>0</v>
      </c>
      <c s="86" r="I162"/>
      <c s="86" r="J162"/>
      <c s="86" r="K162"/>
      <c s="86" r="L162"/>
      <c s="86" r="M162"/>
      <c s="86" r="N162"/>
      <c s="86" r="O162"/>
      <c s="86" r="P162"/>
      <c s="86" r="Q162"/>
    </row>
    <row r="163">
      <c t="s" s="86" r="A163">
        <v>1364</v>
      </c>
      <c t="s" s="86" r="B163">
        <v>1364</v>
      </c>
      <c t="s" s="40" r="C163">
        <v>1365</v>
      </c>
      <c t="s" s="95" r="D163">
        <v>1366</v>
      </c>
      <c t="s" s="86" r="E163">
        <v>1367</v>
      </c>
      <c t="s" s="86" r="F163">
        <v>1365</v>
      </c>
      <c s="86" r="G163"/>
      <c s="7" r="H163">
        <f>COUNTIF(PROJECT!F2:F100, "*MOZ*")</f>
        <v>0</v>
      </c>
      <c s="86" r="I163"/>
      <c s="86" r="J163"/>
      <c s="86" r="K163"/>
      <c s="86" r="L163"/>
      <c s="86" r="M163"/>
      <c s="86" r="N163"/>
      <c s="86" r="O163"/>
      <c s="86" r="P163"/>
      <c s="86" r="Q163"/>
    </row>
    <row r="164">
      <c t="s" s="86" r="A164">
        <v>1368</v>
      </c>
      <c t="s" s="86" r="B164">
        <v>1368</v>
      </c>
      <c t="s" s="8" r="C164">
        <v>780</v>
      </c>
      <c t="s" s="95" r="D164">
        <v>1369</v>
      </c>
      <c t="s" s="26" r="E164">
        <v>1370</v>
      </c>
      <c t="s" s="86" r="F164">
        <v>1371</v>
      </c>
      <c t="s" s="86" r="G164">
        <v>1372</v>
      </c>
      <c s="7" r="H164">
        <f>COUNTIF(PROJECT!F2:F100, "*MMR*")</f>
        <v>0</v>
      </c>
      <c s="86" r="I164"/>
      <c s="86" r="J164"/>
      <c s="86" r="K164"/>
      <c s="86" r="L164"/>
      <c s="86" r="M164"/>
      <c s="86" r="N164"/>
      <c s="86" r="O164"/>
      <c s="86" r="P164"/>
      <c s="86" r="Q164"/>
    </row>
    <row r="165">
      <c t="s" s="86" r="A165">
        <v>1373</v>
      </c>
      <c t="s" s="86" r="B165">
        <v>1373</v>
      </c>
      <c t="s" s="40" r="C165">
        <v>1374</v>
      </c>
      <c t="s" s="95" r="D165">
        <v>1375</v>
      </c>
      <c t="s" s="86" r="E165">
        <v>1376</v>
      </c>
      <c t="s" s="86" r="F165">
        <v>1377</v>
      </c>
      <c s="86" r="G165"/>
      <c s="7" r="H165">
        <f>COUNTIF(PROJECT!F2:F100, "*NAM*")</f>
        <v>0</v>
      </c>
      <c s="86" r="I165"/>
      <c s="86" r="J165"/>
      <c s="86" r="K165"/>
      <c s="86" r="L165"/>
      <c s="86" r="M165"/>
      <c s="86" r="N165"/>
      <c s="86" r="O165"/>
      <c s="86" r="P165"/>
      <c s="86" r="Q165"/>
    </row>
    <row r="166">
      <c t="s" s="86" r="A166">
        <v>1378</v>
      </c>
      <c t="s" s="86" r="B166">
        <v>1378</v>
      </c>
      <c t="s" s="40" r="C166">
        <v>1379</v>
      </c>
      <c t="s" s="95" r="D166">
        <v>1380</v>
      </c>
      <c t="s" s="86" r="E166">
        <v>1381</v>
      </c>
      <c t="s" s="86" r="F166">
        <v>1379</v>
      </c>
      <c s="86" r="G166"/>
      <c s="7" r="H166">
        <f>COUNTIF(PROJECT!F2:F100, "*NRU*")</f>
        <v>0</v>
      </c>
      <c s="86" r="I166"/>
      <c s="86" r="J166"/>
      <c s="86" r="K166"/>
      <c s="86" r="L166"/>
      <c s="86" r="M166"/>
      <c s="86" r="N166"/>
      <c s="86" r="O166"/>
      <c s="86" r="P166"/>
      <c s="86" r="Q166"/>
    </row>
    <row r="167">
      <c t="s" s="26" r="A167">
        <v>1382</v>
      </c>
      <c t="s" s="26" r="B167">
        <v>1382</v>
      </c>
      <c t="s" s="86" r="C167">
        <v>793</v>
      </c>
      <c s="102" r="D167"/>
      <c s="102" r="E167"/>
      <c t="s" s="86" r="F167">
        <v>1383</v>
      </c>
      <c t="s" s="7" r="G167">
        <v>751</v>
      </c>
      <c s="59" r="H167"/>
      <c s="86" r="I167"/>
      <c s="86" r="J167"/>
      <c s="86" r="K167"/>
      <c s="86" r="L167"/>
      <c s="86" r="M167"/>
      <c s="86" r="N167"/>
      <c s="86" r="O167"/>
      <c s="86" r="P167"/>
      <c s="86" r="Q167"/>
    </row>
    <row r="168">
      <c t="s" s="86" r="A168">
        <v>141</v>
      </c>
      <c t="s" s="86" r="B168">
        <v>141</v>
      </c>
      <c t="s" s="40" r="C168">
        <v>1384</v>
      </c>
      <c t="s" s="95" r="D168">
        <v>1385</v>
      </c>
      <c t="s" s="86" r="E168">
        <v>243</v>
      </c>
      <c t="s" s="86" r="F168">
        <v>1384</v>
      </c>
      <c s="86" r="G168"/>
      <c s="7" r="H168">
        <f>COUNTIF(PROJECT!F2:F100, "*NPL*")</f>
        <v>27</v>
      </c>
      <c s="86" r="I168"/>
      <c s="86" r="J168"/>
      <c s="86" r="K168"/>
      <c s="86" r="L168"/>
      <c s="86" r="M168"/>
      <c s="86" r="N168"/>
      <c s="86" r="O168"/>
      <c s="86" r="P168"/>
      <c s="86" r="Q168"/>
    </row>
    <row r="169">
      <c t="s" s="86" r="A169">
        <v>1386</v>
      </c>
      <c t="s" s="86" r="B169">
        <v>1386</v>
      </c>
      <c t="s" s="40" r="C169">
        <v>1387</v>
      </c>
      <c t="s" s="95" r="D169">
        <v>1388</v>
      </c>
      <c t="s" s="86" r="E169">
        <v>1389</v>
      </c>
      <c t="s" s="86" r="F169">
        <v>1387</v>
      </c>
      <c s="86" r="G169"/>
      <c s="7" r="H169">
        <f>COUNTIF(PROJECT!F2:F100, "*NLD*")</f>
        <v>0</v>
      </c>
      <c s="86" r="I169"/>
      <c s="86" r="J169"/>
      <c s="86" r="K169"/>
      <c s="86" r="L169"/>
      <c s="86" r="M169"/>
      <c s="86" r="N169"/>
      <c s="86" r="O169"/>
      <c s="86" r="P169"/>
      <c s="86" r="Q169"/>
    </row>
    <row r="170">
      <c t="s" s="45" r="A170">
        <v>1390</v>
      </c>
      <c t="s" s="45" r="B170">
        <v>1391</v>
      </c>
      <c t="s" s="42" r="C170">
        <v>1392</v>
      </c>
      <c t="s" s="38" r="D170">
        <v>1393</v>
      </c>
      <c t="s" s="45" r="E170">
        <v>1394</v>
      </c>
      <c t="s" s="45" r="F170">
        <v>695</v>
      </c>
      <c t="s" s="86" r="G170">
        <v>1395</v>
      </c>
      <c s="12" r="H170">
        <f>COUNTIF(PROJECT!F2:F100, "*ANT*")</f>
        <v>0</v>
      </c>
      <c s="86" r="I170"/>
      <c s="86" r="J170"/>
      <c s="86" r="K170"/>
      <c s="86" r="L170"/>
      <c s="86" r="M170"/>
      <c s="86" r="N170"/>
      <c s="86" r="O170"/>
      <c s="86" r="P170"/>
      <c s="86" r="Q170"/>
    </row>
    <row r="171">
      <c t="s" s="86" r="A171">
        <v>1396</v>
      </c>
      <c t="s" s="86" r="B171">
        <v>1396</v>
      </c>
      <c t="s" s="40" r="C171">
        <v>1397</v>
      </c>
      <c t="s" s="95" r="D171">
        <v>1398</v>
      </c>
      <c t="s" s="86" r="E171">
        <v>1399</v>
      </c>
      <c t="s" s="86" r="F171">
        <v>1397</v>
      </c>
      <c s="86" r="G171"/>
      <c s="7" r="H171">
        <f>COUNTIF(PROJECT!F2:F100, "*NCL*")</f>
        <v>0</v>
      </c>
      <c s="86" r="I171"/>
      <c s="86" r="J171"/>
      <c s="86" r="K171"/>
      <c s="86" r="L171"/>
      <c s="86" r="M171"/>
      <c s="86" r="N171"/>
      <c s="86" r="O171"/>
      <c s="86" r="P171"/>
      <c s="86" r="Q171"/>
    </row>
    <row r="172">
      <c t="s" s="86" r="A172">
        <v>1400</v>
      </c>
      <c t="s" s="86" r="B172">
        <v>1400</v>
      </c>
      <c t="s" s="40" r="C172">
        <v>1401</v>
      </c>
      <c t="s" s="95" r="D172">
        <v>1402</v>
      </c>
      <c t="s" s="86" r="E172">
        <v>1403</v>
      </c>
      <c t="s" s="86" r="F172">
        <v>1401</v>
      </c>
      <c s="86" r="G172"/>
      <c s="7" r="H172">
        <f>COUNTIF(PROJECT!F2:F100, "*NZL*")</f>
        <v>0</v>
      </c>
      <c s="86" r="I172"/>
      <c s="86" r="J172"/>
      <c s="86" r="K172"/>
      <c s="86" r="L172"/>
      <c s="86" r="M172"/>
      <c s="86" r="N172"/>
      <c s="86" r="O172"/>
      <c s="86" r="P172"/>
      <c s="86" r="Q172"/>
    </row>
    <row r="173">
      <c t="s" s="86" r="A173">
        <v>1404</v>
      </c>
      <c t="s" s="86" r="B173">
        <v>1404</v>
      </c>
      <c t="s" s="8" r="C173">
        <v>1405</v>
      </c>
      <c t="s" s="95" r="D173">
        <v>1406</v>
      </c>
      <c t="s" s="26" r="E173">
        <v>1407</v>
      </c>
      <c t="s" s="86" r="F173">
        <v>1408</v>
      </c>
      <c s="86" r="G173"/>
      <c s="7" r="H173">
        <f>COUNTIF(PROJECT!F2:F100, "*NIC*")</f>
        <v>0</v>
      </c>
      <c s="86" r="I173"/>
      <c s="86" r="J173"/>
      <c s="86" r="K173"/>
      <c s="86" r="L173"/>
      <c s="86" r="M173"/>
      <c s="86" r="N173"/>
      <c s="86" r="O173"/>
      <c s="86" r="P173"/>
      <c s="86" r="Q173"/>
    </row>
    <row r="174">
      <c t="s" s="86" r="A174">
        <v>1409</v>
      </c>
      <c t="s" s="86" r="B174">
        <v>1409</v>
      </c>
      <c t="s" s="40" r="C174">
        <v>1410</v>
      </c>
      <c t="s" s="95" r="D174">
        <v>1411</v>
      </c>
      <c t="s" s="86" r="E174">
        <v>1412</v>
      </c>
      <c t="s" s="86" r="F174">
        <v>1413</v>
      </c>
      <c s="86" r="G174"/>
      <c s="7" r="H174">
        <f>COUNTIF(PROJECT!F2:F100, "*NER*")</f>
        <v>0</v>
      </c>
      <c s="86" r="I174"/>
      <c s="86" r="J174"/>
      <c s="86" r="K174"/>
      <c s="86" r="L174"/>
      <c s="86" r="M174"/>
      <c s="86" r="N174"/>
      <c s="86" r="O174"/>
      <c s="86" r="P174"/>
      <c s="86" r="Q174"/>
    </row>
    <row r="175">
      <c t="s" s="86" r="A175">
        <v>1414</v>
      </c>
      <c t="s" s="86" r="B175">
        <v>1414</v>
      </c>
      <c t="s" s="40" r="C175">
        <v>1408</v>
      </c>
      <c t="s" s="95" r="D175">
        <v>1415</v>
      </c>
      <c t="s" s="86" r="E175">
        <v>1412</v>
      </c>
      <c t="s" s="86" r="F175">
        <v>1410</v>
      </c>
      <c s="86" r="G175"/>
      <c s="7" r="H175">
        <f>COUNTIF(PROJECT!F2:F100, "*NER*")</f>
        <v>0</v>
      </c>
      <c s="86" r="I175"/>
      <c s="86" r="J175"/>
      <c s="86" r="K175"/>
      <c s="86" r="L175"/>
      <c s="86" r="M175"/>
      <c s="86" r="N175"/>
      <c s="86" r="O175"/>
      <c s="86" r="P175"/>
      <c s="86" r="Q175"/>
    </row>
    <row r="176">
      <c t="s" s="86" r="A176">
        <v>1416</v>
      </c>
      <c t="s" s="86" r="B176">
        <v>1416</v>
      </c>
      <c t="s" s="40" r="C176">
        <v>1413</v>
      </c>
      <c t="s" s="95" r="D176">
        <v>1417</v>
      </c>
      <c t="s" s="86" r="E176">
        <v>1418</v>
      </c>
      <c t="s" s="86" r="F176">
        <v>1405</v>
      </c>
      <c s="86" r="G176"/>
      <c s="7" r="H176">
        <f>COUNTIF(PROJECT!F2:F100, "*NIU*")</f>
        <v>0</v>
      </c>
      <c s="86" r="I176"/>
      <c s="86" r="J176"/>
      <c s="86" r="K176"/>
      <c s="86" r="L176"/>
      <c s="86" r="M176"/>
      <c s="86" r="N176"/>
      <c s="86" r="O176"/>
      <c s="86" r="P176"/>
      <c s="86" r="Q176"/>
    </row>
    <row r="177">
      <c t="s" s="86" r="A177">
        <v>1419</v>
      </c>
      <c t="s" s="86" r="B177">
        <v>1420</v>
      </c>
      <c t="s" s="40" r="C177">
        <v>1421</v>
      </c>
      <c t="s" s="95" r="D177">
        <v>1422</v>
      </c>
      <c t="s" s="86" r="E177">
        <v>1423</v>
      </c>
      <c t="s" s="86" r="F177">
        <v>1421</v>
      </c>
      <c s="86" r="G177"/>
      <c s="7" r="H177">
        <f>COUNTIF(PROJECT!F2:F100, "*NFK*")</f>
        <v>0</v>
      </c>
      <c s="86" r="I177"/>
      <c s="86" r="J177"/>
      <c s="86" r="K177"/>
      <c s="86" r="L177"/>
      <c s="86" r="M177"/>
      <c s="86" r="N177"/>
      <c s="86" r="O177"/>
      <c s="86" r="P177"/>
      <c s="86" r="Q177"/>
    </row>
    <row r="178">
      <c t="s" s="86" r="A178">
        <v>1424</v>
      </c>
      <c t="s" s="86" r="B178">
        <v>1425</v>
      </c>
      <c t="s" s="40" r="C178">
        <v>1426</v>
      </c>
      <c t="s" s="95" r="D178">
        <v>1427</v>
      </c>
      <c t="s" s="86" r="E178">
        <v>1428</v>
      </c>
      <c t="s" s="86" r="F178">
        <v>1319</v>
      </c>
      <c s="86" r="G178"/>
      <c s="7" r="H178">
        <f>COUNTIF(PROJECT!F2:F100, "*MNP*")</f>
        <v>0</v>
      </c>
      <c s="86" r="I178"/>
      <c s="86" r="J178"/>
      <c s="86" r="K178"/>
      <c s="86" r="L178"/>
      <c s="86" r="M178"/>
      <c s="86" r="N178"/>
      <c s="86" r="O178"/>
      <c s="86" r="P178"/>
      <c s="86" r="Q178"/>
    </row>
    <row r="179">
      <c t="s" s="86" r="A179">
        <v>1429</v>
      </c>
      <c t="s" s="86" r="B179">
        <v>1429</v>
      </c>
      <c t="s" s="40" r="C179">
        <v>1430</v>
      </c>
      <c t="s" s="95" r="D179">
        <v>1431</v>
      </c>
      <c t="s" s="86" r="E179">
        <v>1432</v>
      </c>
      <c t="s" s="86" r="F179">
        <v>1430</v>
      </c>
      <c s="86" r="G179"/>
      <c s="7" r="H179">
        <f>COUNTIF(PROJECT!F2:F100, "*NOR*")</f>
        <v>0</v>
      </c>
      <c s="86" r="I179"/>
      <c s="86" r="J179"/>
      <c s="86" r="K179"/>
      <c s="86" r="L179"/>
      <c s="86" r="M179"/>
      <c s="86" r="N179"/>
      <c s="86" r="O179"/>
      <c s="86" r="P179"/>
      <c s="86" r="Q179"/>
    </row>
    <row r="180">
      <c t="s" s="86" r="A180">
        <v>1433</v>
      </c>
      <c t="s" s="86" r="B180">
        <v>1433</v>
      </c>
      <c t="s" s="8" r="C180">
        <v>1321</v>
      </c>
      <c t="s" s="95" r="D180">
        <v>1434</v>
      </c>
      <c t="s" s="26" r="E180">
        <v>1435</v>
      </c>
      <c t="s" s="86" r="F180">
        <v>1436</v>
      </c>
      <c s="86" r="G180"/>
      <c s="7" r="H180">
        <f>COUNTIF(PROJECT!F2:F100, "*OMN*")</f>
        <v>0</v>
      </c>
      <c s="86" r="I180"/>
      <c s="86" r="J180"/>
      <c s="86" r="K180"/>
      <c s="86" r="L180"/>
      <c s="86" r="M180"/>
      <c s="86" r="N180"/>
      <c s="86" r="O180"/>
      <c s="86" r="P180"/>
      <c s="86" r="Q180"/>
    </row>
    <row r="181">
      <c t="s" s="86" r="A181">
        <v>147</v>
      </c>
      <c t="s" s="86" r="B181">
        <v>147</v>
      </c>
      <c t="s" s="40" r="C181">
        <v>1437</v>
      </c>
      <c t="s" s="95" r="D181">
        <v>1438</v>
      </c>
      <c t="s" s="86" r="E181">
        <v>302</v>
      </c>
      <c t="s" s="86" r="F181">
        <v>1437</v>
      </c>
      <c s="86" r="G181"/>
      <c s="7" r="H181">
        <f>COUNTIF(PROJECT!F2:F100, "*PAK*")</f>
        <v>4</v>
      </c>
      <c s="86" r="I181"/>
      <c s="86" r="J181"/>
      <c s="86" r="K181"/>
      <c s="86" r="L181"/>
      <c s="86" r="M181"/>
      <c s="86" r="N181"/>
      <c s="86" r="O181"/>
      <c s="86" r="P181"/>
      <c s="86" r="Q181"/>
    </row>
    <row r="182">
      <c t="s" s="86" r="A182">
        <v>1439</v>
      </c>
      <c t="s" s="86" r="B182">
        <v>1439</v>
      </c>
      <c t="s" s="40" r="C182">
        <v>1440</v>
      </c>
      <c t="s" s="95" r="D182">
        <v>1441</v>
      </c>
      <c t="s" s="86" r="E182">
        <v>1442</v>
      </c>
      <c t="s" s="86" r="F182">
        <v>1443</v>
      </c>
      <c s="86" r="G182"/>
      <c s="7" r="H182">
        <f>COUNTIF(PROJECT!F2:F100, "*PLW*")</f>
        <v>0</v>
      </c>
      <c s="86" r="I182"/>
      <c s="86" r="J182"/>
      <c s="86" r="K182"/>
      <c s="86" r="L182"/>
      <c s="86" r="M182"/>
      <c s="86" r="N182"/>
      <c s="86" r="O182"/>
      <c s="86" r="P182"/>
      <c s="86" r="Q182"/>
    </row>
    <row r="183">
      <c t="s" s="86" r="A183">
        <v>1444</v>
      </c>
      <c t="s" s="86" r="B183">
        <v>1444</v>
      </c>
      <c s="102" r="C183"/>
      <c t="s" s="82" r="D183">
        <v>1445</v>
      </c>
      <c t="s" s="86" r="E183">
        <v>1446</v>
      </c>
      <c t="s" s="86" r="F183">
        <v>1440</v>
      </c>
      <c t="s" s="86" r="G183">
        <v>1447</v>
      </c>
      <c s="7" r="H183">
        <f>COUNTIF(PROJECT!F2:F100, "*PSE*")</f>
        <v>0</v>
      </c>
      <c s="86" r="I183"/>
      <c s="86" r="J183"/>
      <c s="86" r="K183"/>
      <c s="86" r="L183"/>
      <c s="86" r="M183"/>
      <c s="86" r="N183"/>
      <c s="86" r="O183"/>
      <c s="86" r="P183"/>
      <c s="86" r="Q183"/>
    </row>
    <row r="184">
      <c t="s" s="86" r="A184">
        <v>1448</v>
      </c>
      <c t="s" s="86" r="B184">
        <v>1448</v>
      </c>
      <c t="s" s="86" r="C184">
        <v>1449</v>
      </c>
      <c s="102" r="D184"/>
      <c s="102" r="E184"/>
      <c t="s" s="86" r="F184">
        <v>1450</v>
      </c>
      <c t="s" s="7" r="G184">
        <v>751</v>
      </c>
      <c s="59" r="H184"/>
      <c s="86" r="I184"/>
      <c s="86" r="J184"/>
      <c s="86" r="K184"/>
      <c s="86" r="L184"/>
      <c s="86" r="M184"/>
      <c s="86" r="N184"/>
      <c s="86" r="O184"/>
      <c s="86" r="P184"/>
      <c s="86" r="Q184"/>
    </row>
    <row r="185">
      <c t="s" s="86" r="A185">
        <v>1451</v>
      </c>
      <c t="s" s="86" r="B185">
        <v>1451</v>
      </c>
      <c t="s" s="8" r="C185">
        <v>1452</v>
      </c>
      <c t="s" s="95" r="D185">
        <v>1453</v>
      </c>
      <c t="s" s="26" r="E185">
        <v>1454</v>
      </c>
      <c t="s" s="86" r="F185">
        <v>1455</v>
      </c>
      <c s="86" r="G185"/>
      <c s="7" r="H185">
        <f>COUNTIF(PROJECT!F2:F100, "*PAN*")</f>
        <v>0</v>
      </c>
      <c s="86" r="I185"/>
      <c s="86" r="J185"/>
      <c s="86" r="K185"/>
      <c s="86" r="L185"/>
      <c s="86" r="M185"/>
      <c s="86" r="N185"/>
      <c s="86" r="O185"/>
      <c s="86" r="P185"/>
      <c s="86" r="Q185"/>
    </row>
    <row r="186">
      <c t="s" s="86" r="A186">
        <v>1456</v>
      </c>
      <c t="s" s="86" r="B186">
        <v>1456</v>
      </c>
      <c t="s" s="8" r="C186">
        <v>1457</v>
      </c>
      <c t="s" s="95" r="D186">
        <v>1458</v>
      </c>
      <c t="s" s="26" r="E186">
        <v>1459</v>
      </c>
      <c t="s" s="86" r="F186">
        <v>1460</v>
      </c>
      <c s="86" r="G186"/>
      <c s="7" r="H186">
        <f>COUNTIF(PROJECT!F2:F100, "*PNG*")</f>
        <v>0</v>
      </c>
      <c s="86" r="I186"/>
      <c s="86" r="J186"/>
      <c s="86" r="K186"/>
      <c s="86" r="L186"/>
      <c s="86" r="M186"/>
      <c s="86" r="N186"/>
      <c s="86" r="O186"/>
      <c s="86" r="P186"/>
      <c s="86" r="Q186"/>
    </row>
    <row r="187">
      <c t="s" s="86" r="A187">
        <v>1461</v>
      </c>
      <c t="s" s="86" r="B187">
        <v>1462</v>
      </c>
      <c t="s" s="40" r="C187">
        <v>1017</v>
      </c>
      <c s="102" r="D187"/>
      <c s="102" r="E187"/>
      <c s="102" r="F187"/>
      <c s="86" r="G187"/>
      <c s="59" r="H187"/>
      <c s="86" r="I187"/>
      <c s="86" r="J187"/>
      <c s="86" r="K187"/>
      <c s="86" r="L187"/>
      <c s="86" r="M187"/>
      <c s="86" r="N187"/>
      <c s="86" r="O187"/>
      <c s="86" r="P187"/>
      <c s="86" r="Q187"/>
    </row>
    <row r="188">
      <c t="s" s="86" r="A188">
        <v>1463</v>
      </c>
      <c t="s" s="86" r="B188">
        <v>1463</v>
      </c>
      <c t="s" s="8" r="C188">
        <v>1455</v>
      </c>
      <c t="s" s="95" r="D188">
        <v>1464</v>
      </c>
      <c t="s" s="26" r="E188">
        <v>1465</v>
      </c>
      <c t="s" s="86" r="F188">
        <v>1466</v>
      </c>
      <c s="86" r="G188"/>
      <c s="7" r="H188">
        <f>COUNTIF(PROJECT!F2:F100, "*PRY*")</f>
        <v>0</v>
      </c>
      <c s="86" r="I188"/>
      <c s="86" r="J188"/>
      <c s="86" r="K188"/>
      <c s="86" r="L188"/>
      <c s="86" r="M188"/>
      <c s="86" r="N188"/>
      <c s="86" r="O188"/>
      <c s="86" r="P188"/>
      <c s="86" r="Q188"/>
    </row>
    <row r="189">
      <c t="s" s="86" r="A189">
        <v>1467</v>
      </c>
      <c t="s" s="86" r="B189">
        <v>1467</v>
      </c>
      <c t="s" s="40" r="C189">
        <v>1468</v>
      </c>
      <c t="s" s="95" r="D189">
        <v>1469</v>
      </c>
      <c t="s" s="86" r="E189">
        <v>1470</v>
      </c>
      <c t="s" s="86" r="F189">
        <v>1468</v>
      </c>
      <c s="86" r="G189"/>
      <c s="7" r="H189">
        <f>COUNTIF(PROJECT!F2:F100, "*PER*")</f>
        <v>0</v>
      </c>
      <c s="86" r="I189"/>
      <c s="86" r="J189"/>
      <c s="86" r="K189"/>
      <c s="86" r="L189"/>
      <c s="86" r="M189"/>
      <c s="86" r="N189"/>
      <c s="86" r="O189"/>
      <c s="86" r="P189"/>
      <c s="86" r="Q189"/>
    </row>
    <row r="190">
      <c t="s" s="26" r="A190">
        <v>161</v>
      </c>
      <c t="s" s="86" r="B190">
        <v>1471</v>
      </c>
      <c t="s" s="8" r="C190">
        <v>1472</v>
      </c>
      <c t="s" s="95" r="D190">
        <v>1473</v>
      </c>
      <c t="s" s="26" r="E190">
        <v>276</v>
      </c>
      <c t="s" s="86" r="F190">
        <v>1474</v>
      </c>
      <c s="86" r="G190"/>
      <c s="7" r="H190">
        <f>COUNTIF(PROJECT!F2:F100, "*PHL*")</f>
        <v>4</v>
      </c>
      <c s="86" r="I190"/>
      <c s="86" r="J190"/>
      <c s="86" r="K190"/>
      <c s="86" r="L190"/>
      <c s="86" r="M190"/>
      <c s="86" r="N190"/>
      <c s="86" r="O190"/>
      <c s="86" r="P190"/>
      <c s="86" r="Q190"/>
    </row>
    <row r="191">
      <c t="s" s="86" r="A191">
        <v>1475</v>
      </c>
      <c t="s" s="86" r="B191">
        <v>1476</v>
      </c>
      <c t="s" s="40" r="C191">
        <v>1477</v>
      </c>
      <c t="s" s="95" r="D191">
        <v>1478</v>
      </c>
      <c t="s" s="86" r="E191">
        <v>1479</v>
      </c>
      <c t="s" s="86" r="F191">
        <v>1480</v>
      </c>
      <c s="86" r="G191"/>
      <c s="7" r="H191">
        <f>COUNTIF(PROJECT!F2:F100, "*PCN*")</f>
        <v>0</v>
      </c>
      <c s="86" r="I191"/>
      <c s="86" r="J191"/>
      <c s="86" r="K191"/>
      <c s="86" r="L191"/>
      <c s="86" r="M191"/>
      <c s="86" r="N191"/>
      <c s="86" r="O191"/>
      <c s="86" r="P191"/>
      <c s="86" r="Q191"/>
    </row>
    <row r="192">
      <c t="s" s="86" r="A192">
        <v>1481</v>
      </c>
      <c t="s" s="86" r="B192">
        <v>1481</v>
      </c>
      <c t="s" s="40" r="C192">
        <v>1482</v>
      </c>
      <c t="s" s="95" r="D192">
        <v>1483</v>
      </c>
      <c t="s" s="86" r="E192">
        <v>1484</v>
      </c>
      <c t="s" s="86" r="F192">
        <v>1482</v>
      </c>
      <c s="86" r="G192"/>
      <c s="7" r="H192">
        <f>COUNTIF(PROJECT!F2:F100, "*POL*")</f>
        <v>0</v>
      </c>
      <c s="86" r="I192"/>
      <c s="86" r="J192"/>
      <c s="86" r="K192"/>
      <c s="86" r="L192"/>
      <c s="86" r="M192"/>
      <c s="86" r="N192"/>
      <c s="86" r="O192"/>
      <c s="86" r="P192"/>
      <c s="86" r="Q192"/>
    </row>
    <row r="193">
      <c t="s" s="86" r="A193">
        <v>1485</v>
      </c>
      <c t="s" s="86" r="B193">
        <v>1485</v>
      </c>
      <c t="s" s="8" r="C193">
        <v>1486</v>
      </c>
      <c t="s" s="95" r="D193">
        <v>1487</v>
      </c>
      <c t="s" s="26" r="E193">
        <v>1488</v>
      </c>
      <c t="s" s="86" r="F193">
        <v>1489</v>
      </c>
      <c s="86" r="G193"/>
      <c s="7" r="H193">
        <f>COUNTIF(PROJECT!F2:F100, "*PRT*")</f>
        <v>0</v>
      </c>
      <c s="86" r="I193"/>
      <c s="86" r="J193"/>
      <c s="86" r="K193"/>
      <c s="86" r="L193"/>
      <c s="86" r="M193"/>
      <c s="86" r="N193"/>
      <c s="86" r="O193"/>
      <c s="86" r="P193"/>
      <c s="86" r="Q193"/>
    </row>
    <row r="194">
      <c t="s" s="86" r="A194">
        <v>1490</v>
      </c>
      <c t="s" s="86" r="B194">
        <v>1490</v>
      </c>
      <c t="s" s="8" r="C194">
        <v>1491</v>
      </c>
      <c t="s" s="95" r="D194">
        <v>1492</v>
      </c>
      <c t="s" s="26" r="E194">
        <v>1493</v>
      </c>
      <c t="s" s="86" r="F194">
        <v>1494</v>
      </c>
      <c s="86" r="G194"/>
      <c s="7" r="H194">
        <f>COUNTIF(PROJECT!F2:F100, "*PRI*")</f>
        <v>0</v>
      </c>
      <c s="86" r="I194"/>
      <c s="86" r="J194"/>
      <c s="86" r="K194"/>
      <c s="86" r="L194"/>
      <c s="86" r="M194"/>
      <c s="86" r="N194"/>
      <c s="86" r="O194"/>
      <c s="86" r="P194"/>
      <c s="86" r="Q194"/>
    </row>
    <row r="195">
      <c t="s" s="86" r="A195">
        <v>1495</v>
      </c>
      <c t="s" s="86" r="B195">
        <v>1495</v>
      </c>
      <c t="s" s="40" r="C195">
        <v>1496</v>
      </c>
      <c t="s" s="95" r="D195">
        <v>1497</v>
      </c>
      <c t="s" s="86" r="E195">
        <v>1498</v>
      </c>
      <c t="s" s="86" r="F195">
        <v>1496</v>
      </c>
      <c s="86" r="G195"/>
      <c s="7" r="H195">
        <f>COUNTIF(PROJECT!F2:F100, "*QAT*")</f>
        <v>0</v>
      </c>
      <c s="86" r="I195"/>
      <c s="86" r="J195"/>
      <c s="86" r="K195"/>
      <c s="86" r="L195"/>
      <c s="86" r="M195"/>
      <c s="86" r="N195"/>
      <c s="86" r="O195"/>
      <c s="86" r="P195"/>
      <c s="86" r="Q195"/>
    </row>
    <row r="196">
      <c t="s" s="86" r="A196">
        <v>1499</v>
      </c>
      <c t="s" s="86" r="B196">
        <v>1499</v>
      </c>
      <c t="s" s="40" r="C196">
        <v>1500</v>
      </c>
      <c t="s" s="95" r="D196">
        <v>1501</v>
      </c>
      <c t="s" s="86" r="E196">
        <v>1502</v>
      </c>
      <c t="s" s="86" r="F196">
        <v>1500</v>
      </c>
      <c s="86" r="G196"/>
      <c s="7" r="H196">
        <f>COUNTIF(PROJECT!F2:F100, "*REU*")</f>
        <v>0</v>
      </c>
      <c s="86" r="I196"/>
      <c s="86" r="J196"/>
      <c s="86" r="K196"/>
      <c s="86" r="L196"/>
      <c s="86" r="M196"/>
      <c s="86" r="N196"/>
      <c s="86" r="O196"/>
      <c s="86" r="P196"/>
      <c s="86" r="Q196"/>
    </row>
    <row r="197">
      <c t="s" s="86" r="A197">
        <v>94</v>
      </c>
      <c t="s" s="86" r="B197">
        <v>94</v>
      </c>
      <c t="s" s="40" r="C197">
        <v>1503</v>
      </c>
      <c t="s" s="95" r="D197">
        <v>1504</v>
      </c>
      <c t="s" s="86" r="E197">
        <v>262</v>
      </c>
      <c t="s" s="86" r="F197">
        <v>1503</v>
      </c>
      <c s="86" r="G197"/>
      <c s="7" r="H197">
        <f>COUNTIF(PROJECT!F2:F100, "*ROU*")</f>
        <v>1</v>
      </c>
      <c s="86" r="I197"/>
      <c s="86" r="J197"/>
      <c s="86" r="K197"/>
      <c s="86" r="L197"/>
      <c s="86" r="M197"/>
      <c s="86" r="N197"/>
      <c s="86" r="O197"/>
      <c s="86" r="P197"/>
      <c s="86" r="Q197"/>
    </row>
    <row r="198">
      <c t="s" s="26" r="A198">
        <v>1505</v>
      </c>
      <c t="s" s="86" r="B198">
        <v>1506</v>
      </c>
      <c t="s" s="8" r="C198">
        <v>1507</v>
      </c>
      <c t="s" s="95" r="D198">
        <v>1508</v>
      </c>
      <c t="s" s="26" r="E198">
        <v>1509</v>
      </c>
      <c t="s" s="86" r="F198">
        <v>1510</v>
      </c>
      <c s="86" r="G198"/>
      <c s="7" r="H198">
        <f>COUNTIF(PROJECT!F2:F100, "*RUS*")</f>
        <v>0</v>
      </c>
      <c s="86" r="I198"/>
      <c s="86" r="J198"/>
      <c s="86" r="K198"/>
      <c s="86" r="L198"/>
      <c s="86" r="M198"/>
      <c s="86" r="N198"/>
      <c s="86" r="O198"/>
      <c s="86" r="P198"/>
      <c s="86" r="Q198"/>
    </row>
    <row r="199">
      <c t="s" s="86" r="A199">
        <v>112</v>
      </c>
      <c t="s" s="86" r="B199">
        <v>112</v>
      </c>
      <c t="s" s="40" r="C199">
        <v>1511</v>
      </c>
      <c t="s" s="95" r="D199">
        <v>1512</v>
      </c>
      <c t="s" s="86" r="E199">
        <v>1513</v>
      </c>
      <c t="s" s="86" r="F199">
        <v>1511</v>
      </c>
      <c s="86" r="G199"/>
      <c s="7" r="H199">
        <f>COUNTIF(PROJECT!F2:F100, "*RWA*")</f>
        <v>1</v>
      </c>
      <c s="86" r="I199"/>
      <c s="86" r="J199"/>
      <c s="86" r="K199"/>
      <c s="86" r="L199"/>
      <c s="86" r="M199"/>
      <c s="86" r="N199"/>
      <c s="86" r="O199"/>
      <c s="86" r="P199"/>
      <c s="86" r="Q199"/>
    </row>
    <row r="200">
      <c t="s" s="86" r="A200">
        <v>1514</v>
      </c>
      <c t="s" s="86" r="B200">
        <v>1514</v>
      </c>
      <c t="s" s="40" r="C200">
        <v>1515</v>
      </c>
      <c t="s" s="95" r="D200">
        <v>1516</v>
      </c>
      <c t="s" s="86" r="E200">
        <v>1517</v>
      </c>
      <c t="s" s="86" r="F200">
        <v>787</v>
      </c>
      <c s="86" r="G200"/>
      <c s="7" r="H200">
        <f>COUNTIF(PROJECT!F2:F100, "*BLM*")</f>
        <v>0</v>
      </c>
      <c s="86" r="I200"/>
      <c s="86" r="J200"/>
      <c s="86" r="K200"/>
      <c s="86" r="L200"/>
      <c s="86" r="M200"/>
      <c s="86" r="N200"/>
      <c s="86" r="O200"/>
      <c s="86" r="P200"/>
      <c s="86" r="Q200"/>
    </row>
    <row r="201">
      <c t="s" s="26" r="A201">
        <v>1518</v>
      </c>
      <c t="s" s="26" r="B201">
        <v>1518</v>
      </c>
      <c t="s" s="8" r="C201">
        <v>1519</v>
      </c>
      <c t="s" s="82" r="D201">
        <v>1520</v>
      </c>
      <c t="s" s="26" r="E201">
        <v>1521</v>
      </c>
      <c t="s" s="26" r="F201">
        <v>1323</v>
      </c>
      <c s="26" r="G201"/>
      <c s="63" r="H201">
        <f>COUNTIF(PROJECT!F2:F100, "*MAF*")</f>
        <v>0</v>
      </c>
      <c s="26" r="I201"/>
      <c s="26" r="J201"/>
      <c s="26" r="K201"/>
      <c s="26" r="L201"/>
      <c s="26" r="M201"/>
      <c s="26" r="N201"/>
      <c s="26" r="O201"/>
      <c s="26" r="P201"/>
      <c s="26" r="Q201"/>
    </row>
    <row r="202">
      <c t="s" s="86" r="A202">
        <v>1522</v>
      </c>
      <c t="s" s="86" r="B202">
        <v>1522</v>
      </c>
      <c t="s" s="40" r="C202">
        <v>1523</v>
      </c>
      <c t="s" s="95" r="D202">
        <v>1524</v>
      </c>
      <c t="s" s="86" r="E202">
        <v>1525</v>
      </c>
      <c t="s" s="86" r="F202">
        <v>1523</v>
      </c>
      <c s="86" r="G202"/>
      <c s="7" r="H202">
        <f>COUNTIF(PROJECT!F2:F100, "*WSM*")</f>
        <v>0</v>
      </c>
      <c s="86" r="I202"/>
      <c s="86" r="J202"/>
      <c s="86" r="K202"/>
      <c s="86" r="L202"/>
      <c s="86" r="M202"/>
      <c s="86" r="N202"/>
      <c s="86" r="O202"/>
      <c s="86" r="P202"/>
      <c s="86" r="Q202"/>
    </row>
    <row r="203">
      <c t="s" s="86" r="A203">
        <v>1526</v>
      </c>
      <c t="s" s="86" r="B203">
        <v>1526</v>
      </c>
      <c t="s" s="40" r="C203">
        <v>1527</v>
      </c>
      <c t="s" s="95" r="D203">
        <v>1528</v>
      </c>
      <c t="s" s="86" r="E203">
        <v>1529</v>
      </c>
      <c t="s" s="86" r="F203">
        <v>1527</v>
      </c>
      <c s="86" r="G203"/>
      <c s="7" r="H203">
        <f>COUNTIF(PROJECT!F2:F100, "*SMR*")</f>
        <v>0</v>
      </c>
      <c s="86" r="I203"/>
      <c s="86" r="J203"/>
      <c s="86" r="K203"/>
      <c s="86" r="L203"/>
      <c s="86" r="M203"/>
      <c s="86" r="N203"/>
      <c s="86" r="O203"/>
      <c s="86" r="P203"/>
      <c s="86" r="Q203"/>
    </row>
    <row r="204">
      <c t="s" s="86" r="A204">
        <v>1530</v>
      </c>
      <c t="s" s="86" r="B204">
        <v>1531</v>
      </c>
      <c t="s" s="40" r="C204">
        <v>1532</v>
      </c>
      <c t="s" s="95" r="D204">
        <v>1533</v>
      </c>
      <c t="s" s="86" r="E204">
        <v>1534</v>
      </c>
      <c t="s" s="86" r="F204">
        <v>1535</v>
      </c>
      <c s="86" r="G204"/>
      <c s="7" r="H204">
        <f>COUNTIF(PROJECT!F2:F100, "*STP*")</f>
        <v>0</v>
      </c>
      <c s="86" r="I204"/>
      <c s="86" r="J204"/>
      <c s="86" r="K204"/>
      <c s="86" r="L204"/>
      <c s="86" r="M204"/>
      <c s="86" r="N204"/>
      <c s="86" r="O204"/>
      <c s="86" r="P204"/>
      <c s="86" r="Q204"/>
    </row>
    <row r="205">
      <c t="s" s="86" r="A205">
        <v>1536</v>
      </c>
      <c t="s" s="86" r="B205">
        <v>1536</v>
      </c>
      <c t="s" s="40" r="C205">
        <v>1537</v>
      </c>
      <c t="s" s="95" r="D205">
        <v>1538</v>
      </c>
      <c t="s" s="86" r="E205">
        <v>1539</v>
      </c>
      <c t="s" s="86" r="F205">
        <v>1537</v>
      </c>
      <c s="86" r="G205"/>
      <c s="7" r="H205">
        <f>COUNTIF(PROJECT!F2:F100, "*SAU*")</f>
        <v>0</v>
      </c>
      <c s="86" r="I205"/>
      <c s="86" r="J205"/>
      <c s="86" r="K205"/>
      <c s="86" r="L205"/>
      <c s="86" r="M205"/>
      <c s="86" r="N205"/>
      <c s="86" r="O205"/>
      <c s="86" r="P205"/>
      <c s="86" r="Q205"/>
    </row>
    <row r="206">
      <c t="s" s="86" r="A206">
        <v>1540</v>
      </c>
      <c t="s" s="86" r="B206">
        <v>1540</v>
      </c>
      <c t="s" s="8" r="C206">
        <v>1541</v>
      </c>
      <c t="s" s="95" r="D206">
        <v>1542</v>
      </c>
      <c t="s" s="26" r="E206">
        <v>1543</v>
      </c>
      <c t="s" s="86" r="F206">
        <v>1544</v>
      </c>
      <c s="86" r="G206"/>
      <c s="7" r="H206">
        <f>COUNTIF(PROJECT!F2:F100, "*SEN*")</f>
        <v>0</v>
      </c>
      <c s="86" r="I206"/>
      <c s="86" r="J206"/>
      <c s="86" r="K206"/>
      <c s="86" r="L206"/>
      <c s="86" r="M206"/>
      <c s="86" r="N206"/>
      <c s="86" r="O206"/>
      <c s="86" r="P206"/>
      <c s="86" r="Q206"/>
    </row>
    <row r="207">
      <c t="s" s="86" r="A207">
        <v>1545</v>
      </c>
      <c t="s" s="86" r="B207">
        <v>1545</v>
      </c>
      <c t="s" s="40" r="C207">
        <v>1546</v>
      </c>
      <c t="s" s="95" r="D207">
        <v>1547</v>
      </c>
      <c t="s" s="86" r="E207">
        <v>1548</v>
      </c>
      <c t="s" s="86" r="F207">
        <v>1507</v>
      </c>
      <c s="86" r="G207"/>
      <c s="7" r="H207">
        <f>COUNTIF(PROJECT!F2:F100, "*SRB*")</f>
        <v>0</v>
      </c>
      <c s="86" r="I207"/>
      <c s="86" r="J207"/>
      <c s="86" r="K207"/>
      <c s="86" r="L207"/>
      <c s="86" r="M207"/>
      <c s="86" r="N207"/>
      <c s="86" r="O207"/>
      <c s="86" r="P207"/>
      <c s="86" r="Q207"/>
    </row>
    <row r="208">
      <c t="s" s="86" r="A208">
        <v>1549</v>
      </c>
      <c t="s" s="86" r="B208">
        <v>1549</v>
      </c>
      <c t="s" s="8" r="C208">
        <v>1550</v>
      </c>
      <c t="s" s="95" r="D208">
        <v>1551</v>
      </c>
      <c t="s" s="26" r="E208">
        <v>1552</v>
      </c>
      <c t="s" s="86" r="F208">
        <v>1553</v>
      </c>
      <c s="86" r="G208"/>
      <c s="7" r="H208">
        <f>COUNTIF(PROJECT!F2:F100, "*SYC*")</f>
        <v>0</v>
      </c>
      <c s="86" r="I208"/>
      <c s="86" r="J208"/>
      <c s="86" r="K208"/>
      <c s="86" r="L208"/>
      <c s="86" r="M208"/>
      <c s="86" r="N208"/>
      <c s="86" r="O208"/>
      <c s="86" r="P208"/>
      <c s="86" r="Q208"/>
    </row>
    <row r="209">
      <c t="s" s="86" r="A209">
        <v>1554</v>
      </c>
      <c t="s" s="86" r="B209">
        <v>1554</v>
      </c>
      <c t="s" s="40" r="C209">
        <v>1555</v>
      </c>
      <c t="s" s="95" r="D209">
        <v>1556</v>
      </c>
      <c t="s" s="86" r="E209">
        <v>1557</v>
      </c>
      <c t="s" s="86" r="F209">
        <v>1555</v>
      </c>
      <c s="86" r="G209"/>
      <c s="7" r="H209">
        <f>COUNTIF(PROJECT!F2:F100, "*SLE*")</f>
        <v>0</v>
      </c>
      <c s="86" r="I209"/>
      <c s="86" r="J209"/>
      <c s="86" r="K209"/>
      <c s="86" r="L209"/>
      <c s="86" r="M209"/>
      <c s="86" r="N209"/>
      <c s="86" r="O209"/>
      <c s="86" r="P209"/>
      <c s="86" r="Q209"/>
    </row>
    <row r="210">
      <c t="s" s="86" r="A210">
        <v>1558</v>
      </c>
      <c t="s" s="86" r="B210">
        <v>1558</v>
      </c>
      <c t="s" s="8" r="C210">
        <v>1544</v>
      </c>
      <c t="s" s="95" r="D210">
        <v>1559</v>
      </c>
      <c t="s" s="26" r="E210">
        <v>1560</v>
      </c>
      <c t="s" s="86" r="F210">
        <v>1541</v>
      </c>
      <c s="86" r="G210"/>
      <c s="7" r="H210">
        <f>COUNTIF(PROJECT!F2:F100, "*SGP*")</f>
        <v>0</v>
      </c>
      <c s="86" r="I210"/>
      <c s="86" r="J210"/>
      <c s="86" r="K210"/>
      <c s="86" r="L210"/>
      <c s="86" r="M210"/>
      <c s="86" r="N210"/>
      <c s="86" r="O210"/>
      <c s="86" r="P210"/>
      <c s="86" r="Q210"/>
    </row>
    <row r="211">
      <c t="s" s="86" r="A211">
        <v>1561</v>
      </c>
      <c t="s" s="86" r="B211">
        <v>1561</v>
      </c>
      <c t="s" s="8" r="C211">
        <v>1562</v>
      </c>
      <c t="s" s="95" r="D211">
        <v>1563</v>
      </c>
      <c t="s" s="86" r="E211">
        <v>1564</v>
      </c>
      <c t="s" s="86" r="F211">
        <v>1565</v>
      </c>
      <c s="86" r="G211"/>
      <c s="7" r="H211">
        <f>COUNTIF(PROJECT!F2:F100, "*SXM*")</f>
        <v>0</v>
      </c>
      <c s="86" r="I211"/>
      <c s="86" r="J211"/>
      <c s="86" r="K211"/>
      <c s="86" r="L211"/>
      <c s="86" r="M211"/>
      <c s="86" r="N211"/>
      <c s="86" r="O211"/>
      <c s="86" r="P211"/>
      <c s="86" r="Q211"/>
    </row>
    <row r="212">
      <c t="s" s="86" r="A212">
        <v>1566</v>
      </c>
      <c t="s" s="86" r="B212">
        <v>1566</v>
      </c>
      <c t="s" s="8" r="C212">
        <v>1567</v>
      </c>
      <c t="s" s="95" r="D212">
        <v>1568</v>
      </c>
      <c t="s" s="26" r="E212">
        <v>1569</v>
      </c>
      <c t="s" s="86" r="F212">
        <v>1570</v>
      </c>
      <c s="86" r="G212"/>
      <c s="7" r="H212">
        <f>COUNTIF(PROJECT!F2:F100, "*SVK*")</f>
        <v>0</v>
      </c>
      <c s="86" r="I212"/>
      <c s="86" r="J212"/>
      <c s="86" r="K212"/>
      <c s="86" r="L212"/>
      <c s="86" r="M212"/>
      <c s="86" r="N212"/>
      <c s="86" r="O212"/>
      <c s="86" r="P212"/>
      <c s="86" r="Q212"/>
    </row>
    <row r="213">
      <c t="s" s="86" r="A213">
        <v>1571</v>
      </c>
      <c t="s" s="86" r="B213">
        <v>1571</v>
      </c>
      <c t="s" s="8" r="C213">
        <v>1572</v>
      </c>
      <c t="s" s="95" r="D213">
        <v>1573</v>
      </c>
      <c t="s" s="26" r="E213">
        <v>1574</v>
      </c>
      <c t="s" s="86" r="F213">
        <v>1572</v>
      </c>
      <c s="86" r="G213"/>
      <c s="7" r="H213">
        <f>COUNTIF(PROJECT!F2:F100, "*SVN*")</f>
        <v>0</v>
      </c>
      <c s="86" r="I213"/>
      <c s="86" r="J213"/>
      <c s="86" r="K213"/>
      <c s="86" r="L213"/>
      <c s="86" r="M213"/>
      <c s="86" r="N213"/>
      <c s="86" r="O213"/>
      <c s="86" r="P213"/>
      <c s="86" r="Q213"/>
    </row>
    <row r="214">
      <c t="s" s="86" r="A214">
        <v>1575</v>
      </c>
      <c t="s" s="86" r="B214">
        <v>1576</v>
      </c>
      <c t="s" s="8" r="C214">
        <v>1577</v>
      </c>
      <c t="s" s="95" r="D214">
        <v>1578</v>
      </c>
      <c t="s" s="26" r="E214">
        <v>1579</v>
      </c>
      <c t="s" s="86" r="F214">
        <v>1580</v>
      </c>
      <c s="86" r="G214"/>
      <c s="7" r="H214">
        <f>COUNTIF(PROJECT!F2:F100, "*SLB*")</f>
        <v>0</v>
      </c>
      <c s="86" r="I214"/>
      <c s="86" r="J214"/>
      <c s="86" r="K214"/>
      <c s="86" r="L214"/>
      <c s="86" r="M214"/>
      <c s="86" r="N214"/>
      <c s="86" r="O214"/>
      <c s="86" r="P214"/>
      <c s="86" r="Q214"/>
    </row>
    <row r="215">
      <c t="s" s="86" r="A215">
        <v>117</v>
      </c>
      <c t="s" s="86" r="B215">
        <v>117</v>
      </c>
      <c t="s" s="40" r="C215">
        <v>1581</v>
      </c>
      <c t="s" s="95" r="D215">
        <v>1582</v>
      </c>
      <c t="s" s="86" r="E215">
        <v>530</v>
      </c>
      <c t="s" s="86" r="F215">
        <v>1581</v>
      </c>
      <c s="86" r="G215"/>
      <c s="7" r="H215">
        <f>COUNTIF(PROJECT!F2:F100, "*SOM*")</f>
        <v>2</v>
      </c>
      <c s="86" r="I215"/>
      <c s="86" r="J215"/>
      <c s="86" r="K215"/>
      <c s="86" r="L215"/>
      <c s="86" r="M215"/>
      <c s="86" r="N215"/>
      <c s="86" r="O215"/>
      <c s="86" r="P215"/>
      <c s="86" r="Q215"/>
    </row>
    <row r="216">
      <c t="s" s="86" r="A216">
        <v>1583</v>
      </c>
      <c t="s" s="86" r="B216">
        <v>1583</v>
      </c>
      <c t="s" s="8" r="C216">
        <v>1584</v>
      </c>
      <c t="s" s="95" r="D216">
        <v>1585</v>
      </c>
      <c t="s" s="26" r="E216">
        <v>1586</v>
      </c>
      <c t="s" s="86" r="F216">
        <v>1587</v>
      </c>
      <c s="86" r="G216"/>
      <c s="7" r="H216">
        <f>COUNTIF(PROJECT!F2:F100, "*ZAF*")</f>
        <v>0</v>
      </c>
      <c s="86" r="I216"/>
      <c s="86" r="J216"/>
      <c s="86" r="K216"/>
      <c s="86" r="L216"/>
      <c s="86" r="M216"/>
      <c s="86" r="N216"/>
      <c s="86" r="O216"/>
      <c s="86" r="P216"/>
      <c s="86" r="Q216"/>
    </row>
    <row r="217">
      <c t="s" s="86" r="A217">
        <v>1588</v>
      </c>
      <c t="s" s="86" r="B217">
        <v>1589</v>
      </c>
      <c t="s" s="40" r="C217">
        <v>1565</v>
      </c>
      <c t="s" s="95" r="D217">
        <v>1590</v>
      </c>
      <c t="s" s="86" r="E217">
        <v>1591</v>
      </c>
      <c t="s" s="86" r="F217">
        <v>1592</v>
      </c>
      <c s="86" r="G217"/>
      <c s="7" r="H217">
        <f>COUNTIF(PROJECT!F2:F100, "*SGS*")</f>
        <v>0</v>
      </c>
      <c s="86" r="I217"/>
      <c s="86" r="J217"/>
      <c s="86" r="K217"/>
      <c s="86" r="L217"/>
      <c s="86" r="M217"/>
      <c s="86" r="N217"/>
      <c s="86" r="O217"/>
      <c s="86" r="P217"/>
      <c s="86" r="Q217"/>
    </row>
    <row r="218">
      <c t="s" s="86" r="A218">
        <v>1593</v>
      </c>
      <c t="s" s="86" r="B218">
        <v>1593</v>
      </c>
      <c t="s" s="8" r="C218">
        <v>1594</v>
      </c>
      <c t="s" s="95" r="D218">
        <v>1595</v>
      </c>
      <c t="s" s="86" r="E218">
        <v>1596</v>
      </c>
      <c t="s" s="86" r="F218">
        <v>1597</v>
      </c>
      <c s="86" r="G218"/>
      <c s="7" r="H218">
        <f>COUNTIF(PROJECT!F2:F100, "*SSD*")</f>
        <v>0</v>
      </c>
      <c s="86" r="I218"/>
      <c s="86" r="J218"/>
      <c s="86" r="K218"/>
      <c s="86" r="L218"/>
      <c s="86" r="M218"/>
      <c s="86" r="N218"/>
      <c s="86" r="O218"/>
      <c s="86" r="P218"/>
      <c s="86" r="Q218"/>
    </row>
    <row r="219">
      <c t="s" s="86" r="A219">
        <v>1598</v>
      </c>
      <c t="s" s="86" r="B219">
        <v>1598</v>
      </c>
      <c t="s" s="8" r="C219">
        <v>1599</v>
      </c>
      <c t="s" s="95" r="D219">
        <v>1600</v>
      </c>
      <c t="s" s="26" r="E219">
        <v>1601</v>
      </c>
      <c t="s" s="86" r="F219">
        <v>964</v>
      </c>
      <c s="86" r="G219"/>
      <c s="7" r="H219">
        <f>COUNTIF(PROJECT!F2:F100, "*ESP*")</f>
        <v>0</v>
      </c>
      <c s="86" r="I219"/>
      <c s="86" r="J219"/>
      <c s="86" r="K219"/>
      <c s="86" r="L219"/>
      <c s="86" r="M219"/>
      <c s="86" r="N219"/>
      <c s="86" r="O219"/>
      <c s="86" r="P219"/>
      <c s="86" r="Q219"/>
    </row>
    <row r="220">
      <c t="s" s="86" r="A220">
        <v>1602</v>
      </c>
      <c t="s" s="86" r="B220">
        <v>1602</v>
      </c>
      <c t="s" s="40" r="C220">
        <v>1460</v>
      </c>
      <c s="102" r="D220"/>
      <c s="102" r="E220"/>
      <c t="s" s="86" r="F220">
        <v>1603</v>
      </c>
      <c s="86" r="G220"/>
      <c s="59" r="H220"/>
      <c s="86" r="I220"/>
      <c s="86" r="J220"/>
      <c s="86" r="K220"/>
      <c s="86" r="L220"/>
      <c s="86" r="M220"/>
      <c s="86" r="N220"/>
      <c s="86" r="O220"/>
      <c s="86" r="P220"/>
      <c s="86" r="Q220"/>
    </row>
    <row r="221">
      <c t="s" s="86" r="A221">
        <v>153</v>
      </c>
      <c t="s" s="86" r="B221">
        <v>153</v>
      </c>
      <c t="s" s="8" r="C221">
        <v>1604</v>
      </c>
      <c t="s" s="95" r="D221">
        <v>1605</v>
      </c>
      <c t="s" s="26" r="E221">
        <v>1606</v>
      </c>
      <c t="s" s="86" r="F221">
        <v>1607</v>
      </c>
      <c s="86" r="G221"/>
      <c s="7" r="H221">
        <f>COUNTIF(PROJECT!F2:F100, "*LKA*")</f>
        <v>0</v>
      </c>
      <c s="86" r="I221"/>
      <c s="86" r="J221"/>
      <c s="86" r="K221"/>
      <c s="86" r="L221"/>
      <c s="86" r="M221"/>
      <c s="86" r="N221"/>
      <c s="86" r="O221"/>
      <c s="86" r="P221"/>
      <c s="86" r="Q221"/>
    </row>
    <row r="222">
      <c t="s" s="26" r="A222">
        <v>1608</v>
      </c>
      <c t="s" s="26" r="B222">
        <v>1609</v>
      </c>
      <c t="s" s="8" r="C222">
        <v>1610</v>
      </c>
      <c t="s" s="82" r="D222">
        <v>1611</v>
      </c>
      <c t="s" s="26" r="E222">
        <v>1612</v>
      </c>
      <c t="s" s="26" r="F222">
        <v>1610</v>
      </c>
      <c s="26" r="G222"/>
      <c s="63" r="H222">
        <f>COUNTIF(PROJECT!F2:F100, "*SHN*")</f>
        <v>0</v>
      </c>
      <c s="26" r="I222"/>
      <c s="26" r="J222"/>
      <c s="26" r="K222"/>
      <c s="26" r="L222"/>
      <c s="26" r="M222"/>
      <c s="26" r="N222"/>
      <c s="26" r="O222"/>
      <c s="26" r="P222"/>
      <c s="26" r="Q222"/>
    </row>
    <row r="223">
      <c t="s" s="26" r="A223">
        <v>1613</v>
      </c>
      <c t="s" s="26" r="B223">
        <v>1614</v>
      </c>
      <c t="s" s="8" r="C223">
        <v>1553</v>
      </c>
      <c t="s" s="82" r="D223">
        <v>1615</v>
      </c>
      <c t="s" s="26" r="E223">
        <v>1616</v>
      </c>
      <c t="s" s="26" r="F223">
        <v>1215</v>
      </c>
      <c s="26" r="G223"/>
      <c s="63" r="H223">
        <f>COUNTIF(PROJECT!F2:F100, "*KNA*")</f>
        <v>0</v>
      </c>
      <c s="26" r="I223"/>
      <c s="26" r="J223"/>
      <c s="26" r="K223"/>
      <c s="26" r="L223"/>
      <c s="26" r="M223"/>
      <c s="26" r="N223"/>
      <c s="26" r="O223"/>
      <c s="26" r="P223"/>
      <c s="26" r="Q223"/>
    </row>
    <row r="224">
      <c t="s" s="26" r="A224">
        <v>1617</v>
      </c>
      <c t="s" s="26" r="B224">
        <v>1618</v>
      </c>
      <c t="s" s="8" r="C224">
        <v>1535</v>
      </c>
      <c t="s" s="82" r="D224">
        <v>1619</v>
      </c>
      <c t="s" s="26" r="E224">
        <v>1620</v>
      </c>
      <c t="s" s="26" r="F224">
        <v>1621</v>
      </c>
      <c s="26" r="G224"/>
      <c s="63" r="H224">
        <f>COUNTIF(PROJECT!F2:F100, "*LCA*")</f>
        <v>0</v>
      </c>
      <c s="26" r="I224"/>
      <c s="26" r="J224"/>
      <c s="26" r="K224"/>
      <c s="26" r="L224"/>
      <c s="26" r="M224"/>
      <c s="26" r="N224"/>
      <c s="26" r="O224"/>
      <c s="26" r="P224"/>
      <c s="26" r="Q224"/>
    </row>
    <row r="225">
      <c t="s" s="26" r="A225">
        <v>1622</v>
      </c>
      <c t="s" s="26" r="B225">
        <v>1623</v>
      </c>
      <c t="s" s="8" r="C225">
        <v>1580</v>
      </c>
      <c t="s" s="82" r="D225">
        <v>1624</v>
      </c>
      <c t="s" s="26" r="E225">
        <v>1625</v>
      </c>
      <c t="s" s="26" r="F225">
        <v>1452</v>
      </c>
      <c s="26" r="G225"/>
      <c s="63" r="H225">
        <f>COUNTIF(PROJECT!F2:F100, "*SPM*")</f>
        <v>0</v>
      </c>
      <c s="26" r="I225"/>
      <c s="26" r="J225"/>
      <c s="26" r="K225"/>
      <c s="26" r="L225"/>
      <c s="26" r="M225"/>
      <c s="26" r="N225"/>
      <c s="26" r="O225"/>
      <c s="26" r="P225"/>
      <c s="26" r="Q225"/>
    </row>
    <row r="226">
      <c t="s" s="26" r="A226">
        <v>1626</v>
      </c>
      <c t="s" s="26" r="B226">
        <v>1627</v>
      </c>
      <c t="s" s="8" r="C226">
        <v>1628</v>
      </c>
      <c t="s" s="82" r="D226">
        <v>1629</v>
      </c>
      <c t="s" s="26" r="E226">
        <v>1630</v>
      </c>
      <c t="s" s="26" r="F226">
        <v>1628</v>
      </c>
      <c s="26" r="G226"/>
      <c s="63" r="H226">
        <f>COUNTIF(PROJECT!F2:F100, "*VCT*")</f>
        <v>0</v>
      </c>
      <c s="26" r="I226"/>
      <c s="26" r="J226"/>
      <c s="26" r="K226"/>
      <c s="26" r="L226"/>
      <c s="26" r="M226"/>
      <c s="26" r="N226"/>
      <c s="26" r="O226"/>
      <c s="26" r="P226"/>
      <c s="26" r="Q226"/>
    </row>
    <row r="227">
      <c t="s" s="86" r="A227">
        <v>1631</v>
      </c>
      <c t="s" s="86" r="B227">
        <v>1631</v>
      </c>
      <c t="s" s="40" r="C227">
        <v>1632</v>
      </c>
      <c t="s" s="95" r="D227">
        <v>1633</v>
      </c>
      <c t="s" s="86" r="E227">
        <v>1634</v>
      </c>
      <c t="s" s="86" r="F227">
        <v>1635</v>
      </c>
      <c s="86" r="G227"/>
      <c s="7" r="H227">
        <f>COUNTIF(PROJECT!F2:F100, "*SDN*")</f>
        <v>0</v>
      </c>
      <c s="86" r="I227"/>
      <c s="86" r="J227"/>
      <c s="86" r="K227"/>
      <c s="86" r="L227"/>
      <c s="86" r="M227"/>
      <c s="86" r="N227"/>
      <c s="86" r="O227"/>
      <c s="86" r="P227"/>
      <c s="86" r="Q227"/>
    </row>
    <row r="228">
      <c t="s" s="86" r="A228">
        <v>1636</v>
      </c>
      <c t="s" s="86" r="B228">
        <v>1636</v>
      </c>
      <c t="s" s="8" r="C228">
        <v>1637</v>
      </c>
      <c t="s" s="95" r="D228">
        <v>1638</v>
      </c>
      <c t="s" s="26" r="E228">
        <v>1639</v>
      </c>
      <c t="s" s="86" r="F228">
        <v>1546</v>
      </c>
      <c s="86" r="G228"/>
      <c s="7" r="H228">
        <f>COUNTIF(PROJECT!F2:F100, "*SUR*")</f>
        <v>0</v>
      </c>
      <c s="86" r="I228"/>
      <c s="86" r="J228"/>
      <c s="86" r="K228"/>
      <c s="86" r="L228"/>
      <c s="86" r="M228"/>
      <c s="86" r="N228"/>
      <c s="86" r="O228"/>
      <c s="86" r="P228"/>
      <c s="86" r="Q228"/>
    </row>
    <row r="229">
      <c t="s" s="26" r="A229">
        <v>1640</v>
      </c>
      <c t="s" s="26" r="B229">
        <v>1641</v>
      </c>
      <c t="s" s="8" r="C229">
        <v>967</v>
      </c>
      <c t="s" s="95" r="D229">
        <v>1171</v>
      </c>
      <c t="s" s="26" r="E229">
        <v>1172</v>
      </c>
      <c t="s" s="86" r="F229">
        <v>1173</v>
      </c>
      <c t="s" s="86" r="G229">
        <v>1642</v>
      </c>
      <c s="7" r="H229">
        <f>COUNTIF(PROJECT!F2:F100, "*SJM*")</f>
        <v>0</v>
      </c>
      <c s="86" r="I229"/>
      <c s="86" r="J229"/>
      <c s="86" r="K229"/>
      <c s="86" r="L229"/>
      <c s="86" r="M229"/>
      <c s="86" r="N229"/>
      <c s="86" r="O229"/>
      <c s="86" r="P229"/>
      <c s="86" r="Q229"/>
    </row>
    <row r="230">
      <c t="s" s="86" r="A230">
        <v>1643</v>
      </c>
      <c t="s" s="86" r="B230">
        <v>1643</v>
      </c>
      <c t="s" s="40" r="C230">
        <v>1644</v>
      </c>
      <c t="s" s="95" r="D230">
        <v>1645</v>
      </c>
      <c t="s" s="86" r="E230">
        <v>1646</v>
      </c>
      <c t="s" s="86" r="F230">
        <v>1647</v>
      </c>
      <c s="86" r="G230"/>
      <c s="7" r="H230">
        <f>COUNTIF(PROJECT!F2:F100, "*SWZ*")</f>
        <v>0</v>
      </c>
      <c s="86" r="I230"/>
      <c s="86" r="J230"/>
      <c s="86" r="K230"/>
      <c s="86" r="L230"/>
      <c s="86" r="M230"/>
      <c s="86" r="N230"/>
      <c s="86" r="O230"/>
      <c s="86" r="P230"/>
      <c s="86" r="Q230"/>
    </row>
    <row r="231">
      <c t="s" s="86" r="A231">
        <v>1648</v>
      </c>
      <c t="s" s="86" r="B231">
        <v>1648</v>
      </c>
      <c t="s" s="40" r="C231">
        <v>1649</v>
      </c>
      <c t="s" s="95" r="D231">
        <v>1650</v>
      </c>
      <c t="s" s="86" r="E231">
        <v>1651</v>
      </c>
      <c t="s" s="86" r="F231">
        <v>1550</v>
      </c>
      <c s="86" r="G231"/>
      <c s="7" r="H231">
        <f>COUNTIF(PROJECT!F2:F100, "*SWE*")</f>
        <v>0</v>
      </c>
      <c s="86" r="I231"/>
      <c s="86" r="J231"/>
      <c s="86" r="K231"/>
      <c s="86" r="L231"/>
      <c s="86" r="M231"/>
      <c s="86" r="N231"/>
      <c s="86" r="O231"/>
      <c s="86" r="P231"/>
      <c s="86" r="Q231"/>
    </row>
    <row r="232">
      <c t="s" s="26" r="A232">
        <v>1652</v>
      </c>
      <c t="s" s="86" r="B232">
        <v>1652</v>
      </c>
      <c t="s" s="8" r="C232">
        <v>1647</v>
      </c>
      <c t="s" s="95" r="D232">
        <v>1653</v>
      </c>
      <c t="s" s="26" r="E232">
        <v>1654</v>
      </c>
      <c t="s" s="86" r="F232">
        <v>870</v>
      </c>
      <c s="86" r="G232"/>
      <c s="7" r="H232">
        <f>COUNTIF(PROJECT!F2:F100, "*CHE*")</f>
        <v>0</v>
      </c>
      <c s="86" r="I232"/>
      <c s="86" r="J232"/>
      <c s="86" r="K232"/>
      <c s="86" r="L232"/>
      <c s="86" r="M232"/>
      <c s="86" r="N232"/>
      <c s="86" r="O232"/>
      <c s="86" r="P232"/>
      <c s="86" r="Q232"/>
    </row>
    <row r="233">
      <c t="s" s="26" r="A233">
        <v>177</v>
      </c>
      <c t="s" s="86" r="B233">
        <v>628</v>
      </c>
      <c t="s" s="40" r="C233">
        <v>1655</v>
      </c>
      <c t="s" s="95" r="D233">
        <v>1656</v>
      </c>
      <c t="s" s="86" r="E233">
        <v>629</v>
      </c>
      <c t="s" s="86" r="F233">
        <v>1655</v>
      </c>
      <c s="86" r="G233"/>
      <c s="7" r="H233">
        <f>COUNTIF(PROJECT!F2:F100, "*SYR*")</f>
        <v>1</v>
      </c>
      <c s="86" r="I233"/>
      <c s="86" r="J233"/>
      <c s="86" r="K233"/>
      <c s="86" r="L233"/>
      <c s="86" r="M233"/>
      <c s="86" r="N233"/>
      <c s="86" r="O233"/>
      <c s="86" r="P233"/>
      <c s="86" r="Q233"/>
    </row>
    <row r="234">
      <c t="s" s="26" r="A234">
        <v>1657</v>
      </c>
      <c t="s" s="86" r="B234">
        <v>1658</v>
      </c>
      <c t="s" s="40" r="C234">
        <v>1659</v>
      </c>
      <c t="s" s="95" r="D234">
        <v>1660</v>
      </c>
      <c t="s" s="86" r="E234">
        <v>1661</v>
      </c>
      <c t="s" s="86" r="F234">
        <v>1659</v>
      </c>
      <c s="86" r="G234"/>
      <c s="7" r="H234">
        <f>COUNTIF(PROJECT!F2:F100, "*TWN*")</f>
        <v>0</v>
      </c>
      <c s="86" r="I234"/>
      <c s="86" r="J234"/>
      <c s="86" r="K234"/>
      <c s="86" r="L234"/>
      <c s="86" r="M234"/>
      <c s="86" r="N234"/>
      <c s="86" r="O234"/>
      <c s="86" r="P234"/>
      <c s="86" r="Q234"/>
    </row>
    <row r="235">
      <c t="s" s="26" r="A235">
        <v>83</v>
      </c>
      <c t="s" s="86" r="B235">
        <v>83</v>
      </c>
      <c t="s" s="40" r="C235">
        <v>1662</v>
      </c>
      <c t="s" s="95" r="D235">
        <v>1663</v>
      </c>
      <c t="s" s="86" r="E235">
        <v>1664</v>
      </c>
      <c t="s" s="86" r="F235">
        <v>1665</v>
      </c>
      <c s="86" r="G235"/>
      <c s="7" r="H235">
        <f>COUNTIF(PROJECT!F2:F100, "*TJK*")</f>
        <v>1</v>
      </c>
      <c s="86" r="I235"/>
      <c s="86" r="J235"/>
      <c s="86" r="K235"/>
      <c s="86" r="L235"/>
      <c s="86" r="M235"/>
      <c s="86" r="N235"/>
      <c s="86" r="O235"/>
      <c s="86" r="P235"/>
      <c s="86" r="Q235"/>
    </row>
    <row r="236">
      <c t="s" s="26" r="A236">
        <v>1666</v>
      </c>
      <c t="s" s="86" r="B236">
        <v>1667</v>
      </c>
      <c t="s" s="40" r="C236">
        <v>1668</v>
      </c>
      <c t="s" s="95" r="D236">
        <v>1669</v>
      </c>
      <c t="s" s="86" r="E236">
        <v>1670</v>
      </c>
      <c t="s" s="86" r="F236">
        <v>1668</v>
      </c>
      <c s="86" r="G236"/>
      <c s="7" r="H236">
        <f>COUNTIF(PROJECT!F2:F100, "*TZA*")</f>
        <v>0</v>
      </c>
      <c s="86" r="I236"/>
      <c s="86" r="J236"/>
      <c s="86" r="K236"/>
      <c s="86" r="L236"/>
      <c s="86" r="M236"/>
      <c s="86" r="N236"/>
      <c s="86" r="O236"/>
      <c s="86" r="P236"/>
      <c s="86" r="Q236"/>
    </row>
    <row r="237">
      <c t="s" s="86" r="A237">
        <v>165</v>
      </c>
      <c t="s" s="86" r="B237">
        <v>165</v>
      </c>
      <c t="s" s="40" r="C237">
        <v>1671</v>
      </c>
      <c t="s" s="95" r="D237">
        <v>1672</v>
      </c>
      <c t="s" s="86" r="E237">
        <v>1673</v>
      </c>
      <c t="s" s="86" r="F237">
        <v>1671</v>
      </c>
      <c s="86" r="G237"/>
      <c s="7" r="H237">
        <f>COUNTIF(PROJECT!F2:F100, "*THA*")</f>
        <v>2</v>
      </c>
      <c s="86" r="I237"/>
      <c s="86" r="J237"/>
      <c s="86" r="K237"/>
      <c s="86" r="L237"/>
      <c s="86" r="M237"/>
      <c s="86" r="N237"/>
      <c s="86" r="O237"/>
      <c s="86" r="P237"/>
      <c s="86" r="Q237"/>
    </row>
    <row r="238">
      <c t="s" s="86" r="A238">
        <v>1674</v>
      </c>
      <c t="s" s="86" r="B238">
        <v>1675</v>
      </c>
      <c t="s" s="40" r="C238">
        <v>828</v>
      </c>
      <c t="s" s="95" r="D238">
        <v>1676</v>
      </c>
      <c t="s" s="86" r="E238">
        <v>1677</v>
      </c>
      <c t="s" s="86" r="F238">
        <v>1678</v>
      </c>
      <c s="86" r="G238"/>
      <c s="7" r="H238">
        <f>COUNTIF(PROJECT!F2:F100, "*BHS*")</f>
        <v>0</v>
      </c>
      <c s="86" r="I238"/>
      <c s="86" r="J238"/>
      <c s="86" r="K238"/>
      <c s="86" r="L238"/>
      <c s="86" r="M238"/>
      <c s="86" r="N238"/>
      <c s="86" r="O238"/>
      <c s="86" r="P238"/>
      <c s="86" r="Q238"/>
    </row>
    <row r="239">
      <c t="s" s="86" r="A239">
        <v>1679</v>
      </c>
      <c t="s" s="86" r="B239">
        <v>1680</v>
      </c>
      <c t="s" s="40" r="C239">
        <v>1681</v>
      </c>
      <c t="s" s="95" r="D239">
        <v>1682</v>
      </c>
      <c t="s" s="86" r="E239">
        <v>1683</v>
      </c>
      <c t="s" s="86" r="F239">
        <v>1684</v>
      </c>
      <c s="86" r="G239"/>
      <c s="7" r="H239">
        <f>COUNTIF(PROJECT!F2:F100, "*TLS*")</f>
        <v>0</v>
      </c>
      <c s="86" r="I239"/>
      <c s="86" r="J239"/>
      <c s="86" r="K239"/>
      <c s="86" r="L239"/>
      <c s="86" r="M239"/>
      <c s="86" r="N239"/>
      <c s="86" r="O239"/>
      <c s="86" r="P239"/>
      <c s="86" r="Q239"/>
    </row>
    <row r="240">
      <c t="s" s="86" r="A240">
        <v>1685</v>
      </c>
      <c t="s" s="86" r="B240">
        <v>1685</v>
      </c>
      <c t="s" s="40" r="C240">
        <v>1686</v>
      </c>
      <c t="s" s="95" r="D240">
        <v>1687</v>
      </c>
      <c t="s" s="86" r="E240">
        <v>1688</v>
      </c>
      <c t="s" s="86" r="F240">
        <v>1689</v>
      </c>
      <c s="86" r="G240"/>
      <c s="7" r="H240">
        <f>COUNTIF(PROJECT!F2:F100, "*TGO*")</f>
        <v>0</v>
      </c>
      <c s="86" r="I240"/>
      <c s="86" r="J240"/>
      <c s="86" r="K240"/>
      <c s="86" r="L240"/>
      <c s="86" r="M240"/>
      <c s="86" r="N240"/>
      <c s="86" r="O240"/>
      <c s="86" r="P240"/>
      <c s="86" r="Q240"/>
    </row>
    <row r="241">
      <c t="s" s="86" r="A241">
        <v>1690</v>
      </c>
      <c t="s" s="86" r="B241">
        <v>1690</v>
      </c>
      <c t="s" s="40" r="C241">
        <v>1684</v>
      </c>
      <c t="s" s="95" r="D241">
        <v>1691</v>
      </c>
      <c t="s" s="86" r="E241">
        <v>1692</v>
      </c>
      <c t="s" s="86" r="F241">
        <v>1693</v>
      </c>
      <c s="86" r="G241"/>
      <c s="7" r="H241">
        <f>COUNTIF(PROJECT!F2:F100, "*TKL*")</f>
        <v>0</v>
      </c>
      <c s="86" r="I241"/>
      <c s="86" r="J241"/>
      <c s="86" r="K241"/>
      <c s="86" r="L241"/>
      <c s="86" r="M241"/>
      <c s="86" r="N241"/>
      <c s="86" r="O241"/>
      <c s="86" r="P241"/>
      <c s="86" r="Q241"/>
    </row>
    <row r="242">
      <c t="s" s="86" r="A242">
        <v>1694</v>
      </c>
      <c t="s" s="86" r="B242">
        <v>1694</v>
      </c>
      <c t="s" s="40" r="C242">
        <v>1695</v>
      </c>
      <c t="s" s="95" r="D242">
        <v>1696</v>
      </c>
      <c t="s" s="86" r="E242">
        <v>1697</v>
      </c>
      <c t="s" s="86" r="F242">
        <v>1686</v>
      </c>
      <c s="86" r="G242"/>
      <c s="7" r="H242">
        <f>COUNTIF(PROJECT!F2:F100, "*TON*")</f>
        <v>0</v>
      </c>
      <c s="86" r="I242"/>
      <c s="86" r="J242"/>
      <c s="86" r="K242"/>
      <c s="86" r="L242"/>
      <c s="86" r="M242"/>
      <c s="86" r="N242"/>
      <c s="86" r="O242"/>
      <c s="86" r="P242"/>
      <c s="86" r="Q242"/>
    </row>
    <row r="243">
      <c t="s" s="86" r="A243">
        <v>1698</v>
      </c>
      <c t="s" s="86" r="B243">
        <v>1699</v>
      </c>
      <c t="s" s="40" r="C243">
        <v>864</v>
      </c>
      <c t="s" s="95" r="D243">
        <v>1700</v>
      </c>
      <c t="s" s="86" r="E243">
        <v>1701</v>
      </c>
      <c t="s" s="86" r="F243">
        <v>1681</v>
      </c>
      <c s="86" r="G243"/>
      <c s="7" r="H243">
        <f>COUNTIF(PROJECT!F2:F100, "*TTO*")</f>
        <v>0</v>
      </c>
      <c s="86" r="I243"/>
      <c s="86" r="J243"/>
      <c s="86" r="K243"/>
      <c s="86" r="L243"/>
      <c s="86" r="M243"/>
      <c s="86" r="N243"/>
      <c s="86" r="O243"/>
      <c s="86" r="P243"/>
      <c s="86" r="Q243"/>
    </row>
    <row r="244">
      <c t="s" s="86" r="A244">
        <v>1702</v>
      </c>
      <c t="s" s="86" r="B244">
        <v>1702</v>
      </c>
      <c t="s" s="40" r="C244">
        <v>1703</v>
      </c>
      <c t="s" s="95" r="D244">
        <v>1704</v>
      </c>
      <c t="s" s="86" r="E244">
        <v>1705</v>
      </c>
      <c t="s" s="86" r="F244">
        <v>1695</v>
      </c>
      <c s="86" r="G244"/>
      <c s="7" r="H244">
        <f>COUNTIF(PROJECT!F2:F100, "*TUN*")</f>
        <v>0</v>
      </c>
      <c s="86" r="I244"/>
      <c s="86" r="J244"/>
      <c s="86" r="K244"/>
      <c s="86" r="L244"/>
      <c s="86" r="M244"/>
      <c s="86" r="N244"/>
      <c s="86" r="O244"/>
      <c s="86" r="P244"/>
      <c s="86" r="Q244"/>
    </row>
    <row r="245">
      <c t="s" s="86" r="A245">
        <v>1706</v>
      </c>
      <c t="s" s="86" r="B245">
        <v>1706</v>
      </c>
      <c t="s" s="40" r="C245">
        <v>1707</v>
      </c>
      <c t="s" s="95" r="D245">
        <v>1708</v>
      </c>
      <c t="s" s="86" r="E245">
        <v>1709</v>
      </c>
      <c t="s" s="86" r="F245">
        <v>1710</v>
      </c>
      <c s="86" r="G245"/>
      <c s="7" r="H245">
        <f>COUNTIF(PROJECT!F2:F100, "*TUR*")</f>
        <v>0</v>
      </c>
      <c s="86" r="I245"/>
      <c s="86" r="J245"/>
      <c s="86" r="K245"/>
      <c s="86" r="L245"/>
      <c s="86" r="M245"/>
      <c s="86" r="N245"/>
      <c s="86" r="O245"/>
      <c s="86" r="P245"/>
      <c s="86" r="Q245"/>
    </row>
    <row r="246">
      <c t="s" s="86" r="A246">
        <v>1711</v>
      </c>
      <c t="s" s="86" r="B246">
        <v>1711</v>
      </c>
      <c t="s" s="40" r="C246">
        <v>1712</v>
      </c>
      <c t="s" s="95" r="D246">
        <v>1713</v>
      </c>
      <c t="s" s="86" r="E246">
        <v>1714</v>
      </c>
      <c t="s" s="86" r="F246">
        <v>1715</v>
      </c>
      <c s="86" r="G246"/>
      <c s="7" r="H246">
        <f>COUNTIF(PROJECT!F2:F100, "*TKM*")</f>
        <v>0</v>
      </c>
      <c s="86" r="I246"/>
      <c s="86" r="J246"/>
      <c s="86" r="K246"/>
      <c s="86" r="L246"/>
      <c s="86" r="M246"/>
      <c s="86" r="N246"/>
      <c s="86" r="O246"/>
      <c s="86" r="P246"/>
      <c s="86" r="Q246"/>
    </row>
    <row r="247">
      <c t="s" s="86" r="A247">
        <v>1716</v>
      </c>
      <c t="s" s="86" r="B247">
        <v>1717</v>
      </c>
      <c t="s" s="40" r="C247">
        <v>1693</v>
      </c>
      <c t="s" s="95" r="D247">
        <v>1718</v>
      </c>
      <c t="s" s="86" r="E247">
        <v>1719</v>
      </c>
      <c t="s" s="86" r="F247">
        <v>1720</v>
      </c>
      <c s="86" r="G247"/>
      <c s="7" r="H247">
        <f>COUNTIF(PROJECT!F2:F100, "*TCA*")</f>
        <v>0</v>
      </c>
      <c s="86" r="I247"/>
      <c s="86" r="J247"/>
      <c s="86" r="K247"/>
      <c s="86" r="L247"/>
      <c s="86" r="M247"/>
      <c s="86" r="N247"/>
      <c s="86" r="O247"/>
      <c s="86" r="P247"/>
      <c s="86" r="Q247"/>
    </row>
    <row r="248">
      <c t="s" s="86" r="A248">
        <v>1721</v>
      </c>
      <c t="s" s="86" r="B248">
        <v>1721</v>
      </c>
      <c t="s" s="40" r="C248">
        <v>1722</v>
      </c>
      <c t="s" s="95" r="D248">
        <v>1723</v>
      </c>
      <c t="s" s="86" r="E248">
        <v>1724</v>
      </c>
      <c t="s" s="86" r="F248">
        <v>1722</v>
      </c>
      <c s="86" r="G248"/>
      <c s="7" r="H248">
        <f>COUNTIF(PROJECT!F2:F100, "*TUV*")</f>
        <v>0</v>
      </c>
      <c s="86" r="I248"/>
      <c s="86" r="J248"/>
      <c s="86" r="K248"/>
      <c s="86" r="L248"/>
      <c s="86" r="M248"/>
      <c s="86" r="N248"/>
      <c s="86" r="O248"/>
      <c s="86" r="P248"/>
      <c s="86" r="Q248"/>
    </row>
    <row r="249">
      <c t="s" s="86" r="A249">
        <v>123</v>
      </c>
      <c t="s" s="86" r="B249">
        <v>123</v>
      </c>
      <c t="s" s="40" r="C249">
        <v>1725</v>
      </c>
      <c t="s" s="95" r="D249">
        <v>1726</v>
      </c>
      <c t="s" s="86" r="E249">
        <v>1727</v>
      </c>
      <c t="s" s="86" r="F249">
        <v>1725</v>
      </c>
      <c s="86" r="G249"/>
      <c s="7" r="H249">
        <f>COUNTIF(PROJECT!F2:F100, "*UGA*")</f>
        <v>1</v>
      </c>
      <c s="86" r="I249"/>
      <c s="86" r="J249"/>
      <c s="86" r="K249"/>
      <c s="86" r="L249"/>
      <c s="86" r="M249"/>
      <c s="86" r="N249"/>
      <c s="86" r="O249"/>
      <c s="86" r="P249"/>
      <c s="86" r="Q249"/>
    </row>
    <row r="250">
      <c t="s" s="86" r="A250">
        <v>1728</v>
      </c>
      <c t="s" s="86" r="B250">
        <v>1728</v>
      </c>
      <c t="s" s="40" r="C250">
        <v>1729</v>
      </c>
      <c t="s" s="95" r="D250">
        <v>1730</v>
      </c>
      <c t="s" s="86" r="E250">
        <v>1731</v>
      </c>
      <c t="s" s="86" r="F250">
        <v>1732</v>
      </c>
      <c s="86" r="G250"/>
      <c s="7" r="H250">
        <f>COUNTIF(PROJECT!F2:F100, "*UKR*")</f>
        <v>0</v>
      </c>
      <c s="86" r="I250"/>
      <c s="86" r="J250"/>
      <c s="86" r="K250"/>
      <c s="86" r="L250"/>
      <c s="86" r="M250"/>
      <c s="86" r="N250"/>
      <c s="86" r="O250"/>
      <c s="86" r="P250"/>
      <c s="86" r="Q250"/>
    </row>
    <row r="251">
      <c t="s" s="86" r="A251">
        <v>1733</v>
      </c>
      <c t="s" s="86" r="B251">
        <v>1733</v>
      </c>
      <c t="s" s="40" r="C251">
        <v>1734</v>
      </c>
      <c t="s" s="95" r="D251">
        <v>1735</v>
      </c>
      <c t="s" s="86" r="E251">
        <v>1736</v>
      </c>
      <c t="s" s="86" r="F251">
        <v>1734</v>
      </c>
      <c s="86" r="G251"/>
      <c s="7" r="H251">
        <f>COUNTIF(PROJECT!F2:F100, "*ARE*")</f>
        <v>0</v>
      </c>
      <c s="86" r="I251"/>
      <c s="86" r="J251"/>
      <c s="86" r="K251"/>
      <c s="86" r="L251"/>
      <c s="86" r="M251"/>
      <c s="86" r="N251"/>
      <c s="86" r="O251"/>
      <c s="86" r="P251"/>
      <c s="86" r="Q251"/>
    </row>
    <row r="252">
      <c t="s" s="86" r="A252">
        <v>1737</v>
      </c>
      <c t="s" s="86" r="B252">
        <v>1737</v>
      </c>
      <c t="s" s="40" r="C252">
        <v>1738</v>
      </c>
      <c t="s" s="95" r="D252">
        <v>1739</v>
      </c>
      <c t="s" s="86" r="E252">
        <v>1740</v>
      </c>
      <c t="s" s="86" r="F252">
        <v>1026</v>
      </c>
      <c s="86" r="G252"/>
      <c s="7" r="H252">
        <f>COUNTIF(PROJECT!F2:F100, "*GBR*")</f>
        <v>0</v>
      </c>
      <c s="86" r="I252"/>
      <c s="86" r="J252"/>
      <c s="86" r="K252"/>
      <c s="86" r="L252"/>
      <c s="86" r="M252"/>
      <c s="86" r="N252"/>
      <c s="86" r="O252"/>
      <c s="86" r="P252"/>
      <c s="86" r="Q252"/>
    </row>
    <row r="253">
      <c t="s" s="86" r="A253">
        <v>1741</v>
      </c>
      <c t="s" s="86" r="B253">
        <v>1741</v>
      </c>
      <c t="s" s="40" r="C253">
        <v>1742</v>
      </c>
      <c t="s" s="95" r="D253">
        <v>1743</v>
      </c>
      <c t="s" s="86" r="E253">
        <v>376</v>
      </c>
      <c t="s" s="86" r="F253">
        <v>1742</v>
      </c>
      <c s="86" r="G253"/>
      <c s="7" r="H253">
        <f>COUNTIF(PROJECT!F2:F100, "*USA*")</f>
        <v>4</v>
      </c>
      <c s="86" r="I253"/>
      <c s="86" r="J253"/>
      <c s="86" r="K253"/>
      <c s="86" r="L253"/>
      <c s="86" r="M253"/>
      <c s="86" r="N253"/>
      <c s="86" r="O253"/>
      <c s="86" r="P253"/>
      <c s="86" r="Q253"/>
    </row>
    <row r="254">
      <c t="s" s="86" r="A254">
        <v>751</v>
      </c>
      <c t="s" s="86" r="B254">
        <v>751</v>
      </c>
      <c t="s" s="40" r="C254">
        <v>1744</v>
      </c>
      <c t="s" s="95" r="D254">
        <v>1745</v>
      </c>
      <c t="s" s="86" r="E254">
        <v>1746</v>
      </c>
      <c t="s" s="86" r="F254">
        <v>1744</v>
      </c>
      <c t="s" s="7" r="G254">
        <v>751</v>
      </c>
      <c s="7" r="H254">
        <f>COUNTIF(PROJECT!F2:F100, "*UMI*")</f>
        <v>0</v>
      </c>
      <c s="86" r="I254"/>
      <c s="86" r="J254"/>
      <c s="86" r="K254"/>
      <c s="86" r="L254"/>
      <c s="86" r="M254"/>
      <c s="86" r="N254"/>
      <c s="86" r="O254"/>
      <c s="86" r="P254"/>
      <c s="86" r="Q254"/>
    </row>
    <row r="255">
      <c t="s" s="86" r="A255">
        <v>1747</v>
      </c>
      <c t="s" s="86" r="B255">
        <v>1747</v>
      </c>
      <c t="s" s="40" r="C255">
        <v>1748</v>
      </c>
      <c t="s" s="95" r="D255">
        <v>1749</v>
      </c>
      <c t="s" s="86" r="E255">
        <v>1750</v>
      </c>
      <c t="s" s="86" r="F255">
        <v>1748</v>
      </c>
      <c s="86" r="G255"/>
      <c s="7" r="H255">
        <f>COUNTIF(PROJECT!F2:F100, "*URY*")</f>
        <v>0</v>
      </c>
      <c s="86" r="I255"/>
      <c s="86" r="J255"/>
      <c s="86" r="K255"/>
      <c s="86" r="L255"/>
      <c s="86" r="M255"/>
      <c s="86" r="N255"/>
      <c s="86" r="O255"/>
      <c s="86" r="P255"/>
      <c s="86" r="Q255"/>
    </row>
    <row r="256">
      <c t="s" s="86" r="A256">
        <v>89</v>
      </c>
      <c t="s" s="86" r="B256">
        <v>89</v>
      </c>
      <c t="s" s="40" r="C256">
        <v>1751</v>
      </c>
      <c t="s" s="95" r="D256">
        <v>1752</v>
      </c>
      <c t="s" s="86" r="E256">
        <v>1753</v>
      </c>
      <c t="s" s="86" r="F256">
        <v>1751</v>
      </c>
      <c s="86" r="G256"/>
      <c s="7" r="H256">
        <f>COUNTIF(PROJECT!F2:F100, "*UZB*")</f>
        <v>1</v>
      </c>
      <c s="86" r="I256"/>
      <c s="86" r="J256"/>
      <c s="86" r="K256"/>
      <c s="86" r="L256"/>
      <c s="86" r="M256"/>
      <c s="86" r="N256"/>
      <c s="86" r="O256"/>
      <c s="86" r="P256"/>
      <c s="86" r="Q256"/>
    </row>
    <row r="257">
      <c t="s" s="86" r="A257">
        <v>1754</v>
      </c>
      <c t="s" s="86" r="B257">
        <v>1754</v>
      </c>
      <c t="s" s="40" r="C257">
        <v>1755</v>
      </c>
      <c t="s" s="95" r="D257">
        <v>1756</v>
      </c>
      <c t="s" s="86" r="E257">
        <v>1757</v>
      </c>
      <c t="s" s="86" r="F257">
        <v>1758</v>
      </c>
      <c s="86" r="G257"/>
      <c s="7" r="H257">
        <f>COUNTIF(PROJECT!F2:F100, "*VUT*")</f>
        <v>0</v>
      </c>
      <c s="86" r="I257"/>
      <c s="86" r="J257"/>
      <c s="86" r="K257"/>
      <c s="86" r="L257"/>
      <c s="86" r="M257"/>
      <c s="86" r="N257"/>
      <c s="86" r="O257"/>
      <c s="86" r="P257"/>
      <c s="86" r="Q257"/>
    </row>
    <row r="258">
      <c t="s" s="86" r="A258">
        <v>1759</v>
      </c>
      <c t="s" s="86" r="B258">
        <v>1760</v>
      </c>
      <c t="s" s="40" r="C258">
        <v>1761</v>
      </c>
      <c t="s" s="95" r="D258">
        <v>1762</v>
      </c>
      <c t="s" s="86" r="E258">
        <v>1763</v>
      </c>
      <c t="s" s="86" r="F258">
        <v>1764</v>
      </c>
      <c s="86" r="G258"/>
      <c s="7" r="H258">
        <f>COUNTIF(PROJECT!F2:F100, "*VAT*")</f>
        <v>0</v>
      </c>
      <c s="86" r="I258"/>
      <c s="86" r="J258"/>
      <c s="86" r="K258"/>
      <c s="86" r="L258"/>
      <c s="86" r="M258"/>
      <c s="86" r="N258"/>
      <c s="86" r="O258"/>
      <c s="86" r="P258"/>
      <c s="86" r="Q258"/>
    </row>
    <row r="259">
      <c t="s" s="26" r="A259">
        <v>1765</v>
      </c>
      <c t="s" s="86" r="B259">
        <v>1766</v>
      </c>
      <c t="s" s="40" r="C259">
        <v>1767</v>
      </c>
      <c t="s" s="95" r="D259">
        <v>1768</v>
      </c>
      <c t="s" s="86" r="E259">
        <v>1769</v>
      </c>
      <c t="s" s="86" r="F259">
        <v>1767</v>
      </c>
      <c s="86" r="G259"/>
      <c s="7" r="H259">
        <f>COUNTIF(PROJECT!F2:F100, "*VEN*")</f>
        <v>0</v>
      </c>
      <c s="86" r="I259"/>
      <c s="86" r="J259"/>
      <c s="86" r="K259"/>
      <c s="86" r="L259"/>
      <c s="86" r="M259"/>
      <c s="86" r="N259"/>
      <c s="86" r="O259"/>
      <c s="86" r="P259"/>
      <c s="86" r="Q259"/>
    </row>
    <row r="260">
      <c t="s" s="86" r="A260">
        <v>1770</v>
      </c>
      <c t="s" s="86" r="B260">
        <v>1771</v>
      </c>
      <c t="s" s="40" r="C260">
        <v>1772</v>
      </c>
      <c t="s" s="95" r="D260">
        <v>1773</v>
      </c>
      <c t="s" s="86" r="E260">
        <v>1774</v>
      </c>
      <c t="s" s="86" r="F260">
        <v>1775</v>
      </c>
      <c s="86" r="G260"/>
      <c s="7" r="H260">
        <f>COUNTIF(PROJECT!F2:F100, "*VNM*")</f>
        <v>0</v>
      </c>
      <c s="86" r="I260"/>
      <c s="86" r="J260"/>
      <c s="86" r="K260"/>
      <c s="86" r="L260"/>
      <c s="86" r="M260"/>
      <c s="86" r="N260"/>
      <c s="86" r="O260"/>
      <c s="86" r="P260"/>
      <c s="86" r="Q260"/>
    </row>
    <row r="261">
      <c t="s" s="26" r="A261">
        <v>1776</v>
      </c>
      <c t="s" s="26" r="B261">
        <v>1776</v>
      </c>
      <c t="s" s="40" r="C261">
        <v>1777</v>
      </c>
      <c t="s" s="95" r="D261">
        <v>1778</v>
      </c>
      <c t="s" s="86" r="E261">
        <v>1779</v>
      </c>
      <c t="s" s="86" r="F261">
        <v>1780</v>
      </c>
      <c s="86" r="G261"/>
      <c s="7" r="H261">
        <f>COUNTIF(PROJECT!F2:F100, "*VBG*")</f>
        <v>0</v>
      </c>
      <c s="86" r="I261"/>
      <c s="86" r="J261"/>
      <c s="86" r="K261"/>
      <c s="86" r="L261"/>
      <c s="86" r="M261"/>
      <c s="86" r="N261"/>
      <c s="86" r="O261"/>
      <c s="86" r="P261"/>
      <c s="86" r="Q261"/>
    </row>
    <row r="262">
      <c t="s" s="26" r="A262">
        <v>1781</v>
      </c>
      <c t="s" s="26" r="B262">
        <v>1781</v>
      </c>
      <c t="s" s="40" r="C262">
        <v>1782</v>
      </c>
      <c t="s" s="95" r="D262">
        <v>1783</v>
      </c>
      <c t="s" s="86" r="E262">
        <v>1784</v>
      </c>
      <c t="s" s="86" r="F262">
        <v>1777</v>
      </c>
      <c s="86" r="G262"/>
      <c s="7" r="H262">
        <f>COUNTIF(PROJECT!F2:F100, "*VIR*")</f>
        <v>0</v>
      </c>
      <c s="86" r="I262"/>
      <c s="86" r="J262"/>
      <c s="86" r="K262"/>
      <c s="86" r="L262"/>
      <c s="86" r="M262"/>
      <c s="86" r="N262"/>
      <c s="86" r="O262"/>
      <c s="86" r="P262"/>
      <c s="86" r="Q262"/>
    </row>
    <row r="263">
      <c t="s" s="86" r="A263">
        <v>1785</v>
      </c>
      <c t="s" s="86" r="B263">
        <v>1786</v>
      </c>
      <c t="s" s="40" r="C263">
        <v>1787</v>
      </c>
      <c t="s" s="82" r="D263">
        <v>1788</v>
      </c>
      <c s="102" r="E263"/>
      <c t="s" s="86" r="F263">
        <v>1789</v>
      </c>
      <c t="s" s="7" r="G263">
        <v>751</v>
      </c>
      <c s="59" r="H263"/>
      <c s="86" r="I263"/>
      <c s="86" r="J263"/>
      <c s="86" r="K263"/>
      <c s="86" r="L263"/>
      <c s="86" r="M263"/>
      <c s="86" r="N263"/>
      <c s="86" r="O263"/>
      <c s="86" r="P263"/>
      <c s="86" r="Q263"/>
    </row>
    <row r="264">
      <c t="s" s="86" r="A264">
        <v>1790</v>
      </c>
      <c t="s" s="86" r="B264">
        <v>1791</v>
      </c>
      <c t="s" s="40" r="C264">
        <v>1792</v>
      </c>
      <c t="s" s="95" r="D264">
        <v>1793</v>
      </c>
      <c t="s" s="86" r="E264">
        <v>1794</v>
      </c>
      <c t="s" s="86" r="F264">
        <v>1792</v>
      </c>
      <c s="86" r="G264"/>
      <c s="7" r="H264">
        <f>COUNTIF(PROJECT!F2:F100, "*WLF*")</f>
        <v>0</v>
      </c>
      <c s="86" r="I264"/>
      <c s="86" r="J264"/>
      <c s="86" r="K264"/>
      <c s="86" r="L264"/>
      <c s="86" r="M264"/>
      <c s="86" r="N264"/>
      <c s="86" r="O264"/>
      <c s="86" r="P264"/>
      <c s="86" r="Q264"/>
    </row>
    <row r="265">
      <c t="s" s="86" r="A265">
        <v>1795</v>
      </c>
      <c t="s" s="86" r="B265">
        <v>1795</v>
      </c>
      <c t="s" s="40" r="C265">
        <v>1796</v>
      </c>
      <c t="s" s="95" r="D265">
        <v>1445</v>
      </c>
      <c s="102" r="E265"/>
      <c s="86" r="F265"/>
      <c s="86" r="G265"/>
      <c s="59" r="H265">
        <f>COUNTIF(PROJECT!F2:F100,"*PSE*")</f>
        <v>0</v>
      </c>
      <c s="86" r="I265"/>
      <c s="86" r="J265"/>
      <c s="86" r="K265"/>
      <c s="86" r="L265"/>
      <c s="86" r="M265"/>
      <c s="86" r="N265"/>
      <c s="86" r="O265"/>
      <c s="86" r="P265"/>
      <c s="86" r="Q265"/>
    </row>
    <row r="266">
      <c t="s" s="86" r="A266">
        <v>1797</v>
      </c>
      <c t="s" s="86" r="B266">
        <v>1797</v>
      </c>
      <c t="s" s="8" r="C266">
        <v>1798</v>
      </c>
      <c t="s" s="95" r="D266">
        <v>1799</v>
      </c>
      <c t="s" s="26" r="E266">
        <v>1800</v>
      </c>
      <c t="s" s="86" r="F266">
        <v>1801</v>
      </c>
      <c s="86" r="G266"/>
      <c s="7" r="H266">
        <f>COUNTIF(PROJECT!F2:F100, "*ESH*")</f>
        <v>0</v>
      </c>
      <c s="86" r="I266"/>
      <c s="86" r="J266"/>
      <c s="86" r="K266"/>
      <c s="86" r="L266"/>
      <c s="86" r="M266"/>
      <c s="86" r="N266"/>
      <c s="86" r="O266"/>
      <c s="86" r="P266"/>
      <c s="86" r="Q266"/>
    </row>
    <row r="267">
      <c t="s" s="86" r="A267">
        <v>1802</v>
      </c>
      <c t="s" s="86" r="B267">
        <v>1802</v>
      </c>
      <c t="s" s="40" r="C267">
        <v>1803</v>
      </c>
      <c t="s" s="95" r="D267">
        <v>1804</v>
      </c>
      <c t="s" s="86" r="E267">
        <v>1805</v>
      </c>
      <c t="s" s="86" r="F267">
        <v>1806</v>
      </c>
      <c s="86" r="G267"/>
      <c s="7" r="H267">
        <f>COUNTIF(PROJECT!F2:F100, "*YEM*")</f>
        <v>0</v>
      </c>
      <c s="86" r="I267"/>
      <c s="86" r="J267"/>
      <c s="86" r="K267"/>
      <c s="86" r="L267"/>
      <c s="86" r="M267"/>
      <c s="86" r="N267"/>
      <c s="86" r="O267"/>
      <c s="86" r="P267"/>
      <c s="86" r="Q267"/>
    </row>
    <row r="268">
      <c t="s" s="86" r="A268">
        <v>1807</v>
      </c>
      <c t="s" s="86" r="B268">
        <v>1807</v>
      </c>
      <c t="s" s="40" r="C268">
        <v>1587</v>
      </c>
      <c t="s" s="95" r="D268">
        <v>1808</v>
      </c>
      <c t="s" s="86" r="E268">
        <v>1809</v>
      </c>
      <c t="s" s="86" r="F268">
        <v>1810</v>
      </c>
      <c s="86" r="G268"/>
      <c s="7" r="H268">
        <f>COUNTIF(PROJECT!F2:F100, "*ZMB*")</f>
        <v>0</v>
      </c>
      <c s="86" r="I268"/>
      <c s="86" r="J268"/>
      <c s="86" r="K268"/>
      <c s="86" r="L268"/>
      <c s="86" r="M268"/>
      <c s="86" r="N268"/>
      <c s="86" r="O268"/>
      <c s="86" r="P268"/>
      <c s="86" r="Q268"/>
    </row>
    <row r="269">
      <c t="s" s="86" r="A269">
        <v>1811</v>
      </c>
      <c t="s" s="86" r="B269">
        <v>1811</v>
      </c>
      <c t="s" s="40" r="C269">
        <v>1812</v>
      </c>
      <c t="s" s="95" r="D269">
        <v>1813</v>
      </c>
      <c t="s" s="86" r="E269">
        <v>1814</v>
      </c>
      <c t="s" s="86" r="F269">
        <v>1815</v>
      </c>
      <c s="86" r="G269"/>
      <c s="7" r="H269">
        <f>COUNTIF(PROJECT!F2:F100, "*ZWE*")</f>
        <v>0</v>
      </c>
      <c s="86" r="I269"/>
      <c s="86" r="J269"/>
      <c s="86" r="K269"/>
      <c s="86" r="L269"/>
      <c s="86" r="M269"/>
      <c s="86" r="N269"/>
      <c s="86" r="O269"/>
      <c s="86" r="P269"/>
      <c s="86" r="Q269"/>
    </row>
    <row r="270">
      <c s="86" r="A270"/>
      <c s="86" r="B270"/>
      <c s="40" r="C270"/>
      <c s="95" r="D270"/>
      <c s="86" r="E270"/>
      <c s="86" r="F270"/>
      <c s="86" r="G270"/>
      <c s="7" r="H270"/>
      <c s="86" r="I270"/>
      <c s="86" r="J270"/>
      <c s="86" r="K270"/>
      <c s="86" r="L270"/>
      <c s="86" r="M270"/>
      <c s="86" r="N270"/>
      <c s="86" r="O270"/>
      <c s="86" r="P270"/>
      <c s="86" r="Q270"/>
    </row>
    <row r="271">
      <c s="26" r="A271"/>
      <c s="86" r="B271"/>
      <c s="86" r="C271"/>
      <c s="95" r="D271"/>
      <c s="86" r="E271"/>
      <c s="86" r="F271"/>
      <c s="86" r="G271"/>
      <c s="15" r="H271"/>
      <c s="86" r="I271"/>
      <c s="86" r="J271"/>
      <c s="86" r="K271"/>
      <c s="86" r="L271"/>
      <c s="86" r="M271"/>
      <c s="86" r="N271"/>
      <c s="86" r="O271"/>
      <c s="86" r="P271"/>
      <c s="86" r="Q271"/>
    </row>
    <row r="272">
      <c s="26" r="A272"/>
      <c s="86" r="B272"/>
      <c s="86" r="C272"/>
      <c s="95" r="D272"/>
      <c s="86" r="E272"/>
      <c s="86" r="F272"/>
      <c s="86" r="G272"/>
      <c s="15" r="H272"/>
      <c s="86" r="I272"/>
      <c s="86" r="J272"/>
      <c s="86" r="K272"/>
      <c s="86" r="L272"/>
      <c s="86" r="M272"/>
      <c s="86" r="N272"/>
      <c s="86" r="O272"/>
      <c s="86" r="P272"/>
      <c s="86" r="Q272"/>
    </row>
    <row r="273">
      <c s="26" r="A273"/>
      <c s="86" r="B273"/>
      <c s="86" r="C273"/>
      <c s="95" r="D273"/>
      <c s="86" r="E273"/>
      <c s="86" r="F273"/>
      <c s="86" r="G273"/>
      <c s="15" r="H273"/>
      <c s="86" r="I273"/>
      <c s="86" r="J273"/>
      <c s="86" r="K273"/>
      <c s="86" r="L273"/>
      <c s="86" r="M273"/>
      <c s="86" r="N273"/>
      <c s="86" r="O273"/>
      <c s="86" r="P273"/>
      <c s="86" r="Q273"/>
    </row>
    <row r="274">
      <c s="26" r="A274"/>
      <c s="86" r="B274"/>
      <c s="86" r="C274"/>
      <c s="95" r="D274"/>
      <c s="86" r="E274"/>
      <c s="86" r="F274"/>
      <c s="86" r="G274"/>
      <c s="15" r="H274"/>
      <c s="86" r="I274"/>
      <c s="86" r="J274"/>
      <c s="86" r="K274"/>
      <c s="86" r="L274"/>
      <c s="86" r="M274"/>
      <c s="86" r="N274"/>
      <c s="86" r="O274"/>
      <c s="86" r="P274"/>
      <c s="86" r="Q274"/>
    </row>
    <row r="275">
      <c s="26" r="A275"/>
      <c s="86" r="B275"/>
      <c s="86" r="C275"/>
      <c s="95" r="D275"/>
      <c s="86" r="E275"/>
      <c s="86" r="F275"/>
      <c s="86" r="G275"/>
      <c s="15" r="H275"/>
      <c s="86" r="I275"/>
      <c s="86" r="J275"/>
      <c s="86" r="K275"/>
      <c s="86" r="L275"/>
      <c s="86" r="M275"/>
      <c s="86" r="N275"/>
      <c s="86" r="O275"/>
      <c s="86" r="P275"/>
      <c s="86" r="Q275"/>
    </row>
  </sheetData>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4" customWidth="1" max="4" width="32.43"/>
    <col min="5" customWidth="1" max="5" width="47.29"/>
    <col min="6" customWidth="1" max="6" width="3.43"/>
    <col min="7" customWidth="1" max="7" width="3.86"/>
  </cols>
  <sheetData>
    <row r="1">
      <c t="s" s="21" r="A1">
        <v>1816</v>
      </c>
      <c t="s" s="21" r="B1">
        <v>1817</v>
      </c>
      <c t="s" s="21" r="C1">
        <v>1818</v>
      </c>
      <c t="s" s="17" r="D1">
        <v>1819</v>
      </c>
      <c t="s" s="17" r="E1">
        <v>1820</v>
      </c>
      <c s="17" r="F1"/>
      <c s="17" r="G1"/>
      <c t="s" s="17" r="H1">
        <v>1821</v>
      </c>
      <c t="s" s="17" r="I1">
        <v>1822</v>
      </c>
      <c t="s" s="17" r="J1">
        <v>1823</v>
      </c>
      <c t="s" s="17" r="K1">
        <v>1824</v>
      </c>
      <c s="7" r="L1"/>
      <c s="7" r="M1"/>
      <c s="7" r="N1"/>
      <c s="7" r="O1"/>
      <c s="7" r="P1"/>
      <c s="7" r="Q1"/>
      <c s="7" r="R1"/>
      <c s="7" r="S1"/>
      <c s="7" r="T1"/>
    </row>
    <row r="2">
      <c t="s" s="7" r="A2">
        <v>78</v>
      </c>
      <c s="7" r="B2">
        <f>H2</f>
        <v>1</v>
      </c>
      <c s="7" r="C2">
        <f>J2</f>
        <v>0</v>
      </c>
      <c t="s" s="7" r="D2">
        <v>78</v>
      </c>
      <c t="s" s="7" r="E2">
        <v>79</v>
      </c>
      <c s="7" r="F2">
        <v>1</v>
      </c>
      <c s="7" r="G2">
        <v>1</v>
      </c>
      <c s="7" r="H2">
        <f>COUNTIF(EXPERTISE!E4:E50,"*Capacity-Building*")</f>
        <v>1</v>
      </c>
      <c s="7" r="I2">
        <f>COUNTIF(EXPERTISE!F4:F50,"*Client Relations, Network, and Partnership Development*")</f>
        <v>1</v>
      </c>
      <c s="7" r="J2">
        <f>COUNTIF(PROJECT!T2:T100,"*Capacity-Building*")</f>
        <v>0</v>
      </c>
      <c s="7" r="K2">
        <f>COUNTIF(PROJECT!U2:U100,"*Client Relations, Network, and Partnership Development*")</f>
        <v>0</v>
      </c>
      <c s="7" r="L2"/>
      <c s="7" r="M2"/>
      <c s="7" r="N2"/>
      <c s="7" r="O2"/>
      <c s="7" r="P2"/>
      <c s="7" r="Q2"/>
      <c s="7" r="R2"/>
      <c s="7" r="S2"/>
      <c s="7" r="T2"/>
    </row>
    <row r="3">
      <c t="s" s="7" r="A3">
        <v>85</v>
      </c>
      <c s="7" r="B3">
        <f>H4</f>
        <v>1</v>
      </c>
      <c s="7" r="C3">
        <f>J4</f>
        <v>4</v>
      </c>
      <c t="s" s="7" r="D3">
        <v>78</v>
      </c>
      <c t="s" s="7" r="E3">
        <v>1825</v>
      </c>
      <c s="7" r="F3">
        <v>0</v>
      </c>
      <c s="7" r="G3">
        <v>1</v>
      </c>
      <c t="s" s="7" r="H3">
        <v>1826</v>
      </c>
      <c s="7" r="I3">
        <f>COUNTIF(EXPERTISE!F4:F50,"*Skills-Sharings*")</f>
        <v>0</v>
      </c>
      <c t="s" s="7" r="J3">
        <v>1826</v>
      </c>
      <c s="7" r="K3">
        <f>COUNTIF(PROJECT!U2:U100,"*Skills-Sharings*")</f>
        <v>0</v>
      </c>
      <c s="7" r="L3"/>
      <c s="7" r="M3"/>
      <c s="7" r="N3"/>
      <c s="7" r="O3"/>
      <c s="7" r="P3"/>
      <c s="7" r="Q3"/>
      <c s="7" r="R3"/>
      <c s="7" r="S3"/>
      <c s="7" r="T3"/>
    </row>
    <row r="4">
      <c t="s" s="7" r="A4">
        <v>97</v>
      </c>
      <c s="7" r="B4">
        <f>H9</f>
        <v>1</v>
      </c>
      <c s="7" r="C4">
        <f>J9</f>
        <v>2</v>
      </c>
      <c t="s" s="7" r="D4">
        <v>85</v>
      </c>
      <c t="s" s="7" r="E4">
        <v>1827</v>
      </c>
      <c s="7" r="F4">
        <v>1</v>
      </c>
      <c s="7" r="G4">
        <v>1</v>
      </c>
      <c s="7" r="H4">
        <f>COUNTIF(EXPERTISE!E4:E50,"*Corporate Social Responsibility*")</f>
        <v>1</v>
      </c>
      <c s="7" r="I4">
        <f>COUNTIF(EXPERTISE!F4:F50,"*Civic Engagement*")</f>
        <v>0</v>
      </c>
      <c s="7" r="J4">
        <f>COUNTIF(PROJECT!T2:T100,"*Corporate Social Responsibility*")</f>
        <v>4</v>
      </c>
      <c s="7" r="K4">
        <f>COUNTIF(PROJECT!U2:U100,"*Civic Engagement*")</f>
        <v>0</v>
      </c>
      <c s="7" r="L4"/>
      <c s="7" r="M4"/>
      <c s="7" r="N4"/>
      <c s="7" r="O4"/>
      <c s="7" r="P4"/>
      <c s="7" r="Q4"/>
      <c s="7" r="R4"/>
      <c s="7" r="S4"/>
      <c s="7" r="T4"/>
    </row>
    <row r="5">
      <c t="s" s="7" r="A5">
        <v>114</v>
      </c>
      <c s="7" r="B5">
        <f>H20</f>
        <v>1</v>
      </c>
      <c s="7" r="C5">
        <f>J20</f>
        <v>5</v>
      </c>
      <c t="s" s="7" r="D5">
        <v>85</v>
      </c>
      <c t="s" s="7" r="E5">
        <v>86</v>
      </c>
      <c s="7" r="F5">
        <v>0</v>
      </c>
      <c s="7" r="G5">
        <v>1</v>
      </c>
      <c t="s" s="7" r="H5">
        <v>1826</v>
      </c>
      <c s="7" r="I5">
        <f>COUNTIF(EXPERTISE!F4:F50,"*Conflict Prevention and Post-Conflict Reconstruction*")</f>
        <v>1</v>
      </c>
      <c t="s" s="7" r="J5">
        <v>1826</v>
      </c>
      <c s="7" r="K5">
        <f>COUNTIF(PROJECT!U2:U100,"*Conflict Prevention and Post-Conflict Reconstruction*")</f>
        <v>1</v>
      </c>
      <c s="7" r="L5"/>
      <c s="7" r="M5"/>
      <c s="7" r="N5"/>
      <c s="7" r="O5"/>
      <c s="7" r="P5"/>
      <c s="7" r="Q5"/>
      <c s="7" r="R5"/>
      <c s="7" r="S5"/>
      <c s="7" r="T5"/>
    </row>
    <row r="6">
      <c t="s" s="7" r="A6">
        <v>144</v>
      </c>
      <c s="7" r="B6">
        <f>H30</f>
        <v>1</v>
      </c>
      <c s="7" r="C6">
        <f>J30</f>
        <v>0</v>
      </c>
      <c t="s" s="7" r="D6">
        <v>85</v>
      </c>
      <c t="s" s="7" r="E6">
        <v>1828</v>
      </c>
      <c s="7" r="F6">
        <v>0</v>
      </c>
      <c s="7" r="G6">
        <v>1</v>
      </c>
      <c t="s" s="7" r="H6">
        <v>1826</v>
      </c>
      <c s="7" r="I6">
        <f>COUNTIF(EXPERTISE!F4:F50,"*Gender Equity Initiatives -regional*")</f>
        <v>0</v>
      </c>
      <c t="s" s="7" r="J6">
        <v>1826</v>
      </c>
      <c s="7" r="K6">
        <f>COUNTIF(PROJECT!U2:U100,"*Gender Equity Initiatives -regional*")</f>
        <v>0</v>
      </c>
      <c s="7" r="L6"/>
      <c s="7" r="M6"/>
      <c s="7" r="N6"/>
      <c s="7" r="O6"/>
      <c s="7" r="P6"/>
      <c s="7" r="Q6"/>
      <c s="7" r="R6"/>
      <c s="7" r="S6"/>
      <c s="7" r="T6"/>
    </row>
    <row r="7">
      <c t="s" s="7" r="A7">
        <v>149</v>
      </c>
      <c s="7" r="B7">
        <f>H39</f>
        <v>1</v>
      </c>
      <c s="7" r="C7">
        <f>J39</f>
        <v>0</v>
      </c>
      <c t="s" s="7" r="D7">
        <v>85</v>
      </c>
      <c t="s" s="7" r="E7">
        <v>566</v>
      </c>
      <c s="7" r="F7">
        <v>0</v>
      </c>
      <c s="7" r="G7">
        <v>1</v>
      </c>
      <c t="s" s="7" r="H7">
        <v>1826</v>
      </c>
      <c s="7" r="I7">
        <f>COUNTIF(EXPERTISE!F4:F50,"*Social Development*")</f>
        <v>0</v>
      </c>
      <c t="s" s="7" r="J7">
        <v>1826</v>
      </c>
      <c s="7" r="K7">
        <f>COUNTIF(PROJECT!U2:U100,"*Social Development*")</f>
        <v>0</v>
      </c>
      <c s="7" r="L7"/>
      <c s="7" r="M7"/>
      <c s="7" r="N7"/>
      <c s="7" r="O7"/>
      <c s="7" r="P7"/>
      <c s="7" r="Q7"/>
      <c s="7" r="R7"/>
      <c s="7" r="S7"/>
      <c s="7" r="T7"/>
    </row>
    <row r="8">
      <c t="s" s="7" r="A8">
        <v>1829</v>
      </c>
      <c s="7" r="B8">
        <f>H63</f>
        <v>0</v>
      </c>
      <c s="7" r="C8">
        <f>J63</f>
        <v>0</v>
      </c>
      <c t="s" s="7" r="D8">
        <v>85</v>
      </c>
      <c t="s" s="7" r="E8">
        <v>91</v>
      </c>
      <c s="7" r="F8">
        <v>0</v>
      </c>
      <c s="7" r="G8">
        <v>1</v>
      </c>
      <c t="s" s="7" r="H8">
        <v>1826</v>
      </c>
      <c s="7" r="I8">
        <f>COUNTIF(EXPERTISE!F4:F50,"*Stakeholder Participation*")</f>
        <v>1</v>
      </c>
      <c t="s" s="7" r="J8">
        <v>1826</v>
      </c>
      <c s="7" r="K8">
        <f>COUNTIF(PROJECT!U2:U100,"*Stakeholder Participation*")</f>
        <v>3</v>
      </c>
      <c s="7" r="L8"/>
      <c s="7" r="M8"/>
      <c s="7" r="N8"/>
      <c s="7" r="O8"/>
      <c s="7" r="P8"/>
      <c s="7" r="Q8"/>
      <c s="7" r="R8"/>
      <c s="7" r="S8"/>
      <c s="7" r="T8"/>
    </row>
    <row r="9">
      <c t="s" s="7" r="A9">
        <v>134</v>
      </c>
      <c s="7" r="B9">
        <f>H75</f>
        <v>1</v>
      </c>
      <c s="7" r="C9">
        <f>J75</f>
        <v>7</v>
      </c>
      <c t="s" s="7" r="D9">
        <v>97</v>
      </c>
      <c t="s" s="7" r="E9">
        <v>1830</v>
      </c>
      <c s="7" r="F9">
        <v>1</v>
      </c>
      <c s="7" r="G9">
        <v>1</v>
      </c>
      <c s="7" r="H9">
        <f>COUNTIF(EXPERTISE!E4:E50,"*Economic Growth*")</f>
        <v>1</v>
      </c>
      <c s="7" r="I9">
        <f>COUNTIF(EXPERTISE!F4:F50,"*Analysis of Economic Growth*")</f>
        <v>0</v>
      </c>
      <c s="7" r="J9">
        <f>COUNTIF(PROJECT!T2:T100,"*Economic Growth*")</f>
        <v>2</v>
      </c>
      <c s="7" r="K9">
        <f>COUNTIF(PROJECT!U2:U100,"*Analysis of Economic Growth*")</f>
        <v>0</v>
      </c>
      <c s="7" r="L9"/>
      <c s="7" r="M9"/>
      <c s="7" r="N9"/>
      <c s="7" r="O9"/>
      <c s="7" r="P9"/>
      <c s="7" r="Q9"/>
      <c s="7" r="R9"/>
      <c s="7" r="S9"/>
      <c s="7" r="T9"/>
    </row>
    <row r="10">
      <c t="s" s="7" r="A10">
        <v>1831</v>
      </c>
      <c r="B10">
        <f>H81</f>
        <v>0</v>
      </c>
      <c r="C10">
        <f>J81</f>
        <v>0</v>
      </c>
      <c t="s" s="7" r="D10">
        <v>97</v>
      </c>
      <c t="s" s="7" r="E10">
        <v>1832</v>
      </c>
      <c s="7" r="F10">
        <v>0</v>
      </c>
      <c s="7" r="G10">
        <v>1</v>
      </c>
      <c t="s" s="7" r="H10">
        <v>1826</v>
      </c>
      <c s="7" r="I10">
        <f>COUNTIF(EXPERTISE!F4:F50,"*Economic Statistics, Modeling and Forecasting*")</f>
        <v>0</v>
      </c>
      <c t="s" s="7" r="J10">
        <v>1826</v>
      </c>
      <c s="7" r="K10">
        <f>COUNTIF(PROJECT!U2:U100,"*Economic Statistics, Modeling and Forecasting*")</f>
        <v>0</v>
      </c>
      <c s="7" r="L10"/>
      <c s="7" r="M10"/>
      <c s="7" r="N10"/>
      <c s="7" r="O10"/>
      <c s="7" r="P10"/>
      <c s="7" r="Q10"/>
      <c s="7" r="R10"/>
      <c s="7" r="S10"/>
      <c s="7" r="T10"/>
    </row>
    <row r="11">
      <c t="s" s="7" r="A11">
        <v>170</v>
      </c>
      <c r="B11">
        <f>H84</f>
        <v>1</v>
      </c>
      <c r="C11">
        <f>J84</f>
        <v>3</v>
      </c>
      <c t="s" s="7" r="D11">
        <v>97</v>
      </c>
      <c t="s" s="7" r="E11">
        <v>1833</v>
      </c>
      <c s="7" r="F11">
        <v>0</v>
      </c>
      <c s="7" r="G11">
        <v>1</v>
      </c>
      <c t="s" s="7" r="H11">
        <v>1826</v>
      </c>
      <c s="7" r="I11">
        <f>COUNTIF(EXPERTISE!F4:F50,"*Fostering Physical Infrastructure Development*")</f>
        <v>0</v>
      </c>
      <c t="s" s="7" r="J11">
        <v>1826</v>
      </c>
      <c s="7" r="K11">
        <f>COUNTIF(PROJECT!U2:U100,"*Fostering Physical Infrastructure Development*")</f>
        <v>0</v>
      </c>
      <c s="7" r="L11"/>
      <c s="7" r="M11"/>
      <c s="7" r="N11"/>
      <c s="7" r="O11"/>
      <c s="7" r="P11"/>
      <c s="7" r="Q11"/>
      <c s="7" r="R11"/>
      <c s="7" r="S11"/>
      <c s="7" r="T11"/>
    </row>
    <row r="12">
      <c t="s" s="7" r="A12">
        <v>1834</v>
      </c>
      <c r="B12">
        <f>H104</f>
        <v>0</v>
      </c>
      <c r="C12">
        <f>J104</f>
        <v>0</v>
      </c>
      <c t="s" s="7" r="D12">
        <v>97</v>
      </c>
      <c t="s" s="7" r="E12">
        <v>1835</v>
      </c>
      <c s="7" r="F12">
        <v>0</v>
      </c>
      <c s="7" r="G12">
        <v>1</v>
      </c>
      <c t="s" s="7" r="H12">
        <v>1826</v>
      </c>
      <c s="7" r="I12">
        <f>COUNTIF(EXPERTISE!F4:F50,"*Information and Communication Technology*")</f>
        <v>0</v>
      </c>
      <c t="s" s="7" r="J12">
        <v>1826</v>
      </c>
      <c s="7" r="K12">
        <f>COUNTIF(PROJECT!U2:U100,"*Information and Communication Technology*")</f>
        <v>0</v>
      </c>
      <c s="7" r="L12"/>
      <c s="7" r="M12"/>
      <c s="7" r="N12"/>
      <c s="7" r="O12"/>
      <c s="7" r="P12"/>
      <c s="7" r="Q12"/>
      <c s="7" r="R12"/>
      <c s="7" r="S12"/>
      <c s="7" r="T12"/>
    </row>
    <row r="13">
      <c t="s" s="7" r="A13">
        <v>1836</v>
      </c>
      <c r="B13">
        <f>H116</f>
        <v>0</v>
      </c>
      <c r="C13">
        <f>J116</f>
        <v>0</v>
      </c>
      <c t="s" s="7" r="D13">
        <v>97</v>
      </c>
      <c t="s" s="63" r="E13">
        <v>1837</v>
      </c>
      <c s="7" r="F13">
        <v>0</v>
      </c>
      <c s="7" r="G13">
        <v>1</v>
      </c>
      <c t="s" s="7" r="H13">
        <v>1826</v>
      </c>
      <c s="7" r="I13">
        <f>COUNTIF(EXPERTISE!F4:F50,"*Infrastructure Services for Private-Sector Development*")</f>
        <v>0</v>
      </c>
      <c t="s" s="7" r="J13">
        <v>1826</v>
      </c>
      <c s="7" r="K13">
        <f>COUNTIF(PROJECT!U2:U100,"*Infrastructure Services for Private Sector-Development*")</f>
        <v>0</v>
      </c>
      <c s="7" r="L13"/>
      <c s="7" r="M13"/>
      <c s="7" r="N13"/>
      <c s="7" r="O13"/>
      <c s="7" r="P13"/>
      <c s="7" r="Q13"/>
      <c s="7" r="R13"/>
      <c s="7" r="S13"/>
      <c s="7" r="T13"/>
    </row>
    <row r="14">
      <c t="s" s="7" r="D14">
        <v>97</v>
      </c>
      <c t="s" s="7" r="E14">
        <v>1838</v>
      </c>
      <c s="7" r="F14">
        <v>0</v>
      </c>
      <c s="7" r="G14">
        <v>1</v>
      </c>
      <c t="s" s="7" r="H14">
        <v>1826</v>
      </c>
      <c s="7" r="I14">
        <f>COUNTIF(EXPERTISE!F4:F50,"*Micro, Small and Medium Enterprise Support*")</f>
        <v>0</v>
      </c>
      <c t="s" s="7" r="J14">
        <v>1826</v>
      </c>
      <c s="7" r="K14">
        <f>COUNTIF(PROJECT!U2:U100,"*Micro, Small and Medium Enterprise Support*")</f>
        <v>0</v>
      </c>
      <c s="7" r="L14"/>
      <c s="7" r="M14"/>
      <c s="7" r="N14"/>
      <c s="7" r="O14"/>
      <c s="7" r="P14"/>
      <c s="7" r="Q14"/>
      <c s="7" r="R14"/>
      <c s="7" r="S14"/>
      <c s="7" r="T14"/>
    </row>
    <row r="15">
      <c t="s" s="7" r="D15">
        <v>97</v>
      </c>
      <c t="s" s="7" r="E15">
        <v>98</v>
      </c>
      <c s="7" r="F15">
        <v>0</v>
      </c>
      <c s="7" r="G15">
        <v>1</v>
      </c>
      <c t="s" s="7" r="H15">
        <v>1826</v>
      </c>
      <c s="7" r="I15">
        <f>COUNTIF(EXPERTISE!F4:F50,"*Other Economic Management*")</f>
        <v>1</v>
      </c>
      <c t="s" s="7" r="J15">
        <v>1826</v>
      </c>
      <c s="7" r="K15">
        <f>COUNTIF(PROJECT!U2:U100,"*Other Economic Management*")</f>
        <v>0</v>
      </c>
      <c s="7" r="L15"/>
      <c s="7" r="M15"/>
      <c s="7" r="N15"/>
      <c s="7" r="O15"/>
      <c s="7" r="P15"/>
      <c s="7" r="Q15"/>
      <c s="7" r="R15"/>
      <c s="7" r="S15"/>
      <c s="7" r="T15"/>
    </row>
    <row r="16">
      <c t="s" s="7" r="D16">
        <v>97</v>
      </c>
      <c t="s" s="63" r="E16">
        <v>104</v>
      </c>
      <c s="7" r="F16">
        <v>0</v>
      </c>
      <c s="7" r="G16">
        <v>1</v>
      </c>
      <c t="s" s="7" r="H16">
        <v>1826</v>
      </c>
      <c s="63" r="I16">
        <f>COUNTIF(EXPERTISE!F4:F50,"*Private Sector Development*")</f>
        <v>1</v>
      </c>
      <c t="s" s="7" r="J16">
        <v>1826</v>
      </c>
      <c s="63" r="K16">
        <f>COUNTIF(PROJECT!U2:U100,"*Private Sector Development*")</f>
        <v>0</v>
      </c>
      <c s="7" r="L16"/>
      <c s="7" r="M16"/>
      <c s="7" r="N16"/>
      <c s="7" r="O16"/>
      <c s="7" r="P16"/>
      <c s="7" r="Q16"/>
      <c s="7" r="R16"/>
      <c s="7" r="S16"/>
      <c s="7" r="T16"/>
    </row>
    <row r="17">
      <c t="s" s="7" r="D17">
        <v>97</v>
      </c>
      <c t="s" s="7" r="E17">
        <v>110</v>
      </c>
      <c s="7" r="F17">
        <v>0</v>
      </c>
      <c s="7" r="G17">
        <v>1</v>
      </c>
      <c t="s" s="7" r="H17">
        <v>1826</v>
      </c>
      <c s="7" r="I17">
        <f>COUNTIF(EXPERTISE!F4:F50,"*Promoting Economic Efficiency and Enabling Markets*")</f>
        <v>1</v>
      </c>
      <c t="s" s="7" r="J17">
        <v>1826</v>
      </c>
      <c s="7" r="K17">
        <f>COUNTIF(PROJECT!U2:U100,"*Promoting Economic Efficiency and Enabling Markets*")</f>
        <v>1</v>
      </c>
      <c s="7" r="L17"/>
      <c s="7" r="M17"/>
      <c s="7" r="N17"/>
      <c s="7" r="O17"/>
      <c s="7" r="P17"/>
      <c s="7" r="Q17"/>
      <c s="7" r="R17"/>
      <c s="7" r="S17"/>
      <c s="7" r="T17"/>
    </row>
    <row r="18">
      <c t="s" s="7" r="D18">
        <v>97</v>
      </c>
      <c t="s" s="7" r="E18">
        <v>1839</v>
      </c>
      <c s="7" r="F18">
        <v>0</v>
      </c>
      <c s="7" r="G18">
        <v>1</v>
      </c>
      <c t="s" s="7" r="H18">
        <v>1826</v>
      </c>
      <c s="7" r="I18">
        <f>COUNTIF(EXPERTISE!F4:F50,"*Promoting Macroeconomic Stability*")</f>
        <v>0</v>
      </c>
      <c t="s" s="7" r="J18">
        <v>1826</v>
      </c>
      <c s="7" r="K18">
        <f>COUNTIF(PROJECT!U2:U100,"*Promoting Macroeconomic Stability*")</f>
        <v>0</v>
      </c>
      <c s="7" r="L18"/>
      <c s="7" r="M18"/>
      <c s="7" r="N18"/>
      <c s="7" r="O18"/>
      <c s="7" r="P18"/>
      <c s="7" r="Q18"/>
      <c s="7" r="R18"/>
      <c s="7" r="S18"/>
      <c s="7" r="T18"/>
    </row>
    <row r="19">
      <c t="s" s="7" r="D19">
        <v>97</v>
      </c>
      <c t="s" s="7" r="E19">
        <v>145</v>
      </c>
      <c s="7" r="F19">
        <v>0</v>
      </c>
      <c s="7" r="G19">
        <v>1</v>
      </c>
      <c t="s" s="7" r="H19">
        <v>1826</v>
      </c>
      <c s="7" r="I19">
        <f>COUNTIF(EXPERTISE!F4:F50,"*State-Owned Enterprise Restructuring and Privatization*")</f>
        <v>1</v>
      </c>
      <c t="s" s="7" r="J19">
        <v>1826</v>
      </c>
      <c s="7" r="K19">
        <f>COUNTIF(PROJECT!U2:U100,"*State-Owned Enterprise Restructuring and Privatization*")</f>
        <v>0</v>
      </c>
      <c s="7" r="L19"/>
      <c s="7" r="M19"/>
      <c s="7" r="N19"/>
      <c s="7" r="O19"/>
      <c s="7" r="P19"/>
      <c s="7" r="Q19"/>
      <c s="7" r="R19"/>
      <c s="7" r="S19"/>
      <c s="7" r="T19"/>
    </row>
    <row r="20">
      <c t="s" s="7" r="D20">
        <v>114</v>
      </c>
      <c t="s" s="7" r="E20">
        <v>115</v>
      </c>
      <c s="7" r="F20">
        <v>1</v>
      </c>
      <c s="7" r="G20">
        <v>1</v>
      </c>
      <c s="7" r="H20">
        <f>COUNTIF(EXPERTISE!E4:E50,"*Environment and Natural Resources*")</f>
        <v>1</v>
      </c>
      <c s="7" r="I20">
        <f>COUNTIF(EXPERTISE!F4:F50,"*Biodiversity*")</f>
        <v>1</v>
      </c>
      <c s="7" r="J20">
        <f>COUNTIF(PROJECT!T2:T100,"*Environment and Natural Resources*")</f>
        <v>5</v>
      </c>
      <c s="7" r="K20">
        <f>COUNTIF(PROJECT!U2:U100,"*Biodiversity*")</f>
        <v>0</v>
      </c>
      <c s="7" r="L20"/>
      <c s="7" r="M20"/>
      <c s="7" r="N20"/>
      <c s="7" r="O20"/>
      <c s="7" r="P20"/>
      <c s="7" r="Q20"/>
      <c s="7" r="R20"/>
      <c s="7" r="S20"/>
      <c s="7" r="T20"/>
    </row>
    <row r="21">
      <c t="s" s="7" r="D21">
        <v>114</v>
      </c>
      <c t="s" s="7" r="E21">
        <v>1840</v>
      </c>
      <c s="7" r="F21">
        <v>0</v>
      </c>
      <c s="7" r="G21">
        <v>1</v>
      </c>
      <c t="s" s="7" r="H21">
        <v>1826</v>
      </c>
      <c s="7" r="I21">
        <f>COUNTIF(EXPERTISE!F4:F50,"*Climate Change*")</f>
        <v>0</v>
      </c>
      <c t="s" s="7" r="J21">
        <v>1826</v>
      </c>
      <c s="7" r="K21">
        <f>COUNTIF(PROJECT!U2:U100,"*Climate Change*")</f>
        <v>0</v>
      </c>
      <c s="7" r="L21"/>
      <c s="7" r="M21"/>
      <c s="7" r="N21"/>
      <c s="7" r="O21"/>
      <c s="7" r="P21"/>
      <c s="7" r="Q21"/>
      <c s="7" r="R21"/>
      <c s="7" r="S21"/>
      <c s="7" r="T21"/>
    </row>
    <row r="22">
      <c t="s" s="7" r="D22">
        <v>114</v>
      </c>
      <c t="s" s="7" r="E22">
        <v>120</v>
      </c>
      <c s="7" r="F22">
        <v>0</v>
      </c>
      <c s="7" r="G22">
        <v>1</v>
      </c>
      <c t="s" s="7" r="H22">
        <v>1826</v>
      </c>
      <c s="7" r="I22">
        <f>COUNTIF(EXPERTISE!F4:F50,"*Environmental Policies and Legislation*")</f>
        <v>1</v>
      </c>
      <c t="s" s="7" r="J22">
        <v>1826</v>
      </c>
      <c s="7" r="K22">
        <f>COUNTIF(PROJECT!U2:U100,"*Environmental Policies and Legislation*")</f>
        <v>0</v>
      </c>
      <c s="7" r="L22"/>
      <c s="7" r="M22"/>
      <c s="7" r="N22"/>
      <c s="7" r="O22"/>
      <c s="7" r="P22"/>
      <c s="7" r="Q22"/>
      <c s="7" r="R22"/>
      <c s="7" r="S22"/>
      <c s="7" r="T22"/>
    </row>
    <row r="23">
      <c t="s" s="7" r="D23">
        <v>114</v>
      </c>
      <c t="s" s="7" r="E23">
        <v>1841</v>
      </c>
      <c s="7" r="F23">
        <v>0</v>
      </c>
      <c s="7" r="G23">
        <v>1</v>
      </c>
      <c t="s" s="7" r="H23">
        <v>1826</v>
      </c>
      <c s="7" r="I23">
        <f>COUNTIF(EXPERTISE!F4:F50,"*Global and Regional Trans-Boundary Environmental Concerns and Issues*")</f>
        <v>0</v>
      </c>
      <c t="s" s="7" r="J23">
        <v>1826</v>
      </c>
      <c s="7" r="K23">
        <f>COUNTIF(PROJECT!U2:U100,"*Global and Regional Trans-Boundary Environmental Concerns and Issues*")</f>
        <v>0</v>
      </c>
      <c s="7" r="L23"/>
      <c s="7" r="M23"/>
      <c s="7" r="N23"/>
      <c s="7" r="O23"/>
      <c s="7" r="P23"/>
      <c s="7" r="Q23"/>
      <c s="7" r="R23"/>
      <c s="7" r="S23"/>
      <c s="7" r="T23"/>
    </row>
    <row r="24">
      <c t="s" s="7" r="D24">
        <v>114</v>
      </c>
      <c t="s" s="7" r="E24">
        <v>1842</v>
      </c>
      <c s="7" r="F24">
        <v>0</v>
      </c>
      <c s="7" r="G24">
        <v>1</v>
      </c>
      <c t="s" s="7" r="H24">
        <v>1826</v>
      </c>
      <c s="7" r="I24">
        <f>COUNTIF(EXPERTISE!F4:F50,"*Land Administration and Management*")</f>
        <v>0</v>
      </c>
      <c t="s" s="7" r="J24">
        <v>1826</v>
      </c>
      <c s="7" r="K24">
        <f>COUNTIF(PROJECT!U2:U100,"*Land Administration and Management*")</f>
        <v>0</v>
      </c>
      <c s="7" r="L24"/>
      <c s="7" r="M24"/>
      <c s="7" r="N24"/>
      <c s="7" r="O24"/>
      <c s="7" r="P24"/>
      <c s="7" r="Q24"/>
      <c s="7" r="R24"/>
      <c s="7" r="S24"/>
      <c s="7" r="T24"/>
    </row>
    <row r="25">
      <c t="s" s="7" r="D25">
        <v>114</v>
      </c>
      <c t="s" s="7" r="E25">
        <v>126</v>
      </c>
      <c s="7" r="F25">
        <v>0</v>
      </c>
      <c s="7" r="G25">
        <v>1</v>
      </c>
      <c t="s" s="7" r="H25">
        <v>1826</v>
      </c>
      <c s="7" r="I25">
        <f>COUNTIF(EXPERTISE!F4:F50,"*Natural Resources Conservation*")</f>
        <v>1</v>
      </c>
      <c t="s" s="7" r="J25">
        <v>1826</v>
      </c>
      <c s="7" r="K25">
        <f>COUNTIF(PROJECT!U2:U100,"*Natural Resources Conservation*")</f>
        <v>1</v>
      </c>
      <c s="7" r="L25"/>
      <c s="7" r="M25"/>
      <c s="7" r="N25"/>
      <c s="7" r="O25"/>
      <c s="7" r="P25"/>
      <c s="7" r="Q25"/>
      <c s="7" r="R25"/>
      <c s="7" r="S25"/>
      <c s="7" r="T25"/>
    </row>
    <row r="26">
      <c t="s" s="7" r="D26">
        <v>114</v>
      </c>
      <c t="s" s="7" r="E26">
        <v>1843</v>
      </c>
      <c s="7" r="F26">
        <v>0</v>
      </c>
      <c s="7" r="G26">
        <v>1</v>
      </c>
      <c t="s" s="7" r="H26">
        <v>1826</v>
      </c>
      <c s="7" r="I26">
        <f>COUNTIF(EXPERTISE!F4:F50,"*Other Environment and Natural Resources Management*")</f>
        <v>0</v>
      </c>
      <c t="s" s="7" r="J26">
        <v>1826</v>
      </c>
      <c s="7" r="K26">
        <f>COUNTIF(PROJECT!U2:U100,"*Other Environment and Natural Resources Management*")</f>
        <v>0</v>
      </c>
      <c s="7" r="L26"/>
      <c s="7" r="M26"/>
      <c s="7" r="N26"/>
      <c s="7" r="O26"/>
      <c s="7" r="P26"/>
      <c s="7" r="Q26"/>
      <c s="7" r="R26"/>
      <c s="7" r="S26"/>
      <c s="7" r="T26"/>
    </row>
    <row r="27">
      <c t="s" s="7" r="D27">
        <v>114</v>
      </c>
      <c t="s" s="7" r="E27">
        <v>133</v>
      </c>
      <c s="7" r="F27">
        <v>0</v>
      </c>
      <c s="7" r="G27">
        <v>1</v>
      </c>
      <c t="s" s="7" r="H27">
        <v>1826</v>
      </c>
      <c s="7" r="I27">
        <f>COUNTIF(EXPERTISE!F4:F50,"*Pollution Management and Environmental Health*")</f>
        <v>1</v>
      </c>
      <c t="s" s="7" r="J27">
        <v>1826</v>
      </c>
      <c s="7" r="K27">
        <f>COUNTIF(PROJECT!U2:U100,"*Pollution Management and Environmental Health*")</f>
        <v>1</v>
      </c>
      <c s="7" r="L27"/>
      <c s="7" r="M27"/>
      <c s="7" r="N27"/>
      <c s="7" r="O27"/>
      <c s="7" r="P27"/>
      <c s="7" r="Q27"/>
      <c s="7" r="R27"/>
      <c s="7" r="S27"/>
      <c s="7" r="T27"/>
    </row>
    <row r="28">
      <c t="s" s="7" r="D28">
        <v>114</v>
      </c>
      <c t="s" s="7" r="E28">
        <v>1844</v>
      </c>
      <c s="7" r="F28">
        <v>0</v>
      </c>
      <c s="7" r="G28">
        <v>1</v>
      </c>
      <c t="s" s="7" r="H28">
        <v>1826</v>
      </c>
      <c s="7" r="I28">
        <f>COUNTIF(EXPERTISE!F4:F50,"*Urban Environmental Improvement*")</f>
        <v>0</v>
      </c>
      <c t="s" s="7" r="J28">
        <v>1826</v>
      </c>
      <c s="7" r="K28">
        <f>COUNTIF(PROJECT!U2:U100,"*Urban Environmental Improvement*")</f>
        <v>0</v>
      </c>
      <c s="7" r="L28"/>
      <c s="7" r="M28"/>
      <c s="7" r="N28"/>
      <c s="7" r="O28"/>
      <c s="7" r="P28"/>
      <c s="7" r="Q28"/>
      <c s="7" r="R28"/>
      <c s="7" r="S28"/>
      <c s="7" r="T28"/>
    </row>
    <row r="29">
      <c t="s" s="7" r="D29">
        <v>114</v>
      </c>
      <c t="s" s="7" r="E29">
        <v>138</v>
      </c>
      <c s="7" r="F29">
        <v>0</v>
      </c>
      <c s="7" r="G29">
        <v>1</v>
      </c>
      <c t="s" s="7" r="H29">
        <v>1826</v>
      </c>
      <c s="7" r="I29">
        <f>COUNTIF(EXPERTISE!F4:F50,"*Water Resource Management*")</f>
        <v>1</v>
      </c>
      <c t="s" s="7" r="J29">
        <v>1826</v>
      </c>
      <c s="7" r="K29">
        <f>COUNTIF(PROJECT!U2:U100,"*Water Resource Management*")</f>
        <v>3</v>
      </c>
      <c s="7" r="L29"/>
      <c s="7" r="M29"/>
      <c s="7" r="N29"/>
      <c s="7" r="O29"/>
      <c s="7" r="P29"/>
      <c s="7" r="Q29"/>
      <c s="7" r="R29"/>
      <c s="7" r="S29"/>
      <c s="7" r="T29"/>
    </row>
    <row r="30">
      <c t="s" s="7" r="D30">
        <v>144</v>
      </c>
      <c t="s" s="7" r="E30">
        <v>1845</v>
      </c>
      <c s="7" r="F30">
        <v>1</v>
      </c>
      <c s="7" r="G30">
        <v>1</v>
      </c>
      <c s="7" r="H30">
        <f>COUNTIF(EXPERTISE!E4:E50,"*Financial Management*")</f>
        <v>1</v>
      </c>
      <c s="7" r="I30">
        <f>COUNTIF(EXPERTISE!F4:F50,"*Anti-Money Laundering and Combating the Financing of Terrorism*")</f>
        <v>0</v>
      </c>
      <c s="7" r="J30">
        <f>COUNTIF(PROJECT!T2:T100,"*Financial Management*")</f>
        <v>0</v>
      </c>
      <c s="7" r="K30">
        <f>COUNTIF(PROJECT!U2:U100,"*Anti-Money Laundering and Combating the Financing of Terrorism*")</f>
        <v>0</v>
      </c>
      <c s="7" r="L30"/>
      <c s="7" r="M30"/>
      <c s="7" r="N30"/>
      <c s="7" r="O30"/>
      <c s="7" r="P30"/>
      <c s="7" r="Q30"/>
      <c s="7" r="R30"/>
      <c s="7" r="S30"/>
      <c s="7" r="T30"/>
    </row>
    <row r="31">
      <c t="s" s="7" r="D31">
        <v>144</v>
      </c>
      <c t="s" s="7" r="E31">
        <v>1846</v>
      </c>
      <c s="7" r="F31">
        <v>0</v>
      </c>
      <c s="7" r="G31">
        <v>1</v>
      </c>
      <c t="s" s="7" r="H31">
        <v>1826</v>
      </c>
      <c s="7" r="I31">
        <f>COUNTIF(EXPERTISE!F4:F50,"*Corporate Governance*")</f>
        <v>0</v>
      </c>
      <c t="s" s="7" r="J31">
        <v>1826</v>
      </c>
      <c s="7" r="K31">
        <f>COUNTIF(PROJECT!U2:U100,"*Corporate Governance*")</f>
        <v>0</v>
      </c>
      <c s="7" r="L31"/>
      <c s="7" r="M31"/>
      <c s="7" r="N31"/>
      <c s="7" r="O31"/>
      <c s="7" r="P31"/>
      <c s="7" r="Q31"/>
      <c s="7" r="R31"/>
      <c s="7" r="S31"/>
      <c s="7" r="T31"/>
    </row>
    <row r="32">
      <c t="s" s="7" r="D32">
        <v>144</v>
      </c>
      <c t="s" s="7" r="E32">
        <v>1847</v>
      </c>
      <c s="7" r="F32">
        <v>0</v>
      </c>
      <c s="7" r="G32">
        <v>1</v>
      </c>
      <c t="s" s="7" r="H32">
        <v>1826</v>
      </c>
      <c s="7" r="I32">
        <f>COUNTIF(EXPERTISE!F4:F50,"*Debt Management and Fiscal Sustainability*")</f>
        <v>0</v>
      </c>
      <c t="s" s="7" r="J32">
        <v>1826</v>
      </c>
      <c s="7" r="K32">
        <f>COUNTIF(PROJECT!U2:U100,"*Debt Management and Fiscal Sustainability*")</f>
        <v>0</v>
      </c>
      <c s="7" r="L32"/>
      <c s="7" r="M32"/>
      <c s="7" r="N32"/>
      <c s="7" r="O32"/>
      <c s="7" r="P32"/>
      <c s="7" r="Q32"/>
      <c s="7" r="R32"/>
      <c s="7" r="S32"/>
      <c s="7" r="T32"/>
    </row>
    <row r="33">
      <c t="s" s="7" r="D33">
        <v>144</v>
      </c>
      <c t="s" s="7" r="E33">
        <v>1848</v>
      </c>
      <c s="7" r="F33">
        <v>0</v>
      </c>
      <c s="7" r="G33">
        <v>1</v>
      </c>
      <c t="s" s="7" r="H33">
        <v>1826</v>
      </c>
      <c s="7" r="I33">
        <f>COUNTIF(EXPERTISE!F4:F50,"*e-Services*")</f>
        <v>0</v>
      </c>
      <c t="s" s="7" r="J33">
        <v>1826</v>
      </c>
      <c s="7" r="K33">
        <f>COUNTIF(PROJECT!U2:U100,"*e-Services*")</f>
        <v>0</v>
      </c>
      <c s="7" r="L33"/>
      <c s="7" r="M33"/>
      <c s="7" r="N33"/>
      <c s="7" r="O33"/>
      <c s="7" r="P33"/>
      <c s="7" r="Q33"/>
      <c s="7" r="R33"/>
      <c s="7" r="S33"/>
      <c s="7" r="T33"/>
    </row>
    <row r="34">
      <c t="s" s="7" r="D34">
        <v>144</v>
      </c>
      <c t="s" s="7" r="E34">
        <v>1849</v>
      </c>
      <c s="7" r="F34">
        <v>0</v>
      </c>
      <c s="7" r="G34">
        <v>1</v>
      </c>
      <c t="s" s="7" r="H34">
        <v>1826</v>
      </c>
      <c s="7" r="I34">
        <f>COUNTIF(EXPERTISE!F4:F50,"*Financial Consumer Protection and Financial Literacy*")</f>
        <v>0</v>
      </c>
      <c t="s" s="7" r="J34">
        <v>1826</v>
      </c>
      <c s="7" r="K34">
        <f>COUNTIF(PROJECT!U2:U100,"*Financial Consumer Protection and Financial Literacy*")</f>
        <v>0</v>
      </c>
      <c s="7" r="L34"/>
      <c s="7" r="M34"/>
      <c s="7" r="N34"/>
      <c s="7" r="O34"/>
      <c s="7" r="P34"/>
      <c s="7" r="Q34"/>
      <c s="7" r="R34"/>
      <c s="7" r="S34"/>
      <c s="7" r="T34"/>
    </row>
    <row r="35">
      <c t="s" s="7" r="D35">
        <v>144</v>
      </c>
      <c t="s" s="7" r="E35">
        <v>1850</v>
      </c>
      <c s="7" r="F35">
        <v>0</v>
      </c>
      <c s="7" r="G35">
        <v>1</v>
      </c>
      <c t="s" s="7" r="H35">
        <v>1826</v>
      </c>
      <c s="7" r="I35">
        <f>COUNTIF(EXPERTISE!F4:F50,"*Macroeconomic Management*")</f>
        <v>0</v>
      </c>
      <c t="s" s="7" r="J35">
        <v>1826</v>
      </c>
      <c s="7" r="K35">
        <f>COUNTIF(PROJECT!U2:U100,"*Macroeconomic Management*")</f>
        <v>0</v>
      </c>
      <c s="7" r="L35"/>
      <c s="7" r="M35"/>
      <c s="7" r="N35"/>
      <c s="7" r="O35"/>
      <c s="7" r="P35"/>
      <c s="7" r="Q35"/>
      <c s="7" r="R35"/>
      <c s="7" r="S35"/>
      <c s="7" r="T35"/>
    </row>
    <row r="36">
      <c t="s" s="7" r="D36">
        <v>144</v>
      </c>
      <c t="s" s="63" r="E36">
        <v>1851</v>
      </c>
      <c s="7" r="F36">
        <v>0</v>
      </c>
      <c s="7" r="G36">
        <v>1</v>
      </c>
      <c t="s" s="7" r="H36">
        <v>1826</v>
      </c>
      <c s="7" r="I36">
        <f>COUNTIF(EXPERTISE!F4:F50,"*Other Financial and Private-Sector Development*")</f>
        <v>0</v>
      </c>
      <c t="s" s="7" r="J36">
        <v>1826</v>
      </c>
      <c s="7" r="K36">
        <f>COUNTIF(PROJECT!U2:U100,"*Other Financial and Private-Sector Development*")</f>
        <v>0</v>
      </c>
      <c s="7" r="L36"/>
      <c s="7" r="M36"/>
      <c s="7" r="N36"/>
      <c s="7" r="O36"/>
      <c s="7" r="P36"/>
      <c s="7" r="Q36"/>
      <c s="7" r="R36"/>
      <c s="7" r="S36"/>
      <c s="7" r="T36"/>
    </row>
    <row r="37">
      <c t="s" s="7" r="D37">
        <v>144</v>
      </c>
      <c t="s" s="7" r="E37">
        <v>1852</v>
      </c>
      <c s="7" r="F37">
        <v>0</v>
      </c>
      <c s="7" r="G37">
        <v>1</v>
      </c>
      <c t="s" s="7" r="H37">
        <v>1826</v>
      </c>
      <c s="7" r="I37">
        <f>COUNTIF(EXPERTISE!F4:F50,"*Other Financial Sector Development*")</f>
        <v>0</v>
      </c>
      <c t="s" s="7" r="J37">
        <v>1826</v>
      </c>
      <c s="7" r="K37">
        <f>COUNTIF(PROJECT!U2:U100,"*Other Financial Sector Development*")</f>
        <v>0</v>
      </c>
      <c s="7" r="L37"/>
      <c s="7" r="M37"/>
      <c s="7" r="N37"/>
      <c s="7" r="O37"/>
      <c s="7" r="P37"/>
      <c s="7" r="Q37"/>
      <c s="7" r="R37"/>
      <c s="7" r="S37"/>
      <c s="7" r="T37"/>
    </row>
    <row r="38">
      <c t="s" s="7" r="D38">
        <v>144</v>
      </c>
      <c t="s" s="7" r="E38">
        <v>1853</v>
      </c>
      <c s="7" r="F38">
        <v>0</v>
      </c>
      <c s="7" r="G38">
        <v>1</v>
      </c>
      <c t="s" s="7" r="H38">
        <v>1826</v>
      </c>
      <c s="7" r="I38">
        <f>COUNTIF(EXPERTISE!F4:F50,"*Regulation and Competition Policy*")</f>
        <v>0</v>
      </c>
      <c t="s" s="7" r="J38">
        <v>1826</v>
      </c>
      <c s="7" r="K38">
        <f>COUNTIF(PROJECT!U2:U100,"*Regulation and Competition Policy*")</f>
        <v>0</v>
      </c>
      <c s="7" r="L38"/>
      <c s="7" r="M38"/>
      <c s="7" r="N38"/>
      <c s="7" r="O38"/>
      <c s="7" r="P38"/>
      <c s="7" r="Q38"/>
      <c s="7" r="R38"/>
      <c s="7" r="S38"/>
      <c s="7" r="T38"/>
    </row>
    <row r="39">
      <c t="s" s="7" r="D39">
        <v>149</v>
      </c>
      <c t="s" s="7" r="E39">
        <v>1854</v>
      </c>
      <c s="7" r="F39">
        <v>1</v>
      </c>
      <c s="7" r="G39">
        <v>1</v>
      </c>
      <c s="7" r="H39">
        <f>COUNTIF(EXPERTISE!E4:E50,"*Governance*")</f>
        <v>1</v>
      </c>
      <c s="7" r="I39">
        <f>COUNTIF(EXPERTISE!F4:F50,"*Access to Law and Justice*")</f>
        <v>0</v>
      </c>
      <c s="7" r="J39">
        <f>COUNTIF(PROJECT!T2:T100,"*Governance*")</f>
        <v>0</v>
      </c>
      <c s="7" r="K39">
        <f>COUNTIF(PROJECT!U2:U100,"*Access to Law and Justice*")</f>
        <v>0</v>
      </c>
      <c s="7" r="L39"/>
      <c s="7" r="M39"/>
      <c s="7" r="N39"/>
      <c s="7" r="O39"/>
      <c s="7" r="P39"/>
      <c s="7" r="Q39"/>
      <c s="7" r="R39"/>
      <c s="7" r="S39"/>
      <c s="7" r="T39"/>
    </row>
    <row r="40">
      <c t="s" s="7" r="D40">
        <v>149</v>
      </c>
      <c t="s" s="63" r="E40">
        <v>1855</v>
      </c>
      <c s="7" r="F40">
        <v>0</v>
      </c>
      <c s="7" r="G40">
        <v>1</v>
      </c>
      <c t="s" s="7" r="H40">
        <v>1826</v>
      </c>
      <c s="7" r="I40">
        <f>COUNTIF(EXPERTISE!F4:F50,"*Accountability/Transparency*")</f>
        <v>0</v>
      </c>
      <c t="s" s="7" r="J40">
        <v>1826</v>
      </c>
      <c s="7" r="K40">
        <f>COUNTIF(PROJECT!U2:U100,"*Accountability/Transparency*")</f>
        <v>0</v>
      </c>
      <c s="7" r="L40"/>
      <c s="7" r="M40"/>
      <c s="7" r="N40"/>
      <c s="7" r="O40"/>
      <c s="7" r="P40"/>
      <c s="7" r="Q40"/>
      <c s="7" r="R40"/>
      <c s="7" r="S40"/>
      <c s="7" r="T40"/>
    </row>
    <row r="41">
      <c t="s" s="7" r="D41">
        <v>149</v>
      </c>
      <c t="s" s="7" r="E41">
        <v>1856</v>
      </c>
      <c s="7" r="F41">
        <v>0</v>
      </c>
      <c s="7" r="G41">
        <v>1</v>
      </c>
      <c t="s" s="7" r="H41">
        <v>1826</v>
      </c>
      <c s="7" r="I41">
        <f>COUNTIF(EXPERTISE!F4:F50,"*Administrative and Civil Service Reform*")</f>
        <v>0</v>
      </c>
      <c t="s" s="7" r="J41">
        <v>1826</v>
      </c>
      <c s="7" r="K41">
        <f>COUNTIF(PROJECT!U2:U100,"*Administrative and Civil Service Reform*")</f>
        <v>0</v>
      </c>
      <c s="7" r="L41"/>
      <c s="7" r="M41"/>
      <c s="7" r="N41"/>
      <c s="7" r="O41"/>
      <c s="7" r="P41"/>
      <c s="7" r="Q41"/>
      <c s="7" r="R41"/>
      <c s="7" r="S41"/>
      <c s="7" r="T41"/>
    </row>
    <row r="42">
      <c t="s" s="7" r="D42">
        <v>149</v>
      </c>
      <c t="s" s="63" r="E42">
        <v>1857</v>
      </c>
      <c s="7" r="F42">
        <v>0</v>
      </c>
      <c s="7" r="G42">
        <v>1</v>
      </c>
      <c t="s" s="7" r="H42">
        <v>1826</v>
      </c>
      <c s="63" r="I42">
        <f>COUNTIF(EXPERTISE!F4:F50,"*Anti-Corruption*")</f>
        <v>0</v>
      </c>
      <c t="s" s="7" r="J42">
        <v>1826</v>
      </c>
      <c s="63" r="K42">
        <f>COUNTIF(PROJECT!U2:U100,"*Anti-Corruption*")</f>
        <v>0</v>
      </c>
      <c s="7" r="L42"/>
      <c s="7" r="M42"/>
      <c s="7" r="N42"/>
      <c s="7" r="O42"/>
      <c s="7" r="P42"/>
      <c s="7" r="Q42"/>
      <c s="7" r="R42"/>
      <c s="7" r="S42"/>
      <c s="7" r="T42"/>
    </row>
    <row r="43">
      <c t="s" s="7" r="D43">
        <v>149</v>
      </c>
      <c t="s" s="7" r="E43">
        <v>1858</v>
      </c>
      <c s="7" r="F43">
        <v>0</v>
      </c>
      <c s="7" r="G43">
        <v>1</v>
      </c>
      <c t="s" s="7" r="H43">
        <v>1826</v>
      </c>
      <c s="7" r="I43">
        <f>COUNTIF(EXPERTISE!F4:F50,"*Civil Society Participation*")</f>
        <v>0</v>
      </c>
      <c t="s" s="7" r="J43">
        <v>1826</v>
      </c>
      <c s="7" r="K43">
        <f>COUNTIF(PROJECT!U2:U100,"*Civil Society Participation*")</f>
        <v>0</v>
      </c>
      <c s="7" r="L43"/>
      <c s="7" r="M43"/>
      <c s="7" r="N43"/>
      <c s="7" r="O43"/>
      <c s="7" r="P43"/>
      <c s="7" r="Q43"/>
      <c s="7" r="R43"/>
      <c s="7" r="S43"/>
      <c s="7" r="T43"/>
    </row>
    <row r="44">
      <c t="s" s="7" r="D44">
        <v>149</v>
      </c>
      <c t="s" s="7" r="E44">
        <v>1859</v>
      </c>
      <c s="7" r="F44">
        <v>0</v>
      </c>
      <c s="7" r="G44">
        <v>1</v>
      </c>
      <c t="s" s="7" r="H44">
        <v>1826</v>
      </c>
      <c s="7" r="I44">
        <f>COUNTIF(EXPERTISE!F4:F50,"*Decentralization*")</f>
        <v>0</v>
      </c>
      <c t="s" s="7" r="J44">
        <v>1826</v>
      </c>
      <c s="7" r="K44">
        <f>COUNTIF(PROJECT!U2:U100,"*Decentralization*")</f>
        <v>0</v>
      </c>
      <c s="7" r="L44"/>
      <c s="7" r="M44"/>
      <c s="7" r="N44"/>
      <c s="7" r="O44"/>
      <c s="7" r="P44"/>
      <c s="7" r="Q44"/>
      <c s="7" r="R44"/>
      <c s="7" r="S44"/>
      <c s="7" r="T44"/>
    </row>
    <row r="45">
      <c t="s" s="7" r="D45">
        <v>149</v>
      </c>
      <c t="s" s="7" r="E45">
        <v>1860</v>
      </c>
      <c s="7" r="F45">
        <v>0</v>
      </c>
      <c s="7" r="G45">
        <v>1</v>
      </c>
      <c t="s" s="7" r="H45">
        <v>1826</v>
      </c>
      <c s="7" r="I45">
        <f>COUNTIF(EXPERTISE!F4:F50,"*e-Government*")</f>
        <v>0</v>
      </c>
      <c t="s" s="7" r="J45">
        <v>1826</v>
      </c>
      <c s="7" r="K45">
        <f>COUNTIF(PROJECT!U2:U100,"*e-Government*")</f>
        <v>0</v>
      </c>
      <c s="7" r="L45"/>
      <c s="7" r="M45"/>
      <c s="7" r="N45"/>
      <c s="7" r="O45"/>
      <c s="7" r="P45"/>
      <c s="7" r="Q45"/>
      <c s="7" r="R45"/>
      <c s="7" r="S45"/>
      <c s="7" r="T45"/>
    </row>
    <row r="46">
      <c t="s" s="7" r="D46">
        <v>149</v>
      </c>
      <c t="s" s="7" r="E46">
        <v>1861</v>
      </c>
      <c s="7" r="F46">
        <v>0</v>
      </c>
      <c s="7" r="G46">
        <v>1</v>
      </c>
      <c t="s" s="7" r="H46">
        <v>1826</v>
      </c>
      <c s="7" r="I46">
        <f>COUNTIF(EXPERTISE!F4:F50,"*Financial and Economic Governance*")</f>
        <v>0</v>
      </c>
      <c t="s" s="7" r="J46">
        <v>1826</v>
      </c>
      <c s="7" r="K46">
        <f>COUNTIF(PROJECT!U2:U100,"*Financial and Economic Governance*")</f>
        <v>0</v>
      </c>
      <c s="7" r="L46"/>
      <c s="7" r="M46"/>
      <c s="7" r="N46"/>
      <c s="7" r="O46"/>
      <c s="7" r="P46"/>
      <c s="7" r="Q46"/>
      <c s="7" r="R46"/>
      <c s="7" r="S46"/>
      <c s="7" r="T46"/>
    </row>
    <row r="47">
      <c t="s" s="7" r="D47">
        <v>149</v>
      </c>
      <c t="s" s="7" r="E47">
        <v>1862</v>
      </c>
      <c s="7" r="F47">
        <v>0</v>
      </c>
      <c s="7" r="G47">
        <v>1</v>
      </c>
      <c t="s" s="7" r="H47">
        <v>1826</v>
      </c>
      <c s="7" r="I47">
        <f>COUNTIF(EXPERTISE!F4:F50,"*Human Rights*")</f>
        <v>0</v>
      </c>
      <c t="s" s="7" r="J47">
        <v>1826</v>
      </c>
      <c s="7" r="K47">
        <f>COUNTIF(PROJECT!U2:U100,"*Human Rights*")</f>
        <v>0</v>
      </c>
      <c s="7" r="L47"/>
      <c s="7" r="M47"/>
      <c s="7" r="N47"/>
      <c s="7" r="O47"/>
      <c s="7" r="P47"/>
      <c s="7" r="Q47"/>
      <c s="7" r="R47"/>
      <c s="7" r="S47"/>
      <c s="7" r="T47"/>
    </row>
    <row r="48">
      <c t="s" s="7" r="D48">
        <v>149</v>
      </c>
      <c t="s" s="7" r="E48">
        <v>1863</v>
      </c>
      <c s="7" r="F48">
        <v>0</v>
      </c>
      <c s="7" r="G48">
        <v>1</v>
      </c>
      <c t="s" s="7" r="H48">
        <v>1826</v>
      </c>
      <c s="7" r="I48">
        <f>COUNTIF(EXPERTISE!F4:F50,"*Judicial and Other Dispute Resolution Mechanisms*")</f>
        <v>0</v>
      </c>
      <c t="s" s="7" r="J48">
        <v>1826</v>
      </c>
      <c s="7" r="K48">
        <f>COUNTIF(PROJECT!U2:U100,"*Judicial and Other Dispute Resolution Mechanisms*")</f>
        <v>0</v>
      </c>
      <c s="7" r="L48"/>
      <c s="7" r="M48"/>
      <c s="7" r="N48"/>
      <c s="7" r="O48"/>
      <c s="7" r="P48"/>
      <c s="7" r="Q48"/>
      <c s="7" r="R48"/>
      <c s="7" r="S48"/>
      <c s="7" r="T48"/>
    </row>
    <row r="49">
      <c t="s" s="7" r="D49">
        <v>149</v>
      </c>
      <c t="s" s="7" r="E49">
        <v>1864</v>
      </c>
      <c s="7" r="F49">
        <v>0</v>
      </c>
      <c s="7" r="G49">
        <v>1</v>
      </c>
      <c t="s" s="7" r="H49">
        <v>1826</v>
      </c>
      <c s="7" r="I49">
        <f>COUNTIF(EXPERTISE!F4:F50,"*Legal Institutions for a Market Economy*")</f>
        <v>0</v>
      </c>
      <c t="s" s="7" r="J49">
        <v>1826</v>
      </c>
      <c s="7" r="K49">
        <f>COUNTIF(PROJECT!U2:U100,"*Legal Institutions for a Market Economy*")</f>
        <v>0</v>
      </c>
      <c s="7" r="L49"/>
      <c s="7" r="M49"/>
      <c s="7" r="N49"/>
      <c s="7" r="O49"/>
      <c s="7" r="P49"/>
      <c s="7" r="Q49"/>
      <c s="7" r="R49"/>
      <c s="7" r="S49"/>
      <c s="7" r="T49"/>
    </row>
    <row r="50">
      <c t="s" s="7" r="D50">
        <v>149</v>
      </c>
      <c t="s" s="7" r="E50">
        <v>1865</v>
      </c>
      <c s="7" r="F50">
        <v>0</v>
      </c>
      <c s="7" r="G50">
        <v>1</v>
      </c>
      <c t="s" s="7" r="H50">
        <v>1826</v>
      </c>
      <c s="7" r="I50">
        <f>COUNTIF(EXPERTISE!F4:F50,"*Legal Reform*")</f>
        <v>0</v>
      </c>
      <c t="s" s="7" r="J50">
        <v>1826</v>
      </c>
      <c s="7" r="K50">
        <f>COUNTIF(PROJECT!U2:U100,"*Legal Reform*")</f>
        <v>0</v>
      </c>
      <c s="7" r="L50"/>
      <c s="7" r="M50"/>
      <c s="7" r="N50"/>
      <c s="7" r="O50"/>
      <c s="7" r="P50"/>
      <c s="7" r="Q50"/>
      <c s="7" r="R50"/>
      <c s="7" r="S50"/>
      <c s="7" r="T50"/>
    </row>
    <row r="51">
      <c t="s" s="7" r="D51">
        <v>149</v>
      </c>
      <c t="s" s="7" r="E51">
        <v>1866</v>
      </c>
      <c s="7" r="F51">
        <v>0</v>
      </c>
      <c s="7" r="G51">
        <v>1</v>
      </c>
      <c t="s" s="7" r="H51">
        <v>1826</v>
      </c>
      <c s="7" r="I51">
        <f>COUNTIF(EXPERTISE!F4:F50,"*Legal Services*")</f>
        <v>0</v>
      </c>
      <c t="s" s="7" r="J51">
        <v>1826</v>
      </c>
      <c s="7" r="K51">
        <f>COUNTIF(PROJECT!U2:U100,"*Legal Services*")</f>
        <v>0</v>
      </c>
      <c s="7" r="L51"/>
      <c s="7" r="M51"/>
      <c s="7" r="N51"/>
      <c s="7" r="O51"/>
      <c s="7" r="P51"/>
      <c s="7" r="Q51"/>
      <c s="7" r="R51"/>
      <c s="7" r="S51"/>
      <c s="7" r="T51"/>
    </row>
    <row r="52">
      <c t="s" s="7" r="D52">
        <v>149</v>
      </c>
      <c t="s" s="7" r="E52">
        <v>1867</v>
      </c>
      <c s="7" r="F52">
        <v>0</v>
      </c>
      <c s="7" r="G52">
        <v>1</v>
      </c>
      <c t="s" s="7" r="H52">
        <v>1826</v>
      </c>
      <c s="7" r="I52">
        <f>COUNTIF(EXPERTISE!F4:F50,"*Managing for Development Results*")</f>
        <v>0</v>
      </c>
      <c t="s" s="7" r="J52">
        <v>1826</v>
      </c>
      <c s="7" r="K52">
        <f>COUNTIF(PROJECT!U2:U100,"*Managing for Development Results*")</f>
        <v>0</v>
      </c>
      <c s="7" r="L52"/>
      <c s="7" r="M52"/>
      <c s="7" r="N52"/>
      <c s="7" r="O52"/>
      <c s="7" r="P52"/>
      <c s="7" r="Q52"/>
      <c s="7" r="R52"/>
      <c s="7" r="S52"/>
      <c s="7" r="T52"/>
    </row>
    <row r="53">
      <c t="s" s="7" r="D53">
        <v>149</v>
      </c>
      <c t="s" s="7" r="E53">
        <v>1868</v>
      </c>
      <c s="7" r="F53">
        <v>0</v>
      </c>
      <c s="7" r="G53">
        <v>1</v>
      </c>
      <c t="s" s="7" r="H53">
        <v>1826</v>
      </c>
      <c s="7" r="I53">
        <f>COUNTIF(EXPERTISE!F4:F50,"*Other Rule of Law*")</f>
        <v>0</v>
      </c>
      <c t="s" s="7" r="J53">
        <v>1826</v>
      </c>
      <c s="7" r="K53">
        <f>COUNTIF(PROJECT!U2:U100,"*Other Rule of Law*")</f>
        <v>0</v>
      </c>
      <c s="7" r="L53"/>
      <c s="7" r="M53"/>
      <c s="7" r="N53"/>
      <c s="7" r="O53"/>
      <c s="7" r="P53"/>
      <c s="7" r="Q53"/>
      <c s="7" r="R53"/>
      <c s="7" r="S53"/>
      <c s="7" r="T53"/>
    </row>
    <row r="54">
      <c t="s" s="7" r="D54">
        <v>149</v>
      </c>
      <c t="s" s="7" r="E54">
        <v>1869</v>
      </c>
      <c s="7" r="F54">
        <v>0</v>
      </c>
      <c s="7" r="G54">
        <v>1</v>
      </c>
      <c t="s" s="7" r="H54">
        <v>1826</v>
      </c>
      <c s="7" r="I54">
        <f>COUNTIF(EXPERTISE!F4:F50,"*Personal and Property Rights*")</f>
        <v>0</v>
      </c>
      <c t="s" s="7" r="J54">
        <v>1826</v>
      </c>
      <c s="7" r="K54">
        <f>COUNTIF(PROJECT!U2:U100,"*Personal and Property Rights*")</f>
        <v>0</v>
      </c>
      <c s="7" r="L54"/>
      <c s="7" r="M54"/>
      <c s="7" r="N54"/>
      <c s="7" r="O54"/>
      <c s="7" r="P54"/>
      <c s="7" r="Q54"/>
      <c s="7" r="R54"/>
      <c s="7" r="S54"/>
      <c s="7" r="T54"/>
    </row>
    <row r="55">
      <c t="s" s="7" r="D55">
        <v>149</v>
      </c>
      <c t="s" s="7" r="E55">
        <v>1870</v>
      </c>
      <c s="7" r="F55">
        <v>0</v>
      </c>
      <c s="7" r="G55">
        <v>1</v>
      </c>
      <c t="s" s="7" r="H55">
        <v>1826</v>
      </c>
      <c s="7" r="I55">
        <f>COUNTIF(EXPERTISE!F4:F50,"*Policy/Institutional/Legal/Regulatory Reforms*")</f>
        <v>0</v>
      </c>
      <c t="s" s="7" r="J55">
        <v>1826</v>
      </c>
      <c s="7" r="K55">
        <f>COUNTIF(PROJECT!U2:U100,"*Policy/Institutional/Legal/Regulatory Reforms*")</f>
        <v>0</v>
      </c>
      <c s="7" r="L55"/>
      <c s="7" r="M55"/>
      <c s="7" r="N55"/>
      <c s="7" r="O55"/>
      <c s="7" r="P55"/>
      <c s="7" r="Q55"/>
      <c s="7" r="R55"/>
      <c s="7" r="S55"/>
      <c s="7" r="T55"/>
    </row>
    <row r="56">
      <c t="s" s="7" r="D56">
        <v>149</v>
      </c>
      <c t="s" s="7" r="E56">
        <v>1871</v>
      </c>
      <c s="7" r="F56">
        <v>0</v>
      </c>
      <c s="7" r="G56">
        <v>1</v>
      </c>
      <c t="s" s="7" r="H56">
        <v>1826</v>
      </c>
      <c s="7" r="I56">
        <f>COUNTIF(EXPERTISE!F4:F50,"*Private Sector Investment*")</f>
        <v>0</v>
      </c>
      <c t="s" s="7" r="J56">
        <v>1826</v>
      </c>
      <c s="7" r="K56">
        <f>COUNTIF(PROJECT!U2:U100,"*Private Sector Investment*")</f>
        <v>0</v>
      </c>
      <c s="7" r="L56"/>
      <c s="7" r="M56"/>
      <c s="7" r="N56"/>
      <c s="7" r="O56"/>
      <c s="7" r="P56"/>
      <c s="7" r="Q56"/>
      <c s="7" r="R56"/>
      <c s="7" r="S56"/>
      <c s="7" r="T56"/>
    </row>
    <row r="57">
      <c t="s" s="7" r="D57">
        <v>149</v>
      </c>
      <c t="s" s="63" r="E57">
        <v>1872</v>
      </c>
      <c s="7" r="F57">
        <v>0</v>
      </c>
      <c s="7" r="G57">
        <v>1</v>
      </c>
      <c t="s" s="7" r="H57">
        <v>1826</v>
      </c>
      <c s="63" r="I57">
        <f>COUNTIF(EXPERTISE!F4:F50,"*Privatization -general*")</f>
        <v>0</v>
      </c>
      <c t="s" s="7" r="J57">
        <v>1826</v>
      </c>
      <c s="63" r="K57">
        <f>COUNTIF(PROJECT!U2:U100,"*Privatization -general*")</f>
        <v>0</v>
      </c>
      <c s="7" r="L57"/>
      <c s="7" r="M57"/>
      <c s="7" r="N57"/>
      <c s="7" r="O57"/>
      <c s="7" r="P57"/>
      <c s="7" r="Q57"/>
      <c s="7" r="R57"/>
      <c s="7" r="S57"/>
      <c s="7" r="T57"/>
    </row>
    <row r="58">
      <c t="s" s="7" r="D58">
        <v>149</v>
      </c>
      <c t="s" s="7" r="E58">
        <v>1873</v>
      </c>
      <c s="7" r="F58">
        <v>0</v>
      </c>
      <c s="7" r="G58">
        <v>1</v>
      </c>
      <c t="s" s="7" r="H58">
        <v>1826</v>
      </c>
      <c s="7" r="I58">
        <f>COUNTIF(EXPERTISE!F4:F50,"*Public Expenditure, Financial Management and Procurement*")</f>
        <v>0</v>
      </c>
      <c t="s" s="7" r="J58">
        <v>1826</v>
      </c>
      <c s="7" r="K58">
        <f>COUNTIF(PROJECT!U2:U100,"*Public Expenditure, Financial Management and Procurement*")</f>
        <v>0</v>
      </c>
      <c s="7" r="L58"/>
      <c s="7" r="M58"/>
      <c s="7" r="N58"/>
      <c s="7" r="O58"/>
      <c s="7" r="P58"/>
      <c s="7" r="Q58"/>
      <c s="7" r="R58"/>
      <c s="7" r="S58"/>
      <c s="7" r="T58"/>
    </row>
    <row r="59">
      <c t="s" s="7" r="D59">
        <v>149</v>
      </c>
      <c t="s" s="7" r="E59">
        <v>150</v>
      </c>
      <c s="7" r="F59">
        <v>0</v>
      </c>
      <c s="7" r="G59">
        <v>1</v>
      </c>
      <c t="s" s="7" r="H59">
        <v>1826</v>
      </c>
      <c s="7" r="I59">
        <f>COUNTIF(EXPERTISE!F4:F50,"*Public Governance*")</f>
        <v>1</v>
      </c>
      <c t="s" s="7" r="J59">
        <v>1826</v>
      </c>
      <c s="7" r="K59">
        <f>COUNTIF(PROJECT!U2:U100,"*Public Governance*")</f>
        <v>0</v>
      </c>
      <c s="7" r="L59"/>
      <c s="7" r="M59"/>
      <c s="7" r="N59"/>
      <c s="7" r="O59"/>
      <c s="7" r="P59"/>
      <c s="7" r="Q59"/>
      <c s="7" r="R59"/>
      <c s="7" r="S59"/>
      <c s="7" r="T59"/>
    </row>
    <row r="60">
      <c t="s" s="7" r="D60">
        <v>149</v>
      </c>
      <c t="s" s="7" r="E60">
        <v>155</v>
      </c>
      <c s="7" r="F60">
        <v>0</v>
      </c>
      <c s="7" r="G60">
        <v>1</v>
      </c>
      <c t="s" s="7" r="H60">
        <v>1826</v>
      </c>
      <c s="7" r="I60">
        <f>COUNTIF(EXPERTISE!F4:F50,"*Public Sector Governance*")</f>
        <v>1</v>
      </c>
      <c t="s" s="7" r="J60">
        <v>1826</v>
      </c>
      <c s="7" r="K60">
        <f>COUNTIF(PROJECT!U2:U100,"*Public Sector Governance*")</f>
        <v>0</v>
      </c>
      <c s="7" r="L60"/>
      <c s="7" r="M60"/>
      <c s="7" r="N60"/>
      <c s="7" r="O60"/>
      <c s="7" r="P60"/>
      <c s="7" r="Q60"/>
      <c s="7" r="R60"/>
      <c s="7" r="S60"/>
      <c s="7" r="T60"/>
    </row>
    <row r="61">
      <c t="s" s="7" r="D61">
        <v>149</v>
      </c>
      <c t="s" s="7" r="E61">
        <v>1874</v>
      </c>
      <c s="7" r="F61">
        <v>0</v>
      </c>
      <c s="7" r="G61">
        <v>1</v>
      </c>
      <c t="s" s="7" r="H61">
        <v>1826</v>
      </c>
      <c s="7" r="I61">
        <f>COUNTIF(EXPERTISE!F4:F50,"*Public-Private Partnerships*")</f>
        <v>0</v>
      </c>
      <c t="s" s="7" r="J61">
        <v>1826</v>
      </c>
      <c s="7" r="K61">
        <f>COUNTIF(PROJECT!U2:U100,"*Public-Private Partnerships*")</f>
        <v>0</v>
      </c>
      <c s="7" r="L61"/>
      <c s="7" r="M61"/>
      <c s="7" r="N61"/>
      <c s="7" r="O61"/>
      <c s="7" r="P61"/>
      <c s="7" r="Q61"/>
      <c s="7" r="R61"/>
      <c s="7" r="S61"/>
      <c s="7" r="T61"/>
    </row>
    <row r="62">
      <c t="s" s="7" r="D62">
        <v>149</v>
      </c>
      <c t="s" s="7" r="E62">
        <v>1875</v>
      </c>
      <c s="7" r="F62">
        <v>0</v>
      </c>
      <c s="7" r="G62">
        <v>1</v>
      </c>
      <c t="s" s="7" r="H62">
        <v>1826</v>
      </c>
      <c s="7" r="I62">
        <f>COUNTIF(EXPERTISE!F4:F50,"*Tax Policy and Administration*")</f>
        <v>0</v>
      </c>
      <c t="s" s="7" r="J62">
        <v>1826</v>
      </c>
      <c s="7" r="K62">
        <f>COUNTIF(PROJECT!U2:U100,"*Tax Policy and Administration*")</f>
        <v>0</v>
      </c>
      <c s="7" r="L62"/>
      <c s="7" r="M62"/>
      <c s="7" r="N62"/>
      <c s="7" r="O62"/>
      <c s="7" r="P62"/>
      <c s="7" r="Q62"/>
      <c s="7" r="R62"/>
      <c s="7" r="S62"/>
      <c s="7" r="T62"/>
    </row>
    <row r="63">
      <c t="s" s="7" r="D63">
        <v>1829</v>
      </c>
      <c t="s" s="7" r="E63">
        <v>1876</v>
      </c>
      <c s="7" r="F63">
        <v>1</v>
      </c>
      <c s="7" r="G63">
        <v>1</v>
      </c>
      <c s="7" r="H63">
        <f>COUNTIF(EXPERTISE!E4:E50,"*Health and Human Welfare*")</f>
        <v>0</v>
      </c>
      <c s="7" r="I63">
        <f>COUNTIF(EXPERTISE!F4:F50,"*Child Health*")</f>
        <v>0</v>
      </c>
      <c s="7" r="J63">
        <f>COUNTIF(PROJECT!T2:T100,"*Health and Human Welfare*")</f>
        <v>0</v>
      </c>
      <c s="7" r="K63">
        <f>COUNTIF(PROJECT!U2:U100,"*Child Health*")</f>
        <v>0</v>
      </c>
      <c s="7" r="L63"/>
      <c s="7" r="M63"/>
      <c s="7" r="N63"/>
      <c s="7" r="O63"/>
      <c s="7" r="P63"/>
      <c s="7" r="Q63"/>
      <c s="7" r="R63"/>
      <c s="7" r="S63"/>
      <c s="7" r="T63"/>
    </row>
    <row r="64">
      <c t="s" s="7" r="D64">
        <v>1829</v>
      </c>
      <c t="s" s="7" r="E64">
        <v>1877</v>
      </c>
      <c s="7" r="F64">
        <v>0</v>
      </c>
      <c s="7" r="G64">
        <v>1</v>
      </c>
      <c t="s" s="7" r="H64">
        <v>1826</v>
      </c>
      <c s="7" r="I64">
        <f>COUNTIF(EXPERTISE!F4:F50,"*Education for All*")</f>
        <v>0</v>
      </c>
      <c t="s" s="7" r="J64">
        <v>1826</v>
      </c>
      <c s="7" r="K64">
        <f>COUNTIF(PROJECT!U2:U100,"*Education for All*")</f>
        <v>0</v>
      </c>
      <c s="7" r="L64"/>
      <c s="7" r="M64"/>
      <c s="7" r="N64"/>
      <c s="7" r="O64"/>
      <c s="7" r="P64"/>
      <c s="7" r="Q64"/>
      <c s="7" r="R64"/>
      <c s="7" r="S64"/>
      <c s="7" r="T64"/>
    </row>
    <row r="65">
      <c t="s" s="7" r="D65">
        <v>1829</v>
      </c>
      <c t="s" s="7" r="E65">
        <v>1878</v>
      </c>
      <c s="7" r="F65">
        <v>0</v>
      </c>
      <c s="7" r="G65">
        <v>1</v>
      </c>
      <c t="s" s="7" r="H65">
        <v>1826</v>
      </c>
      <c s="7" r="I65">
        <f>COUNTIF(EXPERTISE!F4:F50,"*Education for the Knowledge Economy*")</f>
        <v>0</v>
      </c>
      <c t="s" s="7" r="J65">
        <v>1826</v>
      </c>
      <c s="7" r="K65">
        <f>COUNTIF(PROJECT!U2:U100,"*Education for the Knowledge Economy*")</f>
        <v>0</v>
      </c>
      <c s="7" r="L65"/>
      <c s="7" r="M65"/>
      <c s="7" r="N65"/>
      <c s="7" r="O65"/>
      <c s="7" r="P65"/>
      <c s="7" r="Q65"/>
      <c s="7" r="R65"/>
      <c s="7" r="S65"/>
      <c s="7" r="T65"/>
    </row>
    <row r="66">
      <c t="s" s="7" r="D66">
        <v>1829</v>
      </c>
      <c t="s" s="7" r="E66">
        <v>1879</v>
      </c>
      <c s="7" r="F66">
        <v>0</v>
      </c>
      <c s="7" r="G66">
        <v>1</v>
      </c>
      <c t="s" s="7" r="H66">
        <v>1826</v>
      </c>
      <c s="7" r="I66">
        <f>COUNTIF(EXPERTISE!F4:F50,"*Health System Performance*")</f>
        <v>0</v>
      </c>
      <c t="s" s="7" r="J66">
        <v>1826</v>
      </c>
      <c s="7" r="K66">
        <f>COUNTIF(PROJECT!U2:U100,"*Health System Performance*")</f>
        <v>0</v>
      </c>
      <c s="7" r="L66"/>
      <c s="7" r="M66"/>
      <c s="7" r="N66"/>
      <c s="7" r="O66"/>
      <c s="7" r="P66"/>
      <c s="7" r="Q66"/>
      <c s="7" r="R66"/>
      <c s="7" r="S66"/>
      <c s="7" r="T66"/>
    </row>
    <row r="67">
      <c t="s" s="7" r="D67">
        <v>1829</v>
      </c>
      <c t="s" s="7" r="E67">
        <v>1880</v>
      </c>
      <c s="7" r="F67">
        <v>0</v>
      </c>
      <c s="7" r="G67">
        <v>1</v>
      </c>
      <c t="s" s="7" r="H67">
        <v>1826</v>
      </c>
      <c s="7" r="I67">
        <f>COUNTIF(EXPERTISE!F4:F50,"*HIV/AIDS*")</f>
        <v>0</v>
      </c>
      <c t="s" s="7" r="J67">
        <v>1826</v>
      </c>
      <c s="7" r="K67">
        <f>COUNTIF(PROJECT!U2:U100,"*HIV/AIDS*")</f>
        <v>0</v>
      </c>
      <c s="7" r="L67"/>
      <c s="7" r="M67"/>
      <c s="7" r="N67"/>
      <c s="7" r="O67"/>
      <c s="7" r="P67"/>
      <c s="7" r="Q67"/>
      <c s="7" r="R67"/>
      <c s="7" r="S67"/>
      <c s="7" r="T67"/>
    </row>
    <row r="68">
      <c t="s" s="7" r="D68">
        <v>1829</v>
      </c>
      <c t="s" s="7" r="E68">
        <v>1881</v>
      </c>
      <c s="7" r="F68">
        <v>0</v>
      </c>
      <c s="7" r="G68">
        <v>1</v>
      </c>
      <c t="s" s="7" r="H68">
        <v>1826</v>
      </c>
      <c s="7" r="I68">
        <f>COUNTIF(EXPERTISE!F4:F50,"*Injuries and Non-Communicable Diseases*")</f>
        <v>0</v>
      </c>
      <c t="s" s="7" r="J68">
        <v>1826</v>
      </c>
      <c s="7" r="K68">
        <f>COUNTIF(PROJECT!U2:U100,"*Injuries and Non-Communicable Diseases*")</f>
        <v>0</v>
      </c>
      <c s="7" r="L68"/>
      <c s="7" r="M68"/>
      <c s="7" r="N68"/>
      <c s="7" r="O68"/>
      <c s="7" r="P68"/>
      <c s="7" r="Q68"/>
      <c s="7" r="R68"/>
      <c s="7" r="S68"/>
      <c s="7" r="T68"/>
    </row>
    <row r="69">
      <c t="s" s="7" r="D69">
        <v>1829</v>
      </c>
      <c t="s" s="7" r="E69">
        <v>1882</v>
      </c>
      <c s="7" r="F69">
        <v>0</v>
      </c>
      <c s="7" r="G69">
        <v>1</v>
      </c>
      <c t="s" s="7" r="H69">
        <v>1826</v>
      </c>
      <c s="7" r="I69">
        <f>COUNTIF(EXPERTISE!F4:F50,"*Malaria*")</f>
        <v>0</v>
      </c>
      <c t="s" s="7" r="J69">
        <v>1826</v>
      </c>
      <c s="7" r="K69">
        <f>COUNTIF(PROJECT!U2:U100,"*Malaria*")</f>
        <v>0</v>
      </c>
      <c s="7" r="L69"/>
      <c s="7" r="M69"/>
      <c s="7" r="N69"/>
      <c s="7" r="O69"/>
      <c s="7" r="P69"/>
      <c s="7" r="Q69"/>
      <c s="7" r="R69"/>
      <c s="7" r="S69"/>
      <c s="7" r="T69"/>
    </row>
    <row r="70">
      <c t="s" s="7" r="D70">
        <v>1829</v>
      </c>
      <c t="s" s="7" r="E70">
        <v>1883</v>
      </c>
      <c s="7" r="F70">
        <v>0</v>
      </c>
      <c s="7" r="G70">
        <v>1</v>
      </c>
      <c t="s" s="7" r="H70">
        <v>1826</v>
      </c>
      <c s="7" r="I70">
        <f>COUNTIF(EXPERTISE!F4:F50,"*Nutrition and Food Security*")</f>
        <v>0</v>
      </c>
      <c t="s" s="7" r="J70">
        <v>1826</v>
      </c>
      <c s="7" r="K70">
        <f>COUNTIF(PROJECT!U2:U100,"*Nutrition and Food Security*")</f>
        <v>0</v>
      </c>
      <c s="7" r="L70"/>
      <c s="7" r="M70"/>
      <c s="7" r="N70"/>
      <c s="7" r="O70"/>
      <c s="7" r="P70"/>
      <c s="7" r="Q70"/>
      <c s="7" r="R70"/>
      <c s="7" r="S70"/>
      <c s="7" r="T70"/>
    </row>
    <row r="71">
      <c t="s" s="7" r="D71">
        <v>1829</v>
      </c>
      <c t="s" s="7" r="E71">
        <v>1884</v>
      </c>
      <c s="7" r="F71">
        <v>0</v>
      </c>
      <c s="7" r="G71">
        <v>1</v>
      </c>
      <c t="s" s="7" r="H71">
        <v>1826</v>
      </c>
      <c s="7" r="I71">
        <f>COUNTIF(EXPERTISE!F4:F50,"*Other Communicable Diseases*")</f>
        <v>0</v>
      </c>
      <c t="s" s="7" r="J71">
        <v>1826</v>
      </c>
      <c s="7" r="K71">
        <f>COUNTIF(PROJECT!U2:U100,"*Other Communicable Diseases*")</f>
        <v>0</v>
      </c>
      <c s="7" r="L71"/>
      <c s="7" r="M71"/>
      <c s="7" r="N71"/>
      <c s="7" r="O71"/>
      <c s="7" r="P71"/>
      <c s="7" r="Q71"/>
      <c s="7" r="R71"/>
      <c s="7" r="S71"/>
      <c s="7" r="T71"/>
    </row>
    <row r="72">
      <c t="s" s="7" r="D72">
        <v>1829</v>
      </c>
      <c t="s" s="7" r="E72">
        <v>1885</v>
      </c>
      <c s="7" r="F72">
        <v>0</v>
      </c>
      <c s="7" r="G72">
        <v>1</v>
      </c>
      <c t="s" s="7" r="H72">
        <v>1826</v>
      </c>
      <c s="7" r="I72">
        <f>COUNTIF(EXPERTISE!F4:F50,"*Other Human Development*")</f>
        <v>0</v>
      </c>
      <c t="s" s="7" r="J72">
        <v>1826</v>
      </c>
      <c s="7" r="K72">
        <f>COUNTIF(PROJECT!U2:U100,"*Other Human Development*")</f>
        <v>0</v>
      </c>
      <c s="7" r="L72"/>
      <c s="7" r="M72"/>
      <c s="7" r="N72"/>
      <c s="7" r="O72"/>
      <c s="7" r="P72"/>
      <c s="7" r="Q72"/>
      <c s="7" r="R72"/>
      <c s="7" r="S72"/>
      <c s="7" r="T72"/>
    </row>
    <row r="73">
      <c t="s" s="7" r="D73">
        <v>1829</v>
      </c>
      <c t="s" s="7" r="E73">
        <v>1886</v>
      </c>
      <c s="7" r="F73">
        <v>0</v>
      </c>
      <c s="7" r="G73">
        <v>1</v>
      </c>
      <c t="s" s="7" r="H73">
        <v>1826</v>
      </c>
      <c s="7" r="I73">
        <f>COUNTIF(EXPERTISE!F4:F50,"*Population and Reproductive Health*")</f>
        <v>0</v>
      </c>
      <c t="s" s="7" r="J73">
        <v>1826</v>
      </c>
      <c s="7" r="K73">
        <f>COUNTIF(PROJECT!U2:U100,"*Population and Reproductive Health*")</f>
        <v>0</v>
      </c>
      <c s="7" r="L73"/>
      <c s="7" r="M73"/>
      <c s="7" r="N73"/>
      <c s="7" r="O73"/>
      <c s="7" r="P73"/>
      <c s="7" r="Q73"/>
      <c s="7" r="R73"/>
      <c s="7" r="S73"/>
      <c s="7" r="T73"/>
    </row>
    <row r="74">
      <c t="s" s="7" r="D74">
        <v>1829</v>
      </c>
      <c t="s" s="7" r="E74">
        <v>1887</v>
      </c>
      <c s="7" r="F74">
        <v>0</v>
      </c>
      <c s="7" r="G74">
        <v>1</v>
      </c>
      <c t="s" s="7" r="H74">
        <v>1826</v>
      </c>
      <c s="7" r="I74">
        <f>COUNTIF(EXPERTISE!F4:F50,"*Tuberculosis*")</f>
        <v>0</v>
      </c>
      <c t="s" s="7" r="J74">
        <v>1826</v>
      </c>
      <c s="7" r="K74">
        <f>COUNTIF(PROJECT!U2:U100,"*Tuberculosis*")</f>
        <v>0</v>
      </c>
      <c s="7" r="L74"/>
      <c s="7" r="M74"/>
      <c s="7" r="N74"/>
      <c s="7" r="O74"/>
      <c s="7" r="P74"/>
      <c s="7" r="Q74"/>
      <c s="7" r="R74"/>
      <c s="7" r="S74"/>
      <c s="7" r="T74"/>
    </row>
    <row r="75">
      <c t="s" s="7" r="D75">
        <v>134</v>
      </c>
      <c t="s" s="7" r="E75">
        <v>1888</v>
      </c>
      <c s="7" r="F75">
        <v>1</v>
      </c>
      <c s="7" r="G75">
        <v>1</v>
      </c>
      <c s="7" r="H75">
        <f>COUNTIF(EXPERTISE!E4:E50,"*Rural Development*")</f>
        <v>1</v>
      </c>
      <c s="7" r="I75">
        <f>COUNTIF(EXPERTISE!F4:F50,"*Global Food Crisis Response*")</f>
        <v>0</v>
      </c>
      <c s="7" r="J75">
        <f>COUNTIF(PROJECT!T2:T100,"*Rural Development*")</f>
        <v>7</v>
      </c>
      <c s="7" r="K75">
        <f>COUNTIF(PROJECT!U2:U100,"*Global Food Crisis Response*")</f>
        <v>0</v>
      </c>
      <c s="7" r="L75"/>
      <c s="7" r="M75"/>
      <c s="7" r="N75"/>
      <c s="7" r="O75"/>
      <c s="7" r="P75"/>
      <c s="7" r="Q75"/>
      <c s="7" r="R75"/>
      <c s="7" r="S75"/>
      <c s="7" r="T75"/>
    </row>
    <row r="76">
      <c t="s" s="7" r="D76">
        <v>134</v>
      </c>
      <c t="s" s="7" r="E76">
        <v>160</v>
      </c>
      <c s="7" r="F76">
        <v>0</v>
      </c>
      <c s="7" r="G76">
        <v>1</v>
      </c>
      <c t="s" s="7" r="H76">
        <v>1826</v>
      </c>
      <c s="7" r="I76">
        <f>COUNTIF(EXPERTISE!F4:F50,"*Other Rural Development*")</f>
        <v>1</v>
      </c>
      <c t="s" s="7" r="J76">
        <v>1826</v>
      </c>
      <c s="7" r="K76">
        <f>COUNTIF(PROJECT!U2:U100,"*Other Rural Development*")</f>
        <v>5</v>
      </c>
      <c s="7" r="L76"/>
      <c s="7" r="M76"/>
      <c s="7" r="N76"/>
      <c s="7" r="O76"/>
      <c s="7" r="P76"/>
      <c s="7" r="Q76"/>
      <c s="7" r="R76"/>
      <c s="7" r="S76"/>
      <c s="7" r="T76"/>
    </row>
    <row r="77">
      <c t="s" s="7" r="D77">
        <v>134</v>
      </c>
      <c t="s" s="7" r="E77">
        <v>1889</v>
      </c>
      <c s="7" r="F77">
        <v>0</v>
      </c>
      <c s="7" r="G77">
        <v>1</v>
      </c>
      <c t="s" s="7" r="H77">
        <v>1826</v>
      </c>
      <c s="7" r="I77">
        <f>COUNTIF(EXPERTISE!F4:F50,"*Rural Markets*")</f>
        <v>0</v>
      </c>
      <c t="s" s="7" r="J77">
        <v>1826</v>
      </c>
      <c s="7" r="K77">
        <f>COUNTIF(PROJECT!U2:U100,"*Rural Markets*")</f>
        <v>0</v>
      </c>
      <c s="7" r="L77"/>
      <c s="7" r="M77"/>
      <c s="7" r="N77"/>
      <c s="7" r="O77"/>
      <c s="7" r="P77"/>
      <c s="7" r="Q77"/>
      <c s="7" r="R77"/>
      <c s="7" r="S77"/>
      <c s="7" r="T77"/>
    </row>
    <row r="78">
      <c t="s" s="7" r="D78">
        <v>134</v>
      </c>
      <c t="s" s="7" r="E78">
        <v>1890</v>
      </c>
      <c s="7" r="F78">
        <v>0</v>
      </c>
      <c s="7" r="G78">
        <v>1</v>
      </c>
      <c t="s" s="7" r="H78">
        <v>1826</v>
      </c>
      <c s="7" r="I78">
        <f>COUNTIF(EXPERTISE!F4:F50,"*Rural Non-Farm Income Generation*")</f>
        <v>0</v>
      </c>
      <c t="s" s="7" r="J78">
        <v>1826</v>
      </c>
      <c s="7" r="K78">
        <f>COUNTIF(PROJECT!U2:U100,"*Rural Non-Farm Income Generation*")</f>
        <v>0</v>
      </c>
      <c s="7" r="L78"/>
      <c s="7" r="M78"/>
      <c s="7" r="N78"/>
      <c s="7" r="O78"/>
      <c s="7" r="P78"/>
      <c s="7" r="Q78"/>
      <c s="7" r="R78"/>
      <c s="7" r="S78"/>
      <c s="7" r="T78"/>
    </row>
    <row r="79">
      <c t="s" s="7" r="D79">
        <v>134</v>
      </c>
      <c t="s" s="7" r="E79">
        <v>164</v>
      </c>
      <c s="7" r="F79">
        <v>0</v>
      </c>
      <c s="7" r="G79">
        <v>1</v>
      </c>
      <c t="s" s="7" r="H79">
        <v>1826</v>
      </c>
      <c s="7" r="I79">
        <f>COUNTIF(EXPERTISE!F4:F50,"*Rural Policies and Institutions*")</f>
        <v>1</v>
      </c>
      <c t="s" s="7" r="J79">
        <v>1826</v>
      </c>
      <c s="7" r="K79">
        <f>COUNTIF(PROJECT!U2:U100,"*Rural Policies and Institutions*")</f>
        <v>2</v>
      </c>
      <c s="7" r="L79"/>
      <c s="7" r="M79"/>
      <c s="7" r="N79"/>
      <c s="7" r="O79"/>
      <c s="7" r="P79"/>
      <c s="7" r="Q79"/>
      <c s="7" r="R79"/>
      <c s="7" r="S79"/>
      <c s="7" r="T79"/>
    </row>
    <row r="80">
      <c t="s" s="7" r="D80">
        <v>134</v>
      </c>
      <c t="s" s="7" r="E80">
        <v>167</v>
      </c>
      <c s="7" r="F80">
        <v>0</v>
      </c>
      <c s="7" r="G80">
        <v>1</v>
      </c>
      <c t="s" s="7" r="H80">
        <v>1826</v>
      </c>
      <c s="7" r="I80">
        <f>COUNTIF(EXPERTISE!F4:F50,"*Rural Services and Infrastructure*")</f>
        <v>1</v>
      </c>
      <c t="s" s="7" r="J80">
        <v>1826</v>
      </c>
      <c s="7" r="K80">
        <f>COUNTIF(PROJECT!U2:U100,"*Rural Services and Infrastructure*")</f>
        <v>0</v>
      </c>
      <c s="7" r="L80"/>
      <c s="7" r="M80"/>
      <c s="7" r="N80"/>
      <c s="7" r="O80"/>
      <c s="7" r="P80"/>
      <c s="7" r="Q80"/>
      <c s="7" r="R80"/>
      <c s="7" r="S80"/>
      <c s="7" r="T80"/>
    </row>
    <row r="81">
      <c t="s" s="7" r="D81">
        <v>1831</v>
      </c>
      <c t="s" s="7" r="E81">
        <v>1891</v>
      </c>
      <c s="7" r="F81">
        <v>1</v>
      </c>
      <c s="7" r="G81">
        <v>1</v>
      </c>
      <c s="7" r="H81">
        <f>COUNTIF(EXPERTISE!E4:E50,"*Social Investment*")</f>
        <v>0</v>
      </c>
      <c s="7" r="I81">
        <f>COUNTIF(EXPERTISE!F4:F50,"*Communication Infrastructure*")</f>
        <v>0</v>
      </c>
      <c s="7" r="J81">
        <f>COUNTIF(PROJECT!T2:T100,"*Social Investment*")</f>
        <v>0</v>
      </c>
      <c s="7" r="K81">
        <f>COUNTIF(PROJECT!U2:U100,"*Communication Infrastructure*")</f>
        <v>0</v>
      </c>
      <c s="7" r="L81"/>
      <c s="7" r="M81"/>
      <c s="7" r="N81"/>
      <c s="7" r="O81"/>
      <c s="7" r="P81"/>
      <c s="7" r="Q81"/>
      <c s="7" r="R81"/>
      <c s="7" r="S81"/>
      <c s="7" r="T81"/>
    </row>
    <row r="82">
      <c t="s" s="7" r="D82">
        <v>1831</v>
      </c>
      <c t="s" s="7" r="E82">
        <v>1892</v>
      </c>
      <c s="7" r="F82">
        <v>0</v>
      </c>
      <c s="7" r="G82">
        <v>1</v>
      </c>
      <c t="s" s="7" r="H82">
        <v>1826</v>
      </c>
      <c s="7" r="I82">
        <f>COUNTIF(EXPERTISE!F4:F50,"*Improving Labor Markets*")</f>
        <v>0</v>
      </c>
      <c t="s" s="7" r="J82">
        <v>1826</v>
      </c>
      <c s="7" r="K82">
        <f>COUNTIF(PROJECT!U2:U100,"*Improving Labor Markets*")</f>
        <v>0</v>
      </c>
      <c s="7" r="L82"/>
      <c s="7" r="M82"/>
      <c s="7" r="N82"/>
      <c s="7" r="O82"/>
      <c s="7" r="P82"/>
      <c s="7" r="Q82"/>
      <c s="7" r="R82"/>
      <c s="7" r="S82"/>
      <c s="7" r="T82"/>
    </row>
    <row r="83">
      <c t="s" s="7" r="D83">
        <v>1831</v>
      </c>
      <c t="s" s="7" r="E83">
        <v>1893</v>
      </c>
      <c s="7" r="F83">
        <v>0</v>
      </c>
      <c s="7" r="G83">
        <v>1</v>
      </c>
      <c t="s" s="7" r="H83">
        <v>1826</v>
      </c>
      <c s="7" r="I83">
        <f>COUNTIF(EXPERTISE!F4:F50,"*Local Business Investment*")</f>
        <v>0</v>
      </c>
      <c t="s" s="7" r="J83">
        <v>1826</v>
      </c>
      <c s="7" r="K83">
        <f>COUNTIF(PROJECT!U2:U100,"*Local Business Investment*")</f>
        <v>0</v>
      </c>
      <c s="7" r="L83"/>
      <c s="7" r="M83"/>
      <c s="7" r="N83"/>
      <c s="7" r="O83"/>
      <c s="7" r="P83"/>
      <c s="7" r="Q83"/>
      <c s="7" r="R83"/>
      <c s="7" r="S83"/>
      <c s="7" r="T83"/>
    </row>
    <row r="84">
      <c t="s" s="7" r="D84">
        <v>170</v>
      </c>
      <c t="s" s="7" r="E84">
        <v>1894</v>
      </c>
      <c s="7" r="F84">
        <v>0</v>
      </c>
      <c s="7" r="G84">
        <v>1</v>
      </c>
      <c s="7" r="H84">
        <f>COUNTIF(EXPERTISE!E7:E53,"*Social Protection*")</f>
        <v>1</v>
      </c>
      <c s="7" r="I84">
        <f>COUNTIF(EXPERTISE!F4:F50,"*Cultural Heritage*")</f>
        <v>0</v>
      </c>
      <c s="7" r="J84">
        <f>COUNTIF(PROJECT!T2:T100,"*Social Protection*")</f>
        <v>3</v>
      </c>
      <c s="7" r="K84">
        <f>COUNTIF(PROJECT!U2:U100,"*Cultural Heritage*")</f>
        <v>0</v>
      </c>
      <c s="7" r="L84"/>
      <c s="7" r="M84"/>
      <c s="7" r="N84"/>
      <c s="7" r="O84"/>
      <c s="7" r="P84"/>
      <c s="7" r="Q84"/>
      <c s="7" r="R84"/>
      <c s="7" r="S84"/>
      <c s="7" r="T84"/>
    </row>
    <row r="85">
      <c t="s" s="7" r="D85">
        <v>170</v>
      </c>
      <c t="s" s="63" r="E85">
        <v>171</v>
      </c>
      <c s="7" r="F85">
        <v>0</v>
      </c>
      <c s="7" r="G85">
        <v>1</v>
      </c>
      <c t="s" s="7" r="H85">
        <v>1826</v>
      </c>
      <c s="63" r="I85">
        <f>COUNTIF(EXPERTISE!F4:F50,"*Gender -general*")</f>
        <v>1</v>
      </c>
      <c t="s" s="7" r="J85">
        <v>1826</v>
      </c>
      <c s="63" r="K85">
        <f>COUNTIF(PROJECT!U2:U100,"*Gender -general*")</f>
        <v>0</v>
      </c>
      <c s="7" r="L85"/>
      <c s="7" r="M85"/>
      <c s="7" r="N85"/>
      <c s="7" r="O85"/>
      <c s="7" r="P85"/>
      <c s="7" r="Q85"/>
      <c s="7" r="R85"/>
      <c s="7" r="S85"/>
      <c s="7" r="T85"/>
    </row>
    <row r="86">
      <c t="s" s="7" r="D86">
        <v>170</v>
      </c>
      <c t="s" s="7" r="E86">
        <v>1895</v>
      </c>
      <c s="7" r="F86">
        <v>0</v>
      </c>
      <c s="7" r="G86">
        <v>1</v>
      </c>
      <c t="s" s="7" r="H86">
        <v>1826</v>
      </c>
      <c s="7" r="I86">
        <f>COUNTIF(EXPERTISE!F4:F50,"*Gender Equity in Capabilities*")</f>
        <v>0</v>
      </c>
      <c t="s" s="7" r="J86">
        <v>1826</v>
      </c>
      <c s="7" r="K86">
        <f>COUNTIF(PROJECT!U2:U100,"*Gender Equity in Capabilities*")</f>
        <v>0</v>
      </c>
      <c s="7" r="L86"/>
      <c s="7" r="M86"/>
      <c s="7" r="N86"/>
      <c s="7" r="O86"/>
      <c s="7" r="P86"/>
      <c s="7" r="Q86"/>
      <c s="7" r="R86"/>
      <c s="7" r="S86"/>
      <c s="7" r="T86"/>
    </row>
    <row r="87">
      <c t="s" s="7" r="D87">
        <v>170</v>
      </c>
      <c t="s" s="7" r="E87">
        <v>1896</v>
      </c>
      <c s="7" r="F87">
        <v>0</v>
      </c>
      <c s="7" r="G87">
        <v>1</v>
      </c>
      <c t="s" s="7" r="H87">
        <v>1826</v>
      </c>
      <c s="7" r="I87">
        <f>COUNTIF(EXPERTISE!F4:F50,"*Gender Equity in Empowerment and Rights*")</f>
        <v>0</v>
      </c>
      <c t="s" s="7" r="J87">
        <v>1826</v>
      </c>
      <c s="7" r="K87">
        <f>COUNTIF(PROJECT!U2:U100,"*Gender Equity in Empowerment and Rights*")</f>
        <v>0</v>
      </c>
      <c s="7" r="L87"/>
      <c s="7" r="M87"/>
      <c s="7" r="N87"/>
      <c s="7" r="O87"/>
      <c s="7" r="P87"/>
      <c s="7" r="Q87"/>
      <c s="7" r="R87"/>
      <c s="7" r="S87"/>
      <c s="7" r="T87"/>
    </row>
    <row r="88">
      <c t="s" s="7" r="D88">
        <v>170</v>
      </c>
      <c t="s" s="7" r="E88">
        <v>1897</v>
      </c>
      <c s="7" r="F88">
        <v>0</v>
      </c>
      <c s="7" r="G88">
        <v>1</v>
      </c>
      <c t="s" s="7" r="H88">
        <v>1826</v>
      </c>
      <c s="7" r="I88">
        <f>COUNTIF(EXPERTISE!F4:F50,"*Gender Equity in Opportunities*")</f>
        <v>0</v>
      </c>
      <c t="s" s="7" r="J88">
        <v>1826</v>
      </c>
      <c s="7" r="K88">
        <f>COUNTIF(PROJECT!U2:U100,"*Gender Equity in Opportunities*")</f>
        <v>0</v>
      </c>
      <c s="7" r="L88"/>
      <c s="7" r="M88"/>
      <c s="7" r="N88"/>
      <c s="7" r="O88"/>
      <c s="7" r="P88"/>
      <c s="7" r="Q88"/>
      <c s="7" r="R88"/>
      <c s="7" r="S88"/>
      <c s="7" r="T88"/>
    </row>
    <row r="89">
      <c t="s" s="7" r="D89">
        <v>170</v>
      </c>
      <c t="s" s="7" r="E89">
        <v>174</v>
      </c>
      <c s="7" r="F89">
        <v>0</v>
      </c>
      <c s="7" r="G89">
        <v>1</v>
      </c>
      <c t="s" s="7" r="H89">
        <v>1826</v>
      </c>
      <c s="7" r="I89">
        <f>COUNTIF(EXPERTISE!F4:F50,"*Indigenous Peoples*")</f>
        <v>1</v>
      </c>
      <c t="s" s="7" r="J89">
        <v>1826</v>
      </c>
      <c s="7" r="K89">
        <f>COUNTIF(PROJECT!U2:U100,"*Indigenous Peoples*")</f>
        <v>0</v>
      </c>
      <c s="7" r="L89"/>
      <c s="7" r="M89"/>
      <c s="7" r="N89"/>
      <c s="7" r="O89"/>
      <c s="7" r="P89"/>
      <c s="7" r="Q89"/>
      <c s="7" r="R89"/>
      <c s="7" r="S89"/>
      <c s="7" r="T89"/>
    </row>
    <row r="90">
      <c t="s" s="7" r="D90">
        <v>170</v>
      </c>
      <c t="s" s="7" r="E90">
        <v>176</v>
      </c>
      <c s="7" r="F90">
        <v>0</v>
      </c>
      <c s="7" r="G90">
        <v>1</v>
      </c>
      <c t="s" s="7" r="H90">
        <v>1826</v>
      </c>
      <c s="7" r="I90">
        <f>COUNTIF(EXPERTISE!F4:F50,"*Involuntary Resettlement*")</f>
        <v>1</v>
      </c>
      <c t="s" s="7" r="J90">
        <v>1826</v>
      </c>
      <c s="7" r="K90">
        <f>COUNTIF(PROJECT!U2:U100,"*Involuntary Resettlement*")</f>
        <v>0</v>
      </c>
      <c s="7" r="L90"/>
      <c s="7" r="M90"/>
      <c s="7" r="N90"/>
      <c s="7" r="O90"/>
      <c s="7" r="P90"/>
      <c s="7" r="Q90"/>
      <c s="7" r="R90"/>
      <c s="7" r="S90"/>
      <c s="7" r="T90"/>
    </row>
    <row r="91">
      <c t="s" s="7" r="D91">
        <v>170</v>
      </c>
      <c t="s" s="7" r="E91">
        <v>1898</v>
      </c>
      <c s="7" r="F91">
        <v>0</v>
      </c>
      <c s="7" r="G91">
        <v>1</v>
      </c>
      <c t="s" s="7" r="H91">
        <v>1826</v>
      </c>
      <c s="7" r="I91">
        <f>COUNTIF(EXPERTISE!F4:F50,"*Natural Disaster Management*")</f>
        <v>0</v>
      </c>
      <c t="s" s="7" r="J91">
        <v>1826</v>
      </c>
      <c s="7" r="K91">
        <f>COUNTIF(PROJECT!U2:U100,"*Natural Disaster Management*")</f>
        <v>0</v>
      </c>
      <c s="7" r="L91"/>
      <c s="7" r="M91"/>
      <c s="7" r="N91"/>
      <c s="7" r="O91"/>
      <c s="7" r="P91"/>
      <c s="7" r="Q91"/>
      <c s="7" r="R91"/>
      <c s="7" r="S91"/>
      <c s="7" r="T91"/>
    </row>
    <row r="92">
      <c t="s" s="7" r="D92">
        <v>170</v>
      </c>
      <c t="s" s="7" r="E92">
        <v>1899</v>
      </c>
      <c s="7" r="F92">
        <v>0</v>
      </c>
      <c s="7" r="G92">
        <v>1</v>
      </c>
      <c t="s" s="7" r="H92">
        <v>1826</v>
      </c>
      <c s="7" r="I92">
        <f>COUNTIF(EXPERTISE!F4:F50,"*Poverty Analysis*")</f>
        <v>0</v>
      </c>
      <c t="s" s="7" r="J92">
        <v>1826</v>
      </c>
      <c s="7" r="K92">
        <f>COUNTIF(PROJECT!U2:U100,"*Poverty Analysis*")</f>
        <v>0</v>
      </c>
      <c s="7" r="L92"/>
      <c s="7" r="M92"/>
      <c s="7" r="N92"/>
      <c s="7" r="O92"/>
      <c s="7" r="P92"/>
      <c s="7" r="Q92"/>
      <c s="7" r="R92"/>
      <c s="7" r="S92"/>
      <c s="7" r="T92"/>
    </row>
    <row r="93">
      <c t="s" s="7" r="D93">
        <v>170</v>
      </c>
      <c t="s" s="7" r="E93">
        <v>179</v>
      </c>
      <c s="7" r="F93">
        <v>0</v>
      </c>
      <c s="7" r="G93">
        <v>1</v>
      </c>
      <c t="s" s="7" r="H93">
        <v>1826</v>
      </c>
      <c s="7" r="I93">
        <f>COUNTIF(EXPERTISE!F4:F50,"*Poverty Monitoring*")</f>
        <v>1</v>
      </c>
      <c t="s" s="7" r="J93">
        <v>1826</v>
      </c>
      <c s="7" r="K93">
        <f>COUNTIF(PROJECT!U2:U100,"*Poverty Monitoring*")</f>
        <v>0</v>
      </c>
      <c s="7" r="L93"/>
      <c s="7" r="M93"/>
      <c s="7" r="N93"/>
      <c s="7" r="O93"/>
      <c s="7" r="P93"/>
      <c s="7" r="Q93"/>
      <c s="7" r="R93"/>
      <c s="7" r="S93"/>
      <c s="7" r="T93"/>
    </row>
    <row r="94">
      <c t="s" s="7" r="D94">
        <v>170</v>
      </c>
      <c t="s" s="7" r="E94">
        <v>180</v>
      </c>
      <c s="7" r="F94">
        <v>0</v>
      </c>
      <c s="7" r="G94">
        <v>1</v>
      </c>
      <c t="s" s="7" r="H94">
        <v>1826</v>
      </c>
      <c s="7" r="I94">
        <f>COUNTIF(EXPERTISE!F4:F50,"*Poverty Reduction Strategy*")</f>
        <v>1</v>
      </c>
      <c t="s" s="7" r="J94">
        <v>1826</v>
      </c>
      <c s="7" r="K94">
        <f>COUNTIF(PROJECT!U2:U100,"*Poverty Reduction Strategy*")</f>
        <v>0</v>
      </c>
      <c s="7" r="L94"/>
      <c s="7" r="M94"/>
      <c s="7" r="N94"/>
      <c s="7" r="O94"/>
      <c s="7" r="P94"/>
      <c s="7" r="Q94"/>
      <c s="7" r="R94"/>
      <c s="7" r="S94"/>
      <c s="7" r="T94"/>
    </row>
    <row r="95">
      <c t="s" s="7" r="D95">
        <v>170</v>
      </c>
      <c t="s" s="7" r="E95">
        <v>1900</v>
      </c>
      <c s="7" r="F95">
        <v>0</v>
      </c>
      <c s="7" r="G95">
        <v>1</v>
      </c>
      <c t="s" s="7" r="H95">
        <v>1826</v>
      </c>
      <c s="7" r="I95">
        <f>COUNTIF(EXPERTISE!F4:F50,"*Risk Assessment*")</f>
        <v>0</v>
      </c>
      <c t="s" s="7" r="J95">
        <v>1826</v>
      </c>
      <c s="7" r="K95">
        <f>COUNTIF(PROJECT!U2:U100,"*Risk Assessment*")</f>
        <v>0</v>
      </c>
      <c s="7" r="L95"/>
      <c s="7" r="M95"/>
      <c s="7" r="N95"/>
      <c s="7" r="O95"/>
      <c s="7" r="P95"/>
      <c s="7" r="Q95"/>
      <c s="7" r="R95"/>
      <c s="7" r="S95"/>
      <c s="7" r="T95"/>
    </row>
    <row r="96">
      <c t="s" s="7" r="D96">
        <v>170</v>
      </c>
      <c t="s" s="7" r="E96">
        <v>181</v>
      </c>
      <c s="7" r="F96">
        <v>0</v>
      </c>
      <c s="7" r="G96">
        <v>1</v>
      </c>
      <c t="s" s="7" r="H96">
        <v>1826</v>
      </c>
      <c s="7" r="I96">
        <f>COUNTIF(EXPERTISE!F4:F50,"*Social Analysis and Monitoring*")</f>
        <v>1</v>
      </c>
      <c t="s" s="7" r="J96">
        <v>1826</v>
      </c>
      <c s="7" r="K96">
        <f>COUNTIF(PROJECT!U2:U100,"*Social Analysis and Monitoring*")</f>
        <v>1</v>
      </c>
      <c s="7" r="L96"/>
      <c s="7" r="M96"/>
      <c s="7" r="N96"/>
      <c s="7" r="O96"/>
      <c s="7" r="P96"/>
      <c s="7" r="Q96"/>
      <c s="7" r="R96"/>
      <c s="7" r="S96"/>
      <c s="7" r="T96"/>
    </row>
    <row r="97">
      <c t="s" s="7" r="D97">
        <v>170</v>
      </c>
      <c t="s" s="7" r="E97">
        <v>1901</v>
      </c>
      <c s="7" r="F97">
        <v>0</v>
      </c>
      <c s="7" r="G97">
        <v>1</v>
      </c>
      <c t="s" s="7" r="H97">
        <v>1826</v>
      </c>
      <c s="7" r="I97">
        <f>COUNTIF(EXPERTISE!F4:F50,"*Social Inclusion*")</f>
        <v>0</v>
      </c>
      <c t="s" s="7" r="J97">
        <v>1826</v>
      </c>
      <c s="7" r="K97">
        <f>COUNTIF(PROJECT!U2:U100,"*Social Inclusion*")</f>
        <v>0</v>
      </c>
      <c s="7" r="L97"/>
      <c s="7" r="M97"/>
      <c s="7" r="N97"/>
      <c s="7" r="O97"/>
      <c s="7" r="P97"/>
      <c s="7" r="Q97"/>
      <c s="7" r="R97"/>
      <c s="7" r="S97"/>
      <c s="7" r="T97"/>
    </row>
    <row r="98">
      <c t="s" s="7" r="D98">
        <v>170</v>
      </c>
      <c t="s" s="7" r="E98">
        <v>1902</v>
      </c>
      <c s="7" r="F98">
        <v>0</v>
      </c>
      <c s="7" r="G98">
        <v>1</v>
      </c>
      <c t="s" s="7" r="H98">
        <v>1826</v>
      </c>
      <c s="7" r="I98">
        <f>COUNTIF(EXPERTISE!F4:F50,"*Social Protection and Risk Management*")</f>
        <v>0</v>
      </c>
      <c t="s" s="7" r="J98">
        <v>1826</v>
      </c>
      <c s="7" r="K98">
        <f>COUNTIF(PROJECT!U2:U100,"*Social Protection and Risk Management*")</f>
        <v>0</v>
      </c>
      <c s="7" r="L98"/>
      <c s="7" r="M98"/>
      <c s="7" r="N98"/>
      <c s="7" r="O98"/>
      <c s="7" r="P98"/>
      <c s="7" r="Q98"/>
      <c s="7" r="R98"/>
      <c s="7" r="S98"/>
      <c s="7" r="T98"/>
    </row>
    <row r="99">
      <c t="s" s="7" r="D99">
        <v>170</v>
      </c>
      <c t="s" s="7" r="E99">
        <v>1903</v>
      </c>
      <c s="7" r="F99">
        <v>0</v>
      </c>
      <c s="7" r="G99">
        <v>1</v>
      </c>
      <c t="s" s="7" r="H99">
        <v>1826</v>
      </c>
      <c s="7" r="I99">
        <f>COUNTIF(EXPERTISE!F4:F50,"*Social Risk Mitigation*")</f>
        <v>0</v>
      </c>
      <c t="s" s="7" r="J99">
        <v>1826</v>
      </c>
      <c s="7" r="K99">
        <f>COUNTIF(PROJECT!U2:U100,"*Social Risk Mitigation*")</f>
        <v>0</v>
      </c>
      <c s="7" r="L99"/>
      <c s="7" r="M99"/>
      <c s="7" r="N99"/>
      <c s="7" r="O99"/>
      <c s="7" r="P99"/>
      <c s="7" r="Q99"/>
      <c s="7" r="R99"/>
      <c s="7" r="S99"/>
      <c s="7" r="T99"/>
    </row>
    <row r="100">
      <c t="s" s="7" r="D100">
        <v>170</v>
      </c>
      <c t="s" s="7" r="E100">
        <v>1904</v>
      </c>
      <c s="7" r="F100">
        <v>0</v>
      </c>
      <c s="7" r="G100">
        <v>1</v>
      </c>
      <c t="s" s="7" r="H100">
        <v>1826</v>
      </c>
      <c s="7" r="I100">
        <f>COUNTIF(EXPERTISE!F4:F50,"*Social Safety Nets*")</f>
        <v>0</v>
      </c>
      <c t="s" s="7" r="J100">
        <v>1826</v>
      </c>
      <c s="7" r="K100">
        <f>COUNTIF(PROJECT!U2:U100,"*Social Safety Nets*")</f>
        <v>0</v>
      </c>
      <c s="7" r="L100"/>
      <c s="7" r="M100"/>
      <c s="7" r="N100"/>
      <c s="7" r="O100"/>
      <c s="7" r="P100"/>
      <c s="7" r="Q100"/>
      <c s="7" r="R100"/>
      <c s="7" r="S100"/>
      <c s="7" r="T100"/>
    </row>
    <row r="101">
      <c t="s" s="7" r="D101">
        <v>170</v>
      </c>
      <c t="s" s="7" r="E101">
        <v>182</v>
      </c>
      <c s="7" r="F101">
        <v>0</v>
      </c>
      <c s="7" r="G101">
        <v>1</v>
      </c>
      <c t="s" s="7" r="H101">
        <v>1826</v>
      </c>
      <c s="7" r="I101">
        <f>COUNTIF(EXPERTISE!F4:F50,"*Vulnerability Assessment*")</f>
        <v>1</v>
      </c>
      <c t="s" s="7" r="J101">
        <v>1826</v>
      </c>
      <c s="7" r="K101">
        <f>COUNTIF(PROJECT!U2:U100,"*Vulnerability Assessment*")</f>
        <v>0</v>
      </c>
      <c s="7" r="L101"/>
      <c s="7" r="M101"/>
      <c s="7" r="N101"/>
      <c s="7" r="O101"/>
      <c s="7" r="P101"/>
      <c s="7" r="Q101"/>
      <c s="7" r="R101"/>
      <c s="7" r="S101"/>
      <c s="7" r="T101"/>
    </row>
    <row r="102">
      <c t="s" s="7" r="D102">
        <v>170</v>
      </c>
      <c t="s" s="7" r="E102">
        <v>1905</v>
      </c>
      <c s="7" r="F102">
        <v>0</v>
      </c>
      <c s="7" r="G102">
        <v>1</v>
      </c>
      <c t="s" s="7" r="H102">
        <v>1826</v>
      </c>
      <c s="7" r="I102">
        <f>COUNTIF(EXPERTISE!F4:F50,"*Vulnerability Monitoring*")</f>
        <v>0</v>
      </c>
      <c t="s" s="7" r="J102">
        <v>1826</v>
      </c>
      <c s="7" r="K102">
        <f>COUNTIF(PROJECT!U2:U100,"*Vulnerability Monitoring*")</f>
        <v>0</v>
      </c>
      <c s="7" r="L102"/>
      <c s="7" r="M102"/>
      <c s="7" r="N102"/>
      <c s="7" r="O102"/>
      <c s="7" r="P102"/>
      <c s="7" r="Q102"/>
      <c s="7" r="R102"/>
      <c s="7" r="S102"/>
      <c s="7" r="T102"/>
    </row>
    <row r="103">
      <c t="s" s="7" r="D103">
        <v>170</v>
      </c>
      <c t="s" s="7" r="E103">
        <v>183</v>
      </c>
      <c s="7" r="F103">
        <v>0</v>
      </c>
      <c s="7" r="G103">
        <v>1</v>
      </c>
      <c t="s" s="7" r="H103">
        <v>1826</v>
      </c>
      <c s="7" r="I103">
        <f>COUNTIF(EXPERTISE!F4:F50,"*Vulnerable Groups*")</f>
        <v>1</v>
      </c>
      <c t="s" s="7" r="J103">
        <v>1826</v>
      </c>
      <c s="7" r="K103">
        <f>COUNTIF(PROJECT!U2:U100,"*Vulnerable Groups*")</f>
        <v>0</v>
      </c>
      <c s="7" r="L103"/>
      <c s="7" r="M103"/>
      <c s="7" r="N103"/>
      <c s="7" r="O103"/>
      <c s="7" r="P103"/>
      <c s="7" r="Q103"/>
      <c s="7" r="R103"/>
      <c s="7" r="S103"/>
      <c s="7" r="T103"/>
    </row>
    <row r="104">
      <c t="s" s="7" r="D104">
        <v>1834</v>
      </c>
      <c t="s" s="7" r="E104">
        <v>1906</v>
      </c>
      <c s="7" r="F104">
        <v>1</v>
      </c>
      <c s="7" r="G104">
        <v>1</v>
      </c>
      <c s="7" r="H104">
        <f>COUNTIF(EXPERTISE!E4:E50,"*Trade and Integration*")</f>
        <v>0</v>
      </c>
      <c s="7" r="I104">
        <f>COUNTIF(EXPERTISE!F4:F50,"*Cross-Border Infrastructure*")</f>
        <v>0</v>
      </c>
      <c s="7" r="J104">
        <f>COUNTIF(PROJECT!T2:T100,"*Trade and Integration*")</f>
        <v>0</v>
      </c>
      <c s="7" r="K104">
        <f>COUNTIF(PROJECT!U2:U100,"*Cross-Border Infrastructure*")</f>
        <v>0</v>
      </c>
      <c s="7" r="L104"/>
      <c s="7" r="M104"/>
      <c s="7" r="N104"/>
      <c s="7" r="O104"/>
      <c s="7" r="P104"/>
      <c s="7" r="Q104"/>
      <c s="7" r="R104"/>
      <c s="7" r="S104"/>
      <c s="7" r="T104"/>
    </row>
    <row r="105">
      <c t="s" s="7" r="D105">
        <v>1834</v>
      </c>
      <c t="s" s="7" r="E105">
        <v>1907</v>
      </c>
      <c s="7" r="F105">
        <v>0</v>
      </c>
      <c s="7" r="G105">
        <v>1</v>
      </c>
      <c t="s" s="7" r="H105">
        <v>1826</v>
      </c>
      <c s="7" r="I105">
        <f>COUNTIF(EXPERTISE!F4:F50,"*Export Development and Competitiveness*")</f>
        <v>0</v>
      </c>
      <c t="s" s="7" r="J105">
        <v>1826</v>
      </c>
      <c s="7" r="K105">
        <f>COUNTIF(PROJECT!U2:U100,"*Export Development and Competitiveness*")</f>
        <v>0</v>
      </c>
      <c s="7" r="L105"/>
      <c s="7" r="M105"/>
      <c s="7" r="N105"/>
      <c s="7" r="O105"/>
      <c s="7" r="P105"/>
      <c s="7" r="Q105"/>
      <c s="7" r="R105"/>
      <c s="7" r="S105"/>
      <c s="7" r="T105"/>
    </row>
    <row r="106">
      <c t="s" s="7" r="D106">
        <v>1834</v>
      </c>
      <c t="s" s="7" r="E106">
        <v>1908</v>
      </c>
      <c s="7" r="F106">
        <v>0</v>
      </c>
      <c s="7" r="G106">
        <v>1</v>
      </c>
      <c t="s" s="7" r="H106">
        <v>1826</v>
      </c>
      <c s="7" r="I106">
        <f>COUNTIF(EXPERTISE!F4:F50,"*International Financial Architecture*")</f>
        <v>0</v>
      </c>
      <c t="s" s="7" r="J106">
        <v>1826</v>
      </c>
      <c s="7" r="K106">
        <f>COUNTIF(PROJECT!U2:U100,"*International Financial Architecture*")</f>
        <v>0</v>
      </c>
      <c s="7" r="L106"/>
      <c s="7" r="M106"/>
      <c s="7" r="N106"/>
      <c s="7" r="O106"/>
      <c s="7" r="P106"/>
      <c s="7" r="Q106"/>
      <c s="7" r="R106"/>
      <c s="7" r="S106"/>
      <c s="7" r="T106"/>
    </row>
    <row r="107">
      <c t="s" s="7" r="D107">
        <v>1834</v>
      </c>
      <c t="s" s="7" r="E107">
        <v>1909</v>
      </c>
      <c s="7" r="F107">
        <v>0</v>
      </c>
      <c s="7" r="G107">
        <v>1</v>
      </c>
      <c t="s" s="7" r="H107">
        <v>1826</v>
      </c>
      <c s="7" r="I107">
        <f>COUNTIF(EXPERTISE!F4:F50,"*International Financial Institutional Trade Networks and Systems*")</f>
        <v>0</v>
      </c>
      <c t="s" s="7" r="J107">
        <v>1826</v>
      </c>
      <c s="7" r="K107">
        <f>COUNTIF(PROJECT!U2:U100,"*International Financial Institutional Trade Networks and Systems*")</f>
        <v>0</v>
      </c>
      <c s="7" r="L107"/>
      <c s="7" r="M107"/>
      <c s="7" r="N107"/>
      <c s="7" r="O107"/>
      <c s="7" r="P107"/>
      <c s="7" r="Q107"/>
      <c s="7" r="R107"/>
      <c s="7" r="S107"/>
      <c s="7" r="T107"/>
    </row>
    <row r="108">
      <c t="s" s="7" r="D108">
        <v>1834</v>
      </c>
      <c t="s" s="7" r="E108">
        <v>1910</v>
      </c>
      <c s="7" r="F108">
        <v>0</v>
      </c>
      <c s="7" r="G108">
        <v>1</v>
      </c>
      <c t="s" s="7" r="H108">
        <v>1826</v>
      </c>
      <c s="7" r="I108">
        <f>COUNTIF(EXPERTISE!F4:F50,"*International Financial Standards and Systems*")</f>
        <v>0</v>
      </c>
      <c t="s" s="7" r="J108">
        <v>1826</v>
      </c>
      <c s="7" r="K108">
        <f>COUNTIF(PROJECT!U2:U100,"*International Financial Standards and Systems*")</f>
        <v>0</v>
      </c>
      <c s="7" r="L108"/>
      <c s="7" r="M108"/>
      <c s="7" r="N108"/>
      <c s="7" r="O108"/>
      <c s="7" r="P108"/>
      <c s="7" r="Q108"/>
      <c s="7" r="R108"/>
      <c s="7" r="S108"/>
      <c s="7" r="T108"/>
    </row>
    <row r="109">
      <c t="s" s="7" r="D109">
        <v>1834</v>
      </c>
      <c t="s" s="7" r="E109">
        <v>1911</v>
      </c>
      <c s="7" r="F109">
        <v>0</v>
      </c>
      <c s="7" r="G109">
        <v>1</v>
      </c>
      <c t="s" s="7" r="H109">
        <v>1826</v>
      </c>
      <c s="7" r="I109">
        <f>COUNTIF(EXPERTISE!F4:F50,"*Money and Finance*")</f>
        <v>0</v>
      </c>
      <c t="s" s="7" r="J109">
        <v>1826</v>
      </c>
      <c s="7" r="K109">
        <f>COUNTIF(PROJECT!U2:U100,"*Money and Finance*")</f>
        <v>0</v>
      </c>
      <c s="7" r="L109"/>
      <c s="7" r="M109"/>
      <c s="7" r="N109"/>
      <c s="7" r="O109"/>
      <c s="7" r="P109"/>
      <c s="7" r="Q109"/>
      <c s="7" r="R109"/>
      <c s="7" r="S109"/>
      <c s="7" r="T109"/>
    </row>
    <row r="110">
      <c t="s" s="7" r="D110">
        <v>1834</v>
      </c>
      <c t="s" s="7" r="E110">
        <v>1912</v>
      </c>
      <c s="7" r="F110">
        <v>0</v>
      </c>
      <c s="7" r="G110">
        <v>1</v>
      </c>
      <c t="s" s="7" r="H110">
        <v>1826</v>
      </c>
      <c s="7" r="I110">
        <f>COUNTIF(EXPERTISE!F4:F50,"*Other Trade and Integration*")</f>
        <v>0</v>
      </c>
      <c t="s" s="7" r="J110">
        <v>1826</v>
      </c>
      <c s="7" r="K110">
        <f>COUNTIF(PROJECT!U2:U100,"*Other Trade and Integration*")</f>
        <v>0</v>
      </c>
      <c s="7" r="L110"/>
      <c s="7" r="M110"/>
      <c s="7" r="N110"/>
      <c s="7" r="O110"/>
      <c s="7" r="P110"/>
      <c s="7" r="Q110"/>
      <c s="7" r="R110"/>
      <c s="7" r="S110"/>
      <c s="7" r="T110"/>
    </row>
    <row r="111">
      <c t="s" s="7" r="D111">
        <v>1834</v>
      </c>
      <c t="s" s="7" r="E111">
        <v>1913</v>
      </c>
      <c s="7" r="F111">
        <v>0</v>
      </c>
      <c s="7" r="G111">
        <v>1</v>
      </c>
      <c t="s" s="7" r="H111">
        <v>1826</v>
      </c>
      <c s="7" r="I111">
        <f>COUNTIF(EXPERTISE!F4:F50,"*Regional Integration*")</f>
        <v>0</v>
      </c>
      <c t="s" s="7" r="J111">
        <v>1826</v>
      </c>
      <c s="7" r="K111">
        <f>COUNTIF(PROJECT!U2:U100,"*Regional Integration*")</f>
        <v>0</v>
      </c>
      <c s="7" r="L111"/>
      <c s="7" r="M111"/>
      <c s="7" r="N111"/>
      <c s="7" r="O111"/>
      <c s="7" r="P111"/>
      <c s="7" r="Q111"/>
      <c s="7" r="R111"/>
      <c s="7" r="S111"/>
      <c s="7" r="T111"/>
    </row>
    <row r="112">
      <c t="s" s="7" r="D112">
        <v>1834</v>
      </c>
      <c t="s" s="7" r="E112">
        <v>1914</v>
      </c>
      <c s="7" r="F112">
        <v>0</v>
      </c>
      <c s="7" r="G112">
        <v>1</v>
      </c>
      <c t="s" s="7" r="H112">
        <v>1826</v>
      </c>
      <c s="7" r="I112">
        <f>COUNTIF(EXPERTISE!F4:F50,"*Regional Public Goods*")</f>
        <v>0</v>
      </c>
      <c t="s" s="7" r="J112">
        <v>1826</v>
      </c>
      <c s="7" r="K112">
        <f>COUNTIF(PROJECT!U2:U100,"*Regional Public Goods*")</f>
        <v>0</v>
      </c>
      <c s="7" r="L112"/>
      <c s="7" r="M112"/>
      <c s="7" r="N112"/>
      <c s="7" r="O112"/>
      <c s="7" r="P112"/>
      <c s="7" r="Q112"/>
      <c s="7" r="R112"/>
      <c s="7" r="S112"/>
      <c s="7" r="T112"/>
    </row>
    <row r="113">
      <c t="s" s="7" r="D113">
        <v>1834</v>
      </c>
      <c t="s" s="7" r="E113">
        <v>1915</v>
      </c>
      <c s="7" r="F113">
        <v>0</v>
      </c>
      <c s="7" r="G113">
        <v>1</v>
      </c>
      <c t="s" s="7" r="H113">
        <v>1826</v>
      </c>
      <c s="7" r="I113">
        <f>COUNTIF(EXPERTISE!F4:F50,"*Technology Diffusion*")</f>
        <v>0</v>
      </c>
      <c t="s" s="7" r="J113">
        <v>1826</v>
      </c>
      <c s="7" r="K113">
        <f>COUNTIF(PROJECT!U2:U100,"*Technology Diffusion*")</f>
        <v>0</v>
      </c>
      <c s="7" r="L113"/>
      <c s="7" r="M113"/>
      <c s="7" r="N113"/>
      <c s="7" r="O113"/>
      <c s="7" r="P113"/>
      <c s="7" r="Q113"/>
      <c s="7" r="R113"/>
      <c s="7" r="S113"/>
      <c s="7" r="T113"/>
    </row>
    <row r="114">
      <c t="s" s="7" r="D114">
        <v>1834</v>
      </c>
      <c t="s" s="7" r="E114">
        <v>1916</v>
      </c>
      <c s="7" r="F114">
        <v>0</v>
      </c>
      <c s="7" r="G114">
        <v>1</v>
      </c>
      <c t="s" s="7" r="H114">
        <v>1826</v>
      </c>
      <c s="7" r="I114">
        <f>COUNTIF(EXPERTISE!F4:F50,"*Trade and Investments*")</f>
        <v>0</v>
      </c>
      <c t="s" s="7" r="J114">
        <v>1826</v>
      </c>
      <c s="7" r="K114">
        <f>COUNTIF(PROJECT!U2:U100,"*Trade and Investments*")</f>
        <v>0</v>
      </c>
      <c s="7" r="L114"/>
      <c s="7" r="M114"/>
      <c s="7" r="N114"/>
      <c s="7" r="O114"/>
      <c s="7" r="P114"/>
      <c s="7" r="Q114"/>
      <c s="7" r="R114"/>
      <c s="7" r="S114"/>
      <c s="7" r="T114"/>
    </row>
    <row r="115">
      <c t="s" s="7" r="D115">
        <v>1834</v>
      </c>
      <c t="s" s="7" r="E115">
        <v>1917</v>
      </c>
      <c s="7" r="F115">
        <v>0</v>
      </c>
      <c s="7" r="G115">
        <v>1</v>
      </c>
      <c t="s" s="7" r="H115">
        <v>1826</v>
      </c>
      <c s="7" r="I115">
        <f>COUNTIF(EXPERTISE!F4:F50,"*Trade Facilitation and Market Access*")</f>
        <v>0</v>
      </c>
      <c t="s" s="7" r="J115">
        <v>1826</v>
      </c>
      <c s="7" r="K115">
        <f>COUNTIF(PROJECT!U2:U100,"*Trade Facilitation and Market Access*")</f>
        <v>0</v>
      </c>
      <c s="7" r="L115"/>
      <c s="7" r="M115"/>
      <c s="7" r="N115"/>
      <c s="7" r="O115"/>
      <c s="7" r="P115"/>
      <c s="7" r="Q115"/>
      <c s="7" r="R115"/>
      <c s="7" r="S115"/>
      <c s="7" r="T115"/>
    </row>
    <row r="116">
      <c t="s" s="7" r="D116">
        <v>1836</v>
      </c>
      <c t="s" s="7" r="E116">
        <v>1918</v>
      </c>
      <c s="7" r="F116">
        <v>1</v>
      </c>
      <c s="7" r="G116">
        <v>1</v>
      </c>
      <c s="7" r="H116">
        <f>COUNTIF(EXPERTISE!E4:E50,"*Urban Development*")</f>
        <v>0</v>
      </c>
      <c s="7" r="I116">
        <f>COUNTIF(EXPERTISE!F4:F50,"*City-Wide Infrastructure*")</f>
        <v>0</v>
      </c>
      <c s="7" r="J116">
        <f>COUNTIF(PROJECT!T2:T100,"*Urban Development*")</f>
        <v>0</v>
      </c>
      <c s="7" r="K116">
        <f>COUNTIF(PROJECT!U2:U100,"*City-Wide Infrastructure*")</f>
        <v>0</v>
      </c>
      <c s="7" r="L116"/>
      <c s="7" r="M116"/>
      <c s="7" r="N116"/>
      <c s="7" r="O116"/>
      <c s="7" r="P116"/>
      <c s="7" r="Q116"/>
      <c s="7" r="R116"/>
      <c s="7" r="S116"/>
      <c s="7" r="T116"/>
    </row>
    <row r="117">
      <c t="s" s="7" r="D117">
        <v>1836</v>
      </c>
      <c t="s" s="7" r="E117">
        <v>1919</v>
      </c>
      <c s="7" r="F117">
        <v>0</v>
      </c>
      <c s="7" r="G117">
        <v>1</v>
      </c>
      <c t="s" s="7" r="H117">
        <v>1826</v>
      </c>
      <c s="7" r="I117">
        <f>COUNTIF(EXPERTISE!F4:F50,"*Housing Construction for the Poor*")</f>
        <v>0</v>
      </c>
      <c t="s" s="7" r="J117">
        <v>1826</v>
      </c>
      <c s="7" r="K117">
        <f>COUNTIF(PROJECT!U2:U100,"*Housing Construction for the Poor*")</f>
        <v>0</v>
      </c>
      <c s="7" r="L117"/>
      <c s="7" r="M117"/>
      <c s="7" r="N117"/>
      <c s="7" r="O117"/>
      <c s="7" r="P117"/>
      <c s="7" r="Q117"/>
      <c s="7" r="R117"/>
      <c s="7" r="S117"/>
      <c s="7" r="T117"/>
    </row>
    <row r="118">
      <c t="s" s="7" r="D118">
        <v>1836</v>
      </c>
      <c t="s" s="7" r="E118">
        <v>1920</v>
      </c>
      <c s="7" r="F118">
        <v>0</v>
      </c>
      <c s="7" r="G118">
        <v>1</v>
      </c>
      <c t="s" s="7" r="H118">
        <v>1826</v>
      </c>
      <c s="7" r="I118">
        <f>COUNTIF(EXPERTISE!F4:F50,"*Housing Policy for the Poor*")</f>
        <v>0</v>
      </c>
      <c t="s" s="7" r="J118">
        <v>1826</v>
      </c>
      <c s="7" r="K118">
        <f>COUNTIF(PROJECT!U2:U100,"*Housing Policy for the Poor*")</f>
        <v>0</v>
      </c>
      <c s="7" r="L118"/>
      <c s="7" r="M118"/>
      <c s="7" r="N118"/>
      <c s="7" r="O118"/>
      <c s="7" r="P118"/>
      <c s="7" r="Q118"/>
      <c s="7" r="R118"/>
      <c s="7" r="S118"/>
      <c s="7" r="T118"/>
    </row>
    <row r="119">
      <c t="s" s="7" r="D119">
        <v>1836</v>
      </c>
      <c t="s" s="7" r="E119">
        <v>1921</v>
      </c>
      <c s="7" r="F119">
        <v>0</v>
      </c>
      <c s="7" r="G119">
        <v>1</v>
      </c>
      <c t="s" s="7" r="H119">
        <v>1826</v>
      </c>
      <c s="7" r="I119">
        <f>COUNTIF(EXPERTISE!F4:F50,"*Municipal Finance*")</f>
        <v>0</v>
      </c>
      <c t="s" s="7" r="J119">
        <v>1826</v>
      </c>
      <c s="7" r="K119">
        <f>COUNTIF(PROJECT!U2:U100,"*Municipal Finance*")</f>
        <v>0</v>
      </c>
      <c s="7" r="L119"/>
      <c s="7" r="M119"/>
      <c s="7" r="N119"/>
      <c s="7" r="O119"/>
      <c s="7" r="P119"/>
      <c s="7" r="Q119"/>
      <c s="7" r="R119"/>
      <c s="7" r="S119"/>
      <c s="7" r="T119"/>
    </row>
    <row r="120">
      <c t="s" s="7" r="D120">
        <v>1836</v>
      </c>
      <c t="s" s="7" r="E120">
        <v>1922</v>
      </c>
      <c s="7" r="F120">
        <v>0</v>
      </c>
      <c s="7" r="G120">
        <v>1</v>
      </c>
      <c t="s" s="7" r="H120">
        <v>1826</v>
      </c>
      <c s="7" r="I120">
        <f>COUNTIF(EXPERTISE!F4:F50,"*Municipal Governance and Institution Building*")</f>
        <v>0</v>
      </c>
      <c t="s" s="7" r="J120">
        <v>1826</v>
      </c>
      <c s="7" r="K120">
        <f>COUNTIF(PROJECT!U2:U100,"*Municipal Governance and Institution Building*")</f>
        <v>0</v>
      </c>
      <c s="7" r="L120"/>
      <c s="7" r="M120"/>
      <c s="7" r="N120"/>
      <c s="7" r="O120"/>
      <c s="7" r="P120"/>
      <c s="7" r="Q120"/>
      <c s="7" r="R120"/>
      <c s="7" r="S120"/>
      <c s="7" r="T120"/>
    </row>
    <row r="121">
      <c t="s" s="7" r="D121">
        <v>1836</v>
      </c>
      <c t="s" s="7" r="E121">
        <v>1923</v>
      </c>
      <c s="7" r="F121">
        <v>0</v>
      </c>
      <c s="7" r="G121">
        <v>1</v>
      </c>
      <c t="s" s="7" r="H121">
        <v>1826</v>
      </c>
      <c s="7" r="I121">
        <f>COUNTIF(EXPERTISE!F4:F50,"*Service Delivery*")</f>
        <v>0</v>
      </c>
      <c t="s" s="7" r="J121">
        <v>1826</v>
      </c>
      <c s="7" r="K121">
        <f>COUNTIF(PROJECT!U2:U100,"*Service Delivery*")</f>
        <v>0</v>
      </c>
      <c s="7" r="L121"/>
      <c s="7" r="M121"/>
      <c s="7" r="N121"/>
      <c s="7" r="O121"/>
      <c s="7" r="P121"/>
      <c s="7" r="Q121"/>
      <c s="7" r="R121"/>
      <c s="7" r="S121"/>
      <c s="7" r="T121"/>
    </row>
    <row r="122">
      <c t="s" s="7" r="D122">
        <v>1836</v>
      </c>
      <c t="s" s="7" r="E122">
        <v>1924</v>
      </c>
      <c s="7" r="F122">
        <v>0</v>
      </c>
      <c s="7" r="G122">
        <v>1</v>
      </c>
      <c t="s" s="7" r="H122">
        <v>1826</v>
      </c>
      <c s="7" r="I122">
        <f>COUNTIF(EXPERTISE!F4:F50,"*Urban Development -regional*")</f>
        <v>0</v>
      </c>
      <c t="s" s="7" r="J122">
        <v>1826</v>
      </c>
      <c s="7" r="K122">
        <f>COUNTIF(PROJECT!U2:U100,"*Urban Development -regional*")</f>
        <v>0</v>
      </c>
      <c s="7" r="L122"/>
      <c s="7" r="M122"/>
      <c s="7" r="N122"/>
      <c s="7" r="O122"/>
      <c s="7" r="P122"/>
      <c s="7" r="Q122"/>
      <c s="7" r="R122"/>
      <c s="7" r="S122"/>
      <c s="7" r="T122"/>
    </row>
    <row r="123">
      <c t="s" s="7" r="D123">
        <v>1836</v>
      </c>
      <c t="s" s="7" r="E123">
        <v>1925</v>
      </c>
      <c s="7" r="F123">
        <v>0</v>
      </c>
      <c s="7" r="G123">
        <v>1</v>
      </c>
      <c t="s" s="7" r="H123">
        <v>1826</v>
      </c>
      <c s="7" r="I123">
        <f>COUNTIF(EXPERTISE!F4:F50,"*Urban Economic Development*")</f>
        <v>0</v>
      </c>
      <c t="s" s="7" r="J123">
        <v>1826</v>
      </c>
      <c s="7" r="K123">
        <f>COUNTIF(PROJECT!U2:U100,"*Urban Economic Development*")</f>
        <v>0</v>
      </c>
      <c s="7" r="L123"/>
      <c s="7" r="M123"/>
      <c s="7" r="N123"/>
      <c s="7" r="O123"/>
      <c s="7" r="P123"/>
      <c s="7" r="Q123"/>
      <c s="7" r="R123"/>
      <c s="7" r="S123"/>
      <c s="7" r="T123"/>
    </row>
    <row r="124">
      <c t="s" s="7" r="D124">
        <v>1836</v>
      </c>
      <c t="s" s="7" r="E124">
        <v>1926</v>
      </c>
      <c s="7" r="F124">
        <v>0</v>
      </c>
      <c s="7" r="G124">
        <v>1</v>
      </c>
      <c t="s" s="7" r="H124">
        <v>1826</v>
      </c>
      <c s="7" r="I124">
        <f>COUNTIF(EXPERTISE!F4:F50,"*Urban Planning*")</f>
        <v>0</v>
      </c>
      <c t="s" s="7" r="J124">
        <v>1826</v>
      </c>
      <c s="7" r="K124">
        <f>COUNTIF(PROJECT!U2:U100,"*Urban Planning*")</f>
        <v>0</v>
      </c>
      <c s="7" r="L124"/>
      <c s="7" r="M124"/>
      <c s="7" r="N124"/>
      <c s="7" r="O124"/>
      <c s="7" r="P124"/>
      <c s="7" r="Q124"/>
      <c s="7" r="R124"/>
      <c s="7" r="S124"/>
      <c s="7" r="T124"/>
    </row>
    <row r="125">
      <c t="s" s="7" r="D125">
        <v>1836</v>
      </c>
      <c t="s" s="7" r="E125">
        <v>1927</v>
      </c>
      <c s="7" r="F125">
        <v>0</v>
      </c>
      <c s="7" r="G125">
        <v>1</v>
      </c>
      <c t="s" s="7" r="H125">
        <v>1826</v>
      </c>
      <c s="7" r="I125">
        <f>COUNTIF(EXPERTISE!F4:F50,"*Urban Services*")</f>
        <v>0</v>
      </c>
      <c t="s" s="7" r="J125">
        <v>1826</v>
      </c>
      <c s="7" r="K125">
        <f>COUNTIF(PROJECT!U2:U100,"*Urban Services*")</f>
        <v>0</v>
      </c>
      <c s="7" r="L125"/>
      <c s="7" r="M125"/>
      <c s="7" r="N125"/>
      <c s="7" r="O125"/>
      <c s="7" r="P125"/>
      <c s="7" r="Q125"/>
      <c s="7" r="R125"/>
      <c s="7" r="S125"/>
      <c s="7" r="T125"/>
    </row>
    <row r="126">
      <c s="7" r="D126"/>
      <c s="7" r="E126"/>
      <c s="7" r="F126"/>
      <c s="7" r="G126"/>
      <c s="7" r="H126"/>
      <c s="7" r="I126"/>
      <c s="7" r="J126"/>
      <c s="7" r="K126"/>
      <c s="7" r="L126"/>
      <c s="7" r="M126"/>
      <c s="7" r="N126"/>
      <c s="7" r="O126"/>
      <c s="7" r="P126"/>
      <c s="7" r="Q126"/>
      <c s="7" r="R126"/>
      <c s="7" r="S126"/>
      <c s="7" r="T126"/>
    </row>
    <row r="127">
      <c s="7" r="D127"/>
      <c s="7" r="E127"/>
      <c s="7" r="F127"/>
      <c s="7" r="G127"/>
      <c s="7" r="H127"/>
      <c s="7" r="I127"/>
      <c s="7" r="J127"/>
      <c s="7" r="K127"/>
      <c s="7" r="L127"/>
      <c s="7" r="M127"/>
      <c s="7" r="N127"/>
      <c s="7" r="O127"/>
      <c s="7" r="P127"/>
      <c s="7" r="Q127"/>
      <c s="7" r="R127"/>
      <c s="7" r="S127"/>
      <c s="7" r="T127"/>
    </row>
    <row r="128">
      <c s="7" r="D128"/>
      <c s="7" r="E128"/>
      <c s="7" r="F128"/>
      <c s="7" r="G128"/>
      <c s="7" r="H128"/>
      <c s="7" r="I128"/>
      <c s="7" r="J128"/>
      <c s="7" r="K128"/>
      <c s="7" r="L128"/>
      <c s="7" r="M128"/>
      <c s="7" r="N128"/>
      <c s="7" r="O128"/>
      <c s="7" r="P128"/>
      <c s="7" r="Q128"/>
      <c s="7" r="R128"/>
      <c s="7" r="S128"/>
      <c s="7" r="T128"/>
    </row>
    <row r="129">
      <c s="7" r="D129"/>
      <c s="7" r="E129"/>
      <c s="7" r="F129"/>
      <c s="7" r="G129"/>
      <c s="7" r="H129"/>
      <c s="7" r="I129"/>
      <c s="7" r="J129"/>
      <c s="7" r="K129"/>
      <c s="7" r="L129"/>
      <c s="7" r="M129"/>
      <c s="7" r="N129"/>
      <c s="7" r="O129"/>
      <c s="7" r="P129"/>
      <c s="7" r="Q129"/>
      <c s="7" r="R129"/>
      <c s="7" r="S129"/>
      <c s="7" r="T129"/>
    </row>
    <row r="130">
      <c s="7" r="D130"/>
      <c s="7" r="E130"/>
      <c s="7" r="F130"/>
      <c s="7" r="G130"/>
      <c s="7" r="H130"/>
      <c s="7" r="I130"/>
      <c s="7" r="J130"/>
      <c s="7" r="K130"/>
      <c s="7" r="L130"/>
      <c s="7" r="M130"/>
      <c s="7" r="N130"/>
      <c s="7" r="O130"/>
      <c s="7" r="P130"/>
      <c s="7" r="Q130"/>
      <c s="7" r="R130"/>
      <c s="7" r="S130"/>
      <c s="7" r="T130"/>
    </row>
    <row r="131">
      <c s="7" r="D131"/>
      <c s="7" r="E131"/>
      <c s="7" r="F131"/>
      <c s="7" r="G131"/>
      <c s="7" r="H131"/>
      <c s="7" r="I131"/>
      <c s="7" r="J131"/>
      <c s="7" r="K131"/>
      <c s="7" r="L131"/>
      <c s="7" r="M131"/>
      <c s="7" r="N131"/>
      <c s="7" r="O131"/>
      <c s="7" r="P131"/>
      <c s="7" r="Q131"/>
      <c s="7" r="R131"/>
      <c s="7" r="S131"/>
      <c s="7" r="T131"/>
    </row>
    <row r="132">
      <c s="7" r="D132"/>
      <c s="7" r="E132"/>
      <c s="7" r="F132"/>
      <c s="7" r="G132"/>
      <c s="7" r="H132"/>
      <c s="7" r="I132"/>
      <c s="7" r="J132"/>
      <c s="7" r="K132"/>
      <c s="7" r="L132"/>
      <c s="7" r="M132"/>
      <c s="7" r="N132"/>
      <c s="7" r="O132"/>
      <c s="7" r="P132"/>
      <c s="7" r="Q132"/>
      <c s="7" r="R132"/>
      <c s="7" r="S132"/>
      <c s="7" r="T132"/>
    </row>
    <row r="133">
      <c s="7" r="D133"/>
      <c s="7" r="E133"/>
      <c s="7" r="F133"/>
      <c s="7" r="G133"/>
      <c s="7" r="H133"/>
      <c s="7" r="I133"/>
      <c s="7" r="J133"/>
      <c s="7" r="K133"/>
      <c s="7" r="L133"/>
      <c s="7" r="M133"/>
      <c s="7" r="N133"/>
      <c s="7" r="O133"/>
      <c s="7" r="P133"/>
      <c s="7" r="Q133"/>
      <c s="7" r="R133"/>
      <c s="7" r="S133"/>
      <c s="7" r="T133"/>
    </row>
    <row r="134">
      <c s="7" r="D134"/>
      <c s="7" r="E134"/>
      <c s="7" r="F134"/>
      <c s="7" r="G134"/>
      <c s="7" r="H134"/>
      <c s="7" r="I134"/>
      <c s="7" r="J134"/>
      <c s="7" r="K134"/>
      <c s="7" r="L134"/>
      <c s="7" r="M134"/>
      <c s="7" r="N134"/>
      <c s="7" r="O134"/>
      <c s="7" r="P134"/>
      <c s="7" r="Q134"/>
      <c s="7" r="R134"/>
      <c s="7" r="S134"/>
      <c s="7" r="T134"/>
    </row>
    <row r="135">
      <c s="7" r="D135"/>
      <c s="7" r="E135"/>
      <c s="7" r="F135"/>
      <c s="7" r="G135"/>
      <c s="7" r="H135"/>
      <c s="7" r="I135"/>
      <c s="7" r="J135"/>
      <c s="7" r="K135"/>
      <c s="7" r="L135"/>
      <c s="7" r="M135"/>
      <c s="7" r="N135"/>
      <c s="7" r="O135"/>
      <c s="7" r="P135"/>
      <c s="7" r="Q135"/>
      <c s="7" r="R135"/>
      <c s="7" r="S135"/>
      <c s="7" r="T135"/>
    </row>
    <row r="136">
      <c s="7" r="D136"/>
      <c s="7" r="E136"/>
      <c s="7" r="F136"/>
      <c s="7" r="G136"/>
      <c s="7" r="H136"/>
      <c s="7" r="I136"/>
      <c s="7" r="J136"/>
      <c s="7" r="K136"/>
      <c s="7" r="L136"/>
      <c s="7" r="M136"/>
      <c s="7" r="N136"/>
      <c s="7" r="O136"/>
      <c s="7" r="P136"/>
      <c s="7" r="Q136"/>
      <c s="7" r="R136"/>
      <c s="7" r="S136"/>
      <c s="7" r="T136"/>
    </row>
    <row r="137">
      <c s="7" r="D137"/>
      <c s="7" r="E137"/>
      <c s="7" r="F137"/>
      <c s="7" r="G137"/>
      <c s="7" r="H137"/>
      <c s="7" r="I137"/>
      <c s="7" r="J137"/>
      <c s="7" r="K137"/>
      <c s="7" r="L137"/>
      <c s="7" r="M137"/>
      <c s="7" r="N137"/>
      <c s="7" r="O137"/>
      <c s="7" r="P137"/>
      <c s="7" r="Q137"/>
      <c s="7" r="R137"/>
      <c s="7" r="S137"/>
      <c s="7" r="T137"/>
    </row>
    <row r="138">
      <c s="7" r="D138"/>
      <c s="7" r="E138"/>
      <c s="7" r="F138"/>
      <c s="7" r="G138"/>
      <c s="7" r="H138"/>
      <c s="7" r="I138"/>
      <c s="7" r="J138"/>
      <c s="7" r="K138"/>
      <c s="7" r="L138"/>
      <c s="7" r="M138"/>
      <c s="7" r="N138"/>
      <c s="7" r="O138"/>
      <c s="7" r="P138"/>
      <c s="7" r="Q138"/>
      <c s="7" r="R138"/>
      <c s="7" r="S138"/>
      <c s="7" r="T138"/>
    </row>
    <row r="139">
      <c s="7" r="D139"/>
      <c s="7" r="E139"/>
      <c s="7" r="F139"/>
      <c s="7" r="G139"/>
      <c s="7" r="H139"/>
      <c s="7" r="I139"/>
      <c s="7" r="J139"/>
      <c s="7" r="K139"/>
      <c s="7" r="L139"/>
      <c s="7" r="M139"/>
      <c s="7" r="N139"/>
      <c s="7" r="O139"/>
      <c s="7" r="P139"/>
      <c s="7" r="Q139"/>
      <c s="7" r="R139"/>
      <c s="7" r="S139"/>
      <c s="7" r="T139"/>
    </row>
    <row r="140">
      <c s="7" r="D140"/>
      <c s="7" r="E140"/>
      <c s="7" r="F140"/>
      <c s="7" r="G140"/>
      <c s="7" r="H140"/>
      <c s="7" r="I140"/>
      <c s="7" r="J140"/>
      <c s="7" r="K140"/>
      <c s="7" r="L140"/>
      <c s="7" r="M140"/>
      <c s="7" r="N140"/>
      <c s="7" r="O140"/>
      <c s="7" r="P140"/>
      <c s="7" r="Q140"/>
      <c s="7" r="R140"/>
      <c s="7" r="S140"/>
      <c s="7" r="T140"/>
    </row>
    <row r="141">
      <c s="7" r="D141"/>
      <c s="7" r="E141"/>
      <c s="7" r="F141"/>
      <c s="7" r="G141"/>
      <c s="7" r="H141"/>
      <c s="7" r="I141"/>
      <c s="7" r="J141"/>
      <c s="7" r="K141"/>
      <c s="7" r="L141"/>
      <c s="7" r="M141"/>
      <c s="7" r="N141"/>
      <c s="7" r="O141"/>
      <c s="7" r="P141"/>
      <c s="7" r="Q141"/>
      <c s="7" r="R141"/>
      <c s="7" r="S141"/>
      <c s="7" r="T141"/>
    </row>
    <row r="142">
      <c s="7" r="D142"/>
      <c s="7" r="E142"/>
      <c s="7" r="F142"/>
      <c s="7" r="G142"/>
      <c s="7" r="H142"/>
      <c s="7" r="I142"/>
      <c s="7" r="J142"/>
      <c s="7" r="K142"/>
      <c s="7" r="L142"/>
      <c s="7" r="M142"/>
      <c s="7" r="N142"/>
      <c s="7" r="O142"/>
      <c s="7" r="P142"/>
      <c s="7" r="Q142"/>
      <c s="7" r="R142"/>
      <c s="7" r="S142"/>
      <c s="7" r="T142"/>
    </row>
    <row r="143">
      <c s="7" r="D143"/>
      <c s="7" r="E143"/>
      <c s="7" r="F143"/>
      <c s="7" r="G143"/>
      <c s="7" r="H143"/>
      <c s="7" r="I143"/>
      <c s="7" r="J143"/>
      <c s="7" r="K143"/>
      <c s="7" r="L143"/>
      <c s="7" r="M143"/>
      <c s="7" r="N143"/>
      <c s="7" r="O143"/>
      <c s="7" r="P143"/>
      <c s="7" r="Q143"/>
      <c s="7" r="R143"/>
      <c s="7" r="S143"/>
      <c s="7" r="T143"/>
    </row>
    <row r="144">
      <c s="7" r="D144"/>
      <c s="7" r="E144"/>
      <c s="7" r="F144"/>
      <c s="7" r="G144"/>
      <c s="7" r="H144"/>
      <c s="7" r="I144"/>
      <c s="7" r="J144"/>
      <c s="7" r="K144"/>
      <c s="7" r="L144"/>
      <c s="7" r="M144"/>
      <c s="7" r="N144"/>
      <c s="7" r="O144"/>
      <c s="7" r="P144"/>
      <c s="7" r="Q144"/>
      <c s="7" r="R144"/>
      <c s="7" r="S144"/>
      <c s="7" r="T144"/>
    </row>
    <row r="145">
      <c s="7" r="D145"/>
      <c s="7" r="E145"/>
      <c s="7" r="F145"/>
      <c s="7" r="G145"/>
      <c s="7" r="H145"/>
      <c s="7" r="I145"/>
      <c s="7" r="J145"/>
      <c s="7" r="K145"/>
      <c s="7" r="L145"/>
      <c s="7" r="M145"/>
      <c s="7" r="N145"/>
      <c s="7" r="O145"/>
      <c s="7" r="P145"/>
      <c s="7" r="Q145"/>
      <c s="7" r="R145"/>
      <c s="7" r="S145"/>
      <c s="7" r="T145"/>
    </row>
    <row r="146">
      <c s="7" r="D146"/>
      <c s="7" r="E146"/>
      <c s="7" r="F146"/>
      <c s="7" r="G146"/>
      <c s="7" r="H146"/>
      <c s="7" r="I146"/>
      <c s="7" r="J146"/>
      <c s="7" r="K146"/>
      <c s="7" r="L146"/>
      <c s="7" r="M146"/>
      <c s="7" r="N146"/>
      <c s="7" r="O146"/>
      <c s="7" r="P146"/>
      <c s="7" r="Q146"/>
      <c s="7" r="R146"/>
      <c s="7" r="S146"/>
      <c s="7" r="T146"/>
    </row>
    <row r="147">
      <c s="7" r="D147"/>
      <c s="7" r="E147"/>
      <c s="7" r="F147"/>
      <c s="7" r="G147"/>
      <c s="7" r="H147"/>
      <c s="7" r="I147"/>
      <c s="7" r="J147"/>
      <c s="7" r="K147"/>
      <c s="7" r="L147"/>
      <c s="7" r="M147"/>
      <c s="7" r="N147"/>
      <c s="7" r="O147"/>
      <c s="7" r="P147"/>
      <c s="7" r="Q147"/>
      <c s="7" r="R147"/>
      <c s="7" r="S147"/>
      <c s="7" r="T147"/>
    </row>
    <row r="148">
      <c s="7" r="D148"/>
      <c s="7" r="E148"/>
      <c s="7" r="F148"/>
      <c s="7" r="G148"/>
      <c s="7" r="H148"/>
      <c s="7" r="I148"/>
      <c s="7" r="J148"/>
      <c s="7" r="K148"/>
      <c s="7" r="L148"/>
      <c s="7" r="M148"/>
      <c s="7" r="N148"/>
      <c s="7" r="O148"/>
      <c s="7" r="P148"/>
      <c s="7" r="Q148"/>
      <c s="7" r="R148"/>
      <c s="7" r="S148"/>
      <c s="7" r="T148"/>
    </row>
    <row r="149">
      <c s="7" r="D149"/>
      <c s="7" r="E149"/>
      <c s="7" r="F149"/>
      <c s="7" r="G149"/>
      <c s="7" r="H149"/>
      <c s="7" r="I149"/>
      <c s="7" r="J149"/>
      <c s="7" r="K149"/>
      <c s="7" r="L149"/>
      <c s="7" r="M149"/>
      <c s="7" r="N149"/>
      <c s="7" r="O149"/>
      <c s="7" r="P149"/>
      <c s="7" r="Q149"/>
      <c s="7" r="R149"/>
      <c s="7" r="S149"/>
      <c s="7" r="T149"/>
    </row>
    <row r="150">
      <c s="7" r="D150"/>
      <c s="7" r="E150"/>
      <c s="7" r="F150"/>
      <c s="7" r="G150"/>
      <c s="7" r="H150"/>
      <c s="7" r="I150"/>
      <c s="7" r="J150"/>
      <c s="7" r="K150"/>
      <c s="7" r="L150"/>
      <c s="7" r="M150"/>
      <c s="7" r="N150"/>
      <c s="7" r="O150"/>
      <c s="7" r="P150"/>
      <c s="7" r="Q150"/>
      <c s="7" r="R150"/>
      <c s="7" r="S150"/>
      <c s="7" r="T150"/>
    </row>
    <row r="151">
      <c s="7" r="D151"/>
      <c s="7" r="E151"/>
      <c s="7" r="F151"/>
      <c s="7" r="G151"/>
      <c s="7" r="H151"/>
      <c s="7" r="I151"/>
      <c s="7" r="J151"/>
      <c s="7" r="K151"/>
      <c s="7" r="L151"/>
      <c s="7" r="M151"/>
      <c s="7" r="N151"/>
      <c s="7" r="O151"/>
      <c s="7" r="P151"/>
      <c s="7" r="Q151"/>
      <c s="7" r="R151"/>
      <c s="7" r="S151"/>
      <c s="7" r="T151"/>
    </row>
    <row r="152">
      <c s="7" r="D152"/>
      <c s="7" r="E152"/>
      <c s="7" r="F152"/>
      <c s="7" r="G152"/>
      <c s="7" r="H152"/>
      <c s="7" r="I152"/>
      <c s="7" r="J152"/>
      <c s="7" r="K152"/>
      <c s="7" r="L152"/>
      <c s="7" r="M152"/>
      <c s="7" r="N152"/>
      <c s="7" r="O152"/>
      <c s="7" r="P152"/>
      <c s="7" r="Q152"/>
      <c s="7" r="R152"/>
      <c s="7" r="S152"/>
      <c s="7" r="T152"/>
    </row>
    <row r="153">
      <c s="7" r="D153"/>
      <c s="7" r="E153"/>
      <c s="7" r="F153"/>
      <c s="7" r="G153"/>
      <c s="7" r="H153"/>
      <c s="7" r="I153"/>
      <c s="7" r="J153"/>
      <c s="7" r="K153"/>
      <c s="7" r="L153"/>
      <c s="7" r="M153"/>
      <c s="7" r="N153"/>
      <c s="7" r="O153"/>
      <c s="7" r="P153"/>
      <c s="7" r="Q153"/>
      <c s="7" r="R153"/>
      <c s="7" r="S153"/>
      <c s="7" r="T153"/>
    </row>
    <row r="154">
      <c s="7" r="D154"/>
      <c s="7" r="E154"/>
      <c s="7" r="F154"/>
      <c s="7" r="G154"/>
      <c s="7" r="H154"/>
      <c s="7" r="I154"/>
      <c s="7" r="J154"/>
      <c s="7" r="K154"/>
      <c s="7" r="L154"/>
      <c s="7" r="M154"/>
      <c s="7" r="N154"/>
      <c s="7" r="O154"/>
      <c s="7" r="P154"/>
      <c s="7" r="Q154"/>
      <c s="7" r="R154"/>
      <c s="7" r="S154"/>
      <c s="7" r="T154"/>
    </row>
    <row r="155">
      <c s="7" r="D155"/>
      <c s="7" r="E155"/>
      <c s="7" r="F155"/>
      <c s="7" r="G155"/>
      <c s="7" r="H155"/>
      <c s="7" r="I155"/>
      <c s="7" r="J155"/>
      <c s="7" r="K155"/>
      <c s="7" r="L155"/>
      <c s="7" r="M155"/>
      <c s="7" r="N155"/>
      <c s="7" r="O155"/>
      <c s="7" r="P155"/>
      <c s="7" r="Q155"/>
      <c s="7" r="R155"/>
      <c s="7" r="S155"/>
      <c s="7" r="T155"/>
    </row>
    <row r="156">
      <c s="7" r="D156"/>
      <c s="7" r="E156"/>
      <c s="7" r="F156"/>
      <c s="7" r="G156"/>
      <c s="7" r="H156"/>
      <c s="7" r="I156"/>
      <c s="7" r="J156"/>
      <c s="7" r="K156"/>
      <c s="7" r="L156"/>
      <c s="7" r="M156"/>
      <c s="7" r="N156"/>
      <c s="7" r="O156"/>
      <c s="7" r="P156"/>
      <c s="7" r="Q156"/>
      <c s="7" r="R156"/>
      <c s="7" r="S156"/>
      <c s="7" r="T156"/>
    </row>
    <row r="157">
      <c s="7" r="D157"/>
      <c s="7" r="E157"/>
      <c s="7" r="F157"/>
      <c s="7" r="G157"/>
      <c s="7" r="H157"/>
      <c s="7" r="I157"/>
      <c s="7" r="J157"/>
      <c s="7" r="K157"/>
      <c s="7" r="L157"/>
      <c s="7" r="M157"/>
      <c s="7" r="N157"/>
      <c s="7" r="O157"/>
      <c s="7" r="P157"/>
      <c s="7" r="Q157"/>
      <c s="7" r="R157"/>
      <c s="7" r="S157"/>
      <c s="7" r="T157"/>
    </row>
    <row r="158">
      <c s="7" r="D158"/>
      <c s="7" r="E158"/>
      <c s="7" r="F158"/>
      <c s="7" r="G158"/>
      <c s="7" r="H158"/>
      <c s="7" r="I158"/>
      <c s="7" r="J158"/>
      <c s="7" r="K158"/>
      <c s="7" r="L158"/>
      <c s="7" r="M158"/>
      <c s="7" r="N158"/>
      <c s="7" r="O158"/>
      <c s="7" r="P158"/>
      <c s="7" r="Q158"/>
      <c s="7" r="R158"/>
      <c s="7" r="S158"/>
      <c s="7" r="T158"/>
    </row>
    <row r="159">
      <c s="7" r="D159"/>
      <c s="7" r="E159"/>
      <c s="7" r="F159"/>
      <c s="7" r="G159"/>
      <c s="7" r="H159"/>
      <c s="7" r="I159"/>
      <c s="7" r="J159"/>
      <c s="7" r="K159"/>
      <c s="7" r="L159"/>
      <c s="7" r="M159"/>
      <c s="7" r="N159"/>
      <c s="7" r="O159"/>
      <c s="7" r="P159"/>
      <c s="7" r="Q159"/>
      <c s="7" r="R159"/>
      <c s="7" r="S159"/>
      <c s="7" r="T159"/>
    </row>
    <row r="160">
      <c s="7" r="D160"/>
      <c s="7" r="E160"/>
      <c s="7" r="F160"/>
      <c s="7" r="G160"/>
      <c s="7" r="H160"/>
      <c s="7" r="I160"/>
      <c s="7" r="J160"/>
      <c s="7" r="K160"/>
      <c s="7" r="L160"/>
      <c s="7" r="M160"/>
      <c s="7" r="N160"/>
      <c s="7" r="O160"/>
      <c s="7" r="P160"/>
      <c s="7" r="Q160"/>
      <c s="7" r="R160"/>
      <c s="7" r="S160"/>
      <c s="7" r="T160"/>
    </row>
    <row r="161">
      <c s="7" r="D161"/>
      <c s="7" r="E161"/>
      <c s="7" r="F161"/>
      <c s="7" r="G161"/>
      <c s="7" r="H161"/>
      <c s="7" r="I161"/>
      <c s="7" r="J161"/>
      <c s="7" r="K161"/>
      <c s="7" r="L161"/>
      <c s="7" r="M161"/>
      <c s="7" r="N161"/>
      <c s="7" r="O161"/>
      <c s="7" r="P161"/>
      <c s="7" r="Q161"/>
      <c s="7" r="R161"/>
      <c s="7" r="S161"/>
      <c s="7" r="T161"/>
    </row>
    <row r="162">
      <c s="7" r="D162"/>
      <c s="7" r="E162"/>
      <c s="7" r="F162"/>
      <c s="7" r="G162"/>
      <c s="7" r="H162"/>
      <c s="7" r="I162"/>
      <c s="7" r="J162"/>
      <c s="7" r="K162"/>
      <c s="7" r="L162"/>
      <c s="7" r="M162"/>
      <c s="7" r="N162"/>
      <c s="7" r="O162"/>
      <c s="7" r="P162"/>
      <c s="7" r="Q162"/>
      <c s="7" r="R162"/>
      <c s="7" r="S162"/>
      <c s="7" r="T162"/>
    </row>
    <row r="163">
      <c s="7" r="D163"/>
      <c s="7" r="E163"/>
      <c s="7" r="F163"/>
      <c s="7" r="G163"/>
      <c s="7" r="H163"/>
      <c s="7" r="I163"/>
      <c s="7" r="J163"/>
      <c s="7" r="K163"/>
      <c s="7" r="L163"/>
      <c s="7" r="M163"/>
      <c s="7" r="N163"/>
      <c s="7" r="O163"/>
      <c s="7" r="P163"/>
      <c s="7" r="Q163"/>
      <c s="7" r="R163"/>
      <c s="7" r="S163"/>
      <c s="7" r="T163"/>
    </row>
    <row r="164">
      <c s="7" r="D164"/>
      <c s="7" r="E164"/>
      <c s="7" r="F164"/>
      <c s="7" r="G164"/>
      <c s="7" r="H164"/>
      <c s="7" r="I164"/>
      <c s="7" r="J164"/>
      <c s="7" r="K164"/>
      <c s="7" r="L164"/>
      <c s="7" r="M164"/>
      <c s="7" r="N164"/>
      <c s="7" r="O164"/>
      <c s="7" r="P164"/>
      <c s="7" r="Q164"/>
      <c s="7" r="R164"/>
      <c s="7" r="S164"/>
      <c s="7" r="T164"/>
    </row>
    <row r="165">
      <c s="7" r="D165"/>
      <c s="7" r="E165"/>
      <c s="7" r="F165"/>
      <c s="7" r="G165"/>
      <c s="7" r="H165"/>
      <c s="7" r="I165"/>
      <c s="7" r="J165"/>
      <c s="7" r="K165"/>
      <c s="7" r="L165"/>
      <c s="7" r="M165"/>
      <c s="7" r="N165"/>
      <c s="7" r="O165"/>
      <c s="7" r="P165"/>
      <c s="7" r="Q165"/>
      <c s="7" r="R165"/>
      <c s="7" r="S165"/>
      <c s="7" r="T165"/>
    </row>
    <row r="166">
      <c s="7" r="D166"/>
      <c s="7" r="E166"/>
      <c s="7" r="F166"/>
      <c s="7" r="G166"/>
      <c s="7" r="H166"/>
      <c s="7" r="I166"/>
      <c s="7" r="J166"/>
      <c s="7" r="K166"/>
      <c s="7" r="L166"/>
      <c s="7" r="M166"/>
      <c s="7" r="N166"/>
      <c s="7" r="O166"/>
      <c s="7" r="P166"/>
      <c s="7" r="Q166"/>
      <c s="7" r="R166"/>
      <c s="7" r="S166"/>
      <c s="7" r="T166"/>
    </row>
    <row r="167">
      <c s="7" r="D167"/>
      <c s="7" r="E167"/>
      <c s="7" r="F167"/>
      <c s="7" r="G167"/>
      <c s="7" r="H167"/>
      <c s="7" r="I167"/>
      <c s="7" r="J167"/>
      <c s="7" r="K167"/>
      <c s="7" r="L167"/>
      <c s="7" r="M167"/>
      <c s="7" r="N167"/>
      <c s="7" r="O167"/>
      <c s="7" r="P167"/>
      <c s="7" r="Q167"/>
      <c s="7" r="R167"/>
      <c s="7" r="S167"/>
      <c s="7" r="T167"/>
    </row>
    <row r="168">
      <c s="7" r="D168"/>
      <c s="7" r="E168"/>
      <c s="7" r="F168"/>
      <c s="7" r="G168"/>
      <c s="7" r="H168"/>
      <c s="7" r="I168"/>
      <c s="7" r="J168"/>
      <c s="7" r="K168"/>
      <c s="7" r="L168"/>
      <c s="7" r="M168"/>
      <c s="7" r="N168"/>
      <c s="7" r="O168"/>
      <c s="7" r="P168"/>
      <c s="7" r="Q168"/>
      <c s="7" r="R168"/>
      <c s="7" r="S168"/>
      <c s="7" r="T168"/>
    </row>
    <row r="169">
      <c s="7" r="D169"/>
      <c s="7" r="E169"/>
      <c s="7" r="F169"/>
      <c s="7" r="G169"/>
      <c s="7" r="H169"/>
      <c s="7" r="I169"/>
      <c s="7" r="J169"/>
      <c s="7" r="K169"/>
      <c s="7" r="L169"/>
      <c s="7" r="M169"/>
      <c s="7" r="N169"/>
      <c s="7" r="O169"/>
      <c s="7" r="P169"/>
      <c s="7" r="Q169"/>
      <c s="7" r="R169"/>
      <c s="7" r="S169"/>
      <c s="7" r="T169"/>
    </row>
    <row r="170">
      <c s="7" r="D170"/>
      <c s="7" r="E170"/>
      <c s="7" r="F170"/>
      <c s="7" r="G170"/>
      <c s="7" r="H170"/>
      <c s="7" r="I170"/>
      <c s="7" r="J170"/>
      <c s="7" r="K170"/>
      <c s="7" r="L170"/>
      <c s="7" r="M170"/>
      <c s="7" r="N170"/>
      <c s="7" r="O170"/>
      <c s="7" r="P170"/>
      <c s="7" r="Q170"/>
      <c s="7" r="R170"/>
      <c s="7" r="S170"/>
      <c s="7" r="T170"/>
    </row>
    <row r="171">
      <c s="7" r="D171"/>
      <c s="7" r="E171"/>
      <c s="7" r="F171"/>
      <c s="7" r="G171"/>
      <c s="7" r="H171"/>
      <c s="7" r="I171"/>
      <c s="7" r="J171"/>
      <c s="7" r="K171"/>
      <c s="7" r="L171"/>
      <c s="7" r="M171"/>
      <c s="7" r="N171"/>
      <c s="7" r="O171"/>
      <c s="7" r="P171"/>
      <c s="7" r="Q171"/>
      <c s="7" r="R171"/>
      <c s="7" r="S171"/>
      <c s="7" r="T171"/>
    </row>
    <row r="172">
      <c s="7" r="D172"/>
      <c s="7" r="E172"/>
      <c s="7" r="F172"/>
      <c s="7" r="G172"/>
      <c s="7" r="H172"/>
      <c s="7" r="I172"/>
      <c s="7" r="J172"/>
      <c s="7" r="K172"/>
      <c s="7" r="L172"/>
      <c s="7" r="M172"/>
      <c s="7" r="N172"/>
      <c s="7" r="O172"/>
      <c s="7" r="P172"/>
      <c s="7" r="Q172"/>
      <c s="7" r="R172"/>
      <c s="7" r="S172"/>
      <c s="7" r="T172"/>
    </row>
    <row r="173">
      <c s="7" r="D173"/>
      <c s="7" r="E173"/>
      <c s="7" r="F173"/>
      <c s="7" r="G173"/>
      <c s="7" r="H173"/>
      <c s="7" r="I173"/>
      <c s="7" r="J173"/>
      <c s="7" r="K173"/>
      <c s="7" r="L173"/>
      <c s="7" r="M173"/>
      <c s="7" r="N173"/>
      <c s="7" r="O173"/>
      <c s="7" r="P173"/>
      <c s="7" r="Q173"/>
      <c s="7" r="R173"/>
      <c s="7" r="S173"/>
      <c s="7" r="T173"/>
    </row>
    <row r="174">
      <c s="7" r="D174"/>
      <c s="7" r="E174"/>
      <c s="7" r="F174"/>
      <c s="7" r="G174"/>
      <c s="7" r="H174"/>
      <c s="7" r="I174"/>
      <c s="7" r="J174"/>
      <c s="7" r="K174"/>
      <c s="7" r="L174"/>
      <c s="7" r="M174"/>
      <c s="7" r="N174"/>
      <c s="7" r="O174"/>
      <c s="7" r="P174"/>
      <c s="7" r="Q174"/>
      <c s="7" r="R174"/>
      <c s="7" r="S174"/>
      <c s="7" r="T174"/>
    </row>
    <row r="175">
      <c s="7" r="D175"/>
      <c s="7" r="E175"/>
      <c s="7" r="F175"/>
      <c s="7" r="G175"/>
      <c s="7" r="H175"/>
      <c s="7" r="I175"/>
      <c s="7" r="J175"/>
      <c s="7" r="K175"/>
      <c s="7" r="L175"/>
      <c s="7" r="M175"/>
      <c s="7" r="N175"/>
      <c s="7" r="O175"/>
      <c s="7" r="P175"/>
      <c s="7" r="Q175"/>
      <c s="7" r="R175"/>
      <c s="7" r="S175"/>
      <c s="7" r="T175"/>
    </row>
    <row r="176">
      <c s="7" r="D176"/>
      <c s="7" r="E176"/>
      <c s="7" r="F176"/>
      <c s="7" r="G176"/>
      <c s="7" r="H176"/>
      <c s="7" r="I176"/>
      <c s="7" r="J176"/>
      <c s="7" r="K176"/>
      <c s="7" r="L176"/>
      <c s="7" r="M176"/>
      <c s="7" r="N176"/>
      <c s="7" r="O176"/>
      <c s="7" r="P176"/>
      <c s="7" r="Q176"/>
      <c s="7" r="R176"/>
      <c s="7" r="S176"/>
      <c s="7" r="T176"/>
    </row>
    <row r="177">
      <c s="7" r="D177"/>
      <c s="7" r="E177"/>
      <c s="7" r="F177"/>
      <c s="7" r="G177"/>
      <c s="7" r="H177"/>
      <c s="7" r="I177"/>
      <c s="7" r="J177"/>
      <c s="7" r="K177"/>
      <c s="7" r="L177"/>
      <c s="7" r="M177"/>
      <c s="7" r="N177"/>
      <c s="7" r="O177"/>
      <c s="7" r="P177"/>
      <c s="7" r="Q177"/>
      <c s="7" r="R177"/>
      <c s="7" r="S177"/>
      <c s="7" r="T177"/>
    </row>
    <row r="178">
      <c s="7" r="D178"/>
      <c s="7" r="E178"/>
      <c s="7" r="F178"/>
      <c s="7" r="G178"/>
      <c s="7" r="H178"/>
      <c s="7" r="I178"/>
      <c s="7" r="J178"/>
      <c s="7" r="K178"/>
      <c s="7" r="L178"/>
      <c s="7" r="M178"/>
      <c s="7" r="N178"/>
      <c s="7" r="O178"/>
      <c s="7" r="P178"/>
      <c s="7" r="Q178"/>
      <c s="7" r="R178"/>
      <c s="7" r="S178"/>
      <c s="7" r="T178"/>
    </row>
    <row r="179">
      <c s="7" r="D179"/>
      <c s="7" r="E179"/>
      <c s="7" r="F179"/>
      <c s="7" r="G179"/>
      <c s="7" r="H179"/>
      <c s="7" r="I179"/>
      <c s="7" r="J179"/>
      <c s="7" r="K179"/>
      <c s="7" r="L179"/>
      <c s="7" r="M179"/>
      <c s="7" r="N179"/>
      <c s="7" r="O179"/>
      <c s="7" r="P179"/>
      <c s="7" r="Q179"/>
      <c s="7" r="R179"/>
      <c s="7" r="S179"/>
      <c s="7" r="T179"/>
    </row>
    <row r="180">
      <c s="7" r="D180"/>
      <c s="7" r="E180"/>
      <c s="7" r="F180"/>
      <c s="7" r="G180"/>
      <c s="7" r="H180"/>
      <c s="7" r="I180"/>
      <c s="7" r="J180"/>
      <c s="7" r="K180"/>
      <c s="7" r="L180"/>
      <c s="7" r="M180"/>
      <c s="7" r="N180"/>
      <c s="7" r="O180"/>
      <c s="7" r="P180"/>
      <c s="7" r="Q180"/>
      <c s="7" r="R180"/>
      <c s="7" r="S180"/>
      <c s="7" r="T180"/>
    </row>
    <row r="181">
      <c s="7" r="D181"/>
      <c s="7" r="E181"/>
      <c s="7" r="F181"/>
      <c s="7" r="G181"/>
      <c s="7" r="H181"/>
      <c s="7" r="I181"/>
      <c s="7" r="J181"/>
      <c s="7" r="K181"/>
      <c s="7" r="L181"/>
      <c s="7" r="M181"/>
      <c s="7" r="N181"/>
      <c s="7" r="O181"/>
      <c s="7" r="P181"/>
      <c s="7" r="Q181"/>
      <c s="7" r="R181"/>
      <c s="7" r="S181"/>
      <c s="7" r="T181"/>
    </row>
    <row r="182">
      <c s="7" r="D182"/>
      <c s="7" r="E182"/>
      <c s="7" r="F182"/>
      <c s="7" r="G182"/>
      <c s="7" r="H182"/>
      <c s="7" r="I182"/>
      <c s="7" r="J182"/>
      <c s="7" r="K182"/>
      <c s="7" r="L182"/>
      <c s="7" r="M182"/>
      <c s="7" r="N182"/>
      <c s="7" r="O182"/>
      <c s="7" r="P182"/>
      <c s="7" r="Q182"/>
      <c s="7" r="R182"/>
      <c s="7" r="S182"/>
      <c s="7" r="T182"/>
    </row>
    <row r="183">
      <c s="7" r="D183"/>
      <c s="7" r="E183"/>
      <c s="7" r="F183"/>
      <c s="7" r="G183"/>
      <c s="7" r="H183"/>
      <c s="7" r="I183"/>
      <c s="7" r="J183"/>
      <c s="7" r="K183"/>
      <c s="7" r="L183"/>
      <c s="7" r="M183"/>
      <c s="7" r="N183"/>
      <c s="7" r="O183"/>
      <c s="7" r="P183"/>
      <c s="7" r="Q183"/>
      <c s="7" r="R183"/>
      <c s="7" r="S183"/>
      <c s="7" r="T183"/>
    </row>
    <row r="184">
      <c s="7" r="D184"/>
      <c s="7" r="E184"/>
      <c s="7" r="F184"/>
      <c s="7" r="G184"/>
      <c s="7" r="H184"/>
      <c s="7" r="I184"/>
      <c s="7" r="J184"/>
      <c s="7" r="K184"/>
      <c s="7" r="L184"/>
      <c s="7" r="M184"/>
      <c s="7" r="N184"/>
      <c s="7" r="O184"/>
      <c s="7" r="P184"/>
      <c s="7" r="Q184"/>
      <c s="7" r="R184"/>
      <c s="7" r="S184"/>
      <c s="7" r="T184"/>
    </row>
    <row r="185">
      <c s="7" r="D185"/>
      <c s="7" r="E185"/>
      <c s="7" r="F185"/>
      <c s="7" r="G185"/>
      <c s="7" r="H185"/>
      <c s="7" r="I185"/>
      <c s="7" r="J185"/>
      <c s="7" r="K185"/>
      <c s="7" r="L185"/>
      <c s="7" r="M185"/>
      <c s="7" r="N185"/>
      <c s="7" r="O185"/>
      <c s="7" r="P185"/>
      <c s="7" r="Q185"/>
      <c s="7" r="R185"/>
      <c s="7" r="S185"/>
      <c s="7" r="T185"/>
    </row>
    <row r="186">
      <c s="7" r="D186"/>
      <c s="7" r="E186"/>
      <c s="7" r="F186"/>
      <c s="7" r="G186"/>
      <c s="7" r="H186"/>
      <c s="7" r="I186"/>
      <c s="7" r="J186"/>
      <c s="7" r="K186"/>
      <c s="7" r="L186"/>
      <c s="7" r="M186"/>
      <c s="7" r="N186"/>
      <c s="7" r="O186"/>
      <c s="7" r="P186"/>
      <c s="7" r="Q186"/>
      <c s="7" r="R186"/>
      <c s="7" r="S186"/>
      <c s="7" r="T186"/>
    </row>
    <row r="187">
      <c s="7" r="D187"/>
      <c s="7" r="E187"/>
      <c s="7" r="F187"/>
      <c s="7" r="G187"/>
      <c s="7" r="H187"/>
      <c s="7" r="I187"/>
      <c s="7" r="J187"/>
      <c s="7" r="K187"/>
      <c s="7" r="L187"/>
      <c s="7" r="M187"/>
      <c s="7" r="N187"/>
      <c s="7" r="O187"/>
      <c s="7" r="P187"/>
      <c s="7" r="Q187"/>
      <c s="7" r="R187"/>
      <c s="7" r="S187"/>
      <c s="7" r="T187"/>
    </row>
    <row r="188">
      <c s="7" r="D188"/>
      <c s="7" r="E188"/>
      <c s="7" r="F188"/>
      <c s="7" r="G188"/>
      <c s="7" r="H188"/>
      <c s="7" r="I188"/>
      <c s="7" r="J188"/>
      <c s="7" r="K188"/>
      <c s="7" r="L188"/>
      <c s="7" r="M188"/>
      <c s="7" r="N188"/>
      <c s="7" r="O188"/>
      <c s="7" r="P188"/>
      <c s="7" r="Q188"/>
      <c s="7" r="R188"/>
      <c s="7" r="S188"/>
      <c s="7" r="T188"/>
    </row>
    <row r="189">
      <c s="7" r="D189"/>
      <c s="7" r="E189"/>
      <c s="7" r="F189"/>
      <c s="7" r="G189"/>
      <c s="7" r="H189"/>
      <c s="7" r="I189"/>
      <c s="7" r="J189"/>
      <c s="7" r="K189"/>
      <c s="7" r="L189"/>
      <c s="7" r="M189"/>
      <c s="7" r="N189"/>
      <c s="7" r="O189"/>
      <c s="7" r="P189"/>
      <c s="7" r="Q189"/>
      <c s="7" r="R189"/>
      <c s="7" r="S189"/>
      <c s="7" r="T189"/>
    </row>
    <row r="190">
      <c s="7" r="D190"/>
      <c s="7" r="E190"/>
      <c s="7" r="F190"/>
      <c s="7" r="G190"/>
      <c s="7" r="H190"/>
      <c s="7" r="I190"/>
      <c s="7" r="J190"/>
      <c s="7" r="K190"/>
      <c s="7" r="L190"/>
      <c s="7" r="M190"/>
      <c s="7" r="N190"/>
      <c s="7" r="O190"/>
      <c s="7" r="P190"/>
      <c s="7" r="Q190"/>
      <c s="7" r="R190"/>
      <c s="7" r="S190"/>
      <c s="7" r="T190"/>
    </row>
    <row r="191">
      <c s="7" r="D191"/>
      <c s="7" r="E191"/>
      <c s="7" r="F191"/>
      <c s="7" r="G191"/>
      <c s="7" r="H191"/>
      <c s="7" r="I191"/>
      <c s="7" r="J191"/>
      <c s="7" r="K191"/>
      <c s="7" r="L191"/>
      <c s="7" r="M191"/>
      <c s="7" r="N191"/>
      <c s="7" r="O191"/>
      <c s="7" r="P191"/>
      <c s="7" r="Q191"/>
      <c s="7" r="R191"/>
      <c s="7" r="S191"/>
      <c s="7" r="T191"/>
    </row>
    <row r="192">
      <c s="7" r="D192"/>
      <c s="7" r="E192"/>
      <c s="7" r="F192"/>
      <c s="7" r="G192"/>
      <c s="7" r="H192"/>
      <c s="7" r="I192"/>
      <c s="7" r="J192"/>
      <c s="7" r="K192"/>
      <c s="7" r="L192"/>
      <c s="7" r="M192"/>
      <c s="7" r="N192"/>
      <c s="7" r="O192"/>
      <c s="7" r="P192"/>
      <c s="7" r="Q192"/>
      <c s="7" r="R192"/>
      <c s="7" r="S192"/>
      <c s="7" r="T192"/>
    </row>
    <row r="193">
      <c s="7" r="D193"/>
      <c s="7" r="E193"/>
      <c s="7" r="F193"/>
      <c s="7" r="G193"/>
      <c s="7" r="H193"/>
      <c s="7" r="I193"/>
      <c s="7" r="J193"/>
      <c s="7" r="K193"/>
      <c s="7" r="L193"/>
      <c s="7" r="M193"/>
      <c s="7" r="N193"/>
      <c s="7" r="O193"/>
      <c s="7" r="P193"/>
      <c s="7" r="Q193"/>
      <c s="7" r="R193"/>
      <c s="7" r="S193"/>
      <c s="7" r="T193"/>
    </row>
    <row r="194">
      <c s="7" r="D194"/>
      <c s="7" r="E194"/>
      <c s="7" r="F194"/>
      <c s="7" r="G194"/>
      <c s="7" r="H194"/>
      <c s="7" r="I194"/>
      <c s="7" r="J194"/>
      <c s="7" r="K194"/>
      <c s="7" r="L194"/>
      <c s="7" r="M194"/>
      <c s="7" r="N194"/>
      <c s="7" r="O194"/>
      <c s="7" r="P194"/>
      <c s="7" r="Q194"/>
      <c s="7" r="R194"/>
      <c s="7" r="S194"/>
      <c s="7" r="T194"/>
    </row>
    <row r="195">
      <c s="7" r="D195"/>
      <c s="7" r="E195"/>
      <c s="7" r="F195"/>
      <c s="7" r="G195"/>
      <c s="7" r="H195"/>
      <c s="7" r="I195"/>
      <c s="7" r="J195"/>
      <c s="7" r="K195"/>
      <c s="7" r="L195"/>
      <c s="7" r="M195"/>
      <c s="7" r="N195"/>
      <c s="7" r="O195"/>
      <c s="7" r="P195"/>
      <c s="7" r="Q195"/>
      <c s="7" r="R195"/>
      <c s="7" r="S195"/>
      <c s="7" r="T195"/>
    </row>
    <row r="196">
      <c s="7" r="D196"/>
      <c s="7" r="E196"/>
      <c s="7" r="F196"/>
      <c s="7" r="G196"/>
      <c s="7" r="H196"/>
      <c s="7" r="I196"/>
      <c s="7" r="J196"/>
      <c s="7" r="K196"/>
      <c s="7" r="L196"/>
      <c s="7" r="M196"/>
      <c s="7" r="N196"/>
      <c s="7" r="O196"/>
      <c s="7" r="P196"/>
      <c s="7" r="Q196"/>
      <c s="7" r="R196"/>
      <c s="7" r="S196"/>
      <c s="7" r="T196"/>
    </row>
    <row r="197">
      <c s="7" r="D197"/>
      <c s="7" r="E197"/>
      <c s="7" r="F197"/>
      <c s="7" r="G197"/>
      <c s="7" r="H197"/>
      <c s="7" r="I197"/>
      <c s="7" r="J197"/>
      <c s="7" r="K197"/>
      <c s="7" r="L197"/>
      <c s="7" r="M197"/>
      <c s="7" r="N197"/>
      <c s="7" r="O197"/>
      <c s="7" r="P197"/>
      <c s="7" r="Q197"/>
      <c s="7" r="R197"/>
      <c s="7" r="S197"/>
      <c s="7" r="T197"/>
    </row>
    <row r="198">
      <c s="7" r="D198"/>
      <c s="7" r="E198"/>
      <c s="7" r="F198"/>
      <c s="7" r="G198"/>
      <c s="7" r="H198"/>
      <c s="7" r="I198"/>
      <c s="7" r="J198"/>
      <c s="7" r="K198"/>
      <c s="7" r="L198"/>
      <c s="7" r="M198"/>
      <c s="7" r="N198"/>
      <c s="7" r="O198"/>
      <c s="7" r="P198"/>
      <c s="7" r="Q198"/>
      <c s="7" r="R198"/>
      <c s="7" r="S198"/>
      <c s="7" r="T198"/>
    </row>
    <row r="199">
      <c s="7" r="D199"/>
      <c s="7" r="E199"/>
      <c s="7" r="F199"/>
      <c s="7" r="G199"/>
      <c s="7" r="H199"/>
      <c s="7" r="I199"/>
      <c s="7" r="J199"/>
      <c s="7" r="K199"/>
      <c s="7" r="L199"/>
      <c s="7" r="M199"/>
      <c s="7" r="N199"/>
      <c s="7" r="O199"/>
      <c s="7" r="P199"/>
      <c s="7" r="Q199"/>
      <c s="7" r="R199"/>
      <c s="7" r="S199"/>
      <c s="7" r="T199"/>
    </row>
    <row r="200">
      <c s="7" r="D200"/>
      <c s="7" r="E200"/>
      <c s="7" r="F200"/>
      <c s="7" r="G200"/>
      <c s="7" r="H200"/>
      <c s="7" r="I200"/>
      <c s="7" r="J200"/>
      <c s="7" r="K200"/>
      <c s="7" r="L200"/>
      <c s="7" r="M200"/>
      <c s="7" r="N200"/>
      <c s="7" r="O200"/>
      <c s="7" r="P200"/>
      <c s="7" r="Q200"/>
      <c s="7" r="R200"/>
      <c s="7" r="S200"/>
      <c s="7" r="T200"/>
    </row>
    <row r="201">
      <c s="7" r="D201"/>
      <c s="7" r="E201"/>
      <c s="7" r="F201"/>
      <c s="7" r="G201"/>
      <c s="7" r="H201"/>
      <c s="7" r="I201"/>
      <c s="7" r="J201"/>
      <c s="7" r="K201"/>
      <c s="7" r="L201"/>
      <c s="7" r="M201"/>
      <c s="7" r="N201"/>
      <c s="7" r="O201"/>
      <c s="7" r="P201"/>
      <c s="7" r="Q201"/>
      <c s="7" r="R201"/>
      <c s="7" r="S201"/>
      <c s="7" r="T201"/>
    </row>
    <row r="202">
      <c s="7" r="D202"/>
      <c s="7" r="E202"/>
      <c s="7" r="F202"/>
      <c s="7" r="G202"/>
      <c s="7" r="H202"/>
      <c s="7" r="I202"/>
      <c s="7" r="J202"/>
      <c s="7" r="K202"/>
      <c s="7" r="L202"/>
      <c s="7" r="M202"/>
      <c s="7" r="N202"/>
      <c s="7" r="O202"/>
      <c s="7" r="P202"/>
      <c s="7" r="Q202"/>
      <c s="7" r="R202"/>
      <c s="7" r="S202"/>
      <c s="7" r="T202"/>
    </row>
    <row r="203">
      <c s="7" r="D203"/>
      <c s="7" r="E203"/>
      <c s="7" r="F203"/>
      <c s="7" r="G203"/>
      <c s="7" r="H203"/>
      <c s="7" r="I203"/>
      <c s="7" r="J203"/>
      <c s="7" r="K203"/>
      <c s="7" r="L203"/>
      <c s="7" r="M203"/>
      <c s="7" r="N203"/>
      <c s="7" r="O203"/>
      <c s="7" r="P203"/>
      <c s="7" r="Q203"/>
      <c s="7" r="R203"/>
      <c s="7" r="S203"/>
      <c s="7" r="T203"/>
    </row>
    <row r="204">
      <c s="7" r="D204"/>
      <c s="7" r="E204"/>
      <c s="7" r="F204"/>
      <c s="7" r="G204"/>
      <c s="7" r="H204"/>
      <c s="7" r="I204"/>
      <c s="7" r="J204"/>
      <c s="7" r="K204"/>
      <c s="7" r="L204"/>
      <c s="7" r="M204"/>
      <c s="7" r="N204"/>
      <c s="7" r="O204"/>
      <c s="7" r="P204"/>
      <c s="7" r="Q204"/>
      <c s="7" r="R204"/>
      <c s="7" r="S204"/>
      <c s="7" r="T204"/>
    </row>
    <row r="205">
      <c s="7" r="D205"/>
      <c s="7" r="E205"/>
      <c s="7" r="F205"/>
      <c s="7" r="G205"/>
      <c s="7" r="H205"/>
      <c s="7" r="I205"/>
      <c s="7" r="J205"/>
      <c s="7" r="K205"/>
      <c s="7" r="L205"/>
      <c s="7" r="M205"/>
      <c s="7" r="N205"/>
      <c s="7" r="O205"/>
      <c s="7" r="P205"/>
      <c s="7" r="Q205"/>
      <c s="7" r="R205"/>
      <c s="7" r="S205"/>
      <c s="7" r="T205"/>
    </row>
    <row r="206">
      <c s="7" r="D206"/>
      <c s="7" r="E206"/>
      <c s="7" r="F206"/>
      <c s="7" r="G206"/>
      <c s="7" r="H206"/>
      <c s="7" r="I206"/>
      <c s="7" r="J206"/>
      <c s="7" r="K206"/>
      <c s="7" r="L206"/>
      <c s="7" r="M206"/>
      <c s="7" r="N206"/>
      <c s="7" r="O206"/>
      <c s="7" r="P206"/>
      <c s="7" r="Q206"/>
      <c s="7" r="R206"/>
      <c s="7" r="S206"/>
      <c s="7" r="T206"/>
    </row>
    <row r="207">
      <c s="7" r="D207"/>
      <c s="7" r="E207"/>
      <c s="7" r="F207"/>
      <c s="7" r="G207"/>
      <c s="7" r="H207"/>
      <c s="7" r="I207"/>
      <c s="7" r="J207"/>
      <c s="7" r="K207"/>
      <c s="7" r="L207"/>
      <c s="7" r="M207"/>
      <c s="7" r="N207"/>
      <c s="7" r="O207"/>
      <c s="7" r="P207"/>
      <c s="7" r="Q207"/>
      <c s="7" r="R207"/>
      <c s="7" r="S207"/>
      <c s="7" r="T207"/>
    </row>
    <row r="208">
      <c s="7" r="D208"/>
      <c s="7" r="E208"/>
      <c s="7" r="F208"/>
      <c s="7" r="G208"/>
      <c s="7" r="H208"/>
      <c s="7" r="I208"/>
      <c s="7" r="J208"/>
      <c s="7" r="K208"/>
      <c s="7" r="L208"/>
      <c s="7" r="M208"/>
      <c s="7" r="N208"/>
      <c s="7" r="O208"/>
      <c s="7" r="P208"/>
      <c s="7" r="Q208"/>
      <c s="7" r="R208"/>
      <c s="7" r="S208"/>
      <c s="7" r="T208"/>
    </row>
    <row r="209">
      <c s="7" r="D209"/>
      <c s="7" r="E209"/>
      <c s="7" r="F209"/>
      <c s="7" r="G209"/>
      <c s="7" r="H209"/>
      <c s="7" r="I209"/>
      <c s="7" r="J209"/>
      <c s="7" r="K209"/>
      <c s="7" r="L209"/>
      <c s="7" r="M209"/>
      <c s="7" r="N209"/>
      <c s="7" r="O209"/>
      <c s="7" r="P209"/>
      <c s="7" r="Q209"/>
      <c s="7" r="R209"/>
      <c s="7" r="S209"/>
      <c s="7" r="T209"/>
    </row>
    <row r="210">
      <c s="7" r="D210"/>
      <c s="7" r="E210"/>
      <c s="7" r="F210"/>
      <c s="7" r="G210"/>
      <c s="7" r="H210"/>
      <c s="7" r="I210"/>
      <c s="7" r="J210"/>
      <c s="7" r="K210"/>
      <c s="7" r="L210"/>
      <c s="7" r="M210"/>
      <c s="7" r="N210"/>
      <c s="7" r="O210"/>
      <c s="7" r="P210"/>
      <c s="7" r="Q210"/>
      <c s="7" r="R210"/>
      <c s="7" r="S210"/>
      <c s="7" r="T210"/>
    </row>
    <row r="211">
      <c s="7" r="D211"/>
      <c s="7" r="E211"/>
      <c s="7" r="F211"/>
      <c s="7" r="G211"/>
      <c s="7" r="H211"/>
      <c s="7" r="I211"/>
      <c s="7" r="J211"/>
      <c s="7" r="K211"/>
      <c s="7" r="L211"/>
      <c s="7" r="M211"/>
      <c s="7" r="N211"/>
      <c s="7" r="O211"/>
      <c s="7" r="P211"/>
      <c s="7" r="Q211"/>
      <c s="7" r="R211"/>
      <c s="7" r="S211"/>
      <c s="7" r="T211"/>
    </row>
    <row r="212">
      <c s="7" r="D212"/>
      <c s="7" r="E212"/>
      <c s="7" r="F212"/>
      <c s="7" r="G212"/>
      <c s="7" r="H212"/>
      <c s="7" r="I212"/>
      <c s="7" r="J212"/>
      <c s="7" r="K212"/>
      <c s="7" r="L212"/>
      <c s="7" r="M212"/>
      <c s="7" r="N212"/>
      <c s="7" r="O212"/>
      <c s="7" r="P212"/>
      <c s="7" r="Q212"/>
      <c s="7" r="R212"/>
      <c s="7" r="S212"/>
      <c s="7" r="T212"/>
    </row>
    <row r="213">
      <c s="7" r="D213"/>
      <c s="7" r="E213"/>
      <c s="7" r="F213"/>
      <c s="7" r="G213"/>
      <c s="7" r="H213"/>
      <c s="7" r="I213"/>
      <c s="7" r="J213"/>
      <c s="7" r="K213"/>
      <c s="7" r="L213"/>
      <c s="7" r="M213"/>
      <c s="7" r="N213"/>
      <c s="7" r="O213"/>
      <c s="7" r="P213"/>
      <c s="7" r="Q213"/>
      <c s="7" r="R213"/>
      <c s="7" r="S213"/>
      <c s="7" r="T213"/>
    </row>
    <row r="214">
      <c s="7" r="D214"/>
      <c s="7" r="E214"/>
      <c s="7" r="F214"/>
      <c s="7" r="G214"/>
      <c s="7" r="H214"/>
      <c s="7" r="I214"/>
      <c s="7" r="J214"/>
      <c s="7" r="K214"/>
      <c s="7" r="L214"/>
      <c s="7" r="M214"/>
      <c s="7" r="N214"/>
      <c s="7" r="O214"/>
      <c s="7" r="P214"/>
      <c s="7" r="Q214"/>
      <c s="7" r="R214"/>
      <c s="7" r="S214"/>
      <c s="7" r="T214"/>
    </row>
    <row r="215">
      <c s="7" r="D215"/>
      <c s="7" r="E215"/>
      <c s="7" r="F215"/>
      <c s="7" r="G215"/>
      <c s="7" r="H215"/>
      <c s="7" r="I215"/>
      <c s="7" r="J215"/>
      <c s="7" r="K215"/>
      <c s="7" r="L215"/>
      <c s="7" r="M215"/>
      <c s="7" r="N215"/>
      <c s="7" r="O215"/>
      <c s="7" r="P215"/>
      <c s="7" r="Q215"/>
      <c s="7" r="R215"/>
      <c s="7" r="S215"/>
      <c s="7" r="T215"/>
    </row>
    <row r="216">
      <c s="7" r="D216"/>
      <c s="7" r="E216"/>
      <c s="7" r="F216"/>
      <c s="7" r="G216"/>
      <c s="7" r="H216"/>
      <c s="7" r="I216"/>
      <c s="7" r="J216"/>
      <c s="7" r="K216"/>
      <c s="7" r="L216"/>
      <c s="7" r="M216"/>
      <c s="7" r="N216"/>
      <c s="7" r="O216"/>
      <c s="7" r="P216"/>
      <c s="7" r="Q216"/>
      <c s="7" r="R216"/>
      <c s="7" r="S216"/>
      <c s="7" r="T216"/>
    </row>
    <row r="217">
      <c s="7" r="D217"/>
      <c s="7" r="E217"/>
      <c s="7" r="F217"/>
      <c s="7" r="G217"/>
      <c s="7" r="H217"/>
      <c s="7" r="I217"/>
      <c s="7" r="J217"/>
      <c s="7" r="K217"/>
      <c s="7" r="L217"/>
      <c s="7" r="M217"/>
      <c s="7" r="N217"/>
      <c s="7" r="O217"/>
      <c s="7" r="P217"/>
      <c s="7" r="Q217"/>
      <c s="7" r="R217"/>
      <c s="7" r="S217"/>
      <c s="7" r="T217"/>
    </row>
    <row r="218">
      <c s="7" r="D218"/>
      <c s="7" r="E218"/>
      <c s="7" r="F218"/>
      <c s="7" r="G218"/>
      <c s="7" r="H218"/>
      <c s="7" r="I218"/>
      <c s="7" r="J218"/>
      <c s="7" r="K218"/>
      <c s="7" r="L218"/>
      <c s="7" r="M218"/>
      <c s="7" r="N218"/>
      <c s="7" r="O218"/>
      <c s="7" r="P218"/>
      <c s="7" r="Q218"/>
      <c s="7" r="R218"/>
      <c s="7" r="S218"/>
      <c s="7" r="T218"/>
    </row>
    <row r="219">
      <c s="7" r="D219"/>
      <c s="7" r="E219"/>
      <c s="7" r="F219"/>
      <c s="7" r="G219"/>
      <c s="7" r="H219"/>
      <c s="7" r="I219"/>
      <c s="7" r="J219"/>
      <c s="7" r="K219"/>
      <c s="7" r="L219"/>
      <c s="7" r="M219"/>
      <c s="7" r="N219"/>
      <c s="7" r="O219"/>
      <c s="7" r="P219"/>
      <c s="7" r="Q219"/>
      <c s="7" r="R219"/>
      <c s="7" r="S219"/>
      <c s="7" r="T219"/>
    </row>
    <row r="220">
      <c s="7" r="D220"/>
      <c s="7" r="E220"/>
      <c s="7" r="F220"/>
      <c s="7" r="G220"/>
      <c s="7" r="H220"/>
      <c s="7" r="I220"/>
      <c s="7" r="J220"/>
      <c s="7" r="K220"/>
      <c s="7" r="L220"/>
      <c s="7" r="M220"/>
      <c s="7" r="N220"/>
      <c s="7" r="O220"/>
      <c s="7" r="P220"/>
      <c s="7" r="Q220"/>
      <c s="7" r="R220"/>
      <c s="7" r="S220"/>
      <c s="7" r="T220"/>
    </row>
    <row r="221">
      <c s="7" r="D221"/>
      <c s="7" r="E221"/>
      <c s="7" r="F221"/>
      <c s="7" r="G221"/>
      <c s="7" r="H221"/>
      <c s="7" r="I221"/>
      <c s="7" r="J221"/>
      <c s="7" r="K221"/>
      <c s="7" r="L221"/>
      <c s="7" r="M221"/>
      <c s="7" r="N221"/>
      <c s="7" r="O221"/>
      <c s="7" r="P221"/>
      <c s="7" r="Q221"/>
      <c s="7" r="R221"/>
      <c s="7" r="S221"/>
      <c s="7" r="T221"/>
    </row>
    <row r="222">
      <c s="7" r="D222"/>
      <c s="7" r="E222"/>
      <c s="7" r="F222"/>
      <c s="7" r="G222"/>
      <c s="7" r="H222"/>
      <c s="7" r="I222"/>
      <c s="7" r="J222"/>
      <c s="7" r="K222"/>
      <c s="7" r="L222"/>
      <c s="7" r="M222"/>
      <c s="7" r="N222"/>
      <c s="7" r="O222"/>
      <c s="7" r="P222"/>
      <c s="7" r="Q222"/>
      <c s="7" r="R222"/>
      <c s="7" r="S222"/>
      <c s="7" r="T222"/>
    </row>
    <row r="223">
      <c s="7" r="D223"/>
      <c s="7" r="E223"/>
      <c s="7" r="F223"/>
      <c s="7" r="G223"/>
      <c s="7" r="H223"/>
      <c s="7" r="I223"/>
      <c s="7" r="J223"/>
      <c s="7" r="K223"/>
      <c s="7" r="L223"/>
      <c s="7" r="M223"/>
      <c s="7" r="N223"/>
      <c s="7" r="O223"/>
      <c s="7" r="P223"/>
      <c s="7" r="Q223"/>
      <c s="7" r="R223"/>
      <c s="7" r="S223"/>
      <c s="7" r="T223"/>
    </row>
    <row r="224">
      <c s="7" r="D224"/>
      <c s="7" r="E224"/>
      <c s="7" r="F224"/>
      <c s="7" r="G224"/>
      <c s="7" r="H224"/>
      <c s="7" r="I224"/>
      <c s="7" r="J224"/>
      <c s="7" r="K224"/>
      <c s="7" r="L224"/>
      <c s="7" r="M224"/>
      <c s="7" r="N224"/>
      <c s="7" r="O224"/>
      <c s="7" r="P224"/>
      <c s="7" r="Q224"/>
      <c s="7" r="R224"/>
      <c s="7" r="S224"/>
      <c s="7" r="T224"/>
    </row>
    <row r="225">
      <c s="7" r="D225"/>
      <c s="7" r="E225"/>
      <c s="7" r="F225"/>
      <c s="7" r="G225"/>
      <c s="7" r="H225"/>
      <c s="7" r="I225"/>
      <c s="7" r="J225"/>
      <c s="7" r="K225"/>
      <c s="7" r="L225"/>
      <c s="7" r="M225"/>
      <c s="7" r="N225"/>
      <c s="7" r="O225"/>
      <c s="7" r="P225"/>
      <c s="7" r="Q225"/>
      <c s="7" r="R225"/>
      <c s="7" r="S225"/>
      <c s="7" r="T225"/>
    </row>
    <row r="226">
      <c s="7" r="D226"/>
      <c s="7" r="E226"/>
      <c s="7" r="F226"/>
      <c s="7" r="G226"/>
      <c s="7" r="H226"/>
      <c s="7" r="I226"/>
      <c s="7" r="J226"/>
      <c s="7" r="K226"/>
      <c s="7" r="L226"/>
      <c s="7" r="M226"/>
      <c s="7" r="N226"/>
      <c s="7" r="O226"/>
      <c s="7" r="P226"/>
      <c s="7" r="Q226"/>
      <c s="7" r="R226"/>
      <c s="7" r="S226"/>
      <c s="7" r="T226"/>
    </row>
    <row r="227">
      <c s="7" r="D227"/>
      <c s="7" r="E227"/>
      <c s="7" r="F227"/>
      <c s="7" r="G227"/>
      <c s="7" r="H227"/>
      <c s="7" r="I227"/>
      <c s="7" r="J227"/>
      <c s="7" r="K227"/>
      <c s="7" r="L227"/>
      <c s="7" r="M227"/>
      <c s="7" r="N227"/>
      <c s="7" r="O227"/>
      <c s="7" r="P227"/>
      <c s="7" r="Q227"/>
      <c s="7" r="R227"/>
      <c s="7" r="S227"/>
      <c s="7" r="T227"/>
    </row>
    <row r="228">
      <c s="7" r="D228"/>
      <c s="7" r="E228"/>
      <c s="7" r="F228"/>
      <c s="7" r="G228"/>
      <c s="7" r="H228"/>
      <c s="7" r="I228"/>
      <c s="7" r="J228"/>
      <c s="7" r="K228"/>
      <c s="7" r="L228"/>
      <c s="7" r="M228"/>
      <c s="7" r="N228"/>
      <c s="7" r="O228"/>
      <c s="7" r="P228"/>
      <c s="7" r="Q228"/>
      <c s="7" r="R228"/>
      <c s="7" r="S228"/>
      <c s="7" r="T228"/>
    </row>
    <row r="229">
      <c s="7" r="D229"/>
      <c s="7" r="E229"/>
      <c s="7" r="F229"/>
      <c s="7" r="G229"/>
      <c s="7" r="H229"/>
      <c s="7" r="I229"/>
      <c s="7" r="J229"/>
      <c s="7" r="K229"/>
      <c s="7" r="L229"/>
      <c s="7" r="M229"/>
      <c s="7" r="N229"/>
      <c s="7" r="O229"/>
      <c s="7" r="P229"/>
      <c s="7" r="Q229"/>
      <c s="7" r="R229"/>
      <c s="7" r="S229"/>
      <c s="7" r="T229"/>
    </row>
    <row r="230">
      <c s="7" r="D230"/>
      <c s="7" r="E230"/>
      <c s="7" r="F230"/>
      <c s="7" r="G230"/>
      <c s="7" r="H230"/>
      <c s="7" r="I230"/>
      <c s="7" r="J230"/>
      <c s="7" r="K230"/>
      <c s="7" r="L230"/>
      <c s="7" r="M230"/>
      <c s="7" r="N230"/>
      <c s="7" r="O230"/>
      <c s="7" r="P230"/>
      <c s="7" r="Q230"/>
      <c s="7" r="R230"/>
      <c s="7" r="S230"/>
      <c s="7" r="T230"/>
    </row>
    <row r="231">
      <c s="7" r="D231"/>
      <c s="7" r="E231"/>
      <c s="7" r="F231"/>
      <c s="7" r="G231"/>
      <c s="7" r="H231"/>
      <c s="7" r="I231"/>
      <c s="7" r="J231"/>
      <c s="7" r="K231"/>
      <c s="7" r="L231"/>
      <c s="7" r="M231"/>
      <c s="7" r="N231"/>
      <c s="7" r="O231"/>
      <c s="7" r="P231"/>
      <c s="7" r="Q231"/>
      <c s="7" r="R231"/>
      <c s="7" r="S231"/>
      <c s="7" r="T231"/>
    </row>
    <row r="232">
      <c s="7" r="D232"/>
      <c s="7" r="E232"/>
      <c s="7" r="F232"/>
      <c s="7" r="G232"/>
      <c s="7" r="H232"/>
      <c s="7" r="I232"/>
      <c s="7" r="J232"/>
      <c s="7" r="K232"/>
      <c s="7" r="L232"/>
      <c s="7" r="M232"/>
      <c s="7" r="N232"/>
      <c s="7" r="O232"/>
      <c s="7" r="P232"/>
      <c s="7" r="Q232"/>
      <c s="7" r="R232"/>
      <c s="7" r="S232"/>
      <c s="7" r="T232"/>
    </row>
    <row r="233">
      <c s="7" r="D233"/>
      <c s="7" r="E233"/>
      <c s="7" r="F233"/>
      <c s="7" r="G233"/>
      <c s="7" r="H233"/>
      <c s="7" r="I233"/>
      <c s="7" r="J233"/>
      <c s="7" r="K233"/>
      <c s="7" r="L233"/>
      <c s="7" r="M233"/>
      <c s="7" r="N233"/>
      <c s="7" r="O233"/>
      <c s="7" r="P233"/>
      <c s="7" r="Q233"/>
      <c s="7" r="R233"/>
      <c s="7" r="S233"/>
      <c s="7" r="T233"/>
    </row>
    <row r="234">
      <c s="7" r="D234"/>
      <c s="7" r="E234"/>
      <c s="7" r="F234"/>
      <c s="7" r="G234"/>
      <c s="7" r="H234"/>
      <c s="7" r="I234"/>
      <c s="7" r="J234"/>
      <c s="7" r="K234"/>
      <c s="7" r="L234"/>
      <c s="7" r="M234"/>
      <c s="7" r="N234"/>
      <c s="7" r="O234"/>
      <c s="7" r="P234"/>
      <c s="7" r="Q234"/>
      <c s="7" r="R234"/>
      <c s="7" r="S234"/>
      <c s="7" r="T234"/>
    </row>
    <row r="235">
      <c s="7" r="D235"/>
      <c s="7" r="E235"/>
      <c s="7" r="F235"/>
      <c s="7" r="G235"/>
      <c s="7" r="H235"/>
      <c s="7" r="I235"/>
      <c s="7" r="J235"/>
      <c s="7" r="K235"/>
      <c s="7" r="L235"/>
      <c s="7" r="M235"/>
      <c s="7" r="N235"/>
      <c s="7" r="O235"/>
      <c s="7" r="P235"/>
      <c s="7" r="Q235"/>
      <c s="7" r="R235"/>
      <c s="7" r="S235"/>
      <c s="7" r="T235"/>
    </row>
    <row r="236">
      <c s="7" r="D236"/>
      <c s="7" r="E236"/>
      <c s="7" r="F236"/>
      <c s="7" r="G236"/>
      <c s="7" r="H236"/>
      <c s="7" r="I236"/>
      <c s="7" r="J236"/>
      <c s="7" r="K236"/>
      <c s="7" r="L236"/>
      <c s="7" r="M236"/>
      <c s="7" r="N236"/>
      <c s="7" r="O236"/>
      <c s="7" r="P236"/>
      <c s="7" r="Q236"/>
      <c s="7" r="R236"/>
      <c s="7" r="S236"/>
      <c s="7" r="T236"/>
    </row>
    <row r="237">
      <c s="7" r="D237"/>
      <c s="7" r="E237"/>
      <c s="7" r="F237"/>
      <c s="7" r="G237"/>
      <c s="7" r="H237"/>
      <c s="7" r="I237"/>
      <c s="7" r="J237"/>
      <c s="7" r="K237"/>
      <c s="7" r="L237"/>
      <c s="7" r="M237"/>
      <c s="7" r="N237"/>
      <c s="7" r="O237"/>
      <c s="7" r="P237"/>
      <c s="7" r="Q237"/>
      <c s="7" r="R237"/>
      <c s="7" r="S237"/>
      <c s="7" r="T237"/>
    </row>
    <row r="238">
      <c s="7" r="D238"/>
      <c s="7" r="E238"/>
      <c s="7" r="F238"/>
      <c s="7" r="G238"/>
      <c s="7" r="H238"/>
      <c s="7" r="I238"/>
      <c s="7" r="J238"/>
      <c s="7" r="K238"/>
      <c s="7" r="L238"/>
      <c s="7" r="M238"/>
      <c s="7" r="N238"/>
      <c s="7" r="O238"/>
      <c s="7" r="P238"/>
      <c s="7" r="Q238"/>
      <c s="7" r="R238"/>
      <c s="7" r="S238"/>
      <c s="7" r="T238"/>
    </row>
    <row r="239">
      <c s="7" r="D239"/>
      <c s="7" r="E239"/>
      <c s="7" r="F239"/>
      <c s="7" r="G239"/>
      <c s="7" r="H239"/>
      <c s="7" r="I239"/>
      <c s="7" r="J239"/>
      <c s="7" r="K239"/>
      <c s="7" r="L239"/>
      <c s="7" r="M239"/>
      <c s="7" r="N239"/>
      <c s="7" r="O239"/>
      <c s="7" r="P239"/>
      <c s="7" r="Q239"/>
      <c s="7" r="R239"/>
      <c s="7" r="S239"/>
      <c s="7" r="T239"/>
    </row>
    <row r="240">
      <c s="7" r="D240"/>
      <c s="7" r="E240"/>
      <c s="7" r="F240"/>
      <c s="7" r="G240"/>
      <c s="7" r="H240"/>
      <c s="7" r="I240"/>
      <c s="7" r="J240"/>
      <c s="7" r="K240"/>
      <c s="7" r="L240"/>
      <c s="7" r="M240"/>
      <c s="7" r="N240"/>
      <c s="7" r="O240"/>
      <c s="7" r="P240"/>
      <c s="7" r="Q240"/>
      <c s="7" r="R240"/>
      <c s="7" r="S240"/>
      <c s="7" r="T240"/>
    </row>
    <row r="241">
      <c s="7" r="D241"/>
      <c s="7" r="E241"/>
      <c s="7" r="F241"/>
      <c s="7" r="G241"/>
      <c s="7" r="H241"/>
      <c s="7" r="I241"/>
      <c s="7" r="J241"/>
      <c s="7" r="K241"/>
      <c s="7" r="L241"/>
      <c s="7" r="M241"/>
      <c s="7" r="N241"/>
      <c s="7" r="O241"/>
      <c s="7" r="P241"/>
      <c s="7" r="Q241"/>
      <c s="7" r="R241"/>
      <c s="7" r="S241"/>
      <c s="7" r="T241"/>
    </row>
    <row r="242">
      <c s="7" r="D242"/>
      <c s="7" r="E242"/>
      <c s="7" r="F242"/>
      <c s="7" r="G242"/>
      <c s="7" r="H242"/>
      <c s="7" r="I242"/>
      <c s="7" r="J242"/>
      <c s="7" r="K242"/>
      <c s="7" r="L242"/>
      <c s="7" r="M242"/>
      <c s="7" r="N242"/>
      <c s="7" r="O242"/>
      <c s="7" r="P242"/>
      <c s="7" r="Q242"/>
      <c s="7" r="R242"/>
      <c s="7" r="S242"/>
      <c s="7" r="T242"/>
    </row>
  </sheetData>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3" ySplit="2.0" activePane="bottomLeft" state="frozen"/>
      <selection sqref="A3" activeCell="A3" pane="bottomLeft"/>
    </sheetView>
  </sheetViews>
  <sheetFormatPr customHeight="1" defaultColWidth="17.14" defaultRowHeight="12.75"/>
  <cols>
    <col min="1" customWidth="1" max="1" width="1.86"/>
    <col min="2" customWidth="1" max="2" width="23.14"/>
    <col min="3" customWidth="1" max="3" width="33.86"/>
    <col min="4" customWidth="1" max="5" width="6.86"/>
  </cols>
  <sheetData>
    <row r="2">
      <c t="s" s="17" r="B2">
        <v>1928</v>
      </c>
      <c t="s" s="17" r="C2">
        <v>1929</v>
      </c>
      <c s="17" r="D2"/>
      <c s="17" r="E2"/>
      <c t="s" s="17" r="F2">
        <v>1930</v>
      </c>
      <c t="s" s="17" r="G2">
        <v>1931</v>
      </c>
      <c t="s" s="17" r="H2">
        <v>1932</v>
      </c>
      <c t="s" s="17" r="I2">
        <v>1933</v>
      </c>
      <c s="7" r="J2"/>
      <c s="7" r="K2"/>
      <c s="7" r="L2"/>
      <c s="7" r="M2"/>
      <c s="7" r="N2"/>
      <c s="7" r="O2"/>
      <c s="7" r="P2"/>
      <c s="7" r="Q2"/>
      <c s="7" r="R2"/>
      <c s="7" r="S2"/>
      <c s="7" r="T2"/>
    </row>
    <row r="3">
      <c t="s" s="7" r="B3">
        <v>76</v>
      </c>
      <c t="s" s="7" r="C3">
        <v>1934</v>
      </c>
      <c s="7" r="D3">
        <v>1</v>
      </c>
      <c s="7" r="E3">
        <v>1</v>
      </c>
      <c s="7" r="F3">
        <f>COUNTIF(EXPERTISE!C4:C50,"*Agriculture, Fishing, &amp; Forestry / Natural Resources*")</f>
        <v>1</v>
      </c>
      <c s="7" r="G3">
        <f>COUNTIF(EXPERTISE!D4:D50,"*Agricultural Extension and Research*")</f>
        <v>0</v>
      </c>
      <c s="7" r="H3">
        <f>COUNTIF(PROJECT!V2:V100,"*Agriculture, Fishing, &amp; Forestry / Natural Resources*")</f>
        <v>14</v>
      </c>
      <c s="7" r="I3">
        <f>COUNTIF(PROJECT!W2:W100,"*Agricultural Extension and Research*")</f>
        <v>0</v>
      </c>
      <c s="7" r="J3"/>
      <c s="7" r="K3"/>
      <c s="7" r="L3"/>
      <c s="7" r="M3"/>
      <c s="7" r="N3"/>
      <c s="7" r="O3"/>
      <c s="7" r="P3"/>
      <c s="7" r="Q3"/>
      <c s="7" r="R3"/>
      <c s="7" r="S3"/>
      <c s="7" r="T3"/>
    </row>
    <row r="4">
      <c t="s" s="7" r="B4">
        <v>76</v>
      </c>
      <c t="s" s="7" r="C4">
        <v>77</v>
      </c>
      <c s="7" r="D4">
        <v>0</v>
      </c>
      <c s="7" r="E4">
        <v>1</v>
      </c>
      <c t="s" s="7" r="F4">
        <v>1826</v>
      </c>
      <c s="7" r="G4">
        <f>COUNTIF(EXPERTISE!D4:D50,"*Agriculture Production, Agro-Processing, and Agro-Business*")</f>
        <v>1</v>
      </c>
      <c s="7" r="H4"/>
      <c s="7" r="I4">
        <f>COUNTIF(PROJECT!W2:W100,"*Agriculture Production, Agro-Processing, and Agro-Business*")</f>
        <v>0</v>
      </c>
      <c s="7" r="J4"/>
      <c s="7" r="K4"/>
      <c s="7" r="L4"/>
      <c s="7" r="M4"/>
      <c s="7" r="N4"/>
      <c s="7" r="O4"/>
      <c s="7" r="P4"/>
      <c s="7" r="Q4"/>
      <c s="7" r="R4"/>
      <c s="7" r="S4"/>
      <c s="7" r="T4"/>
    </row>
    <row r="5">
      <c t="s" s="7" r="B5">
        <v>76</v>
      </c>
      <c t="s" s="7" r="C5">
        <v>84</v>
      </c>
      <c s="7" r="D5">
        <v>0</v>
      </c>
      <c s="7" r="E5">
        <v>1</v>
      </c>
      <c t="s" s="7" r="F5">
        <v>1826</v>
      </c>
      <c s="7" r="G5">
        <f>COUNTIF(EXPERTISE!D4:D50,"*Agriculture Sector Development*")</f>
        <v>1</v>
      </c>
      <c s="7" r="H5"/>
      <c s="7" r="I5">
        <f>COUNTIF(PROJECT!W2:W100,"*Agriculture Sector Development*")</f>
        <v>1</v>
      </c>
      <c s="7" r="J5"/>
      <c s="7" r="K5"/>
      <c s="7" r="L5"/>
      <c s="7" r="M5"/>
      <c s="7" r="N5"/>
      <c s="7" r="O5"/>
      <c s="7" r="P5"/>
      <c s="7" r="Q5"/>
      <c s="7" r="R5"/>
      <c s="7" r="S5"/>
      <c s="7" r="T5"/>
    </row>
    <row r="6">
      <c t="s" s="7" r="B6">
        <v>76</v>
      </c>
      <c t="s" s="7" r="C6">
        <v>1935</v>
      </c>
      <c s="7" r="D6">
        <v>0</v>
      </c>
      <c s="7" r="E6">
        <v>1</v>
      </c>
      <c t="s" s="7" r="F6">
        <v>1826</v>
      </c>
      <c s="7" r="G6">
        <f>COUNTIF(EXPERTISE!D4:D50,"*Animal Production*")</f>
        <v>0</v>
      </c>
      <c s="7" r="H6"/>
      <c s="7" r="I6">
        <f>COUNTIF(PROJECT!W2:W100,"*Animal Production*")</f>
        <v>0</v>
      </c>
      <c s="7" r="J6"/>
      <c s="7" r="K6"/>
      <c s="7" r="L6"/>
      <c s="7" r="M6"/>
      <c s="7" r="N6"/>
      <c s="7" r="O6"/>
      <c s="7" r="P6"/>
      <c s="7" r="Q6"/>
      <c s="7" r="R6"/>
      <c s="7" r="S6"/>
      <c s="7" r="T6"/>
    </row>
    <row r="7">
      <c t="s" s="7" r="B7">
        <v>76</v>
      </c>
      <c t="s" s="7" r="C7">
        <v>1936</v>
      </c>
      <c s="7" r="D7">
        <v>0</v>
      </c>
      <c s="7" r="E7">
        <v>1</v>
      </c>
      <c t="s" s="7" r="F7">
        <v>1826</v>
      </c>
      <c s="7" r="G7">
        <f>COUNTIF(EXPERTISE!D4:D50,"*Aquaculture*")</f>
        <v>0</v>
      </c>
      <c s="7" r="H7"/>
      <c s="7" r="I7">
        <f>COUNTIF(PROJECT!W2:W100,"*Aquaculture*")</f>
        <v>0</v>
      </c>
      <c s="7" r="J7"/>
      <c s="7" r="K7"/>
      <c s="7" r="L7"/>
      <c s="7" r="M7"/>
      <c s="7" r="N7"/>
      <c s="7" r="O7"/>
      <c s="7" r="P7"/>
      <c s="7" r="Q7"/>
      <c s="7" r="R7"/>
      <c s="7" r="S7"/>
      <c s="7" r="T7"/>
    </row>
    <row r="8">
      <c t="s" s="7" r="B8">
        <v>76</v>
      </c>
      <c t="s" s="7" r="C8">
        <v>1937</v>
      </c>
      <c s="7" r="D8">
        <v>0</v>
      </c>
      <c s="7" r="E8">
        <v>1</v>
      </c>
      <c t="s" s="7" r="F8">
        <v>1826</v>
      </c>
      <c s="7" r="G8">
        <f>COUNTIF(EXPERTISE!D4:D50,"*Crops*")</f>
        <v>0</v>
      </c>
      <c s="7" r="H8"/>
      <c s="7" r="I8">
        <f>COUNTIF(PROJECT!W2:W100,"*Crops*")</f>
        <v>0</v>
      </c>
      <c s="7" r="J8"/>
      <c s="7" r="K8"/>
      <c s="7" r="L8"/>
      <c s="7" r="M8"/>
      <c s="7" r="N8"/>
      <c s="7" r="O8"/>
      <c s="7" r="P8"/>
      <c s="7" r="Q8"/>
      <c s="7" r="R8"/>
      <c s="7" r="S8"/>
      <c s="7" r="T8"/>
    </row>
    <row r="9">
      <c t="s" s="7" r="B9">
        <v>76</v>
      </c>
      <c t="s" s="7" r="C9">
        <v>1938</v>
      </c>
      <c s="7" r="D9">
        <v>0</v>
      </c>
      <c s="7" r="E9">
        <v>1</v>
      </c>
      <c t="s" s="7" r="F9">
        <v>1826</v>
      </c>
      <c s="7" r="G9">
        <f>COUNTIF(EXPERTISE!D4:D50,"*Dairy*")</f>
        <v>0</v>
      </c>
      <c s="7" r="H9"/>
      <c s="7" r="I9">
        <f>COUNTIF(PROJECT!W2:W100,"*Dairy*")</f>
        <v>0</v>
      </c>
      <c s="7" r="J9"/>
      <c s="7" r="K9"/>
      <c s="7" r="L9"/>
      <c s="7" r="M9"/>
      <c s="7" r="N9"/>
      <c s="7" r="O9"/>
      <c s="7" r="P9"/>
      <c s="7" r="Q9"/>
      <c s="7" r="R9"/>
      <c s="7" r="S9"/>
      <c s="7" r="T9"/>
    </row>
    <row r="10">
      <c t="s" s="7" r="B10">
        <v>76</v>
      </c>
      <c t="s" s="7" r="C10">
        <v>96</v>
      </c>
      <c s="7" r="D10">
        <v>0</v>
      </c>
      <c s="7" r="E10">
        <v>1</v>
      </c>
      <c t="s" s="7" r="F10">
        <v>1826</v>
      </c>
      <c s="7" r="G10">
        <f>COUNTIF(EXPERTISE!D4:D50,"*Environment and Biodiversity*")</f>
        <v>1</v>
      </c>
      <c s="7" r="H10"/>
      <c s="7" r="I10">
        <f>COUNTIF(PROJECT!W2:W100,"*Environment and Biodiversity*")</f>
        <v>1</v>
      </c>
      <c s="7" r="J10"/>
      <c s="7" r="K10"/>
      <c s="7" r="L10"/>
      <c s="7" r="M10"/>
      <c s="7" r="N10"/>
      <c s="7" r="O10"/>
      <c s="7" r="P10"/>
      <c s="7" r="Q10"/>
      <c s="7" r="R10"/>
      <c s="7" r="S10"/>
      <c s="7" r="T10"/>
    </row>
    <row r="11">
      <c t="s" s="7" r="B11">
        <v>76</v>
      </c>
      <c t="s" s="7" r="C11">
        <v>1939</v>
      </c>
      <c s="7" r="D11">
        <v>0</v>
      </c>
      <c s="7" r="E11">
        <v>1</v>
      </c>
      <c t="s" s="7" r="F11">
        <v>1826</v>
      </c>
      <c s="7" r="G11">
        <f>COUNTIF(EXPERTISE!D4:D50,"*Fats and Oils*")</f>
        <v>0</v>
      </c>
      <c s="7" r="H11"/>
      <c s="7" r="I11">
        <f>COUNTIF(PROJECT!W2:W100,"*Fats and Oils*")</f>
        <v>0</v>
      </c>
      <c s="7" r="J11"/>
      <c s="7" r="K11"/>
      <c s="7" r="L11"/>
      <c s="7" r="M11"/>
      <c s="7" r="N11"/>
      <c s="7" r="O11"/>
      <c s="7" r="P11"/>
      <c s="7" r="Q11"/>
      <c s="7" r="R11"/>
      <c s="7" r="S11"/>
      <c s="7" r="T11"/>
    </row>
    <row r="12">
      <c t="s" s="7" r="B12">
        <v>76</v>
      </c>
      <c t="s" s="7" r="C12">
        <v>1940</v>
      </c>
      <c s="7" r="D12">
        <v>0</v>
      </c>
      <c s="7" r="E12">
        <v>1</v>
      </c>
      <c t="s" s="7" r="F12">
        <v>1826</v>
      </c>
      <c s="7" r="G12">
        <f>COUNTIF(EXPERTISE!D4:D50,"*Fishery*")</f>
        <v>0</v>
      </c>
      <c s="7" r="H12"/>
      <c s="7" r="I12">
        <f>COUNTIF(PROJECT!W2:W100,"*Fishery*")</f>
        <v>0</v>
      </c>
      <c s="7" r="J12"/>
      <c s="7" r="K12"/>
      <c s="7" r="L12"/>
      <c s="7" r="M12"/>
      <c s="7" r="N12"/>
      <c s="7" r="O12"/>
      <c s="7" r="P12"/>
      <c s="7" r="Q12"/>
      <c s="7" r="R12"/>
      <c s="7" r="S12"/>
      <c s="7" r="T12"/>
    </row>
    <row r="13">
      <c t="s" s="7" r="B13">
        <v>76</v>
      </c>
      <c t="s" s="63" r="C13">
        <v>103</v>
      </c>
      <c s="7" r="D13">
        <v>0</v>
      </c>
      <c s="7" r="E13">
        <v>1</v>
      </c>
      <c t="s" s="7" r="F13">
        <v>1826</v>
      </c>
      <c s="63" r="G13">
        <f>COUNTIF(EXPERTISE!D4:D50,"*Forests*")</f>
        <v>1</v>
      </c>
      <c s="7" r="H13"/>
      <c s="63" r="I13">
        <f>COUNTIF(PROJECT!W2:W100,"*Forests*")</f>
        <v>5</v>
      </c>
      <c s="7" r="J13"/>
      <c s="7" r="K13"/>
      <c s="7" r="L13"/>
      <c s="7" r="M13"/>
      <c s="7" r="N13"/>
      <c s="7" r="O13"/>
      <c s="7" r="P13"/>
      <c s="7" r="Q13"/>
      <c s="7" r="R13"/>
      <c s="7" r="S13"/>
      <c s="7" r="T13"/>
    </row>
    <row r="14">
      <c t="s" s="7" r="B14">
        <v>76</v>
      </c>
      <c t="s" s="7" r="C14">
        <v>1941</v>
      </c>
      <c s="7" r="D14">
        <v>0</v>
      </c>
      <c s="7" r="E14">
        <v>1</v>
      </c>
      <c t="s" s="7" r="F14">
        <v>1826</v>
      </c>
      <c s="7" r="G14">
        <f>COUNTIF(EXPERTISE!D4:D50,"*Fruits &amp; Vegetables*")</f>
        <v>0</v>
      </c>
      <c s="7" r="H14"/>
      <c s="7" r="I14">
        <f>COUNTIF(PROJECT!W2:W100,"*Fruits &amp; Vegetables*")</f>
        <v>0</v>
      </c>
      <c s="7" r="J14"/>
      <c s="7" r="K14"/>
      <c s="7" r="L14"/>
      <c s="7" r="M14"/>
      <c s="7" r="N14"/>
      <c s="7" r="O14"/>
      <c s="7" r="P14"/>
      <c s="7" r="Q14"/>
      <c s="7" r="R14"/>
      <c s="7" r="S14"/>
      <c s="7" r="T14"/>
    </row>
    <row r="15">
      <c t="s" s="7" r="B15">
        <v>76</v>
      </c>
      <c t="s" s="7" r="C15">
        <v>1942</v>
      </c>
      <c s="7" r="D15">
        <v>0</v>
      </c>
      <c s="7" r="E15">
        <v>1</v>
      </c>
      <c t="s" s="7" r="F15">
        <v>1826</v>
      </c>
      <c s="7" r="G15">
        <f>COUNTIF(EXPERTISE!D4:D50,"*Grains*")</f>
        <v>0</v>
      </c>
      <c s="7" r="H15"/>
      <c s="7" r="I15">
        <f>COUNTIF(PROJECT!W2:W100,"*Grains*")</f>
        <v>0</v>
      </c>
      <c s="7" r="J15"/>
      <c s="7" r="K15"/>
      <c s="7" r="L15"/>
      <c s="7" r="M15"/>
      <c s="7" r="N15"/>
      <c s="7" r="O15"/>
      <c s="7" r="P15"/>
      <c s="7" r="Q15"/>
      <c s="7" r="R15"/>
      <c s="7" r="S15"/>
      <c s="7" r="T15"/>
    </row>
    <row r="16">
      <c t="s" s="7" r="B16">
        <v>76</v>
      </c>
      <c t="s" s="7" r="C16">
        <v>109</v>
      </c>
      <c s="7" r="D16">
        <v>0</v>
      </c>
      <c s="7" r="E16">
        <v>1</v>
      </c>
      <c t="s" s="7" r="F16">
        <v>1826</v>
      </c>
      <c s="7" r="G16">
        <f>COUNTIF(EXPERTISE!D4:D50,"*Irrigation and Drainage*")</f>
        <v>1</v>
      </c>
      <c s="7" r="H16"/>
      <c s="7" r="I16">
        <f>COUNTIF(PROJECT!W2:W100,"*Irrigation and Drainage*")</f>
        <v>8</v>
      </c>
      <c s="7" r="J16"/>
      <c s="7" r="K16"/>
      <c s="7" r="L16"/>
      <c s="7" r="M16"/>
      <c s="7" r="N16"/>
      <c s="7" r="O16"/>
      <c s="7" r="P16"/>
      <c s="7" r="Q16"/>
      <c s="7" r="R16"/>
      <c s="7" r="S16"/>
      <c s="7" r="T16"/>
    </row>
    <row r="17">
      <c t="s" s="7" r="B17">
        <v>76</v>
      </c>
      <c t="s" s="7" r="C17">
        <v>1943</v>
      </c>
      <c s="7" r="D17">
        <v>0</v>
      </c>
      <c s="7" r="E17">
        <v>1</v>
      </c>
      <c t="s" s="7" r="F17">
        <v>1826</v>
      </c>
      <c s="7" r="G17">
        <f>COUNTIF(EXPERTISE!D4:D50,"*Livestock*")</f>
        <v>0</v>
      </c>
      <c s="7" r="H17"/>
      <c s="7" r="I17">
        <f>COUNTIF(PROJECT!W2:W100,"*Livestock*")</f>
        <v>0</v>
      </c>
      <c s="7" r="J17"/>
      <c s="7" r="K17"/>
      <c s="7" r="L17"/>
      <c s="7" r="M17"/>
      <c s="7" r="N17"/>
      <c s="7" r="O17"/>
      <c s="7" r="P17"/>
      <c s="7" r="Q17"/>
      <c s="7" r="R17"/>
      <c s="7" r="S17"/>
      <c s="7" r="T17"/>
    </row>
    <row r="18">
      <c t="s" s="7" r="B18">
        <v>76</v>
      </c>
      <c t="s" s="63" r="C18">
        <v>1944</v>
      </c>
      <c s="7" r="D18">
        <v>0</v>
      </c>
      <c s="7" r="E18">
        <v>1</v>
      </c>
      <c t="s" s="7" r="F18">
        <v>1826</v>
      </c>
      <c s="7" r="G18">
        <f>COUNTIF(EXPERTISE!D4:D50,"*Mineral Resources*")</f>
        <v>0</v>
      </c>
      <c s="7" r="H18"/>
      <c s="7" r="I18">
        <f>COUNTIF(PROJECT!W2:W100,"*Mineral Resources*")</f>
        <v>0</v>
      </c>
      <c s="7" r="J18"/>
      <c s="7" r="K18"/>
      <c s="7" r="L18"/>
      <c s="7" r="M18"/>
      <c s="7" r="N18"/>
      <c s="7" r="O18"/>
      <c s="7" r="P18"/>
      <c s="7" r="Q18"/>
      <c s="7" r="R18"/>
      <c s="7" r="S18"/>
      <c s="7" r="T18"/>
    </row>
    <row r="19">
      <c t="s" s="7" r="B19">
        <v>76</v>
      </c>
      <c t="s" s="7" r="C19">
        <v>1945</v>
      </c>
      <c s="7" r="D19">
        <v>0</v>
      </c>
      <c s="7" r="E19">
        <v>1</v>
      </c>
      <c t="s" s="7" r="F19">
        <v>1826</v>
      </c>
      <c s="7" r="G19">
        <f>COUNTIF(EXPERTISE!D4:D50,"*Processed Food &amp; Beverages*")</f>
        <v>0</v>
      </c>
      <c s="7" r="H19"/>
      <c s="7" r="I19">
        <f>COUNTIF(PROJECT!W2:W100,"*Processed Food &amp; Beverages*")</f>
        <v>0</v>
      </c>
      <c s="7" r="J19"/>
      <c s="7" r="K19"/>
      <c s="7" r="L19"/>
      <c s="7" r="M19"/>
      <c s="7" r="N19"/>
      <c s="7" r="O19"/>
      <c s="7" r="P19"/>
      <c s="7" r="Q19"/>
      <c s="7" r="R19"/>
      <c s="7" r="S19"/>
      <c s="7" r="T19"/>
    </row>
    <row r="20">
      <c t="s" s="7" r="B20">
        <v>76</v>
      </c>
      <c t="s" s="7" r="C20">
        <v>1946</v>
      </c>
      <c s="7" r="D20">
        <v>0</v>
      </c>
      <c s="7" r="E20">
        <v>1</v>
      </c>
      <c t="s" s="7" r="F20">
        <v>1826</v>
      </c>
      <c s="7" r="G20">
        <f>COUNTIF(EXPERTISE!D4:D50,"*Sugar*")</f>
        <v>0</v>
      </c>
      <c s="7" r="H20"/>
      <c s="7" r="I20">
        <f>COUNTIF(PROJECT!W2:W100,"*Sugar*")</f>
        <v>0</v>
      </c>
      <c s="7" r="J20"/>
      <c s="7" r="K20"/>
      <c s="7" r="L20"/>
      <c s="7" r="M20"/>
      <c s="7" r="N20"/>
      <c s="7" r="O20"/>
      <c s="7" r="P20"/>
      <c s="7" r="Q20"/>
      <c s="7" r="R20"/>
      <c s="7" r="S20"/>
      <c s="7" r="T20"/>
    </row>
    <row r="21">
      <c t="s" s="7" r="B21">
        <v>76</v>
      </c>
      <c t="s" s="7" r="C21">
        <v>138</v>
      </c>
      <c s="7" r="D21">
        <v>0</v>
      </c>
      <c s="7" r="E21">
        <v>1</v>
      </c>
      <c t="s" s="7" r="F21">
        <v>1826</v>
      </c>
      <c s="7" r="G21">
        <f>COUNTIF(EXPERTISE!D4:D50,"*Water Resource Management*")</f>
        <v>1</v>
      </c>
      <c s="7" r="H21"/>
      <c s="7" r="I21">
        <f>COUNTIF(PROJECT!W2:W100,"*Water Resource Management*")</f>
        <v>4</v>
      </c>
      <c s="7" r="J21"/>
      <c s="7" r="K21"/>
      <c s="7" r="L21"/>
      <c s="7" r="M21"/>
      <c s="7" r="N21"/>
      <c s="7" r="O21"/>
      <c s="7" r="P21"/>
      <c s="7" r="Q21"/>
      <c s="7" r="R21"/>
      <c s="7" r="S21"/>
      <c s="7" r="T21"/>
    </row>
    <row r="22">
      <c t="s" s="7" r="B22">
        <v>113</v>
      </c>
      <c t="s" s="7" r="C22">
        <v>113</v>
      </c>
      <c s="7" r="D22">
        <v>1</v>
      </c>
      <c s="7" r="E22">
        <v>1</v>
      </c>
      <c s="7" r="F22">
        <f>COUNTIF(EXPERTISE!C4:C50,"*Economic Management*")</f>
        <v>1</v>
      </c>
      <c s="7" r="G22">
        <f>COUNTIF(EXPERTISE!D4:D50,"*Economic Management*")</f>
        <v>1</v>
      </c>
      <c s="7" r="H22">
        <f>COUNTIF(PROJECT!V2:V100,"*Economic Management*")</f>
        <v>0</v>
      </c>
      <c s="7" r="I22">
        <f>COUNTIF(PROJECT!W2:W100,"*Economic Management*")</f>
        <v>0</v>
      </c>
      <c s="7" r="J22"/>
      <c s="7" r="K22"/>
      <c s="7" r="L22"/>
      <c s="7" r="M22"/>
      <c s="7" r="N22"/>
      <c s="7" r="O22"/>
      <c s="7" r="P22"/>
      <c s="7" r="Q22"/>
      <c s="7" r="R22"/>
      <c s="7" r="S22"/>
      <c s="7" r="T22"/>
    </row>
    <row r="23">
      <c t="s" s="7" r="B23">
        <v>113</v>
      </c>
      <c t="s" s="7" r="C23">
        <v>1947</v>
      </c>
      <c s="7" r="D23">
        <v>0</v>
      </c>
      <c s="7" r="E23">
        <v>1</v>
      </c>
      <c s="7" r="G23">
        <f>COUNTIF(EXPERTISE!D4:D50,"*Public Finance and Expenditure Management*")</f>
        <v>0</v>
      </c>
      <c s="7" r="H23"/>
      <c s="7" r="I23">
        <f>COUNTIF(PROJECT!W2:W100,"*Public Finance and Expenditure Management*")</f>
        <v>0</v>
      </c>
      <c s="7" r="J23"/>
      <c s="7" r="K23"/>
      <c s="7" r="L23"/>
      <c s="7" r="M23"/>
      <c s="7" r="N23"/>
      <c s="7" r="O23"/>
      <c s="7" r="P23"/>
      <c s="7" r="Q23"/>
      <c s="7" r="R23"/>
      <c s="7" r="S23"/>
      <c s="7" r="T23"/>
    </row>
    <row r="24">
      <c t="s" s="7" r="B24">
        <v>1948</v>
      </c>
      <c t="s" s="63" r="C24">
        <v>1949</v>
      </c>
      <c s="7" r="D24">
        <v>1</v>
      </c>
      <c s="7" r="E24">
        <v>1</v>
      </c>
      <c s="7" r="F24">
        <f>COUNTIF(EXPERTISE!C4:C50,"*Education*")</f>
        <v>0</v>
      </c>
      <c s="7" r="G24">
        <f>COUNTIF(EXPERTISE!D4:D50,"*Adult Literacy*")</f>
        <v>0</v>
      </c>
      <c s="7" r="H24">
        <f>COUNTIF(PROJECT!V2:V100,"*Education*")</f>
        <v>0</v>
      </c>
      <c s="7" r="I24">
        <f>COUNTIF(PROJECT!W2:W100,"*Adult Literacy*")</f>
        <v>0</v>
      </c>
      <c s="7" r="J24"/>
      <c s="7" r="K24"/>
      <c s="7" r="L24"/>
      <c s="7" r="M24"/>
      <c s="7" r="N24"/>
      <c s="7" r="O24"/>
      <c s="7" r="P24"/>
      <c s="7" r="Q24"/>
      <c s="7" r="R24"/>
      <c s="7" r="S24"/>
      <c s="7" r="T24"/>
    </row>
    <row r="25">
      <c t="s" s="7" r="B25">
        <v>1948</v>
      </c>
      <c t="s" s="7" r="C25">
        <v>1950</v>
      </c>
      <c s="7" r="D25">
        <v>0</v>
      </c>
      <c s="7" r="E25">
        <v>1</v>
      </c>
      <c t="s" s="7" r="F25">
        <v>1826</v>
      </c>
      <c s="7" r="G25">
        <f>COUNTIF(EXPERTISE!D4:D50,"*Basic Education*")</f>
        <v>0</v>
      </c>
      <c s="7" r="H25"/>
      <c s="7" r="I25">
        <f>COUNTIF(PROJECT!W2:W100,"*Basic Education*")</f>
        <v>0</v>
      </c>
      <c s="7" r="J25"/>
      <c s="7" r="K25"/>
      <c s="7" r="L25"/>
      <c s="7" r="M25"/>
      <c s="7" r="N25"/>
      <c s="7" r="O25"/>
      <c s="7" r="P25"/>
      <c s="7" r="Q25"/>
      <c s="7" r="R25"/>
      <c s="7" r="S25"/>
      <c s="7" r="T25"/>
    </row>
    <row r="26">
      <c t="s" s="7" r="B26">
        <v>1948</v>
      </c>
      <c t="s" s="7" r="C26">
        <v>1951</v>
      </c>
      <c s="7" r="D26">
        <v>0</v>
      </c>
      <c s="7" r="E26">
        <v>1</v>
      </c>
      <c t="s" s="7" r="F26">
        <v>1826</v>
      </c>
      <c s="7" r="G26">
        <f>COUNTIF(EXPERTISE!D4:D50,"*Education Sector Development*")</f>
        <v>0</v>
      </c>
      <c s="7" r="H26"/>
      <c s="7" r="I26">
        <f>COUNTIF(PROJECT!W2:W100,"*Education Sector Development*")</f>
        <v>0</v>
      </c>
      <c s="7" r="J26"/>
      <c s="7" r="K26"/>
      <c s="7" r="L26"/>
      <c s="7" r="M26"/>
      <c s="7" r="N26"/>
      <c s="7" r="O26"/>
      <c s="7" r="P26"/>
      <c s="7" r="Q26"/>
      <c s="7" r="R26"/>
      <c s="7" r="S26"/>
      <c s="7" r="T26"/>
    </row>
    <row r="27">
      <c t="s" s="7" r="B27">
        <v>1948</v>
      </c>
      <c t="s" s="7" r="C27">
        <v>1952</v>
      </c>
      <c s="7" r="D27">
        <v>0</v>
      </c>
      <c s="7" r="E27">
        <v>1</v>
      </c>
      <c t="s" s="7" r="F27">
        <v>1826</v>
      </c>
      <c s="7" r="G27">
        <f>COUNTIF(EXPERTISE!D4:D50,"*General Education Sector*")</f>
        <v>0</v>
      </c>
      <c s="7" r="H27"/>
      <c s="7" r="I27">
        <f>COUNTIF(PROJECT!W2:W100,"*General Education Sector*")</f>
        <v>0</v>
      </c>
      <c s="7" r="J27"/>
      <c s="7" r="K27"/>
      <c s="7" r="L27"/>
      <c s="7" r="M27"/>
      <c s="7" r="N27"/>
      <c s="7" r="O27"/>
      <c s="7" r="P27"/>
      <c s="7" r="Q27"/>
      <c s="7" r="R27"/>
      <c s="7" r="S27"/>
      <c s="7" r="T27"/>
    </row>
    <row r="28">
      <c t="s" s="7" r="B28">
        <v>1948</v>
      </c>
      <c t="s" s="63" r="C28">
        <v>1953</v>
      </c>
      <c s="7" r="D28">
        <v>0</v>
      </c>
      <c s="7" r="E28">
        <v>1</v>
      </c>
      <c t="s" s="7" r="F28">
        <v>1826</v>
      </c>
      <c s="63" r="G28">
        <f>COUNTIF(EXPERTISE!D4:D50,"*Non-Formal Education*")</f>
        <v>0</v>
      </c>
      <c s="7" r="H28"/>
      <c s="63" r="I28">
        <f>COUNTIF(PROJECT!W2:W100,"*Non-Formal Education*")</f>
        <v>0</v>
      </c>
      <c s="7" r="J28"/>
      <c s="7" r="K28"/>
      <c s="7" r="L28"/>
      <c s="7" r="M28"/>
      <c s="7" r="N28"/>
      <c s="7" r="O28"/>
      <c s="7" r="P28"/>
      <c s="7" r="Q28"/>
      <c s="7" r="R28"/>
      <c s="7" r="S28"/>
      <c s="7" r="T28"/>
    </row>
    <row r="29">
      <c t="s" s="7" r="B29">
        <v>1948</v>
      </c>
      <c t="s" s="63" r="C29">
        <v>1954</v>
      </c>
      <c s="7" r="D29">
        <v>0</v>
      </c>
      <c s="7" r="E29">
        <v>1</v>
      </c>
      <c t="s" s="7" r="F29">
        <v>1826</v>
      </c>
      <c s="7" r="G29">
        <f>COUNTIF(EXPERTISE!D4:D50,"*Early Education*")</f>
        <v>0</v>
      </c>
      <c s="7" r="H29"/>
      <c s="63" r="I29">
        <f>COUNTIF(PROJECT!W2:W100,"*Early Education*")</f>
        <v>0</v>
      </c>
      <c s="7" r="J29"/>
      <c s="7" r="K29"/>
      <c s="7" r="L29"/>
      <c s="7" r="M29"/>
      <c s="7" r="N29"/>
      <c s="7" r="O29"/>
      <c s="7" r="P29"/>
      <c s="7" r="Q29"/>
      <c s="7" r="R29"/>
      <c s="7" r="S29"/>
      <c s="7" r="T29"/>
    </row>
    <row r="30">
      <c t="s" s="7" r="B30">
        <v>1948</v>
      </c>
      <c t="s" s="63" r="C30">
        <v>1955</v>
      </c>
      <c s="7" r="D30">
        <v>0</v>
      </c>
      <c s="7" r="E30">
        <v>1</v>
      </c>
      <c t="s" s="7" r="F30">
        <v>1826</v>
      </c>
      <c s="63" r="G30">
        <f>COUNTIF(EXPERTISE!D4:D50,"*Primary Education*")</f>
        <v>0</v>
      </c>
      <c s="7" r="H30"/>
      <c s="63" r="I30">
        <f>COUNTIF(PROJECT!W2:W100,"*Primary Education*")</f>
        <v>0</v>
      </c>
      <c s="7" r="J30"/>
      <c s="7" r="K30"/>
      <c s="7" r="L30"/>
      <c s="7" r="M30"/>
      <c s="7" r="N30"/>
      <c s="7" r="O30"/>
      <c s="7" r="P30"/>
      <c s="7" r="Q30"/>
      <c s="7" r="R30"/>
      <c s="7" r="S30"/>
      <c s="7" r="T30"/>
    </row>
    <row r="31">
      <c t="s" s="7" r="B31">
        <v>1948</v>
      </c>
      <c t="s" s="7" r="C31">
        <v>1956</v>
      </c>
      <c s="7" r="D31">
        <v>0</v>
      </c>
      <c s="7" r="E31">
        <v>1</v>
      </c>
      <c t="s" s="7" r="F31">
        <v>1826</v>
      </c>
      <c s="7" r="G31">
        <f>COUNTIF(EXPERTISE!D4:D50,"*Secondary Education*")</f>
        <v>0</v>
      </c>
      <c s="7" r="H31"/>
      <c s="7" r="I31">
        <f>COUNTIF(PROJECT!W2:W100,"*Secondary Education*")</f>
        <v>0</v>
      </c>
      <c s="7" r="J31"/>
      <c s="7" r="K31"/>
      <c s="7" r="L31"/>
      <c s="7" r="M31"/>
      <c s="7" r="N31"/>
      <c s="7" r="O31"/>
      <c s="7" r="P31"/>
      <c s="7" r="Q31"/>
      <c s="7" r="R31"/>
      <c s="7" r="S31"/>
      <c s="7" r="T31"/>
    </row>
    <row r="32">
      <c t="s" s="7" r="B32">
        <v>1948</v>
      </c>
      <c t="s" s="7" r="C32">
        <v>1957</v>
      </c>
      <c s="7" r="D32">
        <v>0</v>
      </c>
      <c s="7" r="E32">
        <v>1</v>
      </c>
      <c t="s" s="7" r="F32">
        <v>1826</v>
      </c>
      <c s="7" r="G32">
        <f>COUNTIF(EXPERTISE!D4:D50,"*Senior Secondary General Education*")</f>
        <v>0</v>
      </c>
      <c s="7" r="H32"/>
      <c s="7" r="I32">
        <f>COUNTIF(PROJECT!W2:W100,"*Senior Secondary General Education*")</f>
        <v>0</v>
      </c>
      <c s="7" r="J32"/>
      <c s="7" r="K32"/>
      <c s="7" r="L32"/>
      <c s="7" r="M32"/>
      <c s="7" r="N32"/>
      <c s="7" r="O32"/>
      <c s="7" r="P32"/>
      <c s="7" r="Q32"/>
      <c s="7" r="R32"/>
      <c s="7" r="S32"/>
      <c s="7" r="T32"/>
    </row>
    <row r="33">
      <c t="s" s="7" r="B33">
        <v>1948</v>
      </c>
      <c t="s" s="63" r="C33">
        <v>1958</v>
      </c>
      <c s="7" r="D33">
        <v>0</v>
      </c>
      <c s="7" r="E33">
        <v>1</v>
      </c>
      <c t="s" s="7" r="F33">
        <v>1826</v>
      </c>
      <c s="7" r="G33">
        <f>COUNTIF(EXPERTISE!D4:D50,"*Technical Education*")</f>
        <v>0</v>
      </c>
      <c s="7" r="H33"/>
      <c s="7" r="I33">
        <f>COUNTIF(PROJECT!W2:W100,"*Technical Education*")</f>
        <v>0</v>
      </c>
      <c s="7" r="J33"/>
      <c s="7" r="K33"/>
      <c s="7" r="L33"/>
      <c s="7" r="M33"/>
      <c s="7" r="N33"/>
      <c s="7" r="O33"/>
      <c s="7" r="P33"/>
      <c s="7" r="Q33"/>
      <c s="7" r="R33"/>
      <c s="7" r="S33"/>
      <c s="7" r="T33"/>
    </row>
    <row r="34">
      <c t="s" s="7" r="B34">
        <v>1948</v>
      </c>
      <c t="s" s="63" r="C34">
        <v>1959</v>
      </c>
      <c s="7" r="D34">
        <v>0</v>
      </c>
      <c s="7" r="E34">
        <v>1</v>
      </c>
      <c t="s" s="7" r="F34">
        <v>1826</v>
      </c>
      <c s="7" r="G34">
        <f>COUNTIF(EXPERTISE!D4:D50,"*Tertiary Education*")</f>
        <v>0</v>
      </c>
      <c s="7" r="H34"/>
      <c s="7" r="I34">
        <f>COUNTIF(PROJECT!W2:W100,"*Tertiary Education*")</f>
        <v>0</v>
      </c>
      <c s="7" r="J34"/>
      <c s="7" r="K34"/>
      <c s="7" r="L34"/>
      <c s="7" r="M34"/>
      <c s="7" r="N34"/>
      <c s="7" r="O34"/>
      <c s="7" r="P34"/>
      <c s="7" r="Q34"/>
      <c s="7" r="R34"/>
      <c s="7" r="S34"/>
      <c s="7" r="T34"/>
    </row>
    <row r="35">
      <c t="s" s="7" r="B35">
        <v>1948</v>
      </c>
      <c t="s" s="63" r="C35">
        <v>1960</v>
      </c>
      <c s="7" r="D35">
        <v>0</v>
      </c>
      <c s="7" r="E35">
        <v>1</v>
      </c>
      <c t="s" s="7" r="F35">
        <v>1826</v>
      </c>
      <c s="63" r="G35">
        <f>COUNTIF(EXPERTISE!D4:D50,"*Vocational Training and Skills Development*")</f>
        <v>0</v>
      </c>
      <c s="7" r="H35"/>
      <c s="63" r="I35">
        <f>COUNTIF(PROJECT!W2:W100,"*Vocational Training and Skills Development*")</f>
        <v>0</v>
      </c>
      <c s="7" r="J35"/>
      <c s="7" r="K35"/>
      <c s="7" r="L35"/>
      <c s="7" r="M35"/>
      <c s="7" r="N35"/>
      <c s="7" r="O35"/>
      <c s="7" r="P35"/>
      <c s="7" r="Q35"/>
      <c s="7" r="R35"/>
      <c s="7" r="S35"/>
      <c s="7" r="T35"/>
    </row>
    <row r="36">
      <c t="s" s="7" r="B36">
        <v>118</v>
      </c>
      <c t="s" s="63" r="C36">
        <v>1961</v>
      </c>
      <c s="7" r="D36">
        <v>1</v>
      </c>
      <c s="7" r="E36">
        <v>1</v>
      </c>
      <c s="7" r="F36">
        <f>COUNTIF(EXPERTISE!C4:C50,"*Energy*")</f>
        <v>1</v>
      </c>
      <c s="7" r="G36">
        <f>COUNTIF(EXPERTISE!D4:D50,"*Conventional Energy Generation*")</f>
        <v>0</v>
      </c>
      <c s="7" r="H36">
        <f>COUNTIF(PROJECT!V2:V100,"*Energy*")</f>
        <v>0</v>
      </c>
      <c s="63" r="I36">
        <f>COUNTIF(PROJECT!W2:W100,"*Conventional Energy Generation*")</f>
        <v>0</v>
      </c>
      <c s="7" r="J36"/>
      <c s="7" r="K36"/>
      <c s="7" r="L36"/>
      <c s="7" r="M36"/>
      <c s="7" r="N36"/>
      <c s="7" r="O36"/>
      <c s="7" r="P36"/>
      <c s="7" r="Q36"/>
      <c s="7" r="R36"/>
      <c s="7" r="S36"/>
      <c s="7" r="T36"/>
    </row>
    <row r="37">
      <c t="s" s="7" r="B37">
        <v>118</v>
      </c>
      <c t="s" s="7" r="C37">
        <v>1962</v>
      </c>
      <c s="7" r="D37">
        <v>0</v>
      </c>
      <c s="7" r="E37">
        <v>1</v>
      </c>
      <c t="s" s="7" r="F37">
        <v>1826</v>
      </c>
      <c s="7" r="G37">
        <f>COUNTIF(EXPERTISE!D4:D50,"*Energy Efficiency in Heat and Power*")</f>
        <v>0</v>
      </c>
      <c s="7" r="H37"/>
      <c s="7" r="I37">
        <f>COUNTIF(PROJECT!W2:W100,"*Energy Efficiency in Heat and Power*")</f>
        <v>0</v>
      </c>
      <c s="7" r="J37"/>
      <c s="7" r="K37"/>
      <c s="7" r="L37"/>
      <c s="7" r="M37"/>
      <c s="7" r="N37"/>
      <c s="7" r="O37"/>
      <c s="7" r="P37"/>
      <c s="7" r="Q37"/>
      <c s="7" r="R37"/>
      <c s="7" r="S37"/>
      <c s="7" r="T37"/>
    </row>
    <row r="38">
      <c t="s" s="7" r="B38">
        <v>118</v>
      </c>
      <c t="s" s="7" r="C38">
        <v>1963</v>
      </c>
      <c s="7" r="D38">
        <v>0</v>
      </c>
      <c s="7" r="E38">
        <v>1</v>
      </c>
      <c t="s" s="7" r="F38">
        <v>1826</v>
      </c>
      <c s="7" r="G38">
        <f>COUNTIF(EXPERTISE!D4:D50,"*Energy Sector Development*")</f>
        <v>0</v>
      </c>
      <c s="7" r="H38"/>
      <c s="7" r="I38">
        <f>COUNTIF(PROJECT!W2:W100,"*Energy Sector Development*")</f>
        <v>0</v>
      </c>
      <c s="7" r="J38"/>
      <c s="7" r="K38"/>
      <c s="7" r="L38"/>
      <c s="7" r="M38"/>
      <c s="7" r="N38"/>
      <c s="7" r="O38"/>
      <c s="7" r="P38"/>
      <c s="7" r="Q38"/>
      <c s="7" r="R38"/>
      <c s="7" r="S38"/>
      <c s="7" r="T38"/>
    </row>
    <row r="39">
      <c t="s" s="7" r="B39">
        <v>118</v>
      </c>
      <c t="s" s="7" r="C39">
        <v>1964</v>
      </c>
      <c s="7" r="D39">
        <v>0</v>
      </c>
      <c s="7" r="E39">
        <v>1</v>
      </c>
      <c t="s" s="7" r="F39">
        <v>1826</v>
      </c>
      <c s="7" r="G39">
        <f>COUNTIF(EXPERTISE!D4:D50,"*General Energy Sector*")</f>
        <v>0</v>
      </c>
      <c s="7" r="H39"/>
      <c s="7" r="I39">
        <f>COUNTIF(PROJECT!W2:W100,"*General Energy Sector*")</f>
        <v>0</v>
      </c>
      <c s="7" r="J39"/>
      <c s="7" r="K39"/>
      <c s="7" r="L39"/>
      <c s="7" r="M39"/>
      <c s="7" r="N39"/>
      <c s="7" r="O39"/>
      <c s="7" r="P39"/>
      <c s="7" r="Q39"/>
      <c s="7" r="R39"/>
      <c s="7" r="S39"/>
      <c s="7" r="T39"/>
    </row>
    <row r="40">
      <c t="s" s="7" r="B40">
        <v>118</v>
      </c>
      <c t="s" s="63" r="C40">
        <v>1965</v>
      </c>
      <c s="7" r="D40">
        <v>0</v>
      </c>
      <c s="7" r="E40">
        <v>1</v>
      </c>
      <c t="s" s="7" r="F40">
        <v>1826</v>
      </c>
      <c s="63" r="G40">
        <f>COUNTIF(EXPERTISE!D4:D50,"*Hydropower*")</f>
        <v>0</v>
      </c>
      <c s="7" r="H40"/>
      <c s="63" r="I40">
        <f>COUNTIF(PROJECT!W2:W100,"*Hydropower*")</f>
        <v>0</v>
      </c>
      <c s="7" r="J40"/>
      <c s="7" r="K40"/>
      <c s="7" r="L40"/>
      <c s="7" r="M40"/>
      <c s="7" r="N40"/>
      <c s="7" r="O40"/>
      <c s="7" r="P40"/>
      <c s="7" r="Q40"/>
      <c s="7" r="R40"/>
      <c s="7" r="S40"/>
      <c s="7" r="T40"/>
    </row>
    <row r="41">
      <c t="s" s="7" r="B41">
        <v>118</v>
      </c>
      <c t="s" s="63" r="C41">
        <v>1966</v>
      </c>
      <c s="7" r="D41">
        <v>0</v>
      </c>
      <c s="7" r="E41">
        <v>1</v>
      </c>
      <c t="s" s="7" r="F41">
        <v>1826</v>
      </c>
      <c s="63" r="G41">
        <f>COUNTIF(EXPERTISE!D4:D50,"*Renewable Energy*")</f>
        <v>0</v>
      </c>
      <c s="7" r="H41"/>
      <c s="63" r="I41">
        <f>COUNTIF(PROJECT!W2:W100,"*Renewable Energy*")</f>
        <v>0</v>
      </c>
      <c s="7" r="J41"/>
      <c s="7" r="K41"/>
      <c s="7" r="L41"/>
      <c s="7" r="M41"/>
      <c s="7" r="N41"/>
      <c s="7" r="O41"/>
      <c s="7" r="P41"/>
      <c s="7" r="Q41"/>
      <c s="7" r="R41"/>
      <c s="7" r="S41"/>
      <c s="7" r="T41"/>
    </row>
    <row r="42">
      <c t="s" s="7" r="B42">
        <v>118</v>
      </c>
      <c t="s" s="7" r="C42">
        <v>1967</v>
      </c>
      <c s="7" r="D42">
        <v>0</v>
      </c>
      <c s="7" r="E42">
        <v>1</v>
      </c>
      <c t="s" s="7" r="F42">
        <v>1826</v>
      </c>
      <c s="7" r="G42">
        <f>COUNTIF(EXPERTISE!D4:D50,"*Thermal Power Generation*")</f>
        <v>0</v>
      </c>
      <c s="7" r="H42"/>
      <c s="7" r="I42">
        <f>COUNTIF(PROJECT!W2:W100,"*Thermal Power Generation*")</f>
        <v>0</v>
      </c>
      <c s="7" r="J42"/>
      <c s="7" r="K42"/>
      <c s="7" r="L42"/>
      <c s="7" r="M42"/>
      <c s="7" r="N42"/>
      <c s="7" r="O42"/>
      <c s="7" r="P42"/>
      <c s="7" r="Q42"/>
      <c s="7" r="R42"/>
      <c s="7" r="S42"/>
      <c s="7" r="T42"/>
    </row>
    <row r="43">
      <c t="s" s="7" r="B43">
        <v>118</v>
      </c>
      <c t="s" s="63" r="C43">
        <v>119</v>
      </c>
      <c s="7" r="D43">
        <v>0</v>
      </c>
      <c s="7" r="E43">
        <v>1</v>
      </c>
      <c t="s" s="7" r="F43">
        <v>1826</v>
      </c>
      <c s="63" r="G43">
        <f>COUNTIF(EXPERTISE!D4:D50,"*Energy Transmission and Distribution*")</f>
        <v>1</v>
      </c>
      <c s="7" r="H43"/>
      <c s="63" r="I43">
        <f>COUNTIF(PROJECT!W2:W100,"*Energy Transmission and Distribution*")</f>
        <v>0</v>
      </c>
      <c s="7" r="J43"/>
      <c s="7" r="K43"/>
      <c s="7" r="L43"/>
      <c s="7" r="M43"/>
      <c s="7" r="N43"/>
      <c s="7" r="O43"/>
      <c s="7" r="P43"/>
      <c s="7" r="Q43"/>
      <c s="7" r="R43"/>
      <c s="7" r="S43"/>
      <c s="7" r="T43"/>
    </row>
    <row r="44">
      <c t="s" s="7" r="B44">
        <v>118</v>
      </c>
      <c t="s" s="63" r="C44">
        <v>1968</v>
      </c>
      <c s="7" r="D44">
        <v>0</v>
      </c>
      <c s="7" r="E44">
        <v>1</v>
      </c>
      <c t="s" s="7" r="F44">
        <v>1826</v>
      </c>
      <c s="7" r="G44">
        <f>COUNTIF(EXPERTISE!D4:D50,"*Electrical Systems*")</f>
        <v>0</v>
      </c>
      <c s="7" r="H44"/>
      <c s="63" r="I44">
        <f>COUNTIF(PROJECT!W2:W100,"*Electrical Systems*")</f>
        <v>0</v>
      </c>
      <c s="7" r="J44"/>
      <c s="7" r="K44"/>
      <c s="7" r="L44"/>
      <c s="7" r="M44"/>
      <c s="7" r="N44"/>
      <c s="7" r="O44"/>
      <c s="7" r="P44"/>
      <c s="7" r="Q44"/>
      <c s="7" r="R44"/>
      <c s="7" r="S44"/>
      <c s="7" r="T44"/>
    </row>
    <row r="45">
      <c t="s" s="7" r="B45">
        <v>124</v>
      </c>
      <c t="s" s="63" r="C45">
        <v>125</v>
      </c>
      <c s="7" r="D45">
        <v>1</v>
      </c>
      <c s="7" r="E45">
        <v>1</v>
      </c>
      <c s="7" r="F45">
        <f>COUNTIF(EXPERTISE!C4:C50,"*Extractive Industries*")</f>
        <v>1</v>
      </c>
      <c s="7" r="G45">
        <f>COUNTIF(EXPERTISE!D4:D50,"*Coal*")</f>
        <v>1</v>
      </c>
      <c s="7" r="H45">
        <f>COUNTIF(PROJECT!V2:V100,"*Extractive Industries*")</f>
        <v>2</v>
      </c>
      <c s="63" r="I45">
        <f>COUNTIF(PROJECT!W2:W100,"*Coal*")</f>
        <v>2</v>
      </c>
      <c s="7" r="J45"/>
      <c s="7" r="K45"/>
      <c s="7" r="L45"/>
      <c s="7" r="M45"/>
      <c s="7" r="N45"/>
      <c s="7" r="O45"/>
      <c s="7" r="P45"/>
      <c s="7" r="Q45"/>
      <c s="7" r="R45"/>
      <c s="7" r="S45"/>
      <c s="7" r="T45"/>
    </row>
    <row r="46">
      <c t="s" s="7" r="B46">
        <v>124</v>
      </c>
      <c t="s" s="63" r="C46">
        <v>99</v>
      </c>
      <c s="7" r="D46">
        <v>0</v>
      </c>
      <c s="7" r="E46">
        <v>1</v>
      </c>
      <c t="s" s="7" r="F46">
        <v>1826</v>
      </c>
      <c s="63" r="G46">
        <f>COUNTIF(EXPERTISE!D4:D50,"*Mining*")</f>
        <v>0</v>
      </c>
      <c s="7" r="H46"/>
      <c s="63" r="I46">
        <f>COUNTIF(PROJECT!W2:W100,"*Mining*")</f>
        <v>0</v>
      </c>
      <c s="7" r="J46"/>
      <c s="7" r="K46"/>
      <c s="7" r="L46"/>
      <c s="7" r="M46"/>
      <c s="7" r="N46"/>
      <c s="7" r="O46"/>
      <c s="7" r="P46"/>
      <c s="7" r="Q46"/>
      <c s="7" r="R46"/>
      <c s="7" r="S46"/>
      <c s="7" r="T46"/>
    </row>
    <row r="47">
      <c t="s" s="7" r="B47">
        <v>124</v>
      </c>
      <c t="s" s="63" r="C47">
        <v>1969</v>
      </c>
      <c s="7" r="D47">
        <v>0</v>
      </c>
      <c s="7" r="E47">
        <v>1</v>
      </c>
      <c t="s" s="7" r="F47">
        <v>1826</v>
      </c>
      <c s="7" r="G47">
        <f>COUNTIF(EXPERTISE!D4:D50,"*Oil and Gas*")</f>
        <v>0</v>
      </c>
      <c s="7" r="H47"/>
      <c s="7" r="I47">
        <f>COUNTIF(PROJECT!W2:W100,"*Oil and Gas*")</f>
        <v>0</v>
      </c>
      <c s="7" r="J47"/>
      <c s="7" r="K47"/>
      <c s="7" r="L47"/>
      <c s="7" r="M47"/>
      <c s="7" r="N47"/>
      <c s="7" r="O47"/>
      <c s="7" r="P47"/>
      <c s="7" r="Q47"/>
      <c s="7" r="R47"/>
      <c s="7" r="S47"/>
      <c s="7" r="T47"/>
    </row>
    <row r="48">
      <c t="s" s="7" r="B48">
        <v>124</v>
      </c>
      <c t="s" s="63" r="C48">
        <v>1970</v>
      </c>
      <c s="7" r="D48">
        <v>0</v>
      </c>
      <c s="7" r="E48">
        <v>1</v>
      </c>
      <c t="s" s="7" r="F48">
        <v>1826</v>
      </c>
      <c s="7" r="G48">
        <f>COUNTIF(EXPERTISE!D4:D50,"*Other Extractive Industries*")</f>
        <v>0</v>
      </c>
      <c s="7" r="H48"/>
      <c s="7" r="I48">
        <f>COUNTIF(PROJECT!W2:W100,"*Other Extractive Industries*")</f>
        <v>0</v>
      </c>
      <c s="7" r="J48"/>
      <c s="7" r="K48"/>
      <c s="7" r="L48"/>
      <c s="7" r="M48"/>
      <c s="7" r="N48"/>
      <c s="7" r="O48"/>
      <c s="7" r="P48"/>
      <c s="7" r="Q48"/>
      <c s="7" r="R48"/>
      <c s="7" r="S48"/>
      <c s="7" r="T48"/>
    </row>
    <row r="49">
      <c t="s" s="7" r="B49">
        <v>131</v>
      </c>
      <c t="s" s="63" r="C49">
        <v>1971</v>
      </c>
      <c s="7" r="D49">
        <v>1</v>
      </c>
      <c s="7" r="E49">
        <v>1</v>
      </c>
      <c s="7" r="F49">
        <f>COUNTIF(EXPERTISE!C4:C50,"*Finance*")</f>
        <v>1</v>
      </c>
      <c s="63" r="G49">
        <f>COUNTIF(EXPERTISE!D4:D50,"*Banking*")</f>
        <v>0</v>
      </c>
      <c s="7" r="H49">
        <f>COUNTIF(PROJECT!V2:V100,"*Finance*")</f>
        <v>0</v>
      </c>
      <c s="63" r="I49">
        <f>COUNTIF(PROJECT!W2:W100,"*Banking*")</f>
        <v>0</v>
      </c>
      <c s="7" r="J49"/>
      <c s="7" r="K49"/>
      <c s="7" r="L49"/>
      <c s="7" r="M49"/>
      <c s="7" r="N49"/>
      <c s="7" r="O49"/>
      <c s="7" r="P49"/>
      <c s="7" r="Q49"/>
      <c s="7" r="R49"/>
      <c s="7" r="S49"/>
      <c s="7" r="T49"/>
    </row>
    <row r="50">
      <c t="s" s="7" r="B50">
        <v>131</v>
      </c>
      <c t="s" s="7" r="C50">
        <v>1972</v>
      </c>
      <c s="7" r="D50">
        <v>0</v>
      </c>
      <c s="7" r="E50">
        <v>1</v>
      </c>
      <c t="s" s="7" r="F50">
        <v>1826</v>
      </c>
      <c s="7" r="G50">
        <f>COUNTIF(EXPERTISE!D4:D50,"*Business and Other Services*")</f>
        <v>0</v>
      </c>
      <c s="7" r="H50"/>
      <c s="7" r="I50">
        <f>COUNTIF(PROJECT!W2:W100,"*Business and Other Services*")</f>
        <v>0</v>
      </c>
      <c s="7" r="J50"/>
      <c s="7" r="K50"/>
      <c s="7" r="L50"/>
      <c s="7" r="M50"/>
      <c s="7" r="N50"/>
      <c s="7" r="O50"/>
      <c s="7" r="P50"/>
      <c s="7" r="Q50"/>
      <c s="7" r="R50"/>
      <c s="7" r="S50"/>
      <c s="7" r="T50"/>
    </row>
    <row r="51">
      <c t="s" s="7" r="B51">
        <v>131</v>
      </c>
      <c t="s" s="7" r="C51">
        <v>1973</v>
      </c>
      <c s="7" r="D51">
        <v>0</v>
      </c>
      <c s="7" r="E51">
        <v>1</v>
      </c>
      <c t="s" s="7" r="F51">
        <v>1826</v>
      </c>
      <c s="7" r="G51">
        <f>COUNTIF(EXPERTISE!D4:D50,"*Capital Markets and Funds*")</f>
        <v>0</v>
      </c>
      <c s="7" r="H51"/>
      <c s="7" r="I51">
        <f>COUNTIF(PROJECT!W2:W100,"*Capital Markets and Funds*")</f>
        <v>0</v>
      </c>
      <c s="7" r="J51"/>
      <c s="7" r="K51"/>
      <c s="7" r="L51"/>
      <c s="7" r="M51"/>
      <c s="7" r="N51"/>
      <c s="7" r="O51"/>
      <c s="7" r="P51"/>
      <c s="7" r="Q51"/>
      <c s="7" r="R51"/>
      <c s="7" r="S51"/>
      <c s="7" r="T51"/>
    </row>
    <row r="52">
      <c t="s" s="7" r="B52">
        <v>131</v>
      </c>
      <c t="s" s="7" r="C52">
        <v>1974</v>
      </c>
      <c s="7" r="D52">
        <v>0</v>
      </c>
      <c s="7" r="E52">
        <v>1</v>
      </c>
      <c t="s" s="7" r="F52">
        <v>1826</v>
      </c>
      <c s="7" r="G52">
        <f>COUNTIF(EXPERTISE!D4:D50,"*Credit Reporting and Secured Transactions*")</f>
        <v>0</v>
      </c>
      <c s="7" r="H52"/>
      <c s="7" r="I52">
        <f>COUNTIF(PROJECT!W2:W100,"*Credit Reporting and Secured Transactions*")</f>
        <v>0</v>
      </c>
      <c s="7" r="J52"/>
      <c s="7" r="K52"/>
      <c s="7" r="L52"/>
      <c s="7" r="M52"/>
      <c s="7" r="N52"/>
      <c s="7" r="O52"/>
      <c s="7" r="P52"/>
      <c s="7" r="Q52"/>
      <c s="7" r="R52"/>
      <c s="7" r="S52"/>
      <c s="7" r="T52"/>
    </row>
    <row r="53">
      <c t="s" s="7" r="B53">
        <v>131</v>
      </c>
      <c t="s" s="7" r="C53">
        <v>1975</v>
      </c>
      <c s="7" r="D53">
        <v>0</v>
      </c>
      <c s="7" r="E53">
        <v>1</v>
      </c>
      <c t="s" s="7" r="F53">
        <v>1826</v>
      </c>
      <c s="7" r="G53">
        <f>COUNTIF(EXPERTISE!D4:D50,"*Finance Sector Development and Reform*")</f>
        <v>0</v>
      </c>
      <c s="7" r="H53"/>
      <c s="7" r="I53">
        <f>COUNTIF(PROJECT!W2:W100,"*Finance Sector Development and Reform*")</f>
        <v>0</v>
      </c>
      <c s="7" r="J53"/>
      <c s="7" r="K53"/>
      <c s="7" r="L53"/>
      <c s="7" r="M53"/>
      <c s="7" r="N53"/>
      <c s="7" r="O53"/>
      <c s="7" r="P53"/>
      <c s="7" r="Q53"/>
      <c s="7" r="R53"/>
      <c s="7" r="S53"/>
      <c s="7" r="T53"/>
    </row>
    <row r="54">
      <c t="s" s="7" r="B54">
        <v>131</v>
      </c>
      <c t="s" s="7" r="C54">
        <v>1976</v>
      </c>
      <c s="7" r="D54">
        <v>0</v>
      </c>
      <c s="7" r="E54">
        <v>1</v>
      </c>
      <c t="s" s="7" r="F54">
        <v>1826</v>
      </c>
      <c s="7" r="G54">
        <f>COUNTIF(EXPERTISE!D4:D50,"*General Finance Sector*")</f>
        <v>0</v>
      </c>
      <c s="7" r="H54"/>
      <c s="7" r="I54">
        <f>COUNTIF(PROJECT!W2:W100,"*General Finance Sector*")</f>
        <v>0</v>
      </c>
      <c s="7" r="J54"/>
      <c s="7" r="K54"/>
      <c s="7" r="L54"/>
      <c s="7" r="M54"/>
      <c s="7" r="N54"/>
      <c s="7" r="O54"/>
      <c s="7" r="P54"/>
      <c s="7" r="Q54"/>
      <c s="7" r="R54"/>
      <c s="7" r="S54"/>
      <c s="7" r="T54"/>
    </row>
    <row r="55">
      <c t="s" s="7" r="B55">
        <v>131</v>
      </c>
      <c t="s" s="7" r="C55">
        <v>1977</v>
      </c>
      <c s="7" r="D55">
        <v>0</v>
      </c>
      <c s="7" r="E55">
        <v>1</v>
      </c>
      <c t="s" s="7" r="F55">
        <v>1826</v>
      </c>
      <c s="7" r="G55">
        <f>COUNTIF(EXPERTISE!D4:D50,"*Housing Finance*")</f>
        <v>0</v>
      </c>
      <c s="7" r="H55"/>
      <c s="7" r="I55">
        <f>COUNTIF(PROJECT!W2:W100,"*Housing Finance*")</f>
        <v>0</v>
      </c>
      <c s="7" r="J55"/>
      <c s="7" r="K55"/>
      <c s="7" r="L55"/>
      <c s="7" r="M55"/>
      <c s="7" r="N55"/>
      <c s="7" r="O55"/>
      <c s="7" r="P55"/>
      <c s="7" r="Q55"/>
      <c s="7" r="R55"/>
      <c s="7" r="S55"/>
      <c s="7" r="T55"/>
    </row>
    <row r="56">
      <c t="s" s="7" r="B56">
        <v>131</v>
      </c>
      <c t="s" s="7" r="C56">
        <v>132</v>
      </c>
      <c s="7" r="D56">
        <v>0</v>
      </c>
      <c s="7" r="E56">
        <v>1</v>
      </c>
      <c t="s" s="7" r="F56">
        <v>1826</v>
      </c>
      <c s="7" r="G56">
        <f>COUNTIF(EXPERTISE!D4:D50,"*Microfinance*")</f>
        <v>1</v>
      </c>
      <c s="7" r="H56"/>
      <c s="7" r="I56">
        <f>COUNTIF(PROJECT!W2:W100,"*Microfinance*")</f>
        <v>0</v>
      </c>
      <c s="7" r="J56"/>
      <c s="7" r="K56"/>
      <c s="7" r="L56"/>
      <c s="7" r="M56"/>
      <c s="7" r="N56"/>
      <c s="7" r="O56"/>
      <c s="7" r="P56"/>
      <c s="7" r="Q56"/>
      <c s="7" r="R56"/>
      <c s="7" r="S56"/>
      <c s="7" r="T56"/>
    </row>
    <row r="57">
      <c t="s" s="7" r="B57">
        <v>131</v>
      </c>
      <c t="s" s="7" r="C57">
        <v>1978</v>
      </c>
      <c s="7" r="D57">
        <v>0</v>
      </c>
      <c s="7" r="E57">
        <v>1</v>
      </c>
      <c t="s" s="7" r="F57">
        <v>1826</v>
      </c>
      <c s="7" r="G57">
        <f>COUNTIF(EXPERTISE!D4:D50,"*Non-Compulsory Health Finance*")</f>
        <v>0</v>
      </c>
      <c s="7" r="H57"/>
      <c s="7" r="I57">
        <f>COUNTIF(PROJECT!W2:W100,"*Non-Compulsory Health Finance*")</f>
        <v>0</v>
      </c>
      <c s="7" r="J57"/>
      <c s="7" r="K57"/>
      <c s="7" r="L57"/>
      <c s="7" r="M57"/>
      <c s="7" r="N57"/>
      <c s="7" r="O57"/>
      <c s="7" r="P57"/>
      <c s="7" r="Q57"/>
      <c s="7" r="R57"/>
      <c s="7" r="S57"/>
      <c s="7" r="T57"/>
    </row>
    <row r="58">
      <c t="s" s="7" r="B58">
        <v>131</v>
      </c>
      <c t="s" s="7" r="C58">
        <v>1979</v>
      </c>
      <c s="7" r="D58">
        <v>0</v>
      </c>
      <c s="7" r="E58">
        <v>1</v>
      </c>
      <c t="s" s="7" r="F58">
        <v>1826</v>
      </c>
      <c s="7" r="G58">
        <f>COUNTIF(EXPERTISE!D4:D50,"*Non-Compulsory Pensions and Insurance*")</f>
        <v>0</v>
      </c>
      <c s="7" r="H58"/>
      <c s="7" r="I58">
        <f>COUNTIF(PROJECT!W2:W100,"*Non-Compulsory Pensions and Insurance*")</f>
        <v>0</v>
      </c>
      <c s="7" r="J58"/>
      <c s="7" r="K58"/>
      <c s="7" r="L58"/>
      <c s="7" r="M58"/>
      <c s="7" r="N58"/>
      <c s="7" r="O58"/>
      <c s="7" r="P58"/>
      <c s="7" r="Q58"/>
      <c s="7" r="R58"/>
      <c s="7" r="S58"/>
      <c s="7" r="T58"/>
    </row>
    <row r="59">
      <c t="s" s="7" r="B59">
        <v>131</v>
      </c>
      <c t="s" s="7" r="C59">
        <v>1980</v>
      </c>
      <c s="7" r="D59">
        <v>0</v>
      </c>
      <c s="7" r="E59">
        <v>1</v>
      </c>
      <c t="s" s="7" r="F59">
        <v>1826</v>
      </c>
      <c s="7" r="G59">
        <f>COUNTIF(EXPERTISE!D4:D50,"*Other Non-Bank Financial Intermediaries*")</f>
        <v>0</v>
      </c>
      <c s="7" r="H59"/>
      <c s="7" r="I59">
        <f>COUNTIF(PROJECT!W2:W100,"*Other Non-Bank Financial Intermediaries*")</f>
        <v>0</v>
      </c>
      <c s="7" r="J59"/>
      <c s="7" r="K59"/>
      <c s="7" r="L59"/>
      <c s="7" r="M59"/>
      <c s="7" r="N59"/>
      <c s="7" r="O59"/>
      <c s="7" r="P59"/>
      <c s="7" r="Q59"/>
      <c s="7" r="R59"/>
      <c s="7" r="S59"/>
      <c s="7" r="T59"/>
    </row>
    <row r="60">
      <c t="s" s="7" r="B60">
        <v>131</v>
      </c>
      <c t="s" s="7" r="C60">
        <v>1981</v>
      </c>
      <c s="7" r="D60">
        <v>0</v>
      </c>
      <c s="7" r="E60">
        <v>1</v>
      </c>
      <c t="s" s="7" r="F60">
        <v>1826</v>
      </c>
      <c s="7" r="G60">
        <f>COUNTIF(EXPERTISE!D4:D50,"*Payments, Settlements, and Remittance Systems*")</f>
        <v>0</v>
      </c>
      <c s="7" r="H60"/>
      <c s="7" r="I60">
        <f>COUNTIF(PROJECT!W2:W100,"*Payments, Settlements, and Remittance Systems*")</f>
        <v>0</v>
      </c>
      <c s="7" r="J60"/>
      <c s="7" r="K60"/>
      <c s="7" r="L60"/>
      <c s="7" r="M60"/>
      <c s="7" r="N60"/>
      <c s="7" r="O60"/>
      <c s="7" r="P60"/>
      <c s="7" r="Q60"/>
      <c s="7" r="R60"/>
      <c s="7" r="S60"/>
      <c s="7" r="T60"/>
    </row>
    <row r="61">
      <c t="s" s="7" r="B61">
        <v>131</v>
      </c>
      <c t="s" s="7" r="C61">
        <v>1982</v>
      </c>
      <c s="7" r="D61">
        <v>0</v>
      </c>
      <c s="7" r="E61">
        <v>1</v>
      </c>
      <c t="s" s="7" r="F61">
        <v>1826</v>
      </c>
      <c s="7" r="G61">
        <f>COUNTIF(EXPERTISE!D4:D50,"*Pensions, Insurance, Social Security and Contractual Savings*")</f>
        <v>0</v>
      </c>
      <c s="7" r="H61"/>
      <c s="7" r="I61">
        <f>COUNTIF(PROJECT!W2:W100,"*Pensions, Insurance, Social Security and Contractual Savings*")</f>
        <v>0</v>
      </c>
      <c s="7" r="J61"/>
      <c s="7" r="K61"/>
      <c s="7" r="L61"/>
      <c s="7" r="M61"/>
      <c s="7" r="N61"/>
      <c s="7" r="O61"/>
      <c s="7" r="P61"/>
      <c s="7" r="Q61"/>
      <c s="7" r="R61"/>
      <c s="7" r="S61"/>
      <c s="7" r="T61"/>
    </row>
    <row r="62">
      <c t="s" s="7" r="B62">
        <v>131</v>
      </c>
      <c t="s" s="7" r="C62">
        <v>1983</v>
      </c>
      <c s="7" r="D62">
        <v>0</v>
      </c>
      <c s="7" r="E62">
        <v>1</v>
      </c>
      <c t="s" s="7" r="F62">
        <v>1826</v>
      </c>
      <c s="7" r="G62">
        <f>COUNTIF(EXPERTISE!D4:D50,"*Private Equity and Investment Funds*")</f>
        <v>0</v>
      </c>
      <c s="7" r="H62"/>
      <c s="7" r="I62">
        <f>COUNTIF(PROJECT!W2:W100,"*Private Equity and Investment Funds*")</f>
        <v>0</v>
      </c>
      <c s="7" r="J62"/>
      <c s="7" r="K62"/>
      <c s="7" r="L62"/>
      <c s="7" r="M62"/>
      <c s="7" r="N62"/>
      <c s="7" r="O62"/>
      <c s="7" r="P62"/>
      <c s="7" r="Q62"/>
      <c s="7" r="R62"/>
      <c s="7" r="S62"/>
      <c s="7" r="T62"/>
    </row>
    <row r="63">
      <c t="s" s="7" r="B63">
        <v>131</v>
      </c>
      <c t="s" s="7" r="C63">
        <v>1984</v>
      </c>
      <c s="7" r="D63">
        <v>0</v>
      </c>
      <c s="7" r="E63">
        <v>1</v>
      </c>
      <c t="s" s="7" r="F63">
        <v>1826</v>
      </c>
      <c s="7" r="G63">
        <f>COUNTIF(EXPERTISE!D4:D50,"*SME Finance*")</f>
        <v>0</v>
      </c>
      <c s="7" r="H63"/>
      <c s="7" r="I63">
        <f>COUNTIF(PROJECT!W2:W100,"*SME Finance*")</f>
        <v>0</v>
      </c>
      <c s="7" r="J63"/>
      <c s="7" r="K63"/>
      <c s="7" r="L63"/>
      <c s="7" r="M63"/>
      <c s="7" r="N63"/>
      <c s="7" r="O63"/>
      <c s="7" r="P63"/>
      <c s="7" r="Q63"/>
      <c s="7" r="R63"/>
      <c s="7" r="S63"/>
      <c s="7" r="T63"/>
    </row>
    <row r="64">
      <c t="s" s="7" r="B64">
        <v>1985</v>
      </c>
      <c t="s" s="7" r="C64">
        <v>1986</v>
      </c>
      <c s="7" r="D64">
        <v>1</v>
      </c>
      <c s="7" r="E64">
        <v>1</v>
      </c>
      <c s="7" r="F64">
        <f>COUNTIF(EXPERTISE!C4:C50,"*Financial Institutions*")</f>
        <v>0</v>
      </c>
      <c s="7" r="G64">
        <f>COUNTIF(EXPERTISE!D4:D50,"*Financial Infrastructure*")</f>
        <v>0</v>
      </c>
      <c s="7" r="H64">
        <f>COUNTIF(PROJECT!V2:V100,"*Financial Institutions*")</f>
        <v>0</v>
      </c>
      <c s="7" r="I64">
        <f>COUNTIF(PROJECT!W2:W100,"*Financial Infrastructure*")</f>
        <v>0</v>
      </c>
      <c s="7" r="J64"/>
      <c s="7" r="K64"/>
      <c s="7" r="L64"/>
      <c s="7" r="M64"/>
      <c s="7" r="N64"/>
      <c s="7" r="O64"/>
      <c s="7" r="P64"/>
      <c s="7" r="Q64"/>
      <c s="7" r="R64"/>
      <c s="7" r="S64"/>
      <c s="7" r="T64"/>
    </row>
    <row r="65">
      <c t="s" s="7" r="B65">
        <v>1985</v>
      </c>
      <c t="s" s="7" r="C65">
        <v>1987</v>
      </c>
      <c s="7" r="D65">
        <v>0</v>
      </c>
      <c s="7" r="E65">
        <v>1</v>
      </c>
      <c t="s" s="7" r="F65">
        <v>1826</v>
      </c>
      <c s="7" r="G65">
        <f>COUNTIF(EXPERTISE!D4:D50,"*Private Equity Funds*")</f>
        <v>0</v>
      </c>
      <c s="7" r="H65"/>
      <c s="7" r="I65">
        <f>COUNTIF(PROJECT!W2:W100,"*Private Equity Funds*")</f>
        <v>0</v>
      </c>
      <c s="7" r="J65"/>
      <c s="7" r="K65"/>
      <c s="7" r="L65"/>
      <c s="7" r="M65"/>
      <c s="7" r="N65"/>
      <c s="7" r="O65"/>
      <c s="7" r="P65"/>
      <c s="7" r="Q65"/>
      <c s="7" r="R65"/>
      <c s="7" r="S65"/>
      <c s="7" r="T65"/>
    </row>
    <row r="66">
      <c t="s" s="7" r="B66">
        <v>1985</v>
      </c>
      <c t="s" s="7" r="C66">
        <v>1988</v>
      </c>
      <c s="7" r="D66">
        <v>0</v>
      </c>
      <c s="7" r="E66">
        <v>1</v>
      </c>
      <c t="s" s="7" r="F66">
        <v>1826</v>
      </c>
      <c s="7" r="G66">
        <f>COUNTIF(EXPERTISE!D4:D50,"*Retail Finance*")</f>
        <v>0</v>
      </c>
      <c s="7" r="H66"/>
      <c s="7" r="I66">
        <f>COUNTIF(PROJECT!W2:W100,"*Retail Finance*")</f>
        <v>0</v>
      </c>
      <c s="7" r="J66"/>
      <c s="7" r="K66"/>
      <c s="7" r="L66"/>
      <c s="7" r="M66"/>
      <c s="7" r="N66"/>
      <c s="7" r="O66"/>
      <c s="7" r="P66"/>
      <c s="7" r="Q66"/>
      <c s="7" r="R66"/>
      <c s="7" r="S66"/>
      <c s="7" r="T66"/>
    </row>
    <row r="67">
      <c t="s" s="7" r="B67">
        <v>1985</v>
      </c>
      <c t="s" s="7" r="C67">
        <v>1989</v>
      </c>
      <c s="7" r="D67">
        <v>0</v>
      </c>
      <c s="7" r="E67">
        <v>1</v>
      </c>
      <c t="s" s="7" r="F67">
        <v>1826</v>
      </c>
      <c s="7" r="G67">
        <f>COUNTIF(EXPERTISE!D4:D50,"*Risk Management*")</f>
        <v>0</v>
      </c>
      <c s="7" r="H67"/>
      <c s="7" r="I67">
        <f>COUNTIF(PROJECT!W2:W100,"*Risk Management*")</f>
        <v>0</v>
      </c>
      <c s="7" r="J67"/>
      <c s="7" r="K67"/>
      <c s="7" r="L67"/>
      <c s="7" r="M67"/>
      <c s="7" r="N67"/>
      <c s="7" r="O67"/>
      <c s="7" r="P67"/>
      <c s="7" r="Q67"/>
      <c s="7" r="R67"/>
      <c s="7" r="S67"/>
      <c s="7" r="T67"/>
    </row>
    <row r="68">
      <c t="s" s="7" r="B68">
        <v>1985</v>
      </c>
      <c t="s" s="7" r="C68">
        <v>1990</v>
      </c>
      <c s="7" r="D68">
        <v>0</v>
      </c>
      <c s="7" r="E68">
        <v>1</v>
      </c>
      <c t="s" s="7" r="F68">
        <v>1826</v>
      </c>
      <c s="7" r="G68">
        <f>COUNTIF(EXPERTISE!D4:D50,"*Sustainability and Climate Business*")</f>
        <v>0</v>
      </c>
      <c s="7" r="H68"/>
      <c s="7" r="I68">
        <f>COUNTIF(PROJECT!W2:W100,"*Sustainability and Climate Business*")</f>
        <v>0</v>
      </c>
      <c s="7" r="J68"/>
      <c s="7" r="K68"/>
      <c s="7" r="L68"/>
      <c s="7" r="M68"/>
      <c s="7" r="N68"/>
      <c s="7" r="O68"/>
      <c s="7" r="P68"/>
      <c s="7" r="Q68"/>
      <c s="7" r="R68"/>
      <c s="7" r="S68"/>
      <c s="7" r="T68"/>
    </row>
    <row r="69">
      <c t="s" s="7" r="B69">
        <v>1985</v>
      </c>
      <c t="s" s="7" r="C69">
        <v>1991</v>
      </c>
      <c s="7" r="D69">
        <v>0</v>
      </c>
      <c s="7" r="E69">
        <v>1</v>
      </c>
      <c t="s" s="7" r="F69">
        <v>1826</v>
      </c>
      <c s="7" r="G69">
        <f>COUNTIF(EXPERTISE!D4:D50,"*Trade and Supply Chain*")</f>
        <v>0</v>
      </c>
      <c s="7" r="H69"/>
      <c s="7" r="I69">
        <f>COUNTIF(PROJECT!W2:W100,"*Trade and Supply Chain*")</f>
        <v>0</v>
      </c>
      <c s="7" r="J69"/>
      <c s="7" r="K69"/>
      <c s="7" r="L69"/>
      <c s="7" r="M69"/>
      <c s="7" r="N69"/>
      <c s="7" r="O69"/>
      <c s="7" r="P69"/>
      <c s="7" r="Q69"/>
      <c s="7" r="R69"/>
      <c s="7" r="S69"/>
      <c s="7" r="T69"/>
    </row>
    <row r="70">
      <c t="s" s="7" r="B70">
        <v>1992</v>
      </c>
      <c t="s" s="7" r="C70">
        <v>1993</v>
      </c>
      <c s="7" r="D70">
        <v>1</v>
      </c>
      <c s="7" r="E70">
        <v>1</v>
      </c>
      <c s="7" r="F70">
        <f>COUNTIF(EXPERTISE!C4:C50,"*Health and Nutrition*")</f>
        <v>0</v>
      </c>
      <c s="7" r="G70">
        <f>COUNTIF(EXPERTISE!D4:D50,"*Early Childhood Development*")</f>
        <v>0</v>
      </c>
      <c s="7" r="H70">
        <f>COUNTIF(PROJECT!V2:V100,"*Health and Nutrition*")</f>
        <v>0</v>
      </c>
      <c s="7" r="I70">
        <f>COUNTIF(PROJECT!W2:W100,"*Early Childhood Development*")</f>
        <v>0</v>
      </c>
      <c s="7" r="J70"/>
      <c s="7" r="K70"/>
      <c s="7" r="L70"/>
      <c s="7" r="M70"/>
      <c s="7" r="N70"/>
      <c s="7" r="O70"/>
      <c s="7" r="P70"/>
      <c s="7" r="Q70"/>
      <c s="7" r="R70"/>
      <c s="7" r="S70"/>
      <c s="7" r="T70"/>
    </row>
    <row r="71">
      <c t="s" s="7" r="B71">
        <v>1992</v>
      </c>
      <c t="s" s="63" r="C71">
        <v>1994</v>
      </c>
      <c s="7" r="D71">
        <v>0</v>
      </c>
      <c s="7" r="E71">
        <v>1</v>
      </c>
      <c t="s" s="7" r="F71">
        <v>1826</v>
      </c>
      <c s="63" r="G71">
        <f>COUNTIF(EXPERTISE!D4:D50,"*Healthcare*")</f>
        <v>0</v>
      </c>
      <c s="7" r="H71"/>
      <c s="63" r="I71">
        <f>COUNTIF(PROJECT!W2:W100,"*Healthcare*")</f>
        <v>0</v>
      </c>
      <c s="7" r="J71"/>
      <c s="7" r="K71"/>
      <c s="7" r="L71"/>
      <c s="7" r="M71"/>
      <c s="7" r="N71"/>
      <c s="7" r="O71"/>
      <c s="7" r="P71"/>
      <c s="7" r="Q71"/>
      <c s="7" r="R71"/>
      <c s="7" r="S71"/>
      <c s="7" r="T71"/>
    </row>
    <row r="72">
      <c t="s" s="7" r="B72">
        <v>1992</v>
      </c>
      <c t="s" s="63" r="C72">
        <v>1995</v>
      </c>
      <c s="7" r="D72">
        <v>0</v>
      </c>
      <c s="7" r="E72">
        <v>1</v>
      </c>
      <c t="s" s="7" r="F72">
        <v>1826</v>
      </c>
      <c s="7" r="G72">
        <f>COUNTIF(EXPERTISE!D4:D50,"*Integrated Programs for Health- and Social-Services*")</f>
        <v>0</v>
      </c>
      <c s="7" r="H72"/>
      <c s="63" r="I72">
        <f>COUNTIF(PROJECT!W2:W100,"*Integrated Programs for Health- and Social-Services*")</f>
        <v>0</v>
      </c>
      <c s="7" r="J72"/>
      <c s="7" r="K72"/>
      <c s="7" r="L72"/>
      <c s="7" r="M72"/>
      <c s="7" r="N72"/>
      <c s="7" r="O72"/>
      <c s="7" r="P72"/>
      <c s="7" r="Q72"/>
      <c s="7" r="R72"/>
      <c s="7" r="S72"/>
      <c s="7" r="T72"/>
    </row>
    <row r="73">
      <c t="s" s="7" r="B73">
        <v>1992</v>
      </c>
      <c t="s" s="63" r="C73">
        <v>1996</v>
      </c>
      <c s="7" r="D73">
        <v>0</v>
      </c>
      <c s="7" r="E73">
        <v>1</v>
      </c>
      <c t="s" s="7" r="F73">
        <v>1826</v>
      </c>
      <c s="7" r="G73">
        <f>COUNTIF(EXPERTISE!D4:D50,"*Health Programs &amp; Services*")</f>
        <v>0</v>
      </c>
      <c s="7" r="H73"/>
      <c s="63" r="I73">
        <f>COUNTIF(PROJECT!W2:W100,"*Health Programs &amp; Services*")</f>
        <v>0</v>
      </c>
      <c s="7" r="J73"/>
      <c s="7" r="K73"/>
      <c s="7" r="L73"/>
      <c s="7" r="M73"/>
      <c s="7" r="N73"/>
      <c s="7" r="O73"/>
      <c s="7" r="P73"/>
      <c s="7" r="Q73"/>
      <c s="7" r="R73"/>
      <c s="7" r="S73"/>
      <c s="7" r="T73"/>
    </row>
    <row r="74">
      <c t="s" s="7" r="B74">
        <v>1992</v>
      </c>
      <c t="s" s="63" r="C74">
        <v>1997</v>
      </c>
      <c s="7" r="D74">
        <v>0</v>
      </c>
      <c s="7" r="E74">
        <v>1</v>
      </c>
      <c t="s" s="7" r="F74">
        <v>1826</v>
      </c>
      <c s="63" r="G74">
        <f>COUNTIF(EXPERTISE!D4:D50,"*Social Programs &amp; Services*")</f>
        <v>0</v>
      </c>
      <c s="7" r="H74"/>
      <c s="63" r="I74">
        <f>COUNTIF(PROJECT!W2:W100,"*Social Programs &amp; Services*")</f>
        <v>0</v>
      </c>
      <c s="7" r="J74"/>
      <c s="7" r="K74"/>
      <c s="7" r="L74"/>
      <c s="7" r="M74"/>
      <c s="7" r="N74"/>
      <c s="7" r="O74"/>
      <c s="7" r="P74"/>
      <c s="7" r="Q74"/>
      <c s="7" r="R74"/>
      <c s="7" r="S74"/>
      <c s="7" r="T74"/>
    </row>
    <row r="75">
      <c t="s" s="7" r="B75">
        <v>1992</v>
      </c>
      <c t="s" s="7" r="C75">
        <v>1998</v>
      </c>
      <c s="7" r="D75">
        <v>0</v>
      </c>
      <c s="7" r="E75">
        <v>1</v>
      </c>
      <c t="s" s="7" r="F75">
        <v>1826</v>
      </c>
      <c s="7" r="G75">
        <f>COUNTIF(EXPERTISE!D4:D50,"*Nutrition*")</f>
        <v>0</v>
      </c>
      <c s="7" r="H75"/>
      <c s="7" r="I75">
        <f>COUNTIF(PROJECT!W2:W100,"*Nutrition*")</f>
        <v>0</v>
      </c>
      <c s="7" r="J75"/>
      <c s="7" r="K75"/>
      <c s="7" r="L75"/>
      <c s="7" r="M75"/>
      <c s="7" r="N75"/>
      <c s="7" r="O75"/>
      <c s="7" r="P75"/>
      <c s="7" r="Q75"/>
      <c s="7" r="R75"/>
      <c s="7" r="S75"/>
      <c s="7" r="T75"/>
    </row>
    <row r="76">
      <c t="s" s="63" r="B76">
        <v>1999</v>
      </c>
      <c t="s" s="7" r="C76">
        <v>90</v>
      </c>
      <c s="7" r="D76">
        <v>1</v>
      </c>
      <c s="7" r="E76">
        <v>1</v>
      </c>
      <c s="7" r="F76">
        <f>COUNTIF(EXPERTISE!C4:C50,"*Industry, Manufacturing and Trade*")</f>
        <v>0</v>
      </c>
      <c s="7" r="G76">
        <f>COUNTIF(EXPERTISE!D4:D50,"*Agro-Industry, Marketing, and Trade*")</f>
        <v>1</v>
      </c>
      <c s="7" r="H76">
        <f>COUNTIF(PROJECT!V2:V100,"*Industry, Manufacturing and Trade*")</f>
        <v>0</v>
      </c>
      <c s="7" r="I76">
        <f>COUNTIF(PROJECT!W2:W100,"*Agro-Industry, Marketing, and Trade*")</f>
        <v>1</v>
      </c>
      <c s="7" r="J76"/>
      <c s="7" r="K76"/>
      <c s="7" r="L76"/>
      <c s="7" r="M76"/>
      <c s="7" r="N76"/>
      <c s="7" r="O76"/>
      <c s="7" r="P76"/>
      <c s="7" r="Q76"/>
      <c s="7" r="R76"/>
      <c s="7" r="S76"/>
      <c s="7" r="T76"/>
    </row>
    <row r="77">
      <c t="s" s="63" r="B77">
        <v>1999</v>
      </c>
      <c t="s" s="7" r="C77">
        <v>2000</v>
      </c>
      <c s="7" r="D77">
        <v>1</v>
      </c>
      <c s="7" r="E77">
        <v>1</v>
      </c>
      <c t="s" s="7" r="F77">
        <v>1826</v>
      </c>
      <c s="63" r="G77">
        <f>COUNTIF(EXPERTISE!D4:D50,"*Energy Efficient Machinery*")</f>
        <v>0</v>
      </c>
      <c s="7" r="H77"/>
      <c s="63" r="I77">
        <f>COUNTIF(PROJECT!W2:W100,"*Energy Efficient Machinery*")</f>
        <v>0</v>
      </c>
      <c s="7" r="J77"/>
      <c s="7" r="K77"/>
      <c s="7" r="L77"/>
      <c s="7" r="M77"/>
      <c s="7" r="N77"/>
      <c s="7" r="O77"/>
      <c s="7" r="P77"/>
      <c s="7" r="Q77"/>
      <c s="7" r="R77"/>
      <c s="7" r="S77"/>
      <c s="7" r="T77"/>
    </row>
    <row r="78">
      <c t="s" s="63" r="B78">
        <v>1999</v>
      </c>
      <c t="s" s="63" r="C78">
        <v>2001</v>
      </c>
      <c s="7" r="D78">
        <v>0</v>
      </c>
      <c s="7" r="E78">
        <v>1</v>
      </c>
      <c t="s" s="7" r="F78">
        <v>1826</v>
      </c>
      <c s="63" r="G78">
        <f>COUNTIF(EXPERTISE!D4:D50,"*Construction -general*")</f>
        <v>0</v>
      </c>
      <c s="7" r="H78"/>
      <c s="63" r="I78">
        <f>COUNTIF(PROJECT!W2:W100,"*Construction -general*")</f>
        <v>0</v>
      </c>
      <c s="7" r="J78"/>
      <c s="7" r="K78"/>
      <c s="7" r="L78"/>
      <c s="7" r="M78"/>
      <c s="7" r="N78"/>
      <c s="7" r="O78"/>
      <c s="7" r="P78"/>
      <c s="7" r="Q78"/>
      <c s="7" r="R78"/>
      <c s="7" r="S78"/>
      <c s="7" r="T78"/>
    </row>
    <row r="79">
      <c t="s" s="63" r="B79">
        <v>1999</v>
      </c>
      <c t="s" s="63" r="C79">
        <v>2002</v>
      </c>
      <c s="7" r="D79">
        <v>0</v>
      </c>
      <c s="7" r="E79">
        <v>1</v>
      </c>
      <c t="s" s="7" r="F79">
        <v>1826</v>
      </c>
      <c s="7" r="G79">
        <f>COUNTIF(EXPERTISE!D4:D50,"*Industry and Trade -general*")</f>
        <v>0</v>
      </c>
      <c s="7" r="H79"/>
      <c s="7" r="I79">
        <f>COUNTIF(PROJECT!W2:W100,"*Industry and Trade -general*")</f>
        <v>0</v>
      </c>
      <c s="7" r="J79"/>
      <c s="7" r="K79"/>
      <c s="7" r="L79"/>
      <c s="7" r="M79"/>
      <c s="7" r="N79"/>
      <c s="7" r="O79"/>
      <c s="7" r="P79"/>
      <c s="7" r="Q79"/>
      <c s="7" r="R79"/>
      <c s="7" r="S79"/>
      <c s="7" r="T79"/>
    </row>
    <row r="80">
      <c t="s" s="63" r="B80">
        <v>1999</v>
      </c>
      <c t="s" s="7" r="C80">
        <v>2003</v>
      </c>
      <c s="7" r="D80">
        <v>0</v>
      </c>
      <c s="7" r="E80">
        <v>1</v>
      </c>
      <c t="s" s="7" r="F80">
        <v>1826</v>
      </c>
      <c s="7" r="G80">
        <f>COUNTIF(EXPERTISE!D4:D50,"*Housing Construction*")</f>
        <v>0</v>
      </c>
      <c s="7" r="H80"/>
      <c s="7" r="I80">
        <f>COUNTIF(PROJECT!W2:W100,"*Housing Construction*")</f>
        <v>0</v>
      </c>
      <c s="7" r="J80"/>
      <c s="7" r="K80"/>
      <c s="7" r="L80"/>
      <c s="7" r="M80"/>
      <c s="7" r="N80"/>
      <c s="7" r="O80"/>
      <c s="7" r="P80"/>
      <c s="7" r="Q80"/>
      <c s="7" r="R80"/>
      <c s="7" r="S80"/>
      <c s="7" r="T80"/>
    </row>
    <row r="81">
      <c t="s" s="63" r="B81">
        <v>1999</v>
      </c>
      <c t="s" s="63" r="C81">
        <v>2004</v>
      </c>
      <c s="7" r="D81">
        <v>0</v>
      </c>
      <c s="7" r="E81">
        <v>1</v>
      </c>
      <c t="s" s="7" r="F81">
        <v>1826</v>
      </c>
      <c s="63" r="G81">
        <f>COUNTIF(EXPERTISE!D4:D50,"*Industry -general*")</f>
        <v>0</v>
      </c>
      <c s="7" r="H81"/>
      <c s="63" r="I81">
        <f>COUNTIF(PROJECT!W2:W100,"*Industry -general*")</f>
        <v>0</v>
      </c>
      <c s="7" r="J81"/>
      <c s="7" r="K81"/>
      <c s="7" r="L81"/>
      <c s="7" r="M81"/>
      <c s="7" r="N81"/>
      <c s="7" r="O81"/>
      <c s="7" r="P81"/>
      <c s="7" r="Q81"/>
      <c s="7" r="R81"/>
      <c s="7" r="S81"/>
      <c s="7" r="T81"/>
    </row>
    <row r="82">
      <c t="s" s="63" r="B82">
        <v>1999</v>
      </c>
      <c t="s" s="63" r="C82">
        <v>2005</v>
      </c>
      <c s="7" r="D82">
        <v>0</v>
      </c>
      <c s="7" r="E82">
        <v>1</v>
      </c>
      <c t="s" s="7" r="F82">
        <v>1826</v>
      </c>
      <c s="7" r="G82">
        <f>COUNTIF(EXPERTISE!D4:D50,"*Domestic and International Trade*")</f>
        <v>0</v>
      </c>
      <c s="7" r="H82"/>
      <c s="63" r="I82">
        <f>COUNTIF(PROJECT!W2:W100,"*Domestic and International Trade*")</f>
        <v>0</v>
      </c>
      <c s="7" r="J82"/>
      <c s="7" r="K82"/>
      <c s="7" r="L82"/>
      <c s="7" r="M82"/>
      <c s="7" r="N82"/>
      <c s="7" r="O82"/>
      <c s="7" r="P82"/>
      <c s="7" r="Q82"/>
      <c s="7" r="R82"/>
      <c s="7" r="S82"/>
      <c s="7" r="T82"/>
    </row>
    <row r="83">
      <c t="s" s="63" r="B83">
        <v>1999</v>
      </c>
      <c t="s" s="7" r="C83">
        <v>2006</v>
      </c>
      <c s="7" r="D83">
        <v>0</v>
      </c>
      <c s="7" r="E83">
        <v>1</v>
      </c>
      <c t="s" s="7" r="F83">
        <v>1826</v>
      </c>
      <c s="7" r="G83">
        <f>COUNTIF(EXPERTISE!D4:D50,"*(Petro-) Chemicals and Fertilizers*")</f>
        <v>0</v>
      </c>
      <c s="7" r="H83"/>
      <c s="7" r="I83">
        <f>COUNTIF(PROJECT!W2:W100,"*(Petro-) Chemicals and Fertilizers*")</f>
        <v>0</v>
      </c>
      <c s="7" r="J83"/>
      <c s="7" r="K83"/>
      <c s="7" r="L83"/>
      <c s="7" r="M83"/>
      <c s="7" r="N83"/>
      <c s="7" r="O83"/>
      <c s="7" r="P83"/>
      <c s="7" r="Q83"/>
      <c s="7" r="R83"/>
      <c s="7" r="S83"/>
      <c s="7" r="T83"/>
    </row>
    <row r="84">
      <c t="s" s="63" r="B84">
        <v>1999</v>
      </c>
      <c t="s" s="7" r="C84">
        <v>2007</v>
      </c>
      <c s="7" r="D84">
        <v>0</v>
      </c>
      <c s="7" r="E84">
        <v>1</v>
      </c>
      <c t="s" s="7" r="F84">
        <v>1826</v>
      </c>
      <c s="7" r="G84">
        <f>COUNTIF(EXPERTISE!D4:D50,"*Property*")</f>
        <v>0</v>
      </c>
      <c s="7" r="H84"/>
      <c s="7" r="I84">
        <f>COUNTIF(PROJECT!W2:W100,"*Property*")</f>
        <v>0</v>
      </c>
      <c s="7" r="J84"/>
      <c s="7" r="K84"/>
      <c s="7" r="L84"/>
      <c s="7" r="M84"/>
      <c s="7" r="N84"/>
      <c s="7" r="O84"/>
      <c s="7" r="P84"/>
      <c s="7" r="Q84"/>
      <c s="7" r="R84"/>
      <c s="7" r="S84"/>
      <c s="7" r="T84"/>
    </row>
    <row r="85">
      <c t="s" s="63" r="B85">
        <v>1999</v>
      </c>
      <c t="s" s="63" r="C85">
        <v>2008</v>
      </c>
      <c s="7" r="D85">
        <v>0</v>
      </c>
      <c s="7" r="E85">
        <v>1</v>
      </c>
      <c t="s" s="7" r="F85">
        <v>1826</v>
      </c>
      <c s="63" r="G85">
        <f>COUNTIF(EXPERTISE!D4:D50,"*Retail -general*")</f>
        <v>0</v>
      </c>
      <c s="7" r="H85"/>
      <c s="63" r="I85">
        <f>COUNTIF(PROJECT!W2:W100,"*Retail -general*")</f>
        <v>0</v>
      </c>
      <c s="7" r="J85"/>
      <c s="7" r="K85"/>
      <c s="7" r="L85"/>
      <c s="7" r="M85"/>
      <c s="7" r="N85"/>
      <c s="7" r="O85"/>
      <c s="7" r="P85"/>
      <c s="7" r="Q85"/>
      <c s="7" r="R85"/>
      <c s="7" r="S85"/>
      <c s="7" r="T85"/>
    </row>
    <row r="86">
      <c t="s" s="63" r="B86">
        <v>1999</v>
      </c>
      <c t="s" s="7" r="C86">
        <v>2009</v>
      </c>
      <c s="7" r="D86">
        <v>0</v>
      </c>
      <c s="7" r="E86">
        <v>1</v>
      </c>
      <c t="s" s="7" r="F86">
        <v>1826</v>
      </c>
      <c s="7" r="G86">
        <f>COUNTIF(EXPERTISE!D4:D50,"*Small- and Medium-Scale Enterprises*")</f>
        <v>0</v>
      </c>
      <c s="7" r="H86"/>
      <c s="7" r="I86">
        <f>COUNTIF(PROJECT!W2:W100,"*Small- and Medium-Scale Enterprises*")</f>
        <v>0</v>
      </c>
      <c s="7" r="J86"/>
      <c s="7" r="K86"/>
      <c s="7" r="L86"/>
      <c s="7" r="M86"/>
      <c s="7" r="N86"/>
      <c s="7" r="O86"/>
      <c s="7" r="P86"/>
      <c s="7" r="Q86"/>
      <c s="7" r="R86"/>
      <c s="7" r="S86"/>
      <c s="7" r="T86"/>
    </row>
    <row r="87">
      <c t="s" s="63" r="B87">
        <v>1999</v>
      </c>
      <c t="s" s="7" r="C87">
        <v>2010</v>
      </c>
      <c s="7" r="D87">
        <v>0</v>
      </c>
      <c s="7" r="E87">
        <v>1</v>
      </c>
      <c t="s" s="7" r="F87">
        <v>1826</v>
      </c>
      <c s="7" r="G87">
        <f>COUNTIF(EXPERTISE!D4:D50,"*Tourism*")</f>
        <v>0</v>
      </c>
      <c s="7" r="H87"/>
      <c s="7" r="I87">
        <f>COUNTIF(PROJECT!W2:W100,"*Tourism*")</f>
        <v>0</v>
      </c>
      <c s="7" r="J87"/>
      <c s="7" r="K87"/>
      <c s="7" r="L87"/>
      <c s="7" r="M87"/>
      <c s="7" r="N87"/>
      <c s="7" r="O87"/>
      <c s="7" r="P87"/>
      <c s="7" r="Q87"/>
      <c s="7" r="R87"/>
      <c s="7" r="S87"/>
      <c s="7" r="T87"/>
    </row>
    <row r="88">
      <c t="s" s="63" r="B88">
        <v>1999</v>
      </c>
      <c t="s" s="63" r="C88">
        <v>2011</v>
      </c>
      <c s="7" r="D88">
        <v>0</v>
      </c>
      <c s="7" r="E88">
        <v>1</v>
      </c>
      <c t="s" s="7" r="F88">
        <v>1826</v>
      </c>
      <c s="63" r="G88">
        <f>COUNTIF(EXPERTISE!D4:D50,"*Trade -general*")</f>
        <v>0</v>
      </c>
      <c s="7" r="H88"/>
      <c s="63" r="I88">
        <f>COUNTIF(PROJECT!W2:W100,"*Trade -general*")</f>
        <v>0</v>
      </c>
      <c s="7" r="J88"/>
      <c s="7" r="K88"/>
      <c s="7" r="L88"/>
      <c s="7" r="M88"/>
      <c s="7" r="N88"/>
      <c s="7" r="O88"/>
      <c s="7" r="P88"/>
      <c s="7" r="Q88"/>
      <c s="7" r="R88"/>
      <c s="7" r="S88"/>
      <c s="7" r="T88"/>
    </row>
    <row r="89">
      <c t="s" s="7" r="B89">
        <v>2012</v>
      </c>
      <c t="s" s="7" r="C89">
        <v>2013</v>
      </c>
      <c s="7" r="D89">
        <v>1</v>
      </c>
      <c s="7" r="E89">
        <v>1</v>
      </c>
      <c s="7" r="F89">
        <f>COUNTIF(EXPERTISE!C4:C50,"*Infrastructure*")</f>
        <v>0</v>
      </c>
      <c s="7" r="G89">
        <f>COUNTIF(EXPERTISE!D4:D50,"*IFC InfraVentures*")</f>
        <v>0</v>
      </c>
      <c s="7" r="H89">
        <f>COUNTIF(PROJECT!V2:V100,"*Infrastructure*")</f>
        <v>0</v>
      </c>
      <c s="7" r="I89">
        <f>COUNTIF(PROJECT!W2:W100,"*IFC InfraVentures*")</f>
        <v>0</v>
      </c>
      <c s="7" r="J89"/>
      <c s="7" r="K89"/>
      <c s="7" r="L89"/>
      <c s="7" r="M89"/>
      <c s="7" r="N89"/>
      <c s="7" r="O89"/>
      <c s="7" r="P89"/>
      <c s="7" r="Q89"/>
      <c s="7" r="R89"/>
      <c s="7" r="S89"/>
      <c s="7" r="T89"/>
    </row>
    <row r="90">
      <c t="s" s="7" r="B90">
        <v>2012</v>
      </c>
      <c t="s" s="63" r="C90">
        <v>2014</v>
      </c>
      <c s="7" r="D90">
        <v>0</v>
      </c>
      <c s="7" r="E90">
        <v>1</v>
      </c>
      <c t="s" s="7" r="F90">
        <v>1826</v>
      </c>
      <c s="63" r="G90">
        <f>COUNTIF(EXPERTISE!D4:D50,"*Power Infrastructure*")</f>
        <v>0</v>
      </c>
      <c s="7" r="H90"/>
      <c s="63" r="I90">
        <f>COUNTIF(PROJECT!W2:W100,"*Power Infrastructure*")</f>
        <v>0</v>
      </c>
      <c s="7" r="J90"/>
      <c s="7" r="K90"/>
      <c s="7" r="L90"/>
      <c s="7" r="M90"/>
      <c s="7" r="N90"/>
      <c s="7" r="O90"/>
      <c s="7" r="P90"/>
      <c s="7" r="Q90"/>
      <c s="7" r="R90"/>
      <c s="7" r="S90"/>
      <c s="7" r="T90"/>
    </row>
    <row r="91">
      <c t="s" s="7" r="B91">
        <v>2012</v>
      </c>
      <c t="s" s="7" r="C91">
        <v>2015</v>
      </c>
      <c s="7" r="D91">
        <v>0</v>
      </c>
      <c s="7" r="E91">
        <v>1</v>
      </c>
      <c t="s" s="7" r="F91">
        <v>1826</v>
      </c>
      <c s="7" r="G91">
        <f>COUNTIF(EXPERTISE!D4:D50,"*Renewables*")</f>
        <v>0</v>
      </c>
      <c s="7" r="H91"/>
      <c s="7" r="I91">
        <f>COUNTIF(PROJECT!W2:W100,"*Renewables*")</f>
        <v>0</v>
      </c>
      <c s="7" r="J91"/>
      <c s="7" r="K91"/>
      <c s="7" r="L91"/>
      <c s="7" r="M91"/>
      <c s="7" r="N91"/>
      <c s="7" r="O91"/>
      <c s="7" r="P91"/>
      <c s="7" r="Q91"/>
      <c s="7" r="R91"/>
      <c s="7" r="S91"/>
      <c s="7" r="T91"/>
    </row>
    <row r="92">
      <c t="s" s="7" r="B92">
        <v>2012</v>
      </c>
      <c t="s" s="7" r="C92">
        <v>2016</v>
      </c>
      <c s="7" r="D92">
        <v>0</v>
      </c>
      <c s="7" r="E92">
        <v>1</v>
      </c>
      <c t="s" s="7" r="F92">
        <v>1826</v>
      </c>
      <c s="7" r="G92">
        <f>COUNTIF(EXPERTISE!D4:D50,"*Subnational Finance*")</f>
        <v>0</v>
      </c>
      <c s="7" r="H92"/>
      <c s="7" r="I92">
        <f>COUNTIF(PROJECT!W2:W100,"*Subnational Finance*")</f>
        <v>0</v>
      </c>
      <c s="7" r="J92"/>
      <c s="7" r="K92"/>
      <c s="7" r="L92"/>
      <c s="7" r="M92"/>
      <c s="7" r="N92"/>
      <c s="7" r="O92"/>
      <c s="7" r="P92"/>
      <c s="7" r="Q92"/>
      <c s="7" r="R92"/>
      <c s="7" r="S92"/>
      <c s="7" r="T92"/>
    </row>
    <row r="93">
      <c t="s" s="7" r="B93">
        <v>2012</v>
      </c>
      <c t="s" s="63" r="C93">
        <v>2017</v>
      </c>
      <c s="7" r="D93">
        <v>0</v>
      </c>
      <c s="7" r="E93">
        <v>1</v>
      </c>
      <c t="s" s="7" r="F93">
        <v>1826</v>
      </c>
      <c s="63" r="G93">
        <f>COUNTIF(EXPERTISE!D4:D50,"*Transportation Infrastructure*")</f>
        <v>0</v>
      </c>
      <c s="7" r="H93"/>
      <c s="63" r="I93">
        <f>COUNTIF(PROJECT!W2:W100,"*Transportation Infrastructure*")</f>
        <v>0</v>
      </c>
      <c s="7" r="J93"/>
      <c s="7" r="K93"/>
      <c s="7" r="L93"/>
      <c s="7" r="M93"/>
      <c s="7" r="N93"/>
      <c s="7" r="O93"/>
      <c s="7" r="P93"/>
      <c s="7" r="Q93"/>
      <c s="7" r="R93"/>
      <c s="7" r="S93"/>
      <c s="7" r="T93"/>
    </row>
    <row r="94">
      <c t="s" s="7" r="B94">
        <v>2012</v>
      </c>
      <c t="s" s="63" r="C94">
        <v>166</v>
      </c>
      <c s="7" r="D94">
        <v>0</v>
      </c>
      <c s="7" r="E94">
        <v>1</v>
      </c>
      <c t="s" s="7" r="F94">
        <v>1826</v>
      </c>
      <c s="63" r="G94">
        <f>COUNTIF(EXPERTISE!D4:D50,"*Water Infrastructure*")</f>
        <v>1</v>
      </c>
      <c s="7" r="H94"/>
      <c s="63" r="I94">
        <f>COUNTIF(PROJECT!W2:W100,"*Water Infrastructure*")</f>
        <v>0</v>
      </c>
      <c s="7" r="J94"/>
      <c s="7" r="K94"/>
      <c s="7" r="L94"/>
      <c s="7" r="M94"/>
      <c s="7" r="N94"/>
      <c s="7" r="O94"/>
      <c s="7" r="P94"/>
      <c s="7" r="Q94"/>
      <c s="7" r="R94"/>
      <c s="7" r="S94"/>
      <c s="7" r="T94"/>
    </row>
    <row r="95">
      <c t="s" s="63" r="B95">
        <v>2018</v>
      </c>
      <c t="s" s="63" r="C95">
        <v>2019</v>
      </c>
      <c s="7" r="D95">
        <v>1</v>
      </c>
      <c s="7" r="E95">
        <v>1</v>
      </c>
      <c s="7" r="F95">
        <f>COUNTIF(EXPERTISE!C4:C50,"*Multisector*")</f>
        <v>1</v>
      </c>
      <c s="63" r="G95">
        <f>COUNTIF(EXPERTISE!D4:D50,"*Integrated Sub-Sector*")</f>
        <v>0</v>
      </c>
      <c s="7" r="H95">
        <f>COUNTIF(PROJECT!V2:V100,"*Multisector*")</f>
        <v>1</v>
      </c>
      <c s="63" r="I95">
        <f>COUNTIF(PROJECT!W2:W100,"*Integrated Sub-Sector*")</f>
        <v>0</v>
      </c>
      <c s="7" r="J95"/>
      <c s="7" r="K95"/>
      <c s="7" r="L95"/>
      <c s="7" r="M95"/>
      <c s="7" r="N95"/>
      <c s="7" r="O95"/>
      <c s="7" r="P95"/>
      <c s="7" r="Q95"/>
      <c s="7" r="R95"/>
      <c s="7" r="S95"/>
      <c s="7" r="T95"/>
    </row>
    <row r="96">
      <c t="s" s="7" r="B96">
        <v>137</v>
      </c>
      <c t="s" s="63" r="C96">
        <v>137</v>
      </c>
      <c s="7" r="D96">
        <v>1</v>
      </c>
      <c s="7" r="E96">
        <v>1</v>
      </c>
      <c s="7" r="F96">
        <f>COUNTIF(EXPERTISE!C4:C50,"*Multisector*")</f>
        <v>1</v>
      </c>
      <c s="63" r="G96">
        <f>COUNTIF(EXPERTISE!D4:D50,"*Multisector*")</f>
        <v>1</v>
      </c>
      <c s="7" r="H96">
        <f>COUNTIF(PROJECT!V2:V100,"*Multisector*")</f>
        <v>1</v>
      </c>
      <c s="63" r="I96">
        <f>COUNTIF(PROJECT!W2:W100,"*Multisector*")</f>
        <v>1</v>
      </c>
      <c s="7" r="J96"/>
      <c s="7" r="K96"/>
      <c s="7" r="L96"/>
      <c s="7" r="M96"/>
      <c s="7" r="N96"/>
      <c s="7" r="O96"/>
      <c s="7" r="P96"/>
      <c s="7" r="Q96"/>
      <c s="7" r="R96"/>
      <c s="7" r="S96"/>
      <c s="7" r="T96"/>
    </row>
    <row r="97">
      <c t="s" s="63" r="B97">
        <v>2020</v>
      </c>
      <c t="s" s="63" r="C97">
        <v>2020</v>
      </c>
      <c s="7" r="D97">
        <v>1</v>
      </c>
      <c s="7" r="E97">
        <v>1</v>
      </c>
      <c s="7" r="F97">
        <f>COUNTIF(EXPERTISE!C4:C50,"*Others*")</f>
        <v>0</v>
      </c>
      <c s="63" r="G97">
        <f>COUNTIF(EXPERTISE!D4:D50,"*Not Listed*")</f>
        <v>0</v>
      </c>
      <c s="7" r="H97">
        <f>COUNTIF(PROJECT!V2:V100,"*Others*")</f>
        <v>0</v>
      </c>
      <c s="63" r="I97">
        <f>COUNTIF(PROJECT!W2:W100,"*Not Listed*")</f>
        <v>0</v>
      </c>
      <c s="7" r="J97"/>
      <c s="7" r="K97"/>
      <c s="7" r="L97"/>
      <c s="7" r="M97"/>
      <c s="7" r="N97"/>
      <c s="7" r="O97"/>
      <c s="7" r="P97"/>
      <c s="7" r="Q97"/>
      <c s="7" r="R97"/>
      <c s="7" r="S97"/>
      <c s="7" r="T97"/>
    </row>
    <row r="98">
      <c t="s" s="63" r="B98">
        <v>2021</v>
      </c>
      <c t="s" s="63" r="C98">
        <v>2022</v>
      </c>
      <c s="7" r="D98">
        <v>1</v>
      </c>
      <c s="7" r="E98">
        <v>1</v>
      </c>
      <c s="7" r="F98">
        <f>COUNTIF(EXPERTISE!C4:C50,"*Others (non-project related) *")</f>
        <v>0</v>
      </c>
      <c s="63" r="G98">
        <f>COUNTIF(EXPERTISE!D4:D50,"*Other*")</f>
        <v>0</v>
      </c>
      <c s="7" r="H98">
        <f>COUNTIF(PROJECT!V2:V100,"*Others (non-project related)*")</f>
        <v>0</v>
      </c>
      <c s="63" r="I98">
        <f>COUNTIF(PROJECT!W2:W100,"*Other*")</f>
        <v>0</v>
      </c>
      <c s="7" r="J98"/>
      <c s="7" r="K98"/>
      <c s="7" r="L98"/>
      <c s="7" r="M98"/>
      <c s="7" r="N98"/>
      <c s="7" r="O98"/>
      <c s="7" r="P98"/>
      <c s="7" r="Q98"/>
      <c s="7" r="R98"/>
      <c s="7" r="S98"/>
      <c s="7" r="T98"/>
    </row>
    <row r="99">
      <c t="s" s="7" r="B99">
        <v>142</v>
      </c>
      <c t="s" s="7" r="C99">
        <v>2023</v>
      </c>
      <c s="7" r="D99">
        <v>1</v>
      </c>
      <c s="7" r="E99">
        <v>1</v>
      </c>
      <c s="7" r="F99">
        <f>COUNTIF(EXPERTISE!C4:C50,"*Public Administration, Law, and Justice*")</f>
        <v>1</v>
      </c>
      <c s="7" r="G99">
        <f>COUNTIF(EXPERTISE!D4:D50,"*Central Government Administration*")</f>
        <v>0</v>
      </c>
      <c s="7" r="H99">
        <f>COUNTIF(PROJECT!V2:V100,"*Public Administration, Law, and Justice*")</f>
        <v>1</v>
      </c>
      <c s="7" r="I99">
        <f>COUNTIF(PROJECT!W2:W100,"*Central Government Administration*")</f>
        <v>0</v>
      </c>
      <c s="7" r="J99"/>
      <c s="7" r="K99"/>
      <c s="7" r="L99"/>
      <c s="7" r="M99"/>
      <c s="7" r="N99"/>
      <c s="7" r="O99"/>
      <c s="7" r="P99"/>
      <c s="7" r="Q99"/>
      <c s="7" r="R99"/>
      <c s="7" r="S99"/>
      <c s="7" r="T99"/>
    </row>
    <row r="100">
      <c t="s" s="7" r="B100">
        <v>142</v>
      </c>
      <c t="s" s="7" r="C100">
        <v>2024</v>
      </c>
      <c s="7" r="D100">
        <v>0</v>
      </c>
      <c s="7" r="E100">
        <v>1</v>
      </c>
      <c t="s" s="7" r="F100">
        <v>1826</v>
      </c>
      <c s="7" r="G100">
        <f>COUNTIF(EXPERTISE!D4:D50,"*Compulsory Pension and Unemployment Insurance*")</f>
        <v>0</v>
      </c>
      <c s="7" r="H100"/>
      <c s="7" r="I100">
        <f>COUNTIF(PROJECT!W2:W100,"*Compulsory Pension and Unemployment Insurance*")</f>
        <v>0</v>
      </c>
      <c s="7" r="J100"/>
      <c s="7" r="K100"/>
      <c s="7" r="L100"/>
      <c s="7" r="M100"/>
      <c s="7" r="N100"/>
      <c s="7" r="O100"/>
      <c s="7" r="P100"/>
      <c s="7" r="Q100"/>
      <c s="7" r="R100"/>
      <c s="7" r="S100"/>
      <c s="7" r="T100"/>
    </row>
    <row r="101">
      <c t="s" s="7" r="B101">
        <v>142</v>
      </c>
      <c t="s" s="7" r="C101">
        <v>143</v>
      </c>
      <c s="7" r="D101">
        <v>0</v>
      </c>
      <c s="7" r="E101">
        <v>1</v>
      </c>
      <c t="s" s="7" r="F101">
        <v>1826</v>
      </c>
      <c s="7" r="G101">
        <f>COUNTIF(EXPERTISE!D4:D50,"*General Public Administration Sector*")</f>
        <v>1</v>
      </c>
      <c s="7" r="H101"/>
      <c s="7" r="I101">
        <f>COUNTIF(PROJECT!W2:W100,"*General Public Administration Sector*")</f>
        <v>1</v>
      </c>
      <c s="7" r="J101"/>
      <c s="7" r="K101"/>
      <c s="7" r="L101"/>
      <c s="7" r="M101"/>
      <c s="7" r="N101"/>
      <c s="7" r="O101"/>
      <c s="7" r="P101"/>
      <c s="7" r="Q101"/>
      <c s="7" r="R101"/>
      <c s="7" r="S101"/>
      <c s="7" r="T101"/>
    </row>
    <row r="102">
      <c t="s" s="7" r="B102">
        <v>142</v>
      </c>
      <c t="s" s="7" r="C102">
        <v>2025</v>
      </c>
      <c s="7" r="D102">
        <v>0</v>
      </c>
      <c s="7" r="E102">
        <v>1</v>
      </c>
      <c t="s" s="7" r="F102">
        <v>1826</v>
      </c>
      <c s="7" r="G102">
        <f>COUNTIF(EXPERTISE!D4:D50,"*Government and Civil Society*")</f>
        <v>0</v>
      </c>
      <c s="7" r="H102"/>
      <c s="7" r="I102">
        <f>COUNTIF(PROJECT!W2:W100,"*Government and Civil Society*")</f>
        <v>0</v>
      </c>
      <c s="7" r="J102"/>
      <c s="7" r="K102"/>
      <c s="7" r="L102"/>
      <c s="7" r="M102"/>
      <c s="7" r="N102"/>
      <c s="7" r="O102"/>
      <c s="7" r="P102"/>
      <c s="7" r="Q102"/>
      <c s="7" r="R102"/>
      <c s="7" r="S102"/>
      <c s="7" r="T102"/>
    </row>
    <row r="103">
      <c t="s" s="7" r="B103">
        <v>142</v>
      </c>
      <c t="s" s="7" r="C103">
        <v>2026</v>
      </c>
      <c s="7" r="D103">
        <v>0</v>
      </c>
      <c s="7" r="E103">
        <v>1</v>
      </c>
      <c t="s" s="7" r="F103">
        <v>1826</v>
      </c>
      <c s="7" r="G103">
        <f>COUNTIF(EXPERTISE!D4:D50,"*Law and Judiciary*")</f>
        <v>0</v>
      </c>
      <c s="7" r="H103"/>
      <c s="7" r="I103">
        <f>COUNTIF(PROJECT!W2:W100,"*Law and Judiciary*")</f>
        <v>0</v>
      </c>
      <c s="7" r="J103"/>
      <c s="7" r="K103"/>
      <c s="7" r="L103"/>
      <c s="7" r="M103"/>
      <c s="7" r="N103"/>
      <c s="7" r="O103"/>
      <c s="7" r="P103"/>
      <c s="7" r="Q103"/>
      <c s="7" r="R103"/>
      <c s="7" r="S103"/>
      <c s="7" r="T103"/>
    </row>
    <row r="104">
      <c t="s" s="7" r="B104">
        <v>142</v>
      </c>
      <c t="s" s="63" r="C104">
        <v>2027</v>
      </c>
      <c s="7" r="D104">
        <v>0</v>
      </c>
      <c s="7" r="E104">
        <v>1</v>
      </c>
      <c t="s" s="7" r="F104">
        <v>1826</v>
      </c>
      <c s="63" r="G104">
        <f>COUNTIF(EXPERTISE!D4:D50,"*National Government Administration*")</f>
        <v>0</v>
      </c>
      <c s="7" r="H104"/>
      <c s="63" r="I104">
        <f>COUNTIF(PROJECT!W2:W100,"*National Government Administration*")</f>
        <v>0</v>
      </c>
      <c s="7" r="J104"/>
      <c s="7" r="K104"/>
      <c s="7" r="L104"/>
      <c s="7" r="M104"/>
      <c s="7" r="N104"/>
      <c s="7" r="O104"/>
      <c s="7" r="P104"/>
      <c s="7" r="Q104"/>
      <c s="7" r="R104"/>
      <c s="7" r="S104"/>
      <c s="7" r="T104"/>
    </row>
    <row r="105">
      <c t="s" s="7" r="B105">
        <v>142</v>
      </c>
      <c t="s" s="7" r="C105">
        <v>148</v>
      </c>
      <c s="7" r="D105">
        <v>0</v>
      </c>
      <c s="7" r="E105">
        <v>1</v>
      </c>
      <c t="s" s="7" r="F105">
        <v>1826</v>
      </c>
      <c s="7" r="G105">
        <f>COUNTIF(EXPERTISE!D4:D50,"*Public Administration - Agriculture, Fishing and Forestry*")</f>
        <v>1</v>
      </c>
      <c s="7" r="H105"/>
      <c s="7" r="I105">
        <f>COUNTIF(PROJECT!W2:W100,"*Public Administration - Agriculture, Fishing and Forestry*")</f>
        <v>0</v>
      </c>
      <c s="7" r="J105"/>
      <c s="7" r="K105"/>
      <c s="7" r="L105"/>
      <c s="7" r="M105"/>
      <c s="7" r="N105"/>
      <c s="7" r="O105"/>
      <c s="7" r="P105"/>
      <c s="7" r="Q105"/>
      <c s="7" r="R105"/>
      <c s="7" r="S105"/>
      <c s="7" r="T105"/>
    </row>
    <row r="106">
      <c t="s" s="7" r="B106">
        <v>142</v>
      </c>
      <c t="s" s="7" r="C106">
        <v>2028</v>
      </c>
      <c s="7" r="D106">
        <v>0</v>
      </c>
      <c s="7" r="E106">
        <v>1</v>
      </c>
      <c t="s" s="7" r="F106">
        <v>1826</v>
      </c>
      <c s="7" r="G106">
        <f>COUNTIF(EXPERTISE!D4:D50,"*Public Administration - Education*")</f>
        <v>0</v>
      </c>
      <c s="7" r="H106"/>
      <c s="7" r="I106">
        <f>COUNTIF(PROJECT!W2:W100,"*Public Administration - Education*")</f>
        <v>0</v>
      </c>
      <c s="7" r="J106"/>
      <c s="7" r="K106"/>
      <c s="7" r="L106"/>
      <c s="7" r="M106"/>
      <c s="7" r="N106"/>
      <c s="7" r="O106"/>
      <c s="7" r="P106"/>
      <c s="7" r="Q106"/>
      <c s="7" r="R106"/>
      <c s="7" r="S106"/>
      <c s="7" r="T106"/>
    </row>
    <row r="107">
      <c t="s" s="7" r="B107">
        <v>142</v>
      </c>
      <c t="s" s="63" r="C107">
        <v>2029</v>
      </c>
      <c s="7" r="D107">
        <v>0</v>
      </c>
      <c s="7" r="E107">
        <v>1</v>
      </c>
      <c t="s" s="7" r="F107">
        <v>1826</v>
      </c>
      <c s="7" r="G107">
        <f>COUNTIF(EXPERTISE!D4:D50,"*Public Administration - Energy and Mining*")</f>
        <v>0</v>
      </c>
      <c s="7" r="H107"/>
      <c s="7" r="I107">
        <f>COUNTIF(PROJECT!W2:W100,"*Public Administration - Energy and Mining*")</f>
        <v>0</v>
      </c>
      <c s="7" r="J107"/>
      <c s="7" r="K107"/>
      <c s="7" r="L107"/>
      <c s="7" r="M107"/>
      <c s="7" r="N107"/>
      <c s="7" r="O107"/>
      <c s="7" r="P107"/>
      <c s="7" r="Q107"/>
      <c s="7" r="R107"/>
      <c s="7" r="S107"/>
      <c s="7" r="T107"/>
    </row>
    <row r="108">
      <c t="s" s="7" r="B108">
        <v>142</v>
      </c>
      <c t="s" s="7" r="C108">
        <v>2030</v>
      </c>
      <c s="7" r="D108">
        <v>0</v>
      </c>
      <c s="7" r="E108">
        <v>1</v>
      </c>
      <c t="s" s="7" r="F108">
        <v>1826</v>
      </c>
      <c s="7" r="G108">
        <f>COUNTIF(EXPERTISE!D4:D50,"*Public Administration - Financial Sector*")</f>
        <v>0</v>
      </c>
      <c s="7" r="H108"/>
      <c s="7" r="I108">
        <f>COUNTIF(PROJECT!W2:W100,"*Public Administration - Financial Sector*")</f>
        <v>0</v>
      </c>
      <c s="7" r="J108"/>
      <c s="7" r="K108"/>
      <c s="7" r="L108"/>
      <c s="7" r="M108"/>
      <c s="7" r="N108"/>
      <c s="7" r="O108"/>
      <c s="7" r="P108"/>
      <c s="7" r="Q108"/>
      <c s="7" r="R108"/>
      <c s="7" r="S108"/>
      <c s="7" r="T108"/>
    </row>
    <row r="109">
      <c t="s" s="7" r="B109">
        <v>142</v>
      </c>
      <c t="s" s="7" r="C109">
        <v>2031</v>
      </c>
      <c s="7" r="D109">
        <v>0</v>
      </c>
      <c s="7" r="E109">
        <v>1</v>
      </c>
      <c t="s" s="7" r="F109">
        <v>1826</v>
      </c>
      <c s="7" r="G109">
        <f>COUNTIF(EXPERTISE!D4:D50,"*Public Administration - Health*")</f>
        <v>0</v>
      </c>
      <c s="7" r="H109"/>
      <c s="7" r="I109">
        <f>COUNTIF(PROJECT!W2:W100,"*Public Administration - Health*")</f>
        <v>0</v>
      </c>
      <c s="7" r="J109"/>
      <c s="7" r="K109"/>
      <c s="7" r="L109"/>
      <c s="7" r="M109"/>
      <c s="7" r="N109"/>
      <c s="7" r="O109"/>
      <c s="7" r="P109"/>
      <c s="7" r="Q109"/>
      <c s="7" r="R109"/>
      <c s="7" r="S109"/>
      <c s="7" r="T109"/>
    </row>
    <row r="110">
      <c t="s" s="7" r="B110">
        <v>142</v>
      </c>
      <c t="s" s="63" r="C110">
        <v>2032</v>
      </c>
      <c s="7" r="D110">
        <v>0</v>
      </c>
      <c s="7" r="E110">
        <v>1</v>
      </c>
      <c t="s" s="7" r="F110">
        <v>1826</v>
      </c>
      <c s="7" r="G110">
        <f>COUNTIF(EXPERTISE!D4:D50,"*Public Administration - Industry and Trade*")</f>
        <v>0</v>
      </c>
      <c s="7" r="H110"/>
      <c s="7" r="I110">
        <f>COUNTIF(PROJECT!W2:W100,"*Public Administration - Industry and Trade*")</f>
        <v>0</v>
      </c>
      <c s="7" r="J110"/>
      <c s="7" r="K110"/>
      <c s="7" r="L110"/>
      <c s="7" r="M110"/>
      <c s="7" r="N110"/>
      <c s="7" r="O110"/>
      <c s="7" r="P110"/>
      <c s="7" r="Q110"/>
      <c s="7" r="R110"/>
      <c s="7" r="S110"/>
      <c s="7" r="T110"/>
    </row>
    <row r="111">
      <c t="s" s="7" r="B111">
        <v>142</v>
      </c>
      <c t="s" s="7" r="C111">
        <v>2033</v>
      </c>
      <c s="7" r="D111">
        <v>0</v>
      </c>
      <c s="7" r="E111">
        <v>1</v>
      </c>
      <c t="s" s="7" r="F111">
        <v>1826</v>
      </c>
      <c s="7" r="G111">
        <f>COUNTIF(EXPERTISE!D4:D50,"*Public Administration - Information and Communications*")</f>
        <v>0</v>
      </c>
      <c s="7" r="H111"/>
      <c s="7" r="I111">
        <f>COUNTIF(PROJECT!W2:W100,"*Public Administration - Information and Communications*")</f>
        <v>0</v>
      </c>
      <c s="7" r="J111"/>
      <c s="7" r="K111"/>
      <c s="7" r="L111"/>
      <c s="7" r="M111"/>
      <c s="7" r="N111"/>
      <c s="7" r="O111"/>
      <c s="7" r="P111"/>
      <c s="7" r="Q111"/>
      <c s="7" r="R111"/>
      <c s="7" r="S111"/>
      <c s="7" r="T111"/>
    </row>
    <row r="112">
      <c t="s" s="7" r="B112">
        <v>142</v>
      </c>
      <c t="s" s="7" r="C112">
        <v>2034</v>
      </c>
      <c s="7" r="D112">
        <v>0</v>
      </c>
      <c s="7" r="E112">
        <v>1</v>
      </c>
      <c t="s" s="7" r="F112">
        <v>1826</v>
      </c>
      <c s="63" r="G112">
        <f>COUNTIF(EXPERTISE!D4:D50,"*Public Administration - Social Services*")</f>
        <v>0</v>
      </c>
      <c s="7" r="H112"/>
      <c s="63" r="I112">
        <f>COUNTIF(PROJECT!W2:W100,"*Public Administration - Social Services*")</f>
        <v>0</v>
      </c>
      <c s="7" r="J112"/>
      <c s="7" r="K112"/>
      <c s="7" r="L112"/>
      <c s="7" r="M112"/>
      <c s="7" r="N112"/>
      <c s="7" r="O112"/>
      <c s="7" r="P112"/>
      <c s="7" r="Q112"/>
      <c s="7" r="R112"/>
      <c s="7" r="S112"/>
      <c s="7" r="T112"/>
    </row>
    <row r="113">
      <c t="s" s="7" r="B113">
        <v>142</v>
      </c>
      <c t="s" s="7" r="C113">
        <v>2035</v>
      </c>
      <c s="7" r="D113">
        <v>0</v>
      </c>
      <c s="7" r="E113">
        <v>1</v>
      </c>
      <c t="s" s="7" r="F113">
        <v>1826</v>
      </c>
      <c s="7" r="G113">
        <f>COUNTIF(EXPERTISE!D4:D50,"*Public Administration - Transportation*")</f>
        <v>0</v>
      </c>
      <c s="7" r="H113"/>
      <c s="7" r="I113">
        <f>COUNTIF(PROJECT!W2:W100,"*Public Administration - Transportation*")</f>
        <v>0</v>
      </c>
      <c s="7" r="J113"/>
      <c s="7" r="K113"/>
      <c s="7" r="L113"/>
      <c s="7" r="M113"/>
      <c s="7" r="N113"/>
      <c s="7" r="O113"/>
      <c s="7" r="P113"/>
      <c s="7" r="Q113"/>
      <c s="7" r="R113"/>
      <c s="7" r="S113"/>
      <c s="7" r="T113"/>
    </row>
    <row r="114">
      <c t="s" s="7" r="B114">
        <v>142</v>
      </c>
      <c t="s" s="7" r="C114">
        <v>154</v>
      </c>
      <c s="7" r="D114">
        <v>0</v>
      </c>
      <c s="7" r="E114">
        <v>1</v>
      </c>
      <c t="s" s="7" r="F114">
        <v>1826</v>
      </c>
      <c s="7" r="G114">
        <f>COUNTIF(EXPERTISE!D4:D50,"*Public Administration - Water, Sanitation and Flood Protection*")</f>
        <v>1</v>
      </c>
      <c s="7" r="H114"/>
      <c s="7" r="I114">
        <f>COUNTIF(PROJECT!W2:W100,"*Public Administration - Water, Sanitation and Flood Protection*")</f>
        <v>0</v>
      </c>
      <c s="7" r="J114"/>
      <c s="7" r="K114"/>
      <c s="7" r="L114"/>
      <c s="7" r="M114"/>
      <c s="7" r="N114"/>
      <c s="7" r="O114"/>
      <c s="7" r="P114"/>
      <c s="7" r="Q114"/>
      <c s="7" r="R114"/>
      <c s="7" r="S114"/>
      <c s="7" r="T114"/>
    </row>
    <row r="115">
      <c t="s" s="7" r="B115">
        <v>142</v>
      </c>
      <c t="s" s="63" r="C115">
        <v>2036</v>
      </c>
      <c s="7" r="D115">
        <v>0</v>
      </c>
      <c s="7" r="E115">
        <v>1</v>
      </c>
      <c t="s" s="7" r="F115">
        <v>1826</v>
      </c>
      <c s="7" r="G115">
        <f>COUNTIF(EXPERTISE!D4:D50,"*Sub-national Governance*")</f>
        <v>0</v>
      </c>
      <c s="7" r="H115"/>
      <c s="63" r="I115">
        <f>COUNTIF(PROJECT!W2:W100,"*Sub-national Governance*")</f>
        <v>0</v>
      </c>
      <c s="7" r="J115"/>
      <c s="7" r="K115"/>
      <c s="7" r="L115"/>
      <c s="7" r="M115"/>
      <c s="7" r="N115"/>
      <c s="7" r="O115"/>
      <c s="7" r="P115"/>
      <c s="7" r="Q115"/>
      <c s="7" r="R115"/>
      <c s="7" r="S115"/>
      <c s="7" r="T115"/>
    </row>
    <row r="116">
      <c t="s" s="7" r="B116">
        <v>142</v>
      </c>
      <c t="s" s="7" r="C116">
        <v>2037</v>
      </c>
      <c s="7" r="D116">
        <v>0</v>
      </c>
      <c s="7" r="E116">
        <v>1</v>
      </c>
      <c t="s" s="7" r="F116">
        <v>1826</v>
      </c>
      <c s="7" r="G116">
        <f>COUNTIF(EXPERTISE!D4:D50,"*Support to NGOs*")</f>
        <v>0</v>
      </c>
      <c s="7" r="H116"/>
      <c s="7" r="I116">
        <f>COUNTIF(PROJECT!W2:W100,"*Support to NGOs*")</f>
        <v>0</v>
      </c>
      <c s="7" r="J116"/>
      <c s="7" r="K116"/>
      <c s="7" r="L116"/>
      <c s="7" r="M116"/>
      <c s="7" r="N116"/>
      <c s="7" r="O116"/>
      <c s="7" r="P116"/>
      <c s="7" r="Q116"/>
      <c s="7" r="R116"/>
      <c s="7" r="S116"/>
      <c s="7" r="T116"/>
    </row>
    <row r="117">
      <c t="s" s="7" r="B117">
        <v>158</v>
      </c>
      <c t="s" s="7" r="C117">
        <v>159</v>
      </c>
      <c s="7" r="D117">
        <v>1</v>
      </c>
      <c s="7" r="E117">
        <v>1</v>
      </c>
      <c s="7" r="F117">
        <f>COUNTIF(EXPERTISE!C4:C50,"*Telecoms, Media &amp; Information Technology*")</f>
        <v>1</v>
      </c>
      <c s="7" r="G117">
        <f>COUNTIF(EXPERTISE!D4:D50,"*General Information and Communications Sector*")</f>
        <v>1</v>
      </c>
      <c s="7" r="H117">
        <f>COUNTIF(PROJECT!V2:V100,"*Telecoms, Media &amp; Information Technology*")</f>
        <v>0</v>
      </c>
      <c s="7" r="I117">
        <f>COUNTIF(PROJECT!W2:W100,"*General Information and Communications Sector*")</f>
        <v>0</v>
      </c>
      <c s="7" r="J117"/>
      <c s="7" r="K117"/>
      <c s="7" r="L117"/>
      <c s="7" r="M117"/>
      <c s="7" r="N117"/>
      <c s="7" r="O117"/>
      <c s="7" r="P117"/>
      <c s="7" r="Q117"/>
      <c s="7" r="R117"/>
      <c s="7" r="S117"/>
      <c s="7" r="T117"/>
    </row>
    <row r="118">
      <c t="s" s="7" r="B118">
        <v>158</v>
      </c>
      <c t="s" s="7" r="C118">
        <v>2038</v>
      </c>
      <c s="7" r="D118">
        <v>0</v>
      </c>
      <c s="7" r="E118">
        <v>1</v>
      </c>
      <c t="s" s="7" r="F118">
        <v>1826</v>
      </c>
      <c s="7" r="G118">
        <f>COUNTIF(EXPERTISE!D4:D50,"*Information Technology*")</f>
        <v>0</v>
      </c>
      <c s="7" r="H118"/>
      <c s="7" r="I118">
        <f>COUNTIF(PROJECT!W2:W100,"*Information Technology*")</f>
        <v>0</v>
      </c>
      <c s="7" r="J118"/>
      <c s="7" r="K118"/>
      <c s="7" r="L118"/>
      <c s="7" r="M118"/>
      <c s="7" r="N118"/>
      <c s="7" r="O118"/>
      <c s="7" r="P118"/>
      <c s="7" r="Q118"/>
      <c s="7" r="R118"/>
      <c s="7" r="S118"/>
      <c s="7" r="T118"/>
    </row>
    <row r="119">
      <c t="s" s="7" r="B119">
        <v>158</v>
      </c>
      <c t="s" s="63" r="C119">
        <v>2039</v>
      </c>
      <c s="7" r="D119">
        <v>0</v>
      </c>
      <c s="7" r="E119">
        <v>1</v>
      </c>
      <c t="s" s="7" r="F119">
        <v>1826</v>
      </c>
      <c s="63" r="G119">
        <f>COUNTIF(EXPERTISE!D4:D50,"*Media &amp; Broadcast Information*")</f>
        <v>0</v>
      </c>
      <c s="7" r="H119"/>
      <c s="63" r="I119">
        <f>COUNTIF(PROJECT!W2:W100,"*Media &amp; Broadcast Information*")</f>
        <v>0</v>
      </c>
      <c s="7" r="J119"/>
      <c s="7" r="K119"/>
      <c s="7" r="L119"/>
      <c s="7" r="M119"/>
      <c s="7" r="N119"/>
      <c s="7" r="O119"/>
      <c s="7" r="P119"/>
      <c s="7" r="Q119"/>
      <c s="7" r="R119"/>
      <c s="7" r="S119"/>
      <c s="7" r="T119"/>
    </row>
    <row r="120">
      <c t="s" s="7" r="B120">
        <v>158</v>
      </c>
      <c t="s" s="7" r="C120">
        <v>2040</v>
      </c>
      <c s="7" r="D120">
        <v>0</v>
      </c>
      <c s="7" r="E120">
        <v>1</v>
      </c>
      <c t="s" s="7" r="F120">
        <v>1826</v>
      </c>
      <c s="7" r="G120">
        <f>COUNTIF(EXPERTISE!D4:D50,"*Postal Services*")</f>
        <v>0</v>
      </c>
      <c s="7" r="H120"/>
      <c s="7" r="I120">
        <f>COUNTIF(PROJECT!W2:W100,"*Postal Services*")</f>
        <v>0</v>
      </c>
      <c s="7" r="J120"/>
      <c s="7" r="K120"/>
      <c s="7" r="L120"/>
      <c s="7" r="M120"/>
      <c s="7" r="N120"/>
      <c s="7" r="O120"/>
      <c s="7" r="P120"/>
      <c s="7" r="Q120"/>
      <c s="7" r="R120"/>
      <c s="7" r="S120"/>
      <c s="7" r="T120"/>
    </row>
    <row r="121">
      <c t="s" s="7" r="B121">
        <v>158</v>
      </c>
      <c t="s" s="7" r="C121">
        <v>2041</v>
      </c>
      <c s="7" r="D121">
        <v>0</v>
      </c>
      <c s="7" r="E121">
        <v>1</v>
      </c>
      <c t="s" s="7" r="F121">
        <v>1826</v>
      </c>
      <c s="7" r="G121">
        <f>COUNTIF(EXPERTISE!D4:D50,"*Telecommunications*")</f>
        <v>0</v>
      </c>
      <c s="7" r="H121"/>
      <c s="7" r="I121">
        <f>COUNTIF(PROJECT!W2:W100,"*Telecommunications*")</f>
        <v>0</v>
      </c>
      <c s="7" r="J121"/>
      <c s="7" r="K121"/>
      <c s="7" r="L121"/>
      <c s="7" r="M121"/>
      <c s="7" r="N121"/>
      <c s="7" r="O121"/>
      <c s="7" r="P121"/>
      <c s="7" r="Q121"/>
      <c s="7" r="R121"/>
      <c s="7" r="S121"/>
      <c s="7" r="T121"/>
    </row>
    <row r="122">
      <c t="s" s="7" r="B122">
        <v>2042</v>
      </c>
      <c t="s" s="7" r="C122">
        <v>2043</v>
      </c>
      <c s="7" r="D122">
        <v>1</v>
      </c>
      <c s="7" r="E122">
        <v>1</v>
      </c>
      <c s="7" r="F122">
        <f>COUNTIF(EXPERTISE!C4:C50,"*Transport and Communication*")</f>
        <v>0</v>
      </c>
      <c s="7" r="G122">
        <f>COUNTIF(EXPERTISE!D4:D50,"*Aviation*")</f>
        <v>0</v>
      </c>
      <c s="7" r="H122">
        <f>COUNTIF(PROJECT!V2:V100,"*Transport and Communication*")</f>
        <v>0</v>
      </c>
      <c s="7" r="I122">
        <f>COUNTIF(PROJECT!W2:W100,"*Aviation*")</f>
        <v>0</v>
      </c>
      <c s="7" r="J122"/>
      <c s="7" r="K122"/>
      <c s="7" r="L122"/>
      <c s="7" r="M122"/>
      <c s="7" r="N122"/>
      <c s="7" r="O122"/>
      <c s="7" r="P122"/>
      <c s="7" r="Q122"/>
      <c s="7" r="R122"/>
      <c s="7" r="S122"/>
      <c s="7" r="T122"/>
    </row>
    <row r="123">
      <c t="s" s="7" r="B123">
        <v>2042</v>
      </c>
      <c t="s" s="7" r="C123">
        <v>2044</v>
      </c>
      <c s="7" r="D123">
        <v>0</v>
      </c>
      <c s="7" r="E123">
        <v>1</v>
      </c>
      <c t="s" s="7" r="F123">
        <v>1826</v>
      </c>
      <c s="7" r="G123">
        <f>COUNTIF(EXPERTISE!D4:D50,"*General Transportation Sector*")</f>
        <v>0</v>
      </c>
      <c s="7" r="H123"/>
      <c s="7" r="I123">
        <f>COUNTIF(PROJECT!W2:W100,"*General Transportation Sector*")</f>
        <v>0</v>
      </c>
      <c s="7" r="J123"/>
      <c s="7" r="K123"/>
      <c s="7" r="L123"/>
      <c s="7" r="M123"/>
      <c s="7" r="N123"/>
      <c s="7" r="O123"/>
      <c s="7" r="P123"/>
      <c s="7" r="Q123"/>
      <c s="7" r="R123"/>
      <c s="7" r="S123"/>
      <c s="7" r="T123"/>
    </row>
    <row r="124">
      <c t="s" s="7" r="B124">
        <v>2042</v>
      </c>
      <c t="s" s="7" r="C124">
        <v>2045</v>
      </c>
      <c s="7" r="D124">
        <v>0</v>
      </c>
      <c s="7" r="E124">
        <v>1</v>
      </c>
      <c t="s" s="7" r="F124">
        <v>1826</v>
      </c>
      <c s="7" r="G124">
        <f>COUNTIF(EXPERTISE!D4:D50,"*Multimodal Transport and Sector Development*")</f>
        <v>0</v>
      </c>
      <c s="7" r="H124"/>
      <c s="7" r="I124">
        <f>COUNTIF(PROJECT!W2:W100,"*Multimodal Transport and Sector Development*")</f>
        <v>0</v>
      </c>
      <c s="7" r="J124"/>
      <c s="7" r="K124"/>
      <c s="7" r="L124"/>
      <c s="7" r="M124"/>
      <c s="7" r="N124"/>
      <c s="7" r="O124"/>
      <c s="7" r="P124"/>
      <c s="7" r="Q124"/>
      <c s="7" r="R124"/>
      <c s="7" r="S124"/>
      <c s="7" r="T124"/>
    </row>
    <row r="125">
      <c t="s" s="7" r="B125">
        <v>2042</v>
      </c>
      <c t="s" s="7" r="C125">
        <v>2046</v>
      </c>
      <c s="7" r="D125">
        <v>0</v>
      </c>
      <c s="7" r="E125">
        <v>1</v>
      </c>
      <c t="s" s="7" r="F125">
        <v>1826</v>
      </c>
      <c s="7" r="G125">
        <f>COUNTIF(EXPERTISE!D4:D50,"*Ports, Waterways and Shipping*")</f>
        <v>0</v>
      </c>
      <c s="7" r="H125"/>
      <c s="7" r="I125">
        <f>COUNTIF(PROJECT!W2:W100,"*Ports, Waterways and Shipping*")</f>
        <v>0</v>
      </c>
      <c s="7" r="J125"/>
      <c s="7" r="K125"/>
      <c s="7" r="L125"/>
      <c s="7" r="M125"/>
      <c s="7" r="N125"/>
      <c s="7" r="O125"/>
      <c s="7" r="P125"/>
      <c s="7" r="Q125"/>
      <c s="7" r="R125"/>
      <c s="7" r="S125"/>
      <c s="7" r="T125"/>
    </row>
    <row r="126">
      <c t="s" s="7" r="B126">
        <v>2042</v>
      </c>
      <c t="s" s="7" r="C126">
        <v>2047</v>
      </c>
      <c s="7" r="D126">
        <v>0</v>
      </c>
      <c s="7" r="E126">
        <v>1</v>
      </c>
      <c t="s" s="7" r="F126">
        <v>1826</v>
      </c>
      <c s="7" r="G126">
        <f>COUNTIF(EXPERTISE!D4:D50,"*Railways*")</f>
        <v>0</v>
      </c>
      <c s="7" r="H126"/>
      <c s="7" r="I126">
        <f>COUNTIF(PROJECT!W2:W100,"*Railways*")</f>
        <v>0</v>
      </c>
      <c s="7" r="J126"/>
      <c s="7" r="K126"/>
      <c s="7" r="L126"/>
      <c s="7" r="M126"/>
      <c s="7" r="N126"/>
      <c s="7" r="O126"/>
      <c s="7" r="P126"/>
      <c s="7" r="Q126"/>
      <c s="7" r="R126"/>
      <c s="7" r="S126"/>
      <c s="7" r="T126"/>
    </row>
    <row r="127">
      <c t="s" s="7" r="B127">
        <v>2042</v>
      </c>
      <c t="s" s="7" r="C127">
        <v>2048</v>
      </c>
      <c s="7" r="D127">
        <v>0</v>
      </c>
      <c s="7" r="E127">
        <v>1</v>
      </c>
      <c t="s" s="7" r="F127">
        <v>1826</v>
      </c>
      <c s="63" r="G127">
        <f>COUNTIF(EXPERTISE!D4:D50,"*Roads and Highways*")</f>
        <v>0</v>
      </c>
      <c s="7" r="H127"/>
      <c s="63" r="I127">
        <f>COUNTIF(PROJECT!W2:W100,"*Roads and Highways*")</f>
        <v>0</v>
      </c>
      <c s="7" r="J127"/>
      <c s="7" r="K127"/>
      <c s="7" r="L127"/>
      <c s="7" r="M127"/>
      <c s="7" r="N127"/>
      <c s="7" r="O127"/>
      <c s="7" r="P127"/>
      <c s="7" r="Q127"/>
      <c s="7" r="R127"/>
      <c s="7" r="S127"/>
      <c s="7" r="T127"/>
    </row>
    <row r="128">
      <c t="s" s="7" r="B128">
        <v>2042</v>
      </c>
      <c t="s" s="63" r="C128">
        <v>2049</v>
      </c>
      <c s="7" r="D128">
        <v>0</v>
      </c>
      <c s="7" r="E128">
        <v>1</v>
      </c>
      <c t="s" s="7" r="F128">
        <v>1826</v>
      </c>
      <c s="7" r="G128">
        <f>COUNTIF(EXPERTISE!D4:D50,"*Rural and Inter-Urban Transportation Infrastructure*")</f>
        <v>0</v>
      </c>
      <c s="7" r="H128"/>
      <c s="63" r="I128">
        <f>COUNTIF(PROJECT!W2:W100,"*Rural and Inter-Urban Transportation Infrastructure*")</f>
        <v>0</v>
      </c>
      <c s="7" r="J128"/>
      <c s="7" r="K128"/>
      <c s="7" r="L128"/>
      <c s="7" r="M128"/>
      <c s="7" r="N128"/>
      <c s="7" r="O128"/>
      <c s="7" r="P128"/>
      <c s="7" r="Q128"/>
      <c s="7" r="R128"/>
      <c s="7" r="S128"/>
      <c s="7" r="T128"/>
    </row>
    <row r="129">
      <c t="s" s="7" r="B129">
        <v>2042</v>
      </c>
      <c t="s" s="7" r="C129">
        <v>2050</v>
      </c>
      <c s="7" r="D129">
        <v>0</v>
      </c>
      <c s="7" r="E129">
        <v>1</v>
      </c>
      <c t="s" s="7" r="F129">
        <v>1826</v>
      </c>
      <c s="7" r="G129">
        <f>COUNTIF(EXPERTISE!D4:D50,"*Transport and Storage*")</f>
        <v>0</v>
      </c>
      <c s="7" r="H129"/>
      <c s="7" r="I129">
        <f>COUNTIF(PROJECT!W2:W100,"*Transport and Storage*")</f>
        <v>0</v>
      </c>
      <c s="7" r="J129"/>
      <c s="7" r="K129"/>
      <c s="7" r="L129"/>
      <c s="7" r="M129"/>
      <c s="7" r="N129"/>
      <c s="7" r="O129"/>
      <c s="7" r="P129"/>
      <c s="7" r="Q129"/>
      <c s="7" r="R129"/>
      <c s="7" r="S129"/>
      <c s="7" r="T129"/>
    </row>
    <row r="130">
      <c t="s" s="7" r="B130">
        <v>2042</v>
      </c>
      <c t="s" s="63" r="C130">
        <v>2051</v>
      </c>
      <c s="7" r="D130">
        <v>0</v>
      </c>
      <c s="7" r="E130">
        <v>1</v>
      </c>
      <c t="s" s="7" r="F130">
        <v>1826</v>
      </c>
      <c s="63" r="G130">
        <f>COUNTIF(EXPERTISE!D4:D50,"*Urban Transport*")</f>
        <v>0</v>
      </c>
      <c s="7" r="H130"/>
      <c s="63" r="I130">
        <f>COUNTIF(PROJECT!W2:W100,"*Urban Transport*")</f>
        <v>0</v>
      </c>
      <c s="7" r="J130"/>
      <c s="7" r="K130"/>
      <c s="7" r="L130"/>
      <c s="7" r="M130"/>
      <c s="7" r="N130"/>
      <c s="7" r="O130"/>
      <c s="7" r="P130"/>
      <c s="7" r="Q130"/>
      <c s="7" r="R130"/>
      <c s="7" r="S130"/>
      <c s="7" r="T130"/>
    </row>
    <row r="131">
      <c t="s" s="63" r="B131">
        <v>2042</v>
      </c>
      <c t="s" s="63" r="C131">
        <v>2052</v>
      </c>
      <c s="7" r="D131">
        <v>0</v>
      </c>
      <c s="7" r="E131">
        <v>1</v>
      </c>
      <c t="s" s="7" r="F131">
        <v>1826</v>
      </c>
      <c s="63" r="G131">
        <f>COUNTIF(EXPERTISE!D4:D50,"*Public Transit Services*")</f>
        <v>0</v>
      </c>
      <c s="7" r="H131"/>
      <c s="63" r="I131">
        <f>COUNTIF(PROJECT!W2:W100,"*Public Transit Services*")</f>
        <v>0</v>
      </c>
      <c s="7" r="J131"/>
      <c s="7" r="K131"/>
      <c s="7" r="L131"/>
      <c s="7" r="M131"/>
      <c s="7" r="N131"/>
      <c s="7" r="O131"/>
      <c s="7" r="P131"/>
      <c s="7" r="Q131"/>
      <c s="7" r="R131"/>
      <c s="7" r="S131"/>
      <c s="7" r="T131"/>
    </row>
    <row r="132">
      <c t="s" s="7" r="B132">
        <v>162</v>
      </c>
      <c t="s" s="63" r="C132">
        <v>2053</v>
      </c>
      <c s="7" r="D132">
        <v>1</v>
      </c>
      <c s="7" r="E132">
        <v>1</v>
      </c>
      <c s="7" r="F132">
        <f>COUNTIF(EXPERTISE!C4:C50,"*Water Supply, Sanitation, and Waste Management*")</f>
        <v>1</v>
      </c>
      <c s="63" r="G132">
        <f>COUNTIF(EXPERTISE!D4:D50,"*Flood Protection -general*")</f>
        <v>0</v>
      </c>
      <c s="7" r="H132">
        <f>COUNTIF(PROJECT!V2:V100,"*Water Supply, Sanitation, and Waste Management*")</f>
        <v>2</v>
      </c>
      <c s="63" r="I132">
        <f>COUNTIF(PROJECT!W2:W100,"*Flood Protection -general*")</f>
        <v>0</v>
      </c>
      <c s="7" r="J132"/>
      <c s="7" r="K132"/>
      <c s="7" r="L132"/>
      <c s="7" r="M132"/>
      <c s="7" r="N132"/>
      <c s="7" r="O132"/>
      <c s="7" r="P132"/>
      <c s="7" r="Q132"/>
      <c s="7" r="R132"/>
      <c s="7" r="S132"/>
      <c s="7" r="T132"/>
    </row>
    <row r="133">
      <c t="s" s="7" r="B133">
        <v>162</v>
      </c>
      <c t="s" s="63" r="C133">
        <v>163</v>
      </c>
      <c s="7" r="D133">
        <v>0</v>
      </c>
      <c s="7" r="E133">
        <v>1</v>
      </c>
      <c t="s" s="7" r="F133">
        <v>1826</v>
      </c>
      <c s="7" r="G133">
        <f>COUNTIF(EXPERTISE!D4:D50,"*Integrated Water, Sanitation and Flood Management*")</f>
        <v>1</v>
      </c>
      <c s="7" r="H133"/>
      <c s="63" r="I133">
        <f>COUNTIF(PROJECT!W2:W100,"*Integrated Water, Sanitation and Flood Management*")</f>
        <v>0</v>
      </c>
      <c s="7" r="J133"/>
      <c s="7" r="K133"/>
      <c s="7" r="L133"/>
      <c s="7" r="M133"/>
      <c s="7" r="N133"/>
      <c s="7" r="O133"/>
      <c s="7" r="P133"/>
      <c s="7" r="Q133"/>
      <c s="7" r="R133"/>
      <c s="7" r="S133"/>
      <c s="7" r="T133"/>
    </row>
    <row r="134">
      <c t="s" s="7" r="B134">
        <v>162</v>
      </c>
      <c t="s" s="63" r="C134">
        <v>2054</v>
      </c>
      <c s="7" r="D134">
        <v>0</v>
      </c>
      <c s="7" r="E134">
        <v>1</v>
      </c>
      <c t="s" s="7" r="F134">
        <v>1826</v>
      </c>
      <c s="7" r="G134">
        <f>COUNTIF(EXPERTISE!D4:D50,"*Water Management -Integrated*")</f>
        <v>0</v>
      </c>
      <c s="7" r="H134"/>
      <c s="63" r="I134">
        <f>COUNTIF(PROJECT!W2:W100,"*Water Management -Integrated*")</f>
        <v>0</v>
      </c>
      <c s="7" r="J134"/>
      <c s="7" r="K134"/>
      <c s="7" r="L134"/>
      <c s="7" r="M134"/>
      <c s="7" r="N134"/>
      <c s="7" r="O134"/>
      <c s="7" r="P134"/>
      <c s="7" r="Q134"/>
      <c s="7" r="R134"/>
      <c s="7" r="S134"/>
      <c s="7" r="T134"/>
    </row>
    <row r="135">
      <c t="s" s="7" r="B135">
        <v>162</v>
      </c>
      <c t="s" s="63" r="C135">
        <v>2055</v>
      </c>
      <c s="7" r="D135">
        <v>0</v>
      </c>
      <c s="7" r="E135">
        <v>1</v>
      </c>
      <c t="s" s="7" r="F135">
        <v>1826</v>
      </c>
      <c s="63" r="G135">
        <f>COUNTIF(EXPERTISE!D4:D50,"*Sanitation -general*")</f>
        <v>0</v>
      </c>
      <c s="7" r="H135"/>
      <c s="63" r="I135">
        <f>COUNTIF(PROJECT!W2:W100,"*Sanitation -general*")</f>
        <v>0</v>
      </c>
      <c s="7" r="J135"/>
      <c s="7" r="K135"/>
      <c s="7" r="L135"/>
      <c s="7" r="M135"/>
      <c s="7" r="N135"/>
      <c s="7" r="O135"/>
      <c s="7" r="P135"/>
      <c s="7" r="Q135"/>
      <c s="7" r="R135"/>
      <c s="7" r="S135"/>
      <c s="7" r="T135"/>
    </row>
    <row r="136">
      <c t="s" s="7" r="B136">
        <v>162</v>
      </c>
      <c t="s" s="7" r="C136">
        <v>2056</v>
      </c>
      <c s="7" r="D136">
        <v>0</v>
      </c>
      <c s="7" r="E136">
        <v>1</v>
      </c>
      <c t="s" s="7" r="F136">
        <v>1826</v>
      </c>
      <c s="7" r="G136">
        <f>COUNTIF(EXPERTISE!D4:D50,"*Solid Waste Management*")</f>
        <v>0</v>
      </c>
      <c s="7" r="H136"/>
      <c s="7" r="I136">
        <f>COUNTIF(PROJECT!W2:W100,"*Solid Waste Management*")</f>
        <v>0</v>
      </c>
      <c s="7" r="J136"/>
      <c s="7" r="K136"/>
      <c s="7" r="L136"/>
      <c s="7" r="M136"/>
      <c s="7" r="N136"/>
      <c s="7" r="O136"/>
      <c s="7" r="P136"/>
      <c s="7" r="Q136"/>
      <c s="7" r="R136"/>
      <c s="7" r="S136"/>
      <c s="7" r="T136"/>
    </row>
    <row r="137">
      <c t="s" s="7" r="B137">
        <v>162</v>
      </c>
      <c t="s" s="7" r="C137">
        <v>2057</v>
      </c>
      <c s="7" r="D137">
        <v>0</v>
      </c>
      <c s="7" r="E137">
        <v>1</v>
      </c>
      <c t="s" s="7" r="F137">
        <v>1826</v>
      </c>
      <c s="7" r="G137">
        <f>COUNTIF(EXPERTISE!D4:D50,"*Wastewater Collection and Transportation*")</f>
        <v>0</v>
      </c>
      <c s="7" r="H137"/>
      <c s="7" r="I137">
        <f>COUNTIF(PROJECT!W2:W100,"*Wastewater Collection and Transportation*")</f>
        <v>0</v>
      </c>
      <c s="7" r="J137"/>
      <c s="7" r="K137"/>
      <c s="7" r="L137"/>
      <c s="7" r="M137"/>
      <c s="7" r="N137"/>
      <c s="7" r="O137"/>
      <c s="7" r="P137"/>
      <c s="7" r="Q137"/>
      <c s="7" r="R137"/>
      <c s="7" r="S137"/>
      <c s="7" r="T137"/>
    </row>
    <row r="138">
      <c t="s" s="7" r="B138">
        <v>162</v>
      </c>
      <c t="s" s="7" r="C138">
        <v>2058</v>
      </c>
      <c s="7" r="D138">
        <v>0</v>
      </c>
      <c s="7" r="E138">
        <v>1</v>
      </c>
      <c t="s" s="7" r="F138">
        <v>1826</v>
      </c>
      <c s="7" r="G138">
        <f>COUNTIF(EXPERTISE!D4:D50,"*Wastewater Treatment and Disposal*")</f>
        <v>0</v>
      </c>
      <c s="7" r="H138"/>
      <c s="7" r="I138">
        <f>COUNTIF(PROJECT!W2:W100,"*Wastewater Treatment and Disposal*")</f>
        <v>0</v>
      </c>
      <c s="7" r="J138"/>
      <c s="7" r="K138"/>
      <c s="7" r="L138"/>
      <c s="7" r="M138"/>
      <c s="7" r="N138"/>
      <c s="7" r="O138"/>
      <c s="7" r="P138"/>
      <c s="7" r="Q138"/>
      <c s="7" r="R138"/>
      <c s="7" r="S138"/>
      <c s="7" r="T138"/>
    </row>
    <row r="139">
      <c t="s" s="7" r="B139">
        <v>162</v>
      </c>
      <c t="s" s="7" r="C139">
        <v>2059</v>
      </c>
      <c s="7" r="D139">
        <v>0</v>
      </c>
      <c s="7" r="E139">
        <v>1</v>
      </c>
      <c t="s" s="7" r="F139">
        <v>1826</v>
      </c>
      <c s="7" r="G139">
        <f>COUNTIF(EXPERTISE!D4:D50,"*Water Supply*")</f>
        <v>0</v>
      </c>
      <c s="7" r="H139"/>
      <c s="7" r="I139">
        <f>COUNTIF(PROJECT!W2:W100,"*Water Supply*")</f>
        <v>0</v>
      </c>
      <c s="7" r="J139"/>
      <c s="7" r="K139"/>
      <c s="7" r="L139"/>
      <c s="7" r="M139"/>
      <c s="7" r="N139"/>
      <c s="7" r="O139"/>
      <c s="7" r="P139"/>
      <c s="7" r="Q139"/>
      <c s="7" r="R139"/>
      <c s="7" r="S139"/>
      <c s="7" r="T139"/>
    </row>
    <row r="140">
      <c s="7" r="B140"/>
      <c s="7" r="C140"/>
      <c s="7" r="D140"/>
      <c s="7" r="E140"/>
      <c s="7" r="F140"/>
      <c s="7" r="G140"/>
      <c s="7" r="H140"/>
      <c s="7" r="I140"/>
      <c s="7" r="J140"/>
      <c s="7" r="K140"/>
      <c s="7" r="L140"/>
      <c s="7" r="M140"/>
      <c s="7" r="N140"/>
      <c s="7" r="O140"/>
      <c s="7" r="P140"/>
      <c s="7" r="Q140"/>
      <c s="7" r="R140"/>
      <c s="7" r="S140"/>
      <c s="7" r="T140"/>
    </row>
    <row r="141">
      <c s="7" r="B141"/>
      <c s="7" r="C141"/>
      <c s="7" r="D141"/>
      <c s="7" r="E141"/>
      <c s="7" r="F141"/>
      <c s="7" r="G141"/>
      <c s="7" r="H141"/>
      <c s="7" r="I141"/>
      <c s="7" r="J141"/>
      <c s="7" r="K141"/>
      <c s="7" r="L141"/>
      <c s="7" r="M141"/>
      <c s="7" r="N141"/>
      <c s="7" r="O141"/>
      <c s="7" r="P141"/>
      <c s="7" r="Q141"/>
      <c s="7" r="R141"/>
      <c s="7" r="S141"/>
      <c s="7" r="T141"/>
    </row>
  </sheetData>
</worksheet>
</file>