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0.xml" ContentType="application/vnd.openxmlformats-officedocument.spreadsheetml.worksheet+xml"/>
  <Override PartName="/xl/worksheets/sheet5.xml" ContentType="application/vnd.openxmlformats-officedocument.spreadsheetml.worksheet+xml"/>
  <Override PartName="/xl/worksheets/sheet7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12.xml" ContentType="application/vnd.openxmlformats-officedocument.spreadsheetml.worksheet+xml"/>
  <Override PartName="/xl/worksheets/sheet6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4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BIODATA" state="visible" r:id="rId3"/>
    <sheet sheetId="2" name="EDU _ TRAINING" state="visible" r:id="rId4"/>
    <sheet sheetId="3" name="EXPERTISE" state="visible" r:id="rId5"/>
    <sheet sheetId="4" name="EMPLOYMENT" state="visible" r:id="rId6"/>
    <sheet sheetId="5" name="PROJECT" state="visible" r:id="rId7"/>
    <sheet sheetId="6" name="PUBLICATIONS" state="visible" r:id="rId8"/>
    <sheet sheetId="7" name=".country-calc, CCCS" state="visible" r:id="rId9"/>
    <sheet sheetId="8" name=".theme-calc, CCCS" state="visible" r:id="rId10"/>
    <sheet sheetId="9" name=".sector-calc, CCCS" state="visible" r:id="rId11"/>
    <sheet sheetId="10" name=".theme-calc, IFC" state="visible" r:id="rId12"/>
    <sheet sheetId="11" name=".sector-calc, IFC" state="visible" r:id="rId13"/>
    <sheet sheetId="12" name="Z" state="visible" r:id="rId14"/>
  </sheets>
  <definedNames/>
  <calcPr/>
</workbook>
</file>

<file path=xl/sharedStrings.xml><?xml version="1.0" encoding="utf-8"?>
<sst xmlns="http://schemas.openxmlformats.org/spreadsheetml/2006/main" count="2924" uniqueCount="1819">
  <si>
    <t>Given First Name</t>
  </si>
  <si>
    <t>Reza</t>
  </si>
  <si>
    <t>Given Middle Name</t>
  </si>
  <si>
    <t>Surname</t>
  </si>
  <si>
    <t>Hasmath</t>
  </si>
  <si>
    <t>Alternate Names Used</t>
  </si>
  <si>
    <t>Mailing Address</t>
  </si>
  <si>
    <t>103-3559 Eglinton Avenue West</t>
  </si>
  <si>
    <t>City</t>
  </si>
  <si>
    <t>Toronto</t>
  </si>
  <si>
    <t>State/Province</t>
  </si>
  <si>
    <t>ON</t>
  </si>
  <si>
    <t>ZIP/Postal Code</t>
  </si>
  <si>
    <t>M6M 5C6</t>
  </si>
  <si>
    <t>Canada</t>
  </si>
  <si>
    <t>Telephone</t>
  </si>
  <si>
    <t>(416) 769-0103</t>
  </si>
  <si>
    <t>Fax</t>
  </si>
  <si>
    <t>Email</t>
  </si>
  <si>
    <t>rhasmath@gmail.com</t>
  </si>
  <si>
    <t>Citizenship</t>
  </si>
  <si>
    <t>Trinidad and Tobago</t>
  </si>
  <si>
    <t>Country of Birth</t>
  </si>
  <si>
    <t>Date of Birth (mm/dd/yyyy)</t>
  </si>
  <si>
    <t>Sex</t>
  </si>
  <si>
    <t>male</t>
  </si>
  <si>
    <t>Marital Status</t>
  </si>
  <si>
    <t>Education (School)</t>
  </si>
  <si>
    <t>Other Training</t>
  </si>
  <si>
    <t>Membership in Professional Organizations</t>
  </si>
  <si>
    <t>Languages</t>
  </si>
  <si>
    <t>Institution / Location</t>
  </si>
  <si>
    <t>Years</t>
  </si>
  <si>
    <t>Degree</t>
  </si>
  <si>
    <t>Major(s)</t>
  </si>
  <si>
    <t>Minors</t>
  </si>
  <si>
    <t>Institution</t>
  </si>
  <si>
    <t>Year(s)</t>
  </si>
  <si>
    <t>Topic</t>
  </si>
  <si>
    <t>Group</t>
  </si>
  <si>
    <t>Year</t>
  </si>
  <si>
    <t>Role</t>
  </si>
  <si>
    <t>Language/Dialect</t>
  </si>
  <si>
    <t>Reading</t>
  </si>
  <si>
    <t>Speaking</t>
  </si>
  <si>
    <t>Writing</t>
  </si>
  <si>
    <t>University of Cambridge, Cambridge, UK</t>
  </si>
  <si>
    <t>Doctor of Philosophy</t>
  </si>
  <si>
    <t>Social and Political Sciences</t>
  </si>
  <si>
    <t>University of Cambridge</t>
  </si>
  <si>
    <t>Research Methods Training Certificate</t>
  </si>
  <si>
    <t>Association for Asian Studies</t>
  </si>
  <si>
    <t>member</t>
  </si>
  <si>
    <t>English</t>
  </si>
  <si>
    <t>School of Oriental and African Studies, University of London, London, UK</t>
  </si>
  <si>
    <t>Master of Arts</t>
  </si>
  <si>
    <t>International Studies and Diplomacy</t>
  </si>
  <si>
    <t>University of London</t>
  </si>
  <si>
    <t>Media Handling Training</t>
  </si>
  <si>
    <t>American Sociological Association</t>
  </si>
  <si>
    <t>Spanish</t>
  </si>
  <si>
    <t>University of New South Wales, Sydney, Australia</t>
  </si>
  <si>
    <t>Master of Policy Studies</t>
  </si>
  <si>
    <t>International Social &amp; Economic Development Policy</t>
  </si>
  <si>
    <t>Australian Red Cross</t>
  </si>
  <si>
    <t>Senior First Aid Certificate,</t>
  </si>
  <si>
    <t>International Sociological Association</t>
  </si>
  <si>
    <t>Chinese (Putonghua)</t>
  </si>
  <si>
    <t>Queen’s University, Kingston, Canada</t>
  </si>
  <si>
    <t>Bachelor of Arts (Honours)</t>
  </si>
  <si>
    <t>Philosophy</t>
  </si>
  <si>
    <t>Society for the Study of Social Problems</t>
  </si>
  <si>
    <t>member: Editorial Board</t>
  </si>
  <si>
    <t>French</t>
  </si>
  <si>
    <t>University of Cambridge Research Group on Religion, Ethnicity and Identity</t>
  </si>
  <si>
    <t>Japanese</t>
  </si>
  <si>
    <t>German</t>
  </si>
  <si>
    <t>Consultant-provided values:</t>
  </si>
  <si>
    <t>Country Experience</t>
  </si>
  <si>
    <t>Regional Experience</t>
  </si>
  <si>
    <t>Sector Experience - GENERAL</t>
  </si>
  <si>
    <t>Sub-Sector Experience - GENERAL</t>
  </si>
  <si>
    <t>Thematic Experience - GENERAL</t>
  </si>
  <si>
    <t>Sub-theme Topic- GENERAL</t>
  </si>
  <si>
    <t>Sector Experience - IFC</t>
  </si>
  <si>
    <t>Thematic Experience - IFC</t>
  </si>
  <si>
    <t>Sub-theme Topic- IFC</t>
  </si>
  <si>
    <t>Dates</t>
  </si>
  <si>
    <t>Employer</t>
  </si>
  <si>
    <t>Location</t>
  </si>
  <si>
    <t>Position</t>
  </si>
  <si>
    <t>Duties and Accomplishments</t>
  </si>
  <si>
    <t>Reference(s)</t>
  </si>
  <si>
    <t>2008–present</t>
  </si>
  <si>
    <t>University of Toronto</t>
  </si>
  <si>
    <t>Canada, Toronto</t>
  </si>
  <si>
    <t>Lecturer, Department of Sociology</t>
  </si>
  <si>
    <t>2010–present</t>
  </si>
  <si>
    <t>Lecturer, Department of Management</t>
  </si>
  <si>
    <t>2009–2010</t>
  </si>
  <si>
    <t>York University</t>
  </si>
  <si>
    <t>Lecturer, Department of Political Science</t>
  </si>
  <si>
    <t>Lecturer, Department of Geography</t>
  </si>
  <si>
    <t>UK, Cambridge</t>
  </si>
  <si>
    <t>Research Analyst</t>
  </si>
  <si>
    <t>• Compiled and Analyzed Data on the University’s Total Workforce
• Produced Research Report Examining the Current and Future Trends of University’s Workforce Profile</t>
  </si>
  <si>
    <t>2006–2007</t>
  </si>
  <si>
    <t>Action Aid International - China</t>
  </si>
  <si>
    <t>Peoples Republic of China, Beijing</t>
  </si>
  <si>
    <t>Consultant</t>
  </si>
  <si>
    <t>• Developed Long-Term Organization Strategy Scheme by Analyzing Past Success and Failure Patterns, and Gauging Future Trends in NGO Sector in China
• Cultivated and Managed Government and Business Partnerships (Financial and Logistical) for Future Projects</t>
  </si>
  <si>
    <t>Research Associate</t>
  </si>
  <si>
    <t>• Researched Corporate Social Responsibility, NGOs and Private Sector Relationships in China (Including In-depth Supply-Chain Analysis)
• Evaluated the Progress of the ‘Education For All’ Objectives at the Provincial Level
• Designed and Delivered Workshops and Seminars on Research and Policy Analysis Methods to Government Agencies and NGOs</t>
  </si>
  <si>
    <t>The Fraser Institute</t>
  </si>
  <si>
    <t>Toronto, Canada</t>
  </si>
  <si>
    <t>Junoir Policy Analyst</t>
  </si>
  <si>
    <t> </t>
  </si>
  <si>
    <t>2002–2003</t>
  </si>
  <si>
    <t>China Agricultural University</t>
  </si>
  <si>
    <t>Beijing, China</t>
  </si>
  <si>
    <t>Lecturer</t>
  </si>
  <si>
    <t>Canadian High Commission in Australia</t>
  </si>
  <si>
    <t>Canberra, Australia</t>
  </si>
  <si>
    <t>Policy Analyst</t>
  </si>
  <si>
    <t>• Evaluated the Effectiveness of Canada’s Public Affairs Model
• Redeveloped Strategic Initiatives to Promote Canada and its Tourism Interests in Australia</t>
  </si>
  <si>
    <t>Center for International Private Enterprise</t>
  </si>
  <si>
    <t>Washington D.C., USA</t>
  </si>
  <si>
    <t>• Analyzed Senate Foreign Relations Committee Testimonies and its Impact on Organization
• Constructed Scheme to Discern Success and Failure Patterns based on Close-Out Reports</t>
  </si>
  <si>
    <t>Date Range</t>
  </si>
  <si>
    <t>Assignment or Project Name</t>
  </si>
  <si>
    <t>Loan/TA/Grant No</t>
  </si>
  <si>
    <t>Main Project Features</t>
  </si>
  <si>
    <t>Country</t>
  </si>
  <si>
    <t>ISO 3166-1 alpha-3</t>
  </si>
  <si>
    <t>Region</t>
  </si>
  <si>
    <t>Locality</t>
  </si>
  <si>
    <t>Services On/Off-site</t>
  </si>
  <si>
    <t>Expertise</t>
  </si>
  <si>
    <t>Sponsor / End Client</t>
  </si>
  <si>
    <t>Contracted Through / Direct Client</t>
  </si>
  <si>
    <t>Beneficiary Client</t>
  </si>
  <si>
    <t>Contract No.</t>
  </si>
  <si>
    <t>Person-months</t>
  </si>
  <si>
    <t>Continuous/ Intermittant</t>
  </si>
  <si>
    <t>Activities Performed</t>
  </si>
  <si>
    <t>References</t>
  </si>
  <si>
    <t>Thematic Issues -GENERAL</t>
  </si>
  <si>
    <t>Sub-Themes -GENERAL</t>
  </si>
  <si>
    <t>Sector -GENERAL</t>
  </si>
  <si>
    <t>Sub-sector -GENERAL</t>
  </si>
  <si>
    <t>Thematic Issues -IFC</t>
  </si>
  <si>
    <t>Sub-Themes -IFC</t>
  </si>
  <si>
    <t>Sector -IFC</t>
  </si>
  <si>
    <t>Date</t>
  </si>
  <si>
    <t>Type</t>
  </si>
  <si>
    <t>Editors/Authors</t>
  </si>
  <si>
    <t>Title</t>
  </si>
  <si>
    <t>Distribution</t>
  </si>
  <si>
    <t>ID#</t>
  </si>
  <si>
    <t>Book (Refereed)</t>
  </si>
  <si>
    <t>Hasmath, R</t>
  </si>
  <si>
    <t>The Ethnic Penalty: Migration, Networks and Labour Markets</t>
  </si>
  <si>
    <t>Aldershot: Ashgate Publishing  </t>
  </si>
  <si>
    <t>[ISBN: 9781409402114]</t>
  </si>
  <si>
    <t>Hasmath, R. </t>
  </si>
  <si>
    <t>Managing Ethnic Diversity: Meanings and Practices from an International
Perspective</t>
  </si>
  <si>
    <t>Aldershot: Ashgate Publishing </t>
  </si>
  <si>
    <t>[ISBN: 9781409411215]</t>
  </si>
  <si>
    <t>A Comparative Study of Minority Development in China and Canada</t>
  </si>
  <si>
    <t>New York and Basingstoke: Palgrave Macmillan. </t>
  </si>
  <si>
    <t>[ISBN: 9780230100381]</t>
  </si>
  <si>
    <t>Hasmath, R and Hsu, J</t>
  </si>
  <si>
    <t>China in an Era of Transition: Understanding Contemporary State and Society Actors</t>
  </si>
  <si>
    <t>New York and Basingstoke: Palgrave Macmillan.
</t>
  </si>
  <si>
    <t>[ISBN: 9780230613508]</t>
  </si>
  <si>
    <t>Chapters in Book (Refereed)</t>
  </si>
  <si>
    <t>“Comparing Ethno-Development Outcomes in Toronto and Taipei”, in R. Hasmath (ed.) Managing Ethnic Diversity: Meanings and Practices from an International Perspective.</t>
  </si>
  <si>
    <t>Aldershot: Ashgate Publishing</t>
  </si>
  <si>
    <t>“The Identification, Settlement and Representation of Ethnic Minorities in Beijing”, in R. Hasmath (ed.) Managing Ethnic Diversity: Meanings and Practices from an International Perspective.</t>
  </si>
  <si>
    <t>“The Complexities of Ethnic Diversity”, in R. Hasmath (ed.) Managing Ethnic Diversity: Meanings and Practices from an International Perspective.</t>
  </si>
  <si>
    <t>Aldershot: Ashgate
Publishing</t>
  </si>
  <si>
    <t>“Shangri-la has Forsaken Us: China's Ethnic Minorities, Identity, and Government Repression”, in J. Adekunle and H. Williams (eds.) Color Struck: Essays on Race and Ethnicity in Global Perspective.</t>
  </si>
  <si>
    <t>Lanham, MD: University Press of America.</t>
  </si>
  <si>
    <t>“Dealing with Urban Ethnic Differences: A Comparative Analysis of Chinese and Canadian Strategies”, in H. Cao (ed.) Ethnic Minorities and Regional Development in Asia: Reality and Challenges.</t>
  </si>
  <si>
    <t>Amsterdam: Amsterdam University Press</t>
  </si>
  <si>
    <t>“Developing Minority Nationalities in Contemporary Urban China”, in R. Hasmath and J. Hsu (eds.) China in an Era of Transition: Understanding Contemporary State and Society Actors.</t>
  </si>
  <si>
    <t>New York and Basingstoke: Palgrave Macmillan</t>
  </si>
  <si>
    <t>Journal Articles (Refereed)</t>
  </si>
  <si>
    <t>“From Job Search to Hiring to Advancement: The Labour Market Experiences of
Ethnic Minorities in Beijing”</t>
  </si>
  <si>
    <t>International Labour Review 150(1)</t>
  </si>
  <si>
    <t>Hasmath, R. and Hsu, J.</t>
  </si>
  <si>
    <t>“NGOs in China: Issues of Good Governance and Accountability”</t>
  </si>
  <si>
    <t>Asia Pacific Journal of Public Administration 30(1): 1-11</t>
  </si>
  <si>
    <t>Hasmath, R.</t>
  </si>
  <si>
    <t>“The Big Payoff? Educational and Occupational Attainments of Ethnic
Minorities in Beijing”</t>
  </si>
  <si>
    <t>European Journal of Development Research 20(1): 104-116</t>
  </si>
  <si>
    <t>“Social Development in the Tibet Autonomous Region: A Contemporary and Historical Analysis”</t>
  </si>
  <si>
    <t>International Journal of Development Issues 6(2): 125-
141</t>
  </si>
  <si>
    <t>“The Paradox of Ethnic Minority Development in Beijing”</t>
  </si>
  <si>
    <t>Comparative Sociology 6(4): 464-480</t>
  </si>
  <si>
    <t>“Big Business, NGOs and Labour Standards in Developing Nations:
A Critical Reflection”</t>
  </si>
  <si>
    <t>Asian Journal of Social Policy 3(1): 1-16</t>
  </si>
  <si>
    <t>DEFUNCT</t>
  </si>
  <si>
    <t>DOESN'T EXIST [confirmed]</t>
  </si>
  <si>
    <t>potentially problematic
[TO RESOLVE]</t>
  </si>
  <si>
    <t>Contry Name - INFORMAL
[short name]</t>
  </si>
  <si>
    <t>ISO English country names [FORMAL]</t>
  </si>
  <si>
    <t>FIPS Cntry
[USA Federal Information Processing Standard]</t>
  </si>
  <si>
    <t>ISO numeric code</t>
  </si>
  <si>
    <t>ISO 3166-1 
(alpha-3)</t>
  </si>
  <si>
    <t>ISO 3166-2 
(alpha-2)</t>
  </si>
  <si>
    <t>Notes</t>
  </si>
  <si>
    <t>Associate project totals</t>
  </si>
  <si>
    <t>Afghanistan</t>
  </si>
  <si>
    <t>AF</t>
  </si>
  <si>
    <t>004</t>
  </si>
  <si>
    <t>AFG</t>
  </si>
  <si>
    <t>Åland Islands</t>
  </si>
  <si>
    <t>248</t>
  </si>
  <si>
    <t>ALA</t>
  </si>
  <si>
    <t>AX</t>
  </si>
  <si>
    <t>Albania</t>
  </si>
  <si>
    <t>AL</t>
  </si>
  <si>
    <t>008</t>
  </si>
  <si>
    <t>ALB</t>
  </si>
  <si>
    <t>Algeria</t>
  </si>
  <si>
    <t>AG</t>
  </si>
  <si>
    <t>012</t>
  </si>
  <si>
    <t>DZA</t>
  </si>
  <si>
    <t>DZ</t>
  </si>
  <si>
    <t>American Samoa</t>
  </si>
  <si>
    <t>AQ</t>
  </si>
  <si>
    <t>016</t>
  </si>
  <si>
    <t>ASM</t>
  </si>
  <si>
    <t>AS</t>
  </si>
  <si>
    <t>Andorra</t>
  </si>
  <si>
    <t> Andorra</t>
  </si>
  <si>
    <t>AN</t>
  </si>
  <si>
    <t>020</t>
  </si>
  <si>
    <t>AND</t>
  </si>
  <si>
    <t>AD</t>
  </si>
  <si>
    <t>Angola</t>
  </si>
  <si>
    <t>AO</t>
  </si>
  <si>
    <t>024</t>
  </si>
  <si>
    <t>AGO</t>
  </si>
  <si>
    <t>Anguilla</t>
  </si>
  <si>
    <t>AV</t>
  </si>
  <si>
    <t>660</t>
  </si>
  <si>
    <t>AIA</t>
  </si>
  <si>
    <t>AI</t>
  </si>
  <si>
    <t>Antarctica</t>
  </si>
  <si>
    <t>AY</t>
  </si>
  <si>
    <t>010</t>
  </si>
  <si>
    <t>ATA</t>
  </si>
  <si>
    <t>Antigua &amp; Barbuda</t>
  </si>
  <si>
    <t>Antigua and Barbuda</t>
  </si>
  <si>
    <t>AC</t>
  </si>
  <si>
    <t>028</t>
  </si>
  <si>
    <t>ATG</t>
  </si>
  <si>
    <t>Argentina</t>
  </si>
  <si>
    <t>AR</t>
  </si>
  <si>
    <t>032</t>
  </si>
  <si>
    <t>ARG</t>
  </si>
  <si>
    <t>Armenia</t>
  </si>
  <si>
    <t>AM</t>
  </si>
  <si>
    <t>051</t>
  </si>
  <si>
    <t>ARM</t>
  </si>
  <si>
    <t>Aruba</t>
  </si>
  <si>
    <t>AA</t>
  </si>
  <si>
    <t>533</t>
  </si>
  <si>
    <t>ABW</t>
  </si>
  <si>
    <t>AW</t>
  </si>
  <si>
    <t>Australia</t>
  </si>
  <si>
    <t>036</t>
  </si>
  <si>
    <t>AUS</t>
  </si>
  <si>
    <t>AU</t>
  </si>
  <si>
    <t>Austria</t>
  </si>
  <si>
    <t>040</t>
  </si>
  <si>
    <t>AUT</t>
  </si>
  <si>
    <t>AT</t>
  </si>
  <si>
    <t>Azerbaijan</t>
  </si>
  <si>
    <t>AJ</t>
  </si>
  <si>
    <t>031</t>
  </si>
  <si>
    <t>AZE</t>
  </si>
  <si>
    <t>AZ</t>
  </si>
  <si>
    <t>Bahrain</t>
  </si>
  <si>
    <t>BA</t>
  </si>
  <si>
    <t>048</t>
  </si>
  <si>
    <t>BHR</t>
  </si>
  <si>
    <t>BH</t>
  </si>
  <si>
    <t>Baker Island</t>
  </si>
  <si>
    <t>FQ</t>
  </si>
  <si>
    <t>UM-81</t>
  </si>
  <si>
    <t>United States Minor Outlying Islands</t>
  </si>
  <si>
    <t>Bangladesh</t>
  </si>
  <si>
    <t>BG</t>
  </si>
  <si>
    <t>050</t>
  </si>
  <si>
    <t>BGD</t>
  </si>
  <si>
    <t>BD</t>
  </si>
  <si>
    <t>Barbados</t>
  </si>
  <si>
    <t>BB</t>
  </si>
  <si>
    <t>052</t>
  </si>
  <si>
    <t>BRB</t>
  </si>
  <si>
    <t>Belarus</t>
  </si>
  <si>
    <t>BO</t>
  </si>
  <si>
    <t>112</t>
  </si>
  <si>
    <t>BLR</t>
  </si>
  <si>
    <t>BY</t>
  </si>
  <si>
    <t>Belgium</t>
  </si>
  <si>
    <t>BE</t>
  </si>
  <si>
    <t>056</t>
  </si>
  <si>
    <t>BEL</t>
  </si>
  <si>
    <t>Belize</t>
  </si>
  <si>
    <t>084</t>
  </si>
  <si>
    <t>BLZ</t>
  </si>
  <si>
    <t>BZ</t>
  </si>
  <si>
    <t>Benin</t>
  </si>
  <si>
    <t>BN</t>
  </si>
  <si>
    <t>204</t>
  </si>
  <si>
    <t>BEN</t>
  </si>
  <si>
    <t>BJ</t>
  </si>
  <si>
    <t>Bermuda</t>
  </si>
  <si>
    <t>060</t>
  </si>
  <si>
    <t>BMU</t>
  </si>
  <si>
    <t>BM</t>
  </si>
  <si>
    <t>Bhutan</t>
  </si>
  <si>
    <t>BT</t>
  </si>
  <si>
    <t>064</t>
  </si>
  <si>
    <t>BTN</t>
  </si>
  <si>
    <t>Bolivia</t>
  </si>
  <si>
    <t>Bolivia, Plurinational State of</t>
  </si>
  <si>
    <t>BL</t>
  </si>
  <si>
    <t>068</t>
  </si>
  <si>
    <t>BOL</t>
  </si>
  <si>
    <t>Bonaire, Sint Eustatius and Saba</t>
  </si>
  <si>
    <t>535</t>
  </si>
  <si>
    <t>BES</t>
  </si>
  <si>
    <t>BQ</t>
  </si>
  <si>
    <t>Bosnia &amp; Herzegovina</t>
  </si>
  <si>
    <t>Bosnia and Herzegovina</t>
  </si>
  <si>
    <t>BK</t>
  </si>
  <si>
    <t>070</t>
  </si>
  <si>
    <t>BIH</t>
  </si>
  <si>
    <t>Botswana</t>
  </si>
  <si>
    <t>BC</t>
  </si>
  <si>
    <t>072</t>
  </si>
  <si>
    <t>BWA</t>
  </si>
  <si>
    <t>BW</t>
  </si>
  <si>
    <t>Bouvet I.</t>
  </si>
  <si>
    <t>Bouvet Island</t>
  </si>
  <si>
    <t>BV</t>
  </si>
  <si>
    <t>074</t>
  </si>
  <si>
    <t>BVT</t>
  </si>
  <si>
    <t>Brazil</t>
  </si>
  <si>
    <t>BR</t>
  </si>
  <si>
    <t>076</t>
  </si>
  <si>
    <t>BRA</t>
  </si>
  <si>
    <t>British Indian Ocean Territory</t>
  </si>
  <si>
    <t>IO</t>
  </si>
  <si>
    <t>086</t>
  </si>
  <si>
    <t>IOT</t>
  </si>
  <si>
    <t>Brunei</t>
  </si>
  <si>
    <t>Brunei Darussalam</t>
  </si>
  <si>
    <t>BX</t>
  </si>
  <si>
    <t>096</t>
  </si>
  <si>
    <t>BRN</t>
  </si>
  <si>
    <t>Bulgaria</t>
  </si>
  <si>
    <t>BU</t>
  </si>
  <si>
    <t>100</t>
  </si>
  <si>
    <t>BGR</t>
  </si>
  <si>
    <t>Burkina Faso</t>
  </si>
  <si>
    <t>UV</t>
  </si>
  <si>
    <t>854</t>
  </si>
  <si>
    <t>BFA</t>
  </si>
  <si>
    <t>BF</t>
  </si>
  <si>
    <t>Burundi</t>
  </si>
  <si>
    <t>108</t>
  </si>
  <si>
    <t>BDI</t>
  </si>
  <si>
    <t>BI</t>
  </si>
  <si>
    <t>Cambodia</t>
  </si>
  <si>
    <t>CB</t>
  </si>
  <si>
    <t>116</t>
  </si>
  <si>
    <t>KHM</t>
  </si>
  <si>
    <t>KH</t>
  </si>
  <si>
    <t>Cameroon</t>
  </si>
  <si>
    <t>CM</t>
  </si>
  <si>
    <t>120</t>
  </si>
  <si>
    <t>CMR</t>
  </si>
  <si>
    <t>CA</t>
  </si>
  <si>
    <t>124</t>
  </si>
  <si>
    <t>CAN</t>
  </si>
  <si>
    <t>Cape Verde</t>
  </si>
  <si>
    <t>CV</t>
  </si>
  <si>
    <t>132</t>
  </si>
  <si>
    <t>CPV</t>
  </si>
  <si>
    <t>Cayman Is.</t>
  </si>
  <si>
    <t>Cayman Islands</t>
  </si>
  <si>
    <t>CJ</t>
  </si>
  <si>
    <t>136</t>
  </si>
  <si>
    <t>CYM</t>
  </si>
  <si>
    <t>KY</t>
  </si>
  <si>
    <t>Central African Republic</t>
  </si>
  <si>
    <t>CT</t>
  </si>
  <si>
    <t>140</t>
  </si>
  <si>
    <t>CAF</t>
  </si>
  <si>
    <t>CF</t>
  </si>
  <si>
    <t>Chad</t>
  </si>
  <si>
    <t>CD</t>
  </si>
  <si>
    <t>148</t>
  </si>
  <si>
    <t>TCD</t>
  </si>
  <si>
    <t>TD</t>
  </si>
  <si>
    <t>Chile</t>
  </si>
  <si>
    <t>CI</t>
  </si>
  <si>
    <t>152</t>
  </si>
  <si>
    <t>CHL</t>
  </si>
  <si>
    <t>CL</t>
  </si>
  <si>
    <t>China</t>
  </si>
  <si>
    <t>CH</t>
  </si>
  <si>
    <t>156</t>
  </si>
  <si>
    <t>CHN</t>
  </si>
  <si>
    <t>CN</t>
  </si>
  <si>
    <t>Christmas I.</t>
  </si>
  <si>
    <t>Christmas Island</t>
  </si>
  <si>
    <t>KT</t>
  </si>
  <si>
    <t>162</t>
  </si>
  <si>
    <t>CXR</t>
  </si>
  <si>
    <t>CX</t>
  </si>
  <si>
    <t>Cocos Is.</t>
  </si>
  <si>
    <t>Cocos (Keeling) Islands</t>
  </si>
  <si>
    <t>CK</t>
  </si>
  <si>
    <t>166</t>
  </si>
  <si>
    <t>CCK</t>
  </si>
  <si>
    <t>CC</t>
  </si>
  <si>
    <t>Colombia</t>
  </si>
  <si>
    <t>CO</t>
  </si>
  <si>
    <t>170</t>
  </si>
  <si>
    <t>COL</t>
  </si>
  <si>
    <t>Comoros</t>
  </si>
  <si>
    <t>174</t>
  </si>
  <si>
    <t>COM</t>
  </si>
  <si>
    <t>KM</t>
  </si>
  <si>
    <t>Congo</t>
  </si>
  <si>
    <t>178</t>
  </si>
  <si>
    <t>COG</t>
  </si>
  <si>
    <t>CG</t>
  </si>
  <si>
    <t>Congo, DRC</t>
  </si>
  <si>
    <t>Congo, the Democratic Republic of the</t>
  </si>
  <si>
    <t>180</t>
  </si>
  <si>
    <t>COD</t>
  </si>
  <si>
    <t>Cook Is.</t>
  </si>
  <si>
    <t>Cook Islands</t>
  </si>
  <si>
    <t>CW</t>
  </si>
  <si>
    <t>184</t>
  </si>
  <si>
    <t>COK</t>
  </si>
  <si>
    <t>Costa Rica</t>
  </si>
  <si>
    <t>CS</t>
  </si>
  <si>
    <t>188</t>
  </si>
  <si>
    <t>CRI</t>
  </si>
  <si>
    <t>CR</t>
  </si>
  <si>
    <t>Cote d'Ivory</t>
  </si>
  <si>
    <t>Côte d'Ivoire</t>
  </si>
  <si>
    <t>IV</t>
  </si>
  <si>
    <t>384</t>
  </si>
  <si>
    <t>CIV</t>
  </si>
  <si>
    <t>Croatia</t>
  </si>
  <si>
    <t>HR</t>
  </si>
  <si>
    <t>191</t>
  </si>
  <si>
    <t>HRV</t>
  </si>
  <si>
    <t>Cuba</t>
  </si>
  <si>
    <t>CU</t>
  </si>
  <si>
    <t>192</t>
  </si>
  <si>
    <t>CUB</t>
  </si>
  <si>
    <t>Curaçao</t>
  </si>
  <si>
    <t>UC</t>
  </si>
  <si>
    <t>531</t>
  </si>
  <si>
    <t>CUW</t>
  </si>
  <si>
    <t>Cyprus</t>
  </si>
  <si>
    <t>CY</t>
  </si>
  <si>
    <t>196</t>
  </si>
  <si>
    <t>CYP</t>
  </si>
  <si>
    <t>Czech Republic</t>
  </si>
  <si>
    <t>EZ</t>
  </si>
  <si>
    <t>203</t>
  </si>
  <si>
    <t>CZE</t>
  </si>
  <si>
    <t>CZ</t>
  </si>
  <si>
    <t>Denmark</t>
  </si>
  <si>
    <t>DA</t>
  </si>
  <si>
    <t>208</t>
  </si>
  <si>
    <t>DNK</t>
  </si>
  <si>
    <t>DK</t>
  </si>
  <si>
    <t>Djibouti</t>
  </si>
  <si>
    <t>DJ</t>
  </si>
  <si>
    <t>262</t>
  </si>
  <si>
    <t>DJI</t>
  </si>
  <si>
    <t>Dominica</t>
  </si>
  <si>
    <t>DO</t>
  </si>
  <si>
    <t>212</t>
  </si>
  <si>
    <t>DMA</t>
  </si>
  <si>
    <t>DM</t>
  </si>
  <si>
    <t>Dominican Republic</t>
  </si>
  <si>
    <t>DR</t>
  </si>
  <si>
    <t>214</t>
  </si>
  <si>
    <t>DOM</t>
  </si>
  <si>
    <t>Ecuador</t>
  </si>
  <si>
    <t>EC</t>
  </si>
  <si>
    <t>218</t>
  </si>
  <si>
    <t>ECU</t>
  </si>
  <si>
    <t>Egypt</t>
  </si>
  <si>
    <t>EG</t>
  </si>
  <si>
    <t>818</t>
  </si>
  <si>
    <t>EGY</t>
  </si>
  <si>
    <t>El Salvador</t>
  </si>
  <si>
    <t>ES</t>
  </si>
  <si>
    <t>222</t>
  </si>
  <si>
    <t>SLV</t>
  </si>
  <si>
    <t>SV</t>
  </si>
  <si>
    <t>Equatorial Guinea</t>
  </si>
  <si>
    <t>EK</t>
  </si>
  <si>
    <t>226</t>
  </si>
  <si>
    <t>GNQ</t>
  </si>
  <si>
    <t>GQ</t>
  </si>
  <si>
    <t>Eritrea</t>
  </si>
  <si>
    <t>ER</t>
  </si>
  <si>
    <t>232</t>
  </si>
  <si>
    <t>ERI</t>
  </si>
  <si>
    <t>Estonia</t>
  </si>
  <si>
    <t>EN</t>
  </si>
  <si>
    <t>233</t>
  </si>
  <si>
    <t>EST</t>
  </si>
  <si>
    <t>EE</t>
  </si>
  <si>
    <t>Ethiopia</t>
  </si>
  <si>
    <t>ET</t>
  </si>
  <si>
    <t>231</t>
  </si>
  <si>
    <t>ETH</t>
  </si>
  <si>
    <t>Falkland Is.</t>
  </si>
  <si>
    <t>Falkland Islands (Malvinas)</t>
  </si>
  <si>
    <t>FK</t>
  </si>
  <si>
    <t>238</t>
  </si>
  <si>
    <t>FLK</t>
  </si>
  <si>
    <t>Faroe Is.</t>
  </si>
  <si>
    <t>Faroe Islands</t>
  </si>
  <si>
    <t>FO</t>
  </si>
  <si>
    <t>234</t>
  </si>
  <si>
    <t>FRO</t>
  </si>
  <si>
    <t>Fiji</t>
  </si>
  <si>
    <t>FJ</t>
  </si>
  <si>
    <t>242</t>
  </si>
  <si>
    <t>FJI</t>
  </si>
  <si>
    <t>Finland</t>
  </si>
  <si>
    <t>FI</t>
  </si>
  <si>
    <t>246</t>
  </si>
  <si>
    <t>FIN</t>
  </si>
  <si>
    <t>France</t>
  </si>
  <si>
    <t>FR</t>
  </si>
  <si>
    <t>250</t>
  </si>
  <si>
    <t>FRA</t>
  </si>
  <si>
    <t>French Guiana</t>
  </si>
  <si>
    <t>FG</t>
  </si>
  <si>
    <t>254</t>
  </si>
  <si>
    <t>GUF</t>
  </si>
  <si>
    <t>GF</t>
  </si>
  <si>
    <t>French Polynesia</t>
  </si>
  <si>
    <t>FP</t>
  </si>
  <si>
    <t>258</t>
  </si>
  <si>
    <t>PYF</t>
  </si>
  <si>
    <t>PF</t>
  </si>
  <si>
    <t>French Southern &amp; Antarctic Lands</t>
  </si>
  <si>
    <t>French Southern Territories</t>
  </si>
  <si>
    <t>FS</t>
  </si>
  <si>
    <t>260</t>
  </si>
  <si>
    <t>ATF</t>
  </si>
  <si>
    <t>TF</t>
  </si>
  <si>
    <t>Known both as 'French Southern &amp; Antarctic Lands' and 'French Southern Territories'</t>
  </si>
  <si>
    <t>Gabon</t>
  </si>
  <si>
    <t>GB</t>
  </si>
  <si>
    <t>266</t>
  </si>
  <si>
    <t>GAB</t>
  </si>
  <si>
    <t>GA</t>
  </si>
  <si>
    <t>Gambia</t>
  </si>
  <si>
    <t>270</t>
  </si>
  <si>
    <t>GMB</t>
  </si>
  <si>
    <t>GM</t>
  </si>
  <si>
    <t>Gambia, The</t>
  </si>
  <si>
    <t>Gaza Strip</t>
  </si>
  <si>
    <t>Palestinian Territory, Occupied; </t>
  </si>
  <si>
    <t>GZ</t>
  </si>
  <si>
    <t>274</t>
  </si>
  <si>
    <t>PS-GZA</t>
  </si>
  <si>
    <t>Georgia</t>
  </si>
  <si>
    <t>GG</t>
  </si>
  <si>
    <t>268</t>
  </si>
  <si>
    <t>GEO</t>
  </si>
  <si>
    <t>GE</t>
  </si>
  <si>
    <t>Germany</t>
  </si>
  <si>
    <t>276</t>
  </si>
  <si>
    <t>DEU</t>
  </si>
  <si>
    <t>DE</t>
  </si>
  <si>
    <t>Ghana</t>
  </si>
  <si>
    <t>GH</t>
  </si>
  <si>
    <t>288</t>
  </si>
  <si>
    <t>GHA</t>
  </si>
  <si>
    <t>Gibraltar</t>
  </si>
  <si>
    <t>GI</t>
  </si>
  <si>
    <t>292</t>
  </si>
  <si>
    <t>GIB</t>
  </si>
  <si>
    <t>Glorioso Is.</t>
  </si>
  <si>
    <t>Glorioso Islands</t>
  </si>
  <si>
    <t>GO</t>
  </si>
  <si>
    <t>Part of French Southern Territories</t>
  </si>
  <si>
    <t>Greece</t>
  </si>
  <si>
    <t>GR</t>
  </si>
  <si>
    <t>300</t>
  </si>
  <si>
    <t>GRC</t>
  </si>
  <si>
    <t>Greenland</t>
  </si>
  <si>
    <t>GL</t>
  </si>
  <si>
    <t>304</t>
  </si>
  <si>
    <t>GRL</t>
  </si>
  <si>
    <t>Grenada</t>
  </si>
  <si>
    <t>GJ</t>
  </si>
  <si>
    <t>308</t>
  </si>
  <si>
    <t>GRD</t>
  </si>
  <si>
    <t>GD</t>
  </si>
  <si>
    <t>Guadeloupe</t>
  </si>
  <si>
    <t>GP</t>
  </si>
  <si>
    <t>312</t>
  </si>
  <si>
    <t>GLP</t>
  </si>
  <si>
    <t>Guam</t>
  </si>
  <si>
    <t>316</t>
  </si>
  <si>
    <t>GUM</t>
  </si>
  <si>
    <t>GU</t>
  </si>
  <si>
    <t>Guatemala</t>
  </si>
  <si>
    <t>GT</t>
  </si>
  <si>
    <t>320</t>
  </si>
  <si>
    <t>GTM</t>
  </si>
  <si>
    <t>Guernsey</t>
  </si>
  <si>
    <t>GK</t>
  </si>
  <si>
    <t>831</t>
  </si>
  <si>
    <t>GGY</t>
  </si>
  <si>
    <t>Guinea</t>
  </si>
  <si>
    <t>GV</t>
  </si>
  <si>
    <t>324</t>
  </si>
  <si>
    <t>GIN</t>
  </si>
  <si>
    <t>GN</t>
  </si>
  <si>
    <t>Guinea-Bissau</t>
  </si>
  <si>
    <t>PU</t>
  </si>
  <si>
    <t>624</t>
  </si>
  <si>
    <t>GNB</t>
  </si>
  <si>
    <t>GW</t>
  </si>
  <si>
    <t>Guyana</t>
  </si>
  <si>
    <t>GY</t>
  </si>
  <si>
    <t>328</t>
  </si>
  <si>
    <t>GUY</t>
  </si>
  <si>
    <t>Haiti</t>
  </si>
  <si>
    <t>HA</t>
  </si>
  <si>
    <t>332</t>
  </si>
  <si>
    <t>HTI</t>
  </si>
  <si>
    <t>HT</t>
  </si>
  <si>
    <t>Heard I. &amp; McDonald Is.</t>
  </si>
  <si>
    <t>Heard Island and McDonald Islands</t>
  </si>
  <si>
    <t>HM</t>
  </si>
  <si>
    <t>334</t>
  </si>
  <si>
    <t>HMD</t>
  </si>
  <si>
    <t>Honduras</t>
  </si>
  <si>
    <t>HO</t>
  </si>
  <si>
    <t>340</t>
  </si>
  <si>
    <t>HND</t>
  </si>
  <si>
    <t>HN</t>
  </si>
  <si>
    <t>Howland I.</t>
  </si>
  <si>
    <t>Howland Island</t>
  </si>
  <si>
    <t>HQ</t>
  </si>
  <si>
    <t>UM-84</t>
  </si>
  <si>
    <t>Hungary</t>
  </si>
  <si>
    <t>HU</t>
  </si>
  <si>
    <t>348</t>
  </si>
  <si>
    <t>HUN</t>
  </si>
  <si>
    <t>Iceland</t>
  </si>
  <si>
    <t>IC</t>
  </si>
  <si>
    <t>352</t>
  </si>
  <si>
    <t>ISL</t>
  </si>
  <si>
    <t>IS</t>
  </si>
  <si>
    <t>India</t>
  </si>
  <si>
    <t>IN</t>
  </si>
  <si>
    <t>356</t>
  </si>
  <si>
    <t>IND</t>
  </si>
  <si>
    <t>Indonesia</t>
  </si>
  <si>
    <t>Republic of Indonesia</t>
  </si>
  <si>
    <t>ID</t>
  </si>
  <si>
    <t>360</t>
  </si>
  <si>
    <t>IDN</t>
  </si>
  <si>
    <t>Iran</t>
  </si>
  <si>
    <t>Iran, Islamic Republic of</t>
  </si>
  <si>
    <t>IR</t>
  </si>
  <si>
    <t>364</t>
  </si>
  <si>
    <t>IRN</t>
  </si>
  <si>
    <t>Iraq</t>
  </si>
  <si>
    <t>IZ</t>
  </si>
  <si>
    <t>368</t>
  </si>
  <si>
    <t>IRQ</t>
  </si>
  <si>
    <t>IQ</t>
  </si>
  <si>
    <t>Ireland</t>
  </si>
  <si>
    <t>EI</t>
  </si>
  <si>
    <t>372</t>
  </si>
  <si>
    <t>IRL</t>
  </si>
  <si>
    <t>IE</t>
  </si>
  <si>
    <t>Isle of Man</t>
  </si>
  <si>
    <t>IM</t>
  </si>
  <si>
    <t>833</t>
  </si>
  <si>
    <t>IMN</t>
  </si>
  <si>
    <t>Israel</t>
  </si>
  <si>
    <t>376</t>
  </si>
  <si>
    <t>ISR</t>
  </si>
  <si>
    <t>IL</t>
  </si>
  <si>
    <t>Italy</t>
  </si>
  <si>
    <t>IT</t>
  </si>
  <si>
    <t>380</t>
  </si>
  <si>
    <t>ITA</t>
  </si>
  <si>
    <t>Jamaica</t>
  </si>
  <si>
    <t>JM</t>
  </si>
  <si>
    <t>388</t>
  </si>
  <si>
    <t>JAM</t>
  </si>
  <si>
    <t>Jan Mayen</t>
  </si>
  <si>
    <t>JU</t>
  </si>
  <si>
    <t>744</t>
  </si>
  <si>
    <t>SJM</t>
  </si>
  <si>
    <t>SJ</t>
  </si>
  <si>
    <t>In ISO, Jan Mayen is grouped with Svalbard.</t>
  </si>
  <si>
    <t>Japan</t>
  </si>
  <si>
    <t>JA</t>
  </si>
  <si>
    <t>392</t>
  </si>
  <si>
    <t>JPN</t>
  </si>
  <si>
    <t>JP</t>
  </si>
  <si>
    <t>Jarvis I.</t>
  </si>
  <si>
    <t>Jarvis Island</t>
  </si>
  <si>
    <t>DQ</t>
  </si>
  <si>
    <t>UM-86</t>
  </si>
  <si>
    <t>Jersey</t>
  </si>
  <si>
    <t>JE</t>
  </si>
  <si>
    <t>832</t>
  </si>
  <si>
    <t>JEY</t>
  </si>
  <si>
    <t>Johnston Atoll</t>
  </si>
  <si>
    <t>Johnston Island</t>
  </si>
  <si>
    <t>JQ</t>
  </si>
  <si>
    <t>396</t>
  </si>
  <si>
    <t>UM-67</t>
  </si>
  <si>
    <t>Jordan</t>
  </si>
  <si>
    <t>JO</t>
  </si>
  <si>
    <t>400</t>
  </si>
  <si>
    <t>JOR</t>
  </si>
  <si>
    <t>Juan De Nova I.</t>
  </si>
  <si>
    <t>Kazakhstan</t>
  </si>
  <si>
    <t>KZ</t>
  </si>
  <si>
    <t>398</t>
  </si>
  <si>
    <t>KAZ</t>
  </si>
  <si>
    <t>Kenya</t>
  </si>
  <si>
    <t>KE</t>
  </si>
  <si>
    <t>404</t>
  </si>
  <si>
    <t>KEN</t>
  </si>
  <si>
    <t>Kingman Reef</t>
  </si>
  <si>
    <t>KQ</t>
  </si>
  <si>
    <t>UM-89</t>
  </si>
  <si>
    <t>Kiribati</t>
  </si>
  <si>
    <t>KR</t>
  </si>
  <si>
    <t>296</t>
  </si>
  <si>
    <t>KIR</t>
  </si>
  <si>
    <t>KI</t>
  </si>
  <si>
    <t>Korea, North</t>
  </si>
  <si>
    <t>Korea, Democratic People's Republic of</t>
  </si>
  <si>
    <t>KN</t>
  </si>
  <si>
    <t>408</t>
  </si>
  <si>
    <t>PRK</t>
  </si>
  <si>
    <t>KP</t>
  </si>
  <si>
    <t>Korea, South</t>
  </si>
  <si>
    <t>Korea, Republic of</t>
  </si>
  <si>
    <t>KS</t>
  </si>
  <si>
    <t>410</t>
  </si>
  <si>
    <t>KOR</t>
  </si>
  <si>
    <t>Kuwait</t>
  </si>
  <si>
    <t>KU</t>
  </si>
  <si>
    <t>414</t>
  </si>
  <si>
    <t>KWT</t>
  </si>
  <si>
    <t>KW</t>
  </si>
  <si>
    <t>Kyrgyzstan</t>
  </si>
  <si>
    <t>KG</t>
  </si>
  <si>
    <t>417</t>
  </si>
  <si>
    <t>KGZ</t>
  </si>
  <si>
    <t>Laos</t>
  </si>
  <si>
    <t>Lao People's Democratic Republic</t>
  </si>
  <si>
    <t>LA</t>
  </si>
  <si>
    <t>418</t>
  </si>
  <si>
    <t>LAO</t>
  </si>
  <si>
    <t>Latvia</t>
  </si>
  <si>
    <t>LG</t>
  </si>
  <si>
    <t>428</t>
  </si>
  <si>
    <t>LVA</t>
  </si>
  <si>
    <t>LV</t>
  </si>
  <si>
    <t>Lebanon</t>
  </si>
  <si>
    <t>LE</t>
  </si>
  <si>
    <t>422</t>
  </si>
  <si>
    <t>LBN</t>
  </si>
  <si>
    <t>LB</t>
  </si>
  <si>
    <t>Lesotho</t>
  </si>
  <si>
    <t>LT</t>
  </si>
  <si>
    <t>426</t>
  </si>
  <si>
    <t>LSO</t>
  </si>
  <si>
    <t>LS</t>
  </si>
  <si>
    <t>Liberia</t>
  </si>
  <si>
    <t>LI</t>
  </si>
  <si>
    <t>430</t>
  </si>
  <si>
    <t>LBR</t>
  </si>
  <si>
    <t>LR</t>
  </si>
  <si>
    <t>Libya</t>
  </si>
  <si>
    <t>Libyan Arab Jamahiriya</t>
  </si>
  <si>
    <t>LY</t>
  </si>
  <si>
    <t>434</t>
  </si>
  <si>
    <t>LBY</t>
  </si>
  <si>
    <t>Liechtenstein</t>
  </si>
  <si>
    <t>438</t>
  </si>
  <si>
    <t>LIE</t>
  </si>
  <si>
    <t>Lithuania</t>
  </si>
  <si>
    <t>LH</t>
  </si>
  <si>
    <t>440</t>
  </si>
  <si>
    <t>LTU</t>
  </si>
  <si>
    <t>Luxembourg</t>
  </si>
  <si>
    <t>LU</t>
  </si>
  <si>
    <t>442</t>
  </si>
  <si>
    <t>LUX</t>
  </si>
  <si>
    <t>Macao</t>
  </si>
  <si>
    <t>MC</t>
  </si>
  <si>
    <t>446</t>
  </si>
  <si>
    <t>MAC</t>
  </si>
  <si>
    <t>MO</t>
  </si>
  <si>
    <t>Macedonia</t>
  </si>
  <si>
    <t>Macedonia, the former Yugoslav Republic of</t>
  </si>
  <si>
    <t>MK</t>
  </si>
  <si>
    <t>807</t>
  </si>
  <si>
    <t>MKD</t>
  </si>
  <si>
    <t>Madagascar</t>
  </si>
  <si>
    <t>MA</t>
  </si>
  <si>
    <t>450</t>
  </si>
  <si>
    <t>MDG</t>
  </si>
  <si>
    <t>MG</t>
  </si>
  <si>
    <t>Malawi</t>
  </si>
  <si>
    <t>MI</t>
  </si>
  <si>
    <t>454</t>
  </si>
  <si>
    <t>MWI</t>
  </si>
  <si>
    <t>MW</t>
  </si>
  <si>
    <t>Malaysia</t>
  </si>
  <si>
    <t>MY</t>
  </si>
  <si>
    <t>458</t>
  </si>
  <si>
    <t>MYS</t>
  </si>
  <si>
    <t>Maldives</t>
  </si>
  <si>
    <t>MV</t>
  </si>
  <si>
    <t>462</t>
  </si>
  <si>
    <t>MDV</t>
  </si>
  <si>
    <t>Mali</t>
  </si>
  <si>
    <t>ML</t>
  </si>
  <si>
    <t>466</t>
  </si>
  <si>
    <t>MLI</t>
  </si>
  <si>
    <t>Malta</t>
  </si>
  <si>
    <t>MT</t>
  </si>
  <si>
    <t>470</t>
  </si>
  <si>
    <t>MLT</t>
  </si>
  <si>
    <t>Marshall Is.</t>
  </si>
  <si>
    <t>Marshall Islands</t>
  </si>
  <si>
    <t>RM</t>
  </si>
  <si>
    <t>584</t>
  </si>
  <si>
    <t>MHL</t>
  </si>
  <si>
    <t>MH</t>
  </si>
  <si>
    <t>Martinique</t>
  </si>
  <si>
    <t>MB</t>
  </si>
  <si>
    <t>474</t>
  </si>
  <si>
    <t>MTQ</t>
  </si>
  <si>
    <t>MQ</t>
  </si>
  <si>
    <t>Mauritania</t>
  </si>
  <si>
    <t>MR</t>
  </si>
  <si>
    <t>478</t>
  </si>
  <si>
    <t>MRT</t>
  </si>
  <si>
    <t>Mauritius</t>
  </si>
  <si>
    <t>MP</t>
  </si>
  <si>
    <t>480</t>
  </si>
  <si>
    <t>MUS</t>
  </si>
  <si>
    <t>MU</t>
  </si>
  <si>
    <t>Mayotte</t>
  </si>
  <si>
    <t>MF</t>
  </si>
  <si>
    <t>175</t>
  </si>
  <si>
    <t>MYT</t>
  </si>
  <si>
    <t>YT</t>
  </si>
  <si>
    <t>Mexico</t>
  </si>
  <si>
    <t>MX</t>
  </si>
  <si>
    <t>484</t>
  </si>
  <si>
    <t>MEX</t>
  </si>
  <si>
    <t>Micronesia</t>
  </si>
  <si>
    <t>Micronesia, Federated States of</t>
  </si>
  <si>
    <t>FM</t>
  </si>
  <si>
    <t>583</t>
  </si>
  <si>
    <t>FSM</t>
  </si>
  <si>
    <t>Midway Is.</t>
  </si>
  <si>
    <t>Midway Islands</t>
  </si>
  <si>
    <t>488</t>
  </si>
  <si>
    <t>UM-71</t>
  </si>
  <si>
    <t>Moldova</t>
  </si>
  <si>
    <t>Moldova, Republic of</t>
  </si>
  <si>
    <t>MD</t>
  </si>
  <si>
    <t>498</t>
  </si>
  <si>
    <t>MDA</t>
  </si>
  <si>
    <t>Monaco</t>
  </si>
  <si>
    <t>MN</t>
  </si>
  <si>
    <t>492</t>
  </si>
  <si>
    <t>MCO</t>
  </si>
  <si>
    <t>Mongolia</t>
  </si>
  <si>
    <t>496</t>
  </si>
  <si>
    <t>MNG</t>
  </si>
  <si>
    <t>Montenegro</t>
  </si>
  <si>
    <t>MJ</t>
  </si>
  <si>
    <t>499</t>
  </si>
  <si>
    <t>MNE</t>
  </si>
  <si>
    <t>ME</t>
  </si>
  <si>
    <t>Montserrat</t>
  </si>
  <si>
    <t>500</t>
  </si>
  <si>
    <t>MSR</t>
  </si>
  <si>
    <t>MS</t>
  </si>
  <si>
    <t>Morocco</t>
  </si>
  <si>
    <t>504</t>
  </si>
  <si>
    <t>MAR</t>
  </si>
  <si>
    <t>Mozambique</t>
  </si>
  <si>
    <t>MZ</t>
  </si>
  <si>
    <t>508</t>
  </si>
  <si>
    <t>MOZ</t>
  </si>
  <si>
    <t>Myanmar</t>
  </si>
  <si>
    <t>104</t>
  </si>
  <si>
    <t>MMR</t>
  </si>
  <si>
    <t>MM</t>
  </si>
  <si>
    <t>FIPS uses the name Burma instead of Myanmar.</t>
  </si>
  <si>
    <t>Namibia</t>
  </si>
  <si>
    <t>WA</t>
  </si>
  <si>
    <t>516</t>
  </si>
  <si>
    <t>NAM</t>
  </si>
  <si>
    <t>NA</t>
  </si>
  <si>
    <t>Nauru</t>
  </si>
  <si>
    <t>NR</t>
  </si>
  <si>
    <t>520</t>
  </si>
  <si>
    <t>NRU</t>
  </si>
  <si>
    <t>Navassa Island</t>
  </si>
  <si>
    <t>UM-76</t>
  </si>
  <si>
    <t>Nepal</t>
  </si>
  <si>
    <t>NP</t>
  </si>
  <si>
    <t>524</t>
  </si>
  <si>
    <t>NPL</t>
  </si>
  <si>
    <t>Netherlands</t>
  </si>
  <si>
    <t>NL</t>
  </si>
  <si>
    <t>528</t>
  </si>
  <si>
    <t>NLD</t>
  </si>
  <si>
    <t>Netherlands Antilles - DEFUNCT</t>
  </si>
  <si>
    <t>Netherlands Antilles</t>
  </si>
  <si>
    <t>NT</t>
  </si>
  <si>
    <t>530</t>
  </si>
  <si>
    <t>ANT</t>
  </si>
  <si>
    <t>Divided ownership: Curaçao and Sint Maarten (Dutch) and three territories belonging to Holland</t>
  </si>
  <si>
    <t>New Caledonia</t>
  </si>
  <si>
    <t>NC</t>
  </si>
  <si>
    <t>540</t>
  </si>
  <si>
    <t>NCL</t>
  </si>
  <si>
    <t>New Zealand</t>
  </si>
  <si>
    <t>NZ</t>
  </si>
  <si>
    <t>554</t>
  </si>
  <si>
    <t>NZL</t>
  </si>
  <si>
    <t>Nicaragua</t>
  </si>
  <si>
    <t>NU</t>
  </si>
  <si>
    <t>558</t>
  </si>
  <si>
    <t>NIC</t>
  </si>
  <si>
    <t>NI</t>
  </si>
  <si>
    <t>Niger</t>
  </si>
  <si>
    <t>NG</t>
  </si>
  <si>
    <t>562</t>
  </si>
  <si>
    <t>NER</t>
  </si>
  <si>
    <t>NE</t>
  </si>
  <si>
    <t>Nigeria</t>
  </si>
  <si>
    <t>566</t>
  </si>
  <si>
    <t>Niue</t>
  </si>
  <si>
    <t>570</t>
  </si>
  <si>
    <t>NIU</t>
  </si>
  <si>
    <t>Norfolk I.</t>
  </si>
  <si>
    <t>Norfolk Island</t>
  </si>
  <si>
    <t>NF</t>
  </si>
  <si>
    <t>574</t>
  </si>
  <si>
    <t>NFK</t>
  </si>
  <si>
    <t>Northern Mariana Is.</t>
  </si>
  <si>
    <t>Northern Mariana Islands</t>
  </si>
  <si>
    <t>CQ</t>
  </si>
  <si>
    <t>580</t>
  </si>
  <si>
    <t>MNP</t>
  </si>
  <si>
    <t>Norway</t>
  </si>
  <si>
    <t>NO</t>
  </si>
  <si>
    <t>578</t>
  </si>
  <si>
    <t>NOR</t>
  </si>
  <si>
    <t>Oman</t>
  </si>
  <si>
    <t>512</t>
  </si>
  <si>
    <t>OMN</t>
  </si>
  <si>
    <t>OM</t>
  </si>
  <si>
    <t>Pakistan</t>
  </si>
  <si>
    <t>PK</t>
  </si>
  <si>
    <t>586</t>
  </si>
  <si>
    <t>PAK</t>
  </si>
  <si>
    <t>Palau</t>
  </si>
  <si>
    <t>PS</t>
  </si>
  <si>
    <t>585</t>
  </si>
  <si>
    <t>PLW</t>
  </si>
  <si>
    <t>PW</t>
  </si>
  <si>
    <t>Palestine, State of</t>
  </si>
  <si>
    <t>275</t>
  </si>
  <si>
    <t>PSE</t>
  </si>
  <si>
    <t>'Palestine, Occupied Territories' replaced in ISO index as 'Palestine, State Of'; it has no FIPS (probably because the US doesn't recognize the Palestinian state)</t>
  </si>
  <si>
    <t>Palmyra Atoll</t>
  </si>
  <si>
    <t>LQ</t>
  </si>
  <si>
    <t>UM-95</t>
  </si>
  <si>
    <t>Panama</t>
  </si>
  <si>
    <t>PM</t>
  </si>
  <si>
    <t>591</t>
  </si>
  <si>
    <t>PAN</t>
  </si>
  <si>
    <t>PA</t>
  </si>
  <si>
    <t>Papua New Guinea</t>
  </si>
  <si>
    <t>PP</t>
  </si>
  <si>
    <t>598</t>
  </si>
  <si>
    <t>PNG</t>
  </si>
  <si>
    <t>PG</t>
  </si>
  <si>
    <t>Paracel Is.</t>
  </si>
  <si>
    <t>Paracel Islands</t>
  </si>
  <si>
    <t>Paraguay</t>
  </si>
  <si>
    <t>600</t>
  </si>
  <si>
    <t>PRY</t>
  </si>
  <si>
    <t>PY</t>
  </si>
  <si>
    <t>Peru</t>
  </si>
  <si>
    <t>PE</t>
  </si>
  <si>
    <t>604</t>
  </si>
  <si>
    <t>PER</t>
  </si>
  <si>
    <t>Philippines</t>
  </si>
  <si>
    <t>Republic of the Philippines</t>
  </si>
  <si>
    <t>RP</t>
  </si>
  <si>
    <t>608</t>
  </si>
  <si>
    <t>PHL</t>
  </si>
  <si>
    <t>PH</t>
  </si>
  <si>
    <t>Pitcairn Is.</t>
  </si>
  <si>
    <t>Pitcairn</t>
  </si>
  <si>
    <t>PC</t>
  </si>
  <si>
    <t>612</t>
  </si>
  <si>
    <t>PCN</t>
  </si>
  <si>
    <t>PN</t>
  </si>
  <si>
    <t>Poland</t>
  </si>
  <si>
    <t>PL</t>
  </si>
  <si>
    <t>616</t>
  </si>
  <si>
    <t>POL</t>
  </si>
  <si>
    <t>Portugal</t>
  </si>
  <si>
    <t>PO</t>
  </si>
  <si>
    <t>620</t>
  </si>
  <si>
    <t>PRT</t>
  </si>
  <si>
    <t>PT</t>
  </si>
  <si>
    <t>Puerto Rico</t>
  </si>
  <si>
    <t>RQ</t>
  </si>
  <si>
    <t>630</t>
  </si>
  <si>
    <t>PRI</t>
  </si>
  <si>
    <t>PR</t>
  </si>
  <si>
    <t>Qatar</t>
  </si>
  <si>
    <t>QA</t>
  </si>
  <si>
    <t>634</t>
  </si>
  <si>
    <t>QAT</t>
  </si>
  <si>
    <t>Réunion</t>
  </si>
  <si>
    <t>RE</t>
  </si>
  <si>
    <t>638</t>
  </si>
  <si>
    <t>REU</t>
  </si>
  <si>
    <t>Romania</t>
  </si>
  <si>
    <t>RO</t>
  </si>
  <si>
    <t>642</t>
  </si>
  <si>
    <t>ROU</t>
  </si>
  <si>
    <t>Russia</t>
  </si>
  <si>
    <t>Russian Federation</t>
  </si>
  <si>
    <t>RS</t>
  </si>
  <si>
    <t>643</t>
  </si>
  <si>
    <t>RUS</t>
  </si>
  <si>
    <t>RU</t>
  </si>
  <si>
    <t>Rwanda</t>
  </si>
  <si>
    <t>RW</t>
  </si>
  <si>
    <t>646</t>
  </si>
  <si>
    <t>RWA</t>
  </si>
  <si>
    <t>Saint Barthélemy</t>
  </si>
  <si>
    <t>TB</t>
  </si>
  <si>
    <t>652</t>
  </si>
  <si>
    <t>BLM</t>
  </si>
  <si>
    <t>Saint Martin (French part)</t>
  </si>
  <si>
    <t>RN</t>
  </si>
  <si>
    <t>663</t>
  </si>
  <si>
    <t>MAF</t>
  </si>
  <si>
    <t>Samoa</t>
  </si>
  <si>
    <t>WS</t>
  </si>
  <si>
    <t>882</t>
  </si>
  <si>
    <t>WSM</t>
  </si>
  <si>
    <t>San Marino</t>
  </si>
  <si>
    <t>SM</t>
  </si>
  <si>
    <t>674</t>
  </si>
  <si>
    <t>SMR</t>
  </si>
  <si>
    <t>Sao Tome &amp; Principe</t>
  </si>
  <si>
    <t>Sao Tome and Principe</t>
  </si>
  <si>
    <t>TP</t>
  </si>
  <si>
    <t>678</t>
  </si>
  <si>
    <t>STP</t>
  </si>
  <si>
    <t>ST</t>
  </si>
  <si>
    <t>Saudi Arabia</t>
  </si>
  <si>
    <t>SA</t>
  </si>
  <si>
    <t>682</t>
  </si>
  <si>
    <t>SAU</t>
  </si>
  <si>
    <t>Senegal</t>
  </si>
  <si>
    <t>SG</t>
  </si>
  <si>
    <t>686</t>
  </si>
  <si>
    <t>SEN</t>
  </si>
  <si>
    <t>SN</t>
  </si>
  <si>
    <t>Serbia</t>
  </si>
  <si>
    <t>SR</t>
  </si>
  <si>
    <t>688</t>
  </si>
  <si>
    <t>SRB</t>
  </si>
  <si>
    <t>Seychelles</t>
  </si>
  <si>
    <t>SE</t>
  </si>
  <si>
    <t>690</t>
  </si>
  <si>
    <t>SYC</t>
  </si>
  <si>
    <t>SC</t>
  </si>
  <si>
    <t>Sierra Leone</t>
  </si>
  <si>
    <t>SL</t>
  </si>
  <si>
    <t>694</t>
  </si>
  <si>
    <t>SLE</t>
  </si>
  <si>
    <t>Singapore</t>
  </si>
  <si>
    <t>702</t>
  </si>
  <si>
    <t>SGP</t>
  </si>
  <si>
    <t>Sint Maarten (Dutch part)</t>
  </si>
  <si>
    <t>NN</t>
  </si>
  <si>
    <t>534</t>
  </si>
  <si>
    <t>SXM</t>
  </si>
  <si>
    <t>SX</t>
  </si>
  <si>
    <t>Slovakia</t>
  </si>
  <si>
    <t>LO</t>
  </si>
  <si>
    <t>703</t>
  </si>
  <si>
    <t>SVK</t>
  </si>
  <si>
    <t>SK</t>
  </si>
  <si>
    <t>Slovenia</t>
  </si>
  <si>
    <t>SI</t>
  </si>
  <si>
    <t>705</t>
  </si>
  <si>
    <t>SVN</t>
  </si>
  <si>
    <t>Solomon Is.</t>
  </si>
  <si>
    <t>Solomon Islands</t>
  </si>
  <si>
    <t>BP</t>
  </si>
  <si>
    <t>90</t>
  </si>
  <si>
    <t>SLB</t>
  </si>
  <si>
    <t>SB</t>
  </si>
  <si>
    <t>Somalia</t>
  </si>
  <si>
    <t>SO</t>
  </si>
  <si>
    <t>706</t>
  </si>
  <si>
    <t>SOM</t>
  </si>
  <si>
    <t>South Africa</t>
  </si>
  <si>
    <t>SF</t>
  </si>
  <si>
    <t>710</t>
  </si>
  <si>
    <t>ZAF</t>
  </si>
  <si>
    <t>ZA</t>
  </si>
  <si>
    <t>South Georgia &amp; the South Sandwich Is.</t>
  </si>
  <si>
    <t>South Georgia and the South Sandwich Islands</t>
  </si>
  <si>
    <t>239</t>
  </si>
  <si>
    <t>SGS</t>
  </si>
  <si>
    <t>GS</t>
  </si>
  <si>
    <t>South Sudan</t>
  </si>
  <si>
    <t>OD</t>
  </si>
  <si>
    <t>728</t>
  </si>
  <si>
    <t>SSD</t>
  </si>
  <si>
    <t>SS</t>
  </si>
  <si>
    <t>Spain</t>
  </si>
  <si>
    <t>SP</t>
  </si>
  <si>
    <t>724</t>
  </si>
  <si>
    <t>ESP</t>
  </si>
  <si>
    <t>Spratly Is.</t>
  </si>
  <si>
    <t>XS</t>
  </si>
  <si>
    <t>Sri Lanka</t>
  </si>
  <si>
    <t>CE</t>
  </si>
  <si>
    <t>144</t>
  </si>
  <si>
    <t>LKA</t>
  </si>
  <si>
    <t>LK</t>
  </si>
  <si>
    <t>St. Helena</t>
  </si>
  <si>
    <t>Saint Helena, Ascension and Tristan da Cunha</t>
  </si>
  <si>
    <t>SH</t>
  </si>
  <si>
    <t>654</t>
  </si>
  <si>
    <t>SHN</t>
  </si>
  <si>
    <t>St. Kitts &amp; Nevis</t>
  </si>
  <si>
    <t>Saint Kitts and Nevis</t>
  </si>
  <si>
    <t>659</t>
  </si>
  <si>
    <t>KNA</t>
  </si>
  <si>
    <t>St. Lucia</t>
  </si>
  <si>
    <t>Saint Lucia</t>
  </si>
  <si>
    <t>662</t>
  </si>
  <si>
    <t>LCA</t>
  </si>
  <si>
    <t>LC</t>
  </si>
  <si>
    <t>St. Pierre &amp; Miquelon</t>
  </si>
  <si>
    <t>Saint Pierre and Miquelon</t>
  </si>
  <si>
    <t>666</t>
  </si>
  <si>
    <t>SPM</t>
  </si>
  <si>
    <t>St. Vincent &amp; the Grenadines</t>
  </si>
  <si>
    <t>Saint Vincent and the Grenadines</t>
  </si>
  <si>
    <t>VC</t>
  </si>
  <si>
    <t>670</t>
  </si>
  <si>
    <t>VCT</t>
  </si>
  <si>
    <t>Sudan</t>
  </si>
  <si>
    <t>SU</t>
  </si>
  <si>
    <t>729</t>
  </si>
  <si>
    <t>SDN</t>
  </si>
  <si>
    <t>SD</t>
  </si>
  <si>
    <t>Suriname</t>
  </si>
  <si>
    <t>NS</t>
  </si>
  <si>
    <t>740</t>
  </si>
  <si>
    <t>SUR</t>
  </si>
  <si>
    <t>Svalbard</t>
  </si>
  <si>
    <t>Svalbard and Jan Mayen</t>
  </si>
  <si>
    <t>In ISO, Svalbard is grouped with Jan Mayen.</t>
  </si>
  <si>
    <t>Swaziland</t>
  </si>
  <si>
    <t>WZ</t>
  </si>
  <si>
    <t>748</t>
  </si>
  <si>
    <t>SWZ</t>
  </si>
  <si>
    <t>SZ</t>
  </si>
  <si>
    <t>Sweden</t>
  </si>
  <si>
    <t>SW</t>
  </si>
  <si>
    <t>752</t>
  </si>
  <si>
    <t>SWE</t>
  </si>
  <si>
    <t>Switzerland</t>
  </si>
  <si>
    <t>756</t>
  </si>
  <si>
    <t>CHE</t>
  </si>
  <si>
    <t>Syria</t>
  </si>
  <si>
    <t>Syrian Arab Republic</t>
  </si>
  <si>
    <t>SY</t>
  </si>
  <si>
    <t>760</t>
  </si>
  <si>
    <t>SYR</t>
  </si>
  <si>
    <t>Taiwan</t>
  </si>
  <si>
    <t>Taiwan, Province of China</t>
  </si>
  <si>
    <t>TW</t>
  </si>
  <si>
    <t>158</t>
  </si>
  <si>
    <t>TWN</t>
  </si>
  <si>
    <t>Tajikistan</t>
  </si>
  <si>
    <t>TI</t>
  </si>
  <si>
    <t>762</t>
  </si>
  <si>
    <t>TJK</t>
  </si>
  <si>
    <t>TJ</t>
  </si>
  <si>
    <t>Tanzania</t>
  </si>
  <si>
    <t>Tanzania, United Republic of</t>
  </si>
  <si>
    <t>TZ</t>
  </si>
  <si>
    <t>834</t>
  </si>
  <si>
    <t>TZA</t>
  </si>
  <si>
    <t>Thailand</t>
  </si>
  <si>
    <t>TH</t>
  </si>
  <si>
    <t>764</t>
  </si>
  <si>
    <t>THA</t>
  </si>
  <si>
    <t>The Bahamas</t>
  </si>
  <si>
    <t>Bahamas</t>
  </si>
  <si>
    <t>044</t>
  </si>
  <si>
    <t>BHS</t>
  </si>
  <si>
    <t>BS</t>
  </si>
  <si>
    <t>Timor, East </t>
  </si>
  <si>
    <t>Timor-Leste</t>
  </si>
  <si>
    <t>TT</t>
  </si>
  <si>
    <t>626</t>
  </si>
  <si>
    <t>TLS</t>
  </si>
  <si>
    <t>TL</t>
  </si>
  <si>
    <t>Togo</t>
  </si>
  <si>
    <t>TO</t>
  </si>
  <si>
    <t>768</t>
  </si>
  <si>
    <t>TGO</t>
  </si>
  <si>
    <t>TG</t>
  </si>
  <si>
    <t>Tokelau</t>
  </si>
  <si>
    <t>772</t>
  </si>
  <si>
    <t>TKL</t>
  </si>
  <si>
    <t>TK</t>
  </si>
  <si>
    <t>Tonga</t>
  </si>
  <si>
    <t>TN</t>
  </si>
  <si>
    <t>776</t>
  </si>
  <si>
    <t>TON</t>
  </si>
  <si>
    <t>Trinidad &amp; Tobago</t>
  </si>
  <si>
    <t>780</t>
  </si>
  <si>
    <t>TTO</t>
  </si>
  <si>
    <t>Tunisia</t>
  </si>
  <si>
    <t>TS</t>
  </si>
  <si>
    <t>788</t>
  </si>
  <si>
    <t>TUN</t>
  </si>
  <si>
    <t>Turkey</t>
  </si>
  <si>
    <t>TU</t>
  </si>
  <si>
    <t>792</t>
  </si>
  <si>
    <t>TUR</t>
  </si>
  <si>
    <t>TR</t>
  </si>
  <si>
    <t>Turkmenistan</t>
  </si>
  <si>
    <t>TX</t>
  </si>
  <si>
    <t>795</t>
  </si>
  <si>
    <t>TKM</t>
  </si>
  <si>
    <t>TM</t>
  </si>
  <si>
    <t>Turks &amp; Caicos Is.</t>
  </si>
  <si>
    <t>Turks and Caicos Islands</t>
  </si>
  <si>
    <t>796</t>
  </si>
  <si>
    <t>TCA</t>
  </si>
  <si>
    <t>TC</t>
  </si>
  <si>
    <t>Tuvalu</t>
  </si>
  <si>
    <t>TV</t>
  </si>
  <si>
    <t>798</t>
  </si>
  <si>
    <t>TUV</t>
  </si>
  <si>
    <t>Uganda</t>
  </si>
  <si>
    <t>UG</t>
  </si>
  <si>
    <t>800</t>
  </si>
  <si>
    <t>UGA</t>
  </si>
  <si>
    <t>Ukraine</t>
  </si>
  <si>
    <t>UP</t>
  </si>
  <si>
    <t>804</t>
  </si>
  <si>
    <t>UKR</t>
  </si>
  <si>
    <t>UA</t>
  </si>
  <si>
    <t>United Arab Emirates</t>
  </si>
  <si>
    <t>AE</t>
  </si>
  <si>
    <t>784</t>
  </si>
  <si>
    <t>ARE</t>
  </si>
  <si>
    <t>United Kingdom</t>
  </si>
  <si>
    <t>UK</t>
  </si>
  <si>
    <t>826</t>
  </si>
  <si>
    <t>GBR</t>
  </si>
  <si>
    <t>United States</t>
  </si>
  <si>
    <t>US</t>
  </si>
  <si>
    <t>840</t>
  </si>
  <si>
    <t>USA</t>
  </si>
  <si>
    <t>UM</t>
  </si>
  <si>
    <t>581</t>
  </si>
  <si>
    <t>UMI</t>
  </si>
  <si>
    <t>Uruguay</t>
  </si>
  <si>
    <t>UY</t>
  </si>
  <si>
    <t>858</t>
  </si>
  <si>
    <t>URY</t>
  </si>
  <si>
    <t>Uzbekistan</t>
  </si>
  <si>
    <t>UZ</t>
  </si>
  <si>
    <t>860</t>
  </si>
  <si>
    <t>UZB</t>
  </si>
  <si>
    <t>Vanuatu</t>
  </si>
  <si>
    <t>NH</t>
  </si>
  <si>
    <t>548</t>
  </si>
  <si>
    <t>VUT</t>
  </si>
  <si>
    <t>VU</t>
  </si>
  <si>
    <t>Vatican City</t>
  </si>
  <si>
    <t>Holy See (Vatican City State)</t>
  </si>
  <si>
    <t>VT</t>
  </si>
  <si>
    <t>336</t>
  </si>
  <si>
    <t>VAT</t>
  </si>
  <si>
    <t>VA</t>
  </si>
  <si>
    <t>Venezuela</t>
  </si>
  <si>
    <t>Venezuela, Bolivarian Republic of</t>
  </si>
  <si>
    <t>VE</t>
  </si>
  <si>
    <t>862</t>
  </si>
  <si>
    <t>VEN</t>
  </si>
  <si>
    <t>Vietnam</t>
  </si>
  <si>
    <t>Viet Nam</t>
  </si>
  <si>
    <t>VM</t>
  </si>
  <si>
    <t>704</t>
  </si>
  <si>
    <t>VNM</t>
  </si>
  <si>
    <t>VN</t>
  </si>
  <si>
    <t>Virgin Islands, British</t>
  </si>
  <si>
    <t>VI</t>
  </si>
  <si>
    <t>092</t>
  </si>
  <si>
    <t>VGB</t>
  </si>
  <si>
    <t>VG</t>
  </si>
  <si>
    <t>Virgin Islands, U.S.</t>
  </si>
  <si>
    <t>VQ</t>
  </si>
  <si>
    <t>850</t>
  </si>
  <si>
    <t>VIR</t>
  </si>
  <si>
    <t>Wake I.</t>
  </si>
  <si>
    <t>Wake Island</t>
  </si>
  <si>
    <t>WQ</t>
  </si>
  <si>
    <t>872</t>
  </si>
  <si>
    <t>UM-79</t>
  </si>
  <si>
    <t>Wallis &amp; Futuna</t>
  </si>
  <si>
    <t>Wallis and Futuna</t>
  </si>
  <si>
    <t>WF</t>
  </si>
  <si>
    <t>876</t>
  </si>
  <si>
    <t>WLF</t>
  </si>
  <si>
    <t>West Bank</t>
  </si>
  <si>
    <t>WE</t>
  </si>
  <si>
    <t>Western Sahara</t>
  </si>
  <si>
    <t>WI</t>
  </si>
  <si>
    <t>732</t>
  </si>
  <si>
    <t>ESH</t>
  </si>
  <si>
    <t>EH</t>
  </si>
  <si>
    <t>Yemen</t>
  </si>
  <si>
    <t>YM</t>
  </si>
  <si>
    <t>887</t>
  </si>
  <si>
    <t>YEM</t>
  </si>
  <si>
    <t>YE</t>
  </si>
  <si>
    <t>Zambia</t>
  </si>
  <si>
    <t>894</t>
  </si>
  <si>
    <t>ZMB</t>
  </si>
  <si>
    <t>ZM</t>
  </si>
  <si>
    <t>Zimbabwe</t>
  </si>
  <si>
    <t>ZI</t>
  </si>
  <si>
    <t>716</t>
  </si>
  <si>
    <t>ZWE</t>
  </si>
  <si>
    <t>ZW</t>
  </si>
  <si>
    <t>Themes - Consolidated</t>
  </si>
  <si>
    <t>EXPERTISE</t>
  </si>
  <si>
    <t>PROJECT</t>
  </si>
  <si>
    <t>Themes</t>
  </si>
  <si>
    <t>Sub-Themes</t>
  </si>
  <si>
    <t>Theme Count, EXPERTISE</t>
  </si>
  <si>
    <t>Sub-Theme Count, EXPERTISE</t>
  </si>
  <si>
    <t>Theme Count, PROJECT</t>
  </si>
  <si>
    <t>Sub-Theme Count, PROJECT</t>
  </si>
  <si>
    <t>Capacity-Building</t>
  </si>
  <si>
    <t>Client Relations, Network, and Partnership Development</t>
  </si>
  <si>
    <t>Corporate Social Responsibility</t>
  </si>
  <si>
    <t>Skills-Sharings</t>
  </si>
  <si>
    <t>-</t>
  </si>
  <si>
    <t>Economic Growth</t>
  </si>
  <si>
    <t>Civic Engagement</t>
  </si>
  <si>
    <t>Environment and Natural Resources</t>
  </si>
  <si>
    <t>Conflict Prevention and Post-Conflict Reconstruction</t>
  </si>
  <si>
    <t>Financial Management</t>
  </si>
  <si>
    <t>Gender Equity Initiatives -regional</t>
  </si>
  <si>
    <t>Governance</t>
  </si>
  <si>
    <t>Social Development</t>
  </si>
  <si>
    <t>Health and Human Welfare</t>
  </si>
  <si>
    <t>Stakeholder Participation</t>
  </si>
  <si>
    <t>Rural Development</t>
  </si>
  <si>
    <t>Analysis of Economic Growth</t>
  </si>
  <si>
    <t>Social Investment</t>
  </si>
  <si>
    <t>Economic Statistics, Modeling and Forecasting</t>
  </si>
  <si>
    <t>Social Protection</t>
  </si>
  <si>
    <t>Fostering Physical Infrastructure Development</t>
  </si>
  <si>
    <t>Trade and Integration</t>
  </si>
  <si>
    <t>Information and Communication Technology</t>
  </si>
  <si>
    <t>Urban Development</t>
  </si>
  <si>
    <t>Infrastructure Services for Private-Sector Development</t>
  </si>
  <si>
    <t>Micro, Small and Medium Enterprise Support</t>
  </si>
  <si>
    <t>Other Economic Management</t>
  </si>
  <si>
    <t>Private Sector Development</t>
  </si>
  <si>
    <t>Promoting Economic Efficiency and Enabling Markets</t>
  </si>
  <si>
    <t>Promoting Macroeconomic Stability</t>
  </si>
  <si>
    <t>State-Owned Enterprise Restructuring and Privatization</t>
  </si>
  <si>
    <t>Biodiversity</t>
  </si>
  <si>
    <t>Climate Change</t>
  </si>
  <si>
    <t>Environmental Policies and Legislation</t>
  </si>
  <si>
    <t>Global and Regional Trans-Boundary Environmental Concerns and Issues</t>
  </si>
  <si>
    <t>Land Administration and Management</t>
  </si>
  <si>
    <t>Natural Resources Conservation</t>
  </si>
  <si>
    <t>Other Environment and Natural Resources Management</t>
  </si>
  <si>
    <t>Pollution Management and Environmental Health</t>
  </si>
  <si>
    <t>Urban Environmental Improvement</t>
  </si>
  <si>
    <t>Water Resource Management</t>
  </si>
  <si>
    <t>Anti-Money Laundering and Combating the Financing of Terrorism</t>
  </si>
  <si>
    <t>Corporate Governance</t>
  </si>
  <si>
    <t>Debt Management and Fiscal Sustainability</t>
  </si>
  <si>
    <t>e-Services</t>
  </si>
  <si>
    <t>Financial Consumer Protection and Financial Literacy</t>
  </si>
  <si>
    <t>Macroeconomic Management</t>
  </si>
  <si>
    <t>Other Financial and Private-Sector Development</t>
  </si>
  <si>
    <t>Other Financial Sector Development</t>
  </si>
  <si>
    <t>Regulation and Competition Policy</t>
  </si>
  <si>
    <t>Access to Law and Justice</t>
  </si>
  <si>
    <t>Accountability/Transparency</t>
  </si>
  <si>
    <t>Administrative and Civil Service Reform</t>
  </si>
  <si>
    <t>Anti-Corruption</t>
  </si>
  <si>
    <t>Civil Society Participation</t>
  </si>
  <si>
    <t>Decentralization</t>
  </si>
  <si>
    <t>e-Government</t>
  </si>
  <si>
    <t>Financial and Economic Governance</t>
  </si>
  <si>
    <t>Human Rights</t>
  </si>
  <si>
    <t>Judicial and Other Dispute Resolution Mechanisms</t>
  </si>
  <si>
    <t>Legal Institutions for a Market Economy</t>
  </si>
  <si>
    <t>Legal Reform</t>
  </si>
  <si>
    <t>Legal Services</t>
  </si>
  <si>
    <t>Managing for Development Results</t>
  </si>
  <si>
    <t>Other Rule of Law</t>
  </si>
  <si>
    <t>Personal and Property Rights</t>
  </si>
  <si>
    <t>Policy/Institutional/Legal/Regulatory Reforms</t>
  </si>
  <si>
    <t>Private Sector Investment</t>
  </si>
  <si>
    <t>Privatization -general</t>
  </si>
  <si>
    <t>Public Expenditure, Financial Management and Procurement</t>
  </si>
  <si>
    <t>Public Governance</t>
  </si>
  <si>
    <t>Public Sector Governance</t>
  </si>
  <si>
    <t>Public-Private Partnerships</t>
  </si>
  <si>
    <t>Tax Policy and Administration</t>
  </si>
  <si>
    <t>Child Health</t>
  </si>
  <si>
    <t>Education for All</t>
  </si>
  <si>
    <t>Education for the Knowledge Economy</t>
  </si>
  <si>
    <t>Health System Performance</t>
  </si>
  <si>
    <t>HIV/AIDS</t>
  </si>
  <si>
    <t>Injuries and Non-Communicable Diseases</t>
  </si>
  <si>
    <t>Malaria</t>
  </si>
  <si>
    <t>Nutrition and Food Security</t>
  </si>
  <si>
    <t>Other Communicable Diseases</t>
  </si>
  <si>
    <t>Other Human Development</t>
  </si>
  <si>
    <t>Population and Reproductive Health</t>
  </si>
  <si>
    <t>Tuberculosis</t>
  </si>
  <si>
    <t>Global Food Crisis Response</t>
  </si>
  <si>
    <t>Other Rural Development</t>
  </si>
  <si>
    <t>Rural Markets</t>
  </si>
  <si>
    <t>Rural Non-Farm Income Generation</t>
  </si>
  <si>
    <t>Rural Policies and Institutions</t>
  </si>
  <si>
    <t>Rural Services and Infrastructure</t>
  </si>
  <si>
    <t>Communication Infrastructure</t>
  </si>
  <si>
    <t>Improving Labor Markets</t>
  </si>
  <si>
    <t>Local Business Investment</t>
  </si>
  <si>
    <t>Cultural Heritage</t>
  </si>
  <si>
    <t>Gender -general</t>
  </si>
  <si>
    <t>Gender Equity in Capabilities</t>
  </si>
  <si>
    <t>Gender Equity in Empowerment and Rights</t>
  </si>
  <si>
    <t>Gender Equity in Opportunities</t>
  </si>
  <si>
    <t>Indigenous Peoples</t>
  </si>
  <si>
    <t>Involuntary Resettlement</t>
  </si>
  <si>
    <t>Natural Disaster Management</t>
  </si>
  <si>
    <t>Poverty Analysis</t>
  </si>
  <si>
    <t>Poverty Monitoring</t>
  </si>
  <si>
    <t>Poverty Reduction Strategy</t>
  </si>
  <si>
    <t>Risk Assessment</t>
  </si>
  <si>
    <t>Social Analysis and Monitoring</t>
  </si>
  <si>
    <t>Social Inclusion</t>
  </si>
  <si>
    <t>Social Protection and Risk Management</t>
  </si>
  <si>
    <t>Social Risk Mitigation</t>
  </si>
  <si>
    <t>Social Safety Nets</t>
  </si>
  <si>
    <t>Vulnerability Assessment</t>
  </si>
  <si>
    <t>Vulnerability Monitoring</t>
  </si>
  <si>
    <t>Vulnerable Groups</t>
  </si>
  <si>
    <t>Cross-Border Infrastructure</t>
  </si>
  <si>
    <t>Export Development and Competitiveness</t>
  </si>
  <si>
    <t>International Financial Architecture</t>
  </si>
  <si>
    <t>International Financial Institutional Trade Networks and Systems</t>
  </si>
  <si>
    <t>International Financial Standards and Systems</t>
  </si>
  <si>
    <t>Money and Finance</t>
  </si>
  <si>
    <t>Other Trade and Integration</t>
  </si>
  <si>
    <t>Regional Integration</t>
  </si>
  <si>
    <t>Regional Public Goods</t>
  </si>
  <si>
    <t>Technology Diffusion</t>
  </si>
  <si>
    <t>Trade and Investments</t>
  </si>
  <si>
    <t>Trade Facilitation and Market Access</t>
  </si>
  <si>
    <t>City-Wide Infrastructure</t>
  </si>
  <si>
    <t>Housing Construction for the Poor</t>
  </si>
  <si>
    <t>Housing Policy for the Poor</t>
  </si>
  <si>
    <t>Municipal Finance</t>
  </si>
  <si>
    <t>Municipal Governance and Institution Building</t>
  </si>
  <si>
    <t>Service Delivery</t>
  </si>
  <si>
    <t>Urban Development -regional</t>
  </si>
  <si>
    <t>Urban Economic Development</t>
  </si>
  <si>
    <t>Urban Planning</t>
  </si>
  <si>
    <t>Urban Services</t>
  </si>
  <si>
    <t>Sectors</t>
  </si>
  <si>
    <t>Sub-Sectors</t>
  </si>
  <si>
    <t>Sector Count, EXPERTISE</t>
  </si>
  <si>
    <t>Sub-Sector Count, EXPERTISE</t>
  </si>
  <si>
    <t>Sector Count, PROJECT</t>
  </si>
  <si>
    <t>Sub-Sector Count, PROJECT</t>
  </si>
  <si>
    <t>Agriculture, Fishing, &amp; Forestry / Natural Resources</t>
  </si>
  <si>
    <t>Agricultural Extension and Research</t>
  </si>
  <si>
    <t>Agriculture Production, Agro-Processing, and Agro-Business</t>
  </si>
  <si>
    <t>Agriculture Sector Development</t>
  </si>
  <si>
    <t>Animal Production</t>
  </si>
  <si>
    <t>Aquaculture</t>
  </si>
  <si>
    <t>Crops</t>
  </si>
  <si>
    <t>Dairy</t>
  </si>
  <si>
    <t>Environment and Biodiversity</t>
  </si>
  <si>
    <t>Fats and Oils</t>
  </si>
  <si>
    <t>Fishery</t>
  </si>
  <si>
    <t>Forests</t>
  </si>
  <si>
    <t>Fruits &amp; Vegetables</t>
  </si>
  <si>
    <t>Grains</t>
  </si>
  <si>
    <t>Irrigation and Drainage</t>
  </si>
  <si>
    <t>Livestock</t>
  </si>
  <si>
    <t>Mineral Resources</t>
  </si>
  <si>
    <t>Processed Food &amp; Beverages</t>
  </si>
  <si>
    <t>Sugar</t>
  </si>
  <si>
    <t>Economic Management</t>
  </si>
  <si>
    <t>Public Finance and Expenditure Management</t>
  </si>
  <si>
    <t>Education</t>
  </si>
  <si>
    <t>Adult Literacy</t>
  </si>
  <si>
    <t>Basic Education</t>
  </si>
  <si>
    <t>Education Sector Development</t>
  </si>
  <si>
    <t>General Education Sector</t>
  </si>
  <si>
    <t>Non-Formal Education</t>
  </si>
  <si>
    <t>Early Education</t>
  </si>
  <si>
    <t>Primary Education</t>
  </si>
  <si>
    <t>Secondary Education</t>
  </si>
  <si>
    <t>Senior Secondary General Education</t>
  </si>
  <si>
    <t>Technical Education</t>
  </si>
  <si>
    <t>Tertiary Education</t>
  </si>
  <si>
    <t>Vocational Training and Skills Development</t>
  </si>
  <si>
    <t>Energy</t>
  </si>
  <si>
    <t>Conventional Energy Generation</t>
  </si>
  <si>
    <t>Energy Efficiency in Heat and Power</t>
  </si>
  <si>
    <t>Energy Sector Development</t>
  </si>
  <si>
    <t>General Energy Sector</t>
  </si>
  <si>
    <t>Hydropower</t>
  </si>
  <si>
    <t>Renewable Energy</t>
  </si>
  <si>
    <t>Thermal Power Generation</t>
  </si>
  <si>
    <t>Energy Transmission and Distribution</t>
  </si>
  <si>
    <t>Electrical Systems</t>
  </si>
  <si>
    <t>Extractive Industries</t>
  </si>
  <si>
    <t>Coal</t>
  </si>
  <si>
    <t>Mining</t>
  </si>
  <si>
    <t>Oil and Gas</t>
  </si>
  <si>
    <t>Other Extractive Industries</t>
  </si>
  <si>
    <t>Finance</t>
  </si>
  <si>
    <t>Banking</t>
  </si>
  <si>
    <t>Business and Other Services</t>
  </si>
  <si>
    <t>Capital Markets and Funds</t>
  </si>
  <si>
    <t>Credit Reporting and Secured Transactions</t>
  </si>
  <si>
    <t>Finance Sector Development and Reform</t>
  </si>
  <si>
    <t>General Finance Sector</t>
  </si>
  <si>
    <t>Housing Finance</t>
  </si>
  <si>
    <t>Microfinance</t>
  </si>
  <si>
    <t>Non-Compulsory Health Finance</t>
  </si>
  <si>
    <t>Non-Compulsory Pensions and Insurance</t>
  </si>
  <si>
    <t>Other Non-Bank Financial Intermediaries</t>
  </si>
  <si>
    <t>Payments, Settlements, and Remittance Systems</t>
  </si>
  <si>
    <t>Pensions, Insurance, Social Security and Contractual Savings</t>
  </si>
  <si>
    <t>Private Equity and Investment Funds</t>
  </si>
  <si>
    <t>SME Finance</t>
  </si>
  <si>
    <t>Financial Institutions</t>
  </si>
  <si>
    <t>Financial Infrastructure</t>
  </si>
  <si>
    <t>Private Equity Funds</t>
  </si>
  <si>
    <t>Retail Finance</t>
  </si>
  <si>
    <t>Risk Management</t>
  </si>
  <si>
    <t>Sustainability and Climate Business</t>
  </si>
  <si>
    <t>Trade and Supply Chain</t>
  </si>
  <si>
    <t>Health and Nutrition</t>
  </si>
  <si>
    <t>Early Childhood Development</t>
  </si>
  <si>
    <t>Healthcare</t>
  </si>
  <si>
    <t>Integrated Programs for Health- and Social-Services</t>
  </si>
  <si>
    <t>Health Programs &amp; Services</t>
  </si>
  <si>
    <t>Social Programs &amp; Services</t>
  </si>
  <si>
    <t>Nutrition</t>
  </si>
  <si>
    <t>Industry, Manufacturing and Trade</t>
  </si>
  <si>
    <t>Agro-Industry, Marketing, and Trade</t>
  </si>
  <si>
    <t>Energy Efficient Machinery</t>
  </si>
  <si>
    <t>Construction -general</t>
  </si>
  <si>
    <t>Industry and Trade</t>
  </si>
  <si>
    <t>Housing Construction</t>
  </si>
  <si>
    <t>Industry -general</t>
  </si>
  <si>
    <t>Domestic and International Trade</t>
  </si>
  <si>
    <t>(Petro-) Chemicals and Fertilizers</t>
  </si>
  <si>
    <t>Property</t>
  </si>
  <si>
    <t>Retail -general</t>
  </si>
  <si>
    <t>Small- and Medium-Scale Enterprises</t>
  </si>
  <si>
    <t>Tourism</t>
  </si>
  <si>
    <t>Trade -general</t>
  </si>
  <si>
    <t>Infrastructure</t>
  </si>
  <si>
    <t>IFC InfraVentures</t>
  </si>
  <si>
    <t>Power Infrastructure</t>
  </si>
  <si>
    <t>Renewables</t>
  </si>
  <si>
    <t>Subnational Finance</t>
  </si>
  <si>
    <t>Transportation Infrastructure</t>
  </si>
  <si>
    <t>Water Infrastructure</t>
  </si>
  <si>
    <t>Integrated</t>
  </si>
  <si>
    <t>Integrated Sub-Sector</t>
  </si>
  <si>
    <t>Multisector</t>
  </si>
  <si>
    <t>Not Listed</t>
  </si>
  <si>
    <t>Other</t>
  </si>
  <si>
    <t>Other Sub-Sector</t>
  </si>
  <si>
    <t>Public Administration, Law, and Justice</t>
  </si>
  <si>
    <t>Central Government Administration</t>
  </si>
  <si>
    <t>Compulsory Pension and Unemployment Insurance</t>
  </si>
  <si>
    <t>General Public Administration Sector</t>
  </si>
  <si>
    <t>Government and Civil Society</t>
  </si>
  <si>
    <t>Law and Judiciary</t>
  </si>
  <si>
    <t>National Government Administration</t>
  </si>
  <si>
    <t>Public Administration - Agriculture, Fishing and Forestry</t>
  </si>
  <si>
    <t>Public Administration - Education</t>
  </si>
  <si>
    <t>Public Administration - Energy and Natural Resource Extraction</t>
  </si>
  <si>
    <t>Public Administration - Financial Sector</t>
  </si>
  <si>
    <t>Public Administration - Health Services</t>
  </si>
  <si>
    <t>Public Administration - Trade</t>
  </si>
  <si>
    <t>Public Administration - Information and Communications</t>
  </si>
  <si>
    <t>Public Administration - Social Services</t>
  </si>
  <si>
    <t>Public Administration - Transportation</t>
  </si>
  <si>
    <t>Public Administration - Water, Sanitation and Flood Protection</t>
  </si>
  <si>
    <t>Sub-national Governance</t>
  </si>
  <si>
    <t>Support to NGOs</t>
  </si>
  <si>
    <t>Telecoms, Media &amp; Information Technology</t>
  </si>
  <si>
    <t>General Information and Communications Sector</t>
  </si>
  <si>
    <t>Information Technology</t>
  </si>
  <si>
    <t>Media &amp; Broadcast Information</t>
  </si>
  <si>
    <t>Postal Services</t>
  </si>
  <si>
    <t>Telecommunications</t>
  </si>
  <si>
    <t>Transport and Communication</t>
  </si>
  <si>
    <t>Aviation</t>
  </si>
  <si>
    <t>General Transportation Sector</t>
  </si>
  <si>
    <t>Multimodal Transport and Sector Development</t>
  </si>
  <si>
    <t>Ports, Waterways and Shipping</t>
  </si>
  <si>
    <t>Railways</t>
  </si>
  <si>
    <t>Roads and Highways</t>
  </si>
  <si>
    <t>Rural and Inter-Urban Transport Infrastructure</t>
  </si>
  <si>
    <t>Transport and Storage</t>
  </si>
  <si>
    <t>Urban Transport Systems</t>
  </si>
  <si>
    <t>Public Transit Services</t>
  </si>
  <si>
    <t>Water Supply, Sanitation, and Waste Management</t>
  </si>
  <si>
    <t>Flood Protection -general</t>
  </si>
  <si>
    <t>Integrated Water, Sanitation and Flood Management</t>
  </si>
  <si>
    <t>Water Management -Integrated</t>
  </si>
  <si>
    <t>Sanitation -general</t>
  </si>
  <si>
    <t>Solid Waste Management</t>
  </si>
  <si>
    <t>Wastewater Collection and Transportation</t>
  </si>
  <si>
    <t>Wastewater Treatment and Disposal</t>
  </si>
  <si>
    <t>Water Supply</t>
  </si>
  <si>
    <t>PS1: Assessment and Management of Environmental and Social Risks and Impacts</t>
  </si>
  <si>
    <t>Community Engagement</t>
  </si>
  <si>
    <t>PS2: Labor and Working Conditions</t>
  </si>
  <si>
    <t>Contractor E&amp;S Management</t>
  </si>
  <si>
    <t>PS3: Resource Efficiency and Pollution Prevention</t>
  </si>
  <si>
    <t>E&amp;S Organizational Capacity Assessment</t>
  </si>
  <si>
    <t>PS4: Community Health, Safety, and Security</t>
  </si>
  <si>
    <t>E&amp;S Training Design</t>
  </si>
  <si>
    <t>PS5: Land Acquisition and Involuntary Resettlement</t>
  </si>
  <si>
    <t>E&amp;S Management System</t>
  </si>
  <si>
    <t>PS6: Biodiversity Conservation and Sustainable Management of Living Natural Resources</t>
  </si>
  <si>
    <t>Environmental and Social Impact Assessment</t>
  </si>
  <si>
    <t>PS7: Indigenous Peoples</t>
  </si>
  <si>
    <t>Food Safety and HACCP</t>
  </si>
  <si>
    <t>PS8: Cultural Heritage</t>
  </si>
  <si>
    <t>Gender Development</t>
  </si>
  <si>
    <t>Human Rights Assessment</t>
  </si>
  <si>
    <t>Organic Food Certification</t>
  </si>
  <si>
    <t>Social Impact Assessment and Socio-economic baseline study</t>
  </si>
  <si>
    <t>Stakeholder Engagement and Grievance Mechanisms</t>
  </si>
  <si>
    <t>Supply Chain E&amp;S Assessment</t>
  </si>
  <si>
    <t>Assessment of migrant worker related issues</t>
  </si>
  <si>
    <t>Child and Forced Labor Assessment</t>
  </si>
  <si>
    <t>Labor and Working Conditions</t>
  </si>
  <si>
    <t>Labor Audits based on ILO Conventions</t>
  </si>
  <si>
    <t>Occupational Health and Safety</t>
  </si>
  <si>
    <t>Retrenchment Audit</t>
  </si>
  <si>
    <t>Supply Chain Labor Assessment</t>
  </si>
  <si>
    <t>Workers Organization and Greivance Mechanisms</t>
  </si>
  <si>
    <t>Air Emission Management</t>
  </si>
  <si>
    <t>Cleaner Production</t>
  </si>
  <si>
    <t>Energy Efficiency</t>
  </si>
  <si>
    <t>Green Building and Construction</t>
  </si>
  <si>
    <t>Greenhouse Gas Emission Audit</t>
  </si>
  <si>
    <t>Hazardous Material Management</t>
  </si>
  <si>
    <t>Urban and Regional Planning</t>
  </si>
  <si>
    <t>Wastewater Management</t>
  </si>
  <si>
    <t>Water Efficiency</t>
  </si>
  <si>
    <t>Buildings Structural Integrity</t>
  </si>
  <si>
    <t>Community Health and Safety</t>
  </si>
  <si>
    <t>Community Security</t>
  </si>
  <si>
    <t>Life and Fire Safety</t>
  </si>
  <si>
    <t>Infrastructure and Equipment Safety</t>
  </si>
  <si>
    <t>Community Benefit Sharing Schemes</t>
  </si>
  <si>
    <t>Land Acquisition and Resettlement</t>
  </si>
  <si>
    <t>Livelihood Restoration</t>
  </si>
  <si>
    <t>Biodiversity Assessment</t>
  </si>
  <si>
    <t>Biodiversity Offset Planning and Implementation</t>
  </si>
  <si>
    <t>Ecosystem Services Review</t>
  </si>
  <si>
    <t>Forestry Management</t>
  </si>
  <si>
    <t>Geographic Information System &amp; Land Use Planning</t>
  </si>
  <si>
    <t>Natural Resource Management</t>
  </si>
  <si>
    <t>Supply Chain Biodiversity Assessment</t>
  </si>
  <si>
    <t>Sustainable Forestry Certification (FSC, PEFC)</t>
  </si>
  <si>
    <t>Free Prior and Informed Consent (FPIC)</t>
  </si>
  <si>
    <t>Indigenous Peoples and Ethnic Minorities</t>
  </si>
  <si>
    <t>Critical Cultural Heritage</t>
  </si>
  <si>
    <t>Cultural Heritage Assessment and Preservation</t>
  </si>
  <si>
    <t>Airlines</t>
  </si>
  <si>
    <t>Airports</t>
  </si>
  <si>
    <t>Annual Crop Production</t>
  </si>
  <si>
    <t>Base Metal Smelting and Refining</t>
  </si>
  <si>
    <t>Biomass Collection and Processing</t>
  </si>
  <si>
    <t>Board and Particle-based Products</t>
  </si>
  <si>
    <t>Breweries</t>
  </si>
  <si>
    <t>Cement and Lime Manufacturing</t>
  </si>
  <si>
    <t>Ceramic Tile and Sanitary Ware Manufacturing</t>
  </si>
  <si>
    <t>Coal Tar Distillation</t>
  </si>
  <si>
    <t>Coal Processing</t>
  </si>
  <si>
    <t>Construction Materials Extraction</t>
  </si>
  <si>
    <t>Crude Oil and Petroleum Product Terminals</t>
  </si>
  <si>
    <t>Dairy Processing</t>
  </si>
  <si>
    <t>Electric Power Transmission and Distribution</t>
  </si>
  <si>
    <t>Financial Intermediaries (e.g. Banks, PE Funds)</t>
  </si>
  <si>
    <t>Fish Processing</t>
  </si>
  <si>
    <t>Food and Beverage Processing</t>
  </si>
  <si>
    <t>Forest Harvesting Operations</t>
  </si>
  <si>
    <t>Foundries</t>
  </si>
  <si>
    <t>Gas Distribution Systems</t>
  </si>
  <si>
    <t>Geothermal Power Generation</t>
  </si>
  <si>
    <t>Glass Manufacturing</t>
  </si>
  <si>
    <t>Health Care Facilities</t>
  </si>
  <si>
    <t>Integrated Steel Mills</t>
  </si>
  <si>
    <t>Large Volume Inorganic Compounds Manufacturing and Coal Tar Distillation</t>
  </si>
  <si>
    <t>Large Volume Petroleum based Organic Chemicals Manufacturing</t>
  </si>
  <si>
    <t>Liquefied Natural Gas (LNG) Facilities</t>
  </si>
  <si>
    <t>Mammalian Livestock Production</t>
  </si>
  <si>
    <t>Meat Processing</t>
  </si>
  <si>
    <t>Metal, Plastic, Rubber Products Manufacturing</t>
  </si>
  <si>
    <t>Natural Gas Processing</t>
  </si>
  <si>
    <t>Nitrogenous Fertilizer Manufacturing</t>
  </si>
  <si>
    <t>Offshore Oil and Gas Development</t>
  </si>
  <si>
    <t>Oleochemicals Manufacturing</t>
  </si>
  <si>
    <t>Onshore Oil and Gas Development</t>
  </si>
  <si>
    <t>Pesticides Formulation, Manufacturing and Packaging</t>
  </si>
  <si>
    <t>Petroleum Refining</t>
  </si>
  <si>
    <t>Petroleum based Polymers Manufacturing</t>
  </si>
  <si>
    <t>Pharmaceuticals and Biotechnology</t>
  </si>
  <si>
    <t>Phosphate Fertilizer Manufacturing</t>
  </si>
  <si>
    <t>Plantation Crop Production</t>
  </si>
  <si>
    <t>Ports, Harbors and Terminals</t>
  </si>
  <si>
    <t>Poultry Processing</t>
  </si>
  <si>
    <t>Poultry Production</t>
  </si>
  <si>
    <t>Printing</t>
  </si>
  <si>
    <t>Pulp and Paper Mills</t>
  </si>
  <si>
    <t>Retail Petroleum Networks</t>
  </si>
  <si>
    <t>Sawmilling and Wood-based Products</t>
  </si>
  <si>
    <t>Semiconductors and Electronics Manufacturing</t>
  </si>
  <si>
    <t>Shipping</t>
  </si>
  <si>
    <t>Solar Power</t>
  </si>
  <si>
    <t>Sugar Manufacturing</t>
  </si>
  <si>
    <t>Tanning and Leather Finishing</t>
  </si>
  <si>
    <t>Textiles Manufacturing</t>
  </si>
  <si>
    <t>Thermal Power</t>
  </si>
  <si>
    <t>Toll Roads</t>
  </si>
  <si>
    <t>Tourism and Hospitality Development</t>
  </si>
  <si>
    <t>Vegetable Oil Processing</t>
  </si>
  <si>
    <t>Waste Management Facilities</t>
  </si>
  <si>
    <t>Waste to Energy</t>
  </si>
  <si>
    <t>Water and Sanitation</t>
  </si>
  <si>
    <t>Wind Energy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</si>
</sst>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5"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3366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D9D2E9"/>
      <name val="Arial"/>
    </font>
    <font>
      <b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3366"/>
      <name val="Arial"/>
    </font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3366"/>
      <name val="Arial"/>
    </font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3366"/>
      <name val="Arial"/>
    </font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F3F3F3"/>
      <name val="Arial"/>
    </font>
    <font>
      <b/>
      <i val="0"/>
      <strike val="0"/>
      <u val="none"/>
      <sz val="10.0"/>
      <color rgb="FF000000"/>
      <name val="Arial"/>
    </font>
    <font>
      <b val="0"/>
      <i/>
      <strike val="0"/>
      <u val="none"/>
      <sz val="10.0"/>
      <color rgb="FF003366"/>
      <name val="Arial"/>
    </font>
    <font>
      <b val="0"/>
      <i val="0"/>
      <strike val="0"/>
      <u val="none"/>
      <sz val="10.0"/>
      <color rgb="FFF3F3F3"/>
      <name val="Arial"/>
    </font>
    <font>
      <b/>
      <i val="0"/>
      <strike val="0"/>
      <u val="none"/>
      <sz val="10.0"/>
      <color rgb="FF8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3366"/>
      <name val="Arial"/>
    </font>
    <font>
      <b val="0"/>
      <i val="0"/>
      <strike val="0"/>
      <u val="none"/>
      <sz val="10.0"/>
      <color rgb="FFD9D2E9"/>
      <name val="Arial"/>
    </font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800000"/>
      <name val="Arial"/>
    </font>
    <font>
      <b val="0"/>
      <i val="0"/>
      <strike val="0"/>
      <u val="none"/>
      <sz val="10.0"/>
      <color rgb="FF003366"/>
      <name val="Arial"/>
    </font>
    <font>
      <b val="0"/>
      <i val="0"/>
      <strike val="0"/>
      <u val="none"/>
      <sz val="10.0"/>
      <color rgb="FF003366"/>
      <name val="Arial"/>
    </font>
    <font>
      <b/>
      <i val="0"/>
      <strike val="0"/>
      <u val="none"/>
      <sz val="10.0"/>
      <color rgb="FF003366"/>
      <name val="Arial"/>
    </font>
    <font>
      <b val="0"/>
      <i val="0"/>
      <strike val="0"/>
      <u val="none"/>
      <sz val="10.0"/>
      <color rgb="FF003366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D9D2E9"/>
      <name val="Arial"/>
    </font>
    <font>
      <b/>
      <i val="0"/>
      <strike val="0"/>
      <u val="none"/>
      <sz val="10.0"/>
      <color rgb="FF003366"/>
      <name val="Arial"/>
    </font>
    <font>
      <b val="0"/>
      <i val="0"/>
      <strike val="0"/>
      <u val="none"/>
      <sz val="10.0"/>
      <color rgb="FF003366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3366"/>
      <name val="Arial"/>
    </font>
    <font>
      <b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3366"/>
      <name val="Arial"/>
    </font>
    <font>
      <b/>
      <i val="0"/>
      <strike val="0"/>
      <u val="none"/>
      <sz val="10.0"/>
      <color rgb="FF003366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FFFFFF"/>
      <name val="Arial"/>
    </font>
    <font>
      <b val="0"/>
      <i val="0"/>
      <strike val="0"/>
      <u val="none"/>
      <sz val="10.0"/>
      <color rgb="FF073763"/>
      <name val="Arial"/>
    </font>
    <font>
      <b val="0"/>
      <i/>
      <strike val="0"/>
      <u val="none"/>
      <sz val="10.0"/>
      <color rgb="FF003366"/>
      <name val="Arial"/>
    </font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3366"/>
      <name val="Arial"/>
    </font>
    <font>
      <b val="0"/>
      <i val="0"/>
      <strike val="0"/>
      <u val="none"/>
      <sz val="10.0"/>
      <color rgb="FF003366"/>
      <name val="Arial"/>
    </font>
    <font>
      <b val="0"/>
      <i val="0"/>
      <strike val="0"/>
      <u val="none"/>
      <sz val="10.0"/>
      <color rgb="FFFFFFFF"/>
      <name val="Arial"/>
    </font>
    <font>
      <b/>
      <i val="0"/>
      <strike val="0"/>
      <u val="none"/>
      <sz val="10.0"/>
      <color rgb="FF003366"/>
      <name val="Arial"/>
    </font>
    <font>
      <b/>
      <i val="0"/>
      <strike val="0"/>
      <u val="none"/>
      <sz val="10.0"/>
      <color rgb="FF003366"/>
      <name val="Arial"/>
    </font>
    <font>
      <b val="0"/>
      <i/>
      <strike val="0"/>
      <u val="none"/>
      <sz val="10.0"/>
      <color rgb="FF003366"/>
      <name val="Arial"/>
    </font>
    <font>
      <b/>
      <i val="0"/>
      <strike val="0"/>
      <u val="none"/>
      <sz val="10.0"/>
      <color rgb="FFFFFFFF"/>
      <name val="Arial"/>
    </font>
    <font>
      <b/>
      <i val="0"/>
      <strike val="0"/>
      <u val="none"/>
      <sz val="10.0"/>
      <color rgb="FF003366"/>
      <name val="Arial"/>
    </font>
    <font>
      <b val="0"/>
      <i val="0"/>
      <strike val="0"/>
      <u val="none"/>
      <sz val="10.0"/>
      <color rgb="FF003366"/>
      <name val="Arial"/>
    </font>
    <font>
      <b val="0"/>
      <i val="0"/>
      <strike val="0"/>
      <u val="none"/>
      <sz val="10.0"/>
      <color rgb="FFD9D2E9"/>
      <name val="Arial"/>
    </font>
  </fonts>
  <fills count="68">
    <fill>
      <patternFill patternType="none"/>
    </fill>
    <fill>
      <patternFill patternType="gray125">
        <bgColor rgb="FFFFFFFF"/>
      </patternFill>
    </fill>
    <fill>
      <patternFill patternType="solid">
        <fgColor rgb="FFBDE6E1"/>
        <bgColor indexed="64"/>
      </patternFill>
    </fill>
    <fill>
      <patternFill patternType="solid">
        <fgColor rgb="FFD0E0E3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D9D2E9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DD7E6B"/>
        <bgColor indexed="64"/>
      </patternFill>
    </fill>
    <fill>
      <patternFill patternType="solid">
        <fgColor rgb="FF5B0F00"/>
        <bgColor indexed="64"/>
      </patternFill>
    </fill>
    <fill>
      <patternFill patternType="solid">
        <fgColor rgb="FFC2D1F0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2D1F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BDE6E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73763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43434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BDE6E1"/>
        <bgColor indexed="64"/>
      </patternFill>
    </fill>
    <fill>
      <patternFill patternType="solid">
        <fgColor rgb="FFE1C7E1"/>
        <bgColor indexed="64"/>
      </patternFill>
    </fill>
    <fill>
      <patternFill patternType="solid">
        <fgColor rgb="FFDD7E6B"/>
        <bgColor indexed="64"/>
      </patternFill>
    </fill>
    <fill>
      <patternFill patternType="solid">
        <fgColor rgb="FF20124D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20124D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D0E0E3"/>
        <bgColor indexed="64"/>
      </patternFill>
    </fill>
    <fill>
      <patternFill patternType="solid">
        <fgColor rgb="FFC2D1F0"/>
        <bgColor indexed="64"/>
      </patternFill>
    </fill>
    <fill>
      <patternFill patternType="solid">
        <fgColor rgb="FFBDE6E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2D1F0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BDE6E1"/>
        <bgColor indexed="64"/>
      </patternFill>
    </fill>
    <fill>
      <patternFill patternType="solid">
        <fgColor rgb="FFC2D1F0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DD7E6B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C2D1F0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C2D1F0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E1C7E1"/>
        <bgColor indexed="64"/>
      </patternFill>
    </fill>
    <fill>
      <patternFill patternType="solid">
        <fgColor rgb="FFE1C7E1"/>
        <bgColor indexed="64"/>
      </patternFill>
    </fill>
    <fill>
      <patternFill patternType="solid">
        <fgColor rgb="FFC2D1F0"/>
        <bgColor indexed="64"/>
      </patternFill>
    </fill>
    <fill>
      <patternFill patternType="solid">
        <fgColor rgb="FF20124D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E1C7E1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5B0F00"/>
        <bgColor indexed="64"/>
      </patternFill>
    </fill>
    <fill>
      <patternFill patternType="solid">
        <fgColor rgb="FF660000"/>
        <bgColor indexed="64"/>
      </patternFill>
    </fill>
    <fill>
      <patternFill patternType="solid">
        <fgColor rgb="FFBDE6E1"/>
        <bgColor indexed="64"/>
      </patternFill>
    </fill>
  </fills>
  <borders count="10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</borders>
  <cellStyleXfs count="1">
    <xf fillId="0" numFmtId="0" borderId="0" fontId="0"/>
  </cellStyleXfs>
  <cellXfs count="91">
    <xf applyAlignment="1" fillId="0" xfId="0" numFmtId="0" borderId="0" fontId="0">
      <alignment vertical="bottom" horizontal="general" wrapText="1"/>
    </xf>
    <xf applyAlignment="1" fillId="2" xfId="0" numFmtId="0" borderId="0" applyFont="1" fontId="1" applyFill="1">
      <alignment vertical="top" horizontal="left" wrapText="1"/>
    </xf>
    <xf applyAlignment="1" fillId="3" xfId="0" numFmtId="49" borderId="0" applyFont="1" fontId="2" applyNumberFormat="1" applyFill="1">
      <alignment vertical="top" horizontal="left" wrapText="1"/>
    </xf>
    <xf applyAlignment="1" fillId="4" xfId="0" numFmtId="0" borderId="0" applyFont="1" fontId="3" applyFill="1">
      <alignment vertical="bottom" horizontal="center" wrapText="1"/>
    </xf>
    <xf applyAlignment="1" fillId="0" xfId="0" numFmtId="0" borderId="0" fontId="0">
      <alignment vertical="center" horizontal="left" wrapText="1"/>
    </xf>
    <xf applyAlignment="1" fillId="5" xfId="0" numFmtId="0" borderId="0" applyFont="1" fontId="4" applyFill="1">
      <alignment vertical="top" horizontal="general" wrapText="1"/>
    </xf>
    <xf applyAlignment="1" fillId="0" xfId="0" numFmtId="0" borderId="0" applyFont="1" fontId="5">
      <alignment vertical="top" horizontal="left" wrapText="1"/>
    </xf>
    <xf applyAlignment="1" fillId="6" xfId="0" numFmtId="0" borderId="0" fontId="0" applyFill="1">
      <alignment vertical="top" horizontal="general" wrapText="1"/>
    </xf>
    <xf applyAlignment="1" fillId="7" xfId="0" numFmtId="0" borderId="0" fontId="0" applyFill="1">
      <alignment vertical="top" horizontal="general" wrapText="1"/>
    </xf>
    <xf applyAlignment="1" fillId="8" xfId="0" numFmtId="0" borderId="0" applyFont="1" fontId="6" applyFill="1">
      <alignment vertical="top" horizontal="left" wrapText="1"/>
    </xf>
    <xf applyAlignment="1" fillId="9" xfId="0" numFmtId="0" borderId="0" fontId="0" applyFill="1">
      <alignment vertical="bottom" horizontal="general" wrapText="1"/>
    </xf>
    <xf applyAlignment="1" fillId="10" xfId="0" numFmtId="0" borderId="0" applyFont="1" fontId="7" applyFill="1">
      <alignment vertical="top" horizontal="left" wrapText="1"/>
    </xf>
    <xf applyAlignment="1" fillId="0" xfId="0" numFmtId="0" borderId="0" fontId="0">
      <alignment vertical="top" horizontal="general" wrapText="1"/>
    </xf>
    <xf applyAlignment="1" fillId="11" xfId="0" numFmtId="0" borderId="0" applyFont="1" fontId="8" applyFill="1">
      <alignment vertical="bottom" horizontal="general" wrapText="1"/>
    </xf>
    <xf applyAlignment="1" fillId="12" xfId="0" numFmtId="0" borderId="0" applyFont="1" fontId="9" applyFill="1">
      <alignment vertical="top" horizontal="left" wrapText="1"/>
    </xf>
    <xf applyAlignment="1" fillId="13" xfId="0" numFmtId="0" borderId="0" fontId="0" applyFill="1">
      <alignment vertical="top" horizontal="general" wrapText="1"/>
    </xf>
    <xf applyAlignment="1" fillId="0" xfId="0" numFmtId="0" borderId="0" applyFont="1" fontId="10">
      <alignment vertical="bottom" horizontal="general" wrapText="1"/>
    </xf>
    <xf applyAlignment="1" fillId="0" xfId="0" numFmtId="0" borderId="0" applyFont="1" fontId="11">
      <alignment vertical="bottom" horizontal="general" wrapText="1"/>
    </xf>
    <xf applyBorder="1" applyAlignment="1" fillId="14" xfId="0" numFmtId="0" borderId="1" applyFont="1" fontId="12" applyFill="1">
      <alignment vertical="center" horizontal="center" wrapText="1"/>
    </xf>
    <xf applyAlignment="1" fillId="15" xfId="0" numFmtId="0" borderId="0" fontId="0" applyFill="1">
      <alignment vertical="bottom" horizontal="general" wrapText="1"/>
    </xf>
    <xf applyAlignment="1" fillId="16" xfId="0" numFmtId="0" borderId="0" fontId="0" applyFill="1">
      <alignment vertical="top" horizontal="general" wrapText="1"/>
    </xf>
    <xf applyAlignment="1" fillId="17" xfId="0" numFmtId="0" borderId="0" applyFont="1" fontId="13" applyFill="1">
      <alignment vertical="bottom" horizontal="general" wrapText="1"/>
    </xf>
    <xf applyAlignment="1" fillId="18" xfId="0" numFmtId="0" borderId="0" fontId="0" applyFill="1">
      <alignment vertical="top" horizontal="general" wrapText="1"/>
    </xf>
    <xf applyAlignment="1" fillId="0" xfId="0" numFmtId="0" borderId="0" fontId="0">
      <alignment vertical="top" horizontal="right" wrapText="1"/>
    </xf>
    <xf applyBorder="1" applyAlignment="1" fillId="0" xfId="0" numFmtId="0" borderId="2" fontId="0">
      <alignment vertical="top" horizontal="left" wrapText="1"/>
    </xf>
    <xf applyAlignment="1" fillId="19" xfId="0" numFmtId="0" borderId="0" applyFont="1" fontId="14" applyFill="1">
      <alignment vertical="top" horizontal="general" wrapText="1"/>
    </xf>
    <xf applyAlignment="1" fillId="20" xfId="0" numFmtId="0" borderId="0" applyFont="1" fontId="15" applyFill="1">
      <alignment vertical="bottom" horizontal="center" wrapText="1"/>
    </xf>
    <xf applyBorder="1" applyAlignment="1" fillId="0" xfId="0" numFmtId="0" borderId="3" applyFont="1" fontId="16">
      <alignment vertical="bottom" horizontal="general" wrapText="1"/>
    </xf>
    <xf applyAlignment="1" fillId="21" xfId="0" numFmtId="0" borderId="0" fontId="0" applyFill="1">
      <alignment vertical="top" horizontal="left" wrapText="1"/>
    </xf>
    <xf applyAlignment="1" fillId="22" xfId="0" numFmtId="0" borderId="0" applyFont="1" fontId="17" applyFill="1">
      <alignment vertical="top" horizontal="general" wrapText="1"/>
    </xf>
    <xf applyAlignment="1" fillId="23" xfId="0" numFmtId="0" borderId="0" applyFont="1" fontId="18" applyFill="1">
      <alignment vertical="top" horizontal="left"/>
    </xf>
    <xf applyAlignment="1" fillId="24" xfId="0" numFmtId="0" borderId="0" applyFont="1" fontId="19" applyFill="1">
      <alignment vertical="top" horizontal="left" wrapText="1"/>
    </xf>
    <xf applyAlignment="1" fillId="25" xfId="0" numFmtId="0" borderId="0" applyFont="1" fontId="20" applyFill="1">
      <alignment vertical="top" horizontal="left" wrapText="1"/>
    </xf>
    <xf applyAlignment="1" fillId="0" xfId="0" numFmtId="0" borderId="0" fontId="0">
      <alignment vertical="center" horizontal="center" wrapText="1"/>
    </xf>
    <xf applyAlignment="1" fillId="26" xfId="0" numFmtId="0" borderId="0" applyFont="1" fontId="21" applyFill="1">
      <alignment vertical="top" horizontal="left" wrapText="1"/>
    </xf>
    <xf applyBorder="1" applyAlignment="1" fillId="27" xfId="0" numFmtId="0" borderId="4" applyFont="1" fontId="22" applyFill="1">
      <alignment vertical="center" horizontal="center" wrapText="1"/>
    </xf>
    <xf applyAlignment="1" fillId="28" xfId="0" numFmtId="0" borderId="0" fontId="0" applyFill="1">
      <alignment vertical="top" horizontal="left" wrapText="1"/>
    </xf>
    <xf applyAlignment="1" fillId="29" xfId="0" numFmtId="49" borderId="0" applyFont="1" fontId="23" applyNumberFormat="1" applyFill="1">
      <alignment vertical="top" horizontal="left" wrapText="1"/>
    </xf>
    <xf applyAlignment="1" fillId="30" xfId="0" numFmtId="0" borderId="0" applyFont="1" fontId="24" applyFill="1">
      <alignment vertical="top" horizontal="general" wrapText="1"/>
    </xf>
    <xf applyAlignment="1" fillId="31" xfId="0" numFmtId="0" borderId="0" applyFont="1" fontId="25" applyFill="1">
      <alignment vertical="top" horizontal="left" wrapText="1"/>
    </xf>
    <xf applyAlignment="1" fillId="0" xfId="0" numFmtId="0" borderId="0" applyFont="1" fontId="26">
      <alignment vertical="bottom" horizontal="center" wrapText="1"/>
    </xf>
    <xf applyAlignment="1" fillId="32" xfId="0" numFmtId="0" borderId="0" applyFont="1" fontId="27" applyFill="1">
      <alignment vertical="center" horizontal="center" wrapText="1"/>
    </xf>
    <xf applyAlignment="1" fillId="33" xfId="0" numFmtId="0" borderId="0" fontId="0" applyFill="1">
      <alignment vertical="bottom" horizontal="general" wrapText="1"/>
    </xf>
    <xf applyAlignment="1" fillId="34" xfId="0" numFmtId="0" borderId="0" fontId="0" applyFill="1">
      <alignment vertical="top" horizontal="left"/>
    </xf>
    <xf applyAlignment="1" fillId="35" xfId="0" numFmtId="49" borderId="0" fontId="0" applyNumberFormat="1" applyFill="1">
      <alignment vertical="top" horizontal="left" wrapText="1"/>
    </xf>
    <xf applyAlignment="1" fillId="36" xfId="0" numFmtId="0" borderId="0" fontId="0" applyFill="1">
      <alignment vertical="top" horizontal="left" wrapText="1"/>
    </xf>
    <xf applyAlignment="1" fillId="37" xfId="0" numFmtId="0" borderId="0" fontId="0" applyFill="1">
      <alignment vertical="bottom" horizontal="general" wrapText="1"/>
    </xf>
    <xf applyAlignment="1" fillId="0" xfId="0" numFmtId="0" borderId="0" fontId="0">
      <alignment vertical="bottom" horizontal="left" wrapText="1"/>
    </xf>
    <xf applyAlignment="1" fillId="0" xfId="0" numFmtId="0" borderId="0" applyFont="1" fontId="28">
      <alignment vertical="center" horizontal="center" wrapText="1"/>
    </xf>
    <xf applyAlignment="1" fillId="0" xfId="0" numFmtId="0" borderId="0" applyFont="1" fontId="29">
      <alignment vertical="bottom" horizontal="left" wrapText="1"/>
    </xf>
    <xf applyAlignment="1" fillId="38" xfId="0" numFmtId="49" borderId="0" applyFont="1" fontId="30" applyNumberFormat="1" applyFill="1">
      <alignment vertical="top" horizontal="left" wrapText="1"/>
    </xf>
    <xf applyAlignment="1" fillId="0" xfId="0" numFmtId="0" borderId="0" applyFont="1" fontId="31">
      <alignment vertical="center" horizontal="center" wrapText="1"/>
    </xf>
    <xf applyAlignment="1" fillId="0" xfId="0" numFmtId="0" borderId="0" fontId="0">
      <alignment vertical="top" horizontal="left" wrapText="1"/>
    </xf>
    <xf applyAlignment="1" fillId="39" xfId="0" numFmtId="0" borderId="0" applyFont="1" fontId="32" applyFill="1">
      <alignment vertical="top" horizontal="left" wrapText="1"/>
    </xf>
    <xf applyAlignment="1" fillId="0" xfId="0" numFmtId="0" borderId="0" applyFont="1" fontId="33">
      <alignment vertical="bottom" horizontal="left" wrapText="1"/>
    </xf>
    <xf applyAlignment="1" fillId="40" xfId="0" numFmtId="0" borderId="0" applyFont="1" fontId="34" applyFill="1">
      <alignment vertical="bottom" horizontal="center" wrapText="1"/>
    </xf>
    <xf applyAlignment="1" fillId="41" xfId="0" numFmtId="0" borderId="0" applyFont="1" fontId="35" applyFill="1">
      <alignment vertical="top" horizontal="left" wrapText="1"/>
    </xf>
    <xf applyBorder="1" applyAlignment="1" fillId="42" xfId="0" numFmtId="0" borderId="5" applyFont="1" fontId="36" applyFill="1">
      <alignment vertical="center" horizontal="center" wrapText="1"/>
    </xf>
    <xf applyAlignment="1" fillId="43" xfId="0" numFmtId="0" borderId="0" fontId="0" applyFill="1">
      <alignment vertical="top" horizontal="left" wrapText="1"/>
    </xf>
    <xf applyAlignment="1" fillId="44" xfId="0" numFmtId="0" borderId="0" applyFont="1" fontId="37" applyFill="1">
      <alignment vertical="top" horizontal="center" wrapText="1"/>
    </xf>
    <xf applyAlignment="1" fillId="45" xfId="0" numFmtId="0" borderId="0" applyFont="1" fontId="38" applyFill="1">
      <alignment vertical="bottom" horizontal="general" wrapText="1"/>
    </xf>
    <xf applyAlignment="1" fillId="46" xfId="0" numFmtId="0" borderId="0" applyFont="1" fontId="39" applyFill="1">
      <alignment vertical="center" horizontal="center" wrapText="1"/>
    </xf>
    <xf applyAlignment="1" fillId="47" xfId="0" numFmtId="49" borderId="0" fontId="0" applyNumberFormat="1" applyFill="1">
      <alignment vertical="top" horizontal="left" wrapText="1"/>
    </xf>
    <xf applyAlignment="1" fillId="48" xfId="0" numFmtId="0" borderId="0" fontId="0" applyFill="1">
      <alignment vertical="bottom" horizontal="general" wrapText="1"/>
    </xf>
    <xf applyAlignment="1" fillId="49" xfId="0" numFmtId="0" borderId="0" applyFont="1" fontId="40" applyFill="1">
      <alignment vertical="top" horizontal="left" wrapText="1"/>
    </xf>
    <xf applyAlignment="1" fillId="50" xfId="0" numFmtId="0" borderId="0" applyFont="1" fontId="41" applyFill="1">
      <alignment vertical="top" horizontal="left"/>
    </xf>
    <xf applyAlignment="1" fillId="51" xfId="0" numFmtId="0" borderId="0" applyFont="1" fontId="42" applyFill="1">
      <alignment vertical="top" horizontal="general" wrapText="1"/>
    </xf>
    <xf applyAlignment="1" fillId="0" xfId="0" numFmtId="0" borderId="0" fontId="0">
      <alignment vertical="top" horizontal="general" wrapText="1"/>
    </xf>
    <xf applyAlignment="1" fillId="0" xfId="0" numFmtId="0" borderId="0" applyFont="1" fontId="43">
      <alignment vertical="bottom" horizontal="general" wrapText="1"/>
    </xf>
    <xf applyAlignment="1" fillId="52" xfId="0" numFmtId="0" borderId="0" applyFont="1" fontId="44" applyFill="1">
      <alignment vertical="top" horizontal="general" wrapText="1"/>
    </xf>
    <xf applyAlignment="1" fillId="0" xfId="0" numFmtId="49" borderId="0" fontId="0" applyNumberFormat="1">
      <alignment vertical="top" horizontal="left" wrapText="1"/>
    </xf>
    <xf applyAlignment="1" fillId="53" xfId="0" numFmtId="0" borderId="0" fontId="0" applyFill="1">
      <alignment vertical="top" horizontal="general" wrapText="1"/>
    </xf>
    <xf applyBorder="1" applyAlignment="1" fillId="54" xfId="0" numFmtId="0" borderId="6" applyFont="1" fontId="45" applyFill="1">
      <alignment vertical="center" horizontal="center" wrapText="1"/>
    </xf>
    <xf applyAlignment="1" fillId="55" xfId="0" numFmtId="0" borderId="0" fontId="0" applyFill="1">
      <alignment vertical="top" horizontal="left" wrapText="1"/>
    </xf>
    <xf applyAlignment="1" fillId="56" xfId="0" numFmtId="0" borderId="0" fontId="0" applyFill="1">
      <alignment vertical="top" horizontal="left"/>
    </xf>
    <xf applyAlignment="1" fillId="0" xfId="0" numFmtId="0" borderId="0" applyFont="1" fontId="46">
      <alignment vertical="center" horizontal="center" wrapText="1"/>
    </xf>
    <xf applyAlignment="1" fillId="57" xfId="0" numFmtId="0" borderId="0" applyFont="1" fontId="47" applyFill="1">
      <alignment vertical="top" horizontal="left" wrapText="1"/>
    </xf>
    <xf applyAlignment="1" fillId="0" xfId="0" numFmtId="49" borderId="0" fontId="0" applyNumberFormat="1">
      <alignment vertical="top" horizontal="general" wrapText="1"/>
    </xf>
    <xf applyBorder="1" applyAlignment="1" fillId="0" xfId="0" numFmtId="0" borderId="7" fontId="0">
      <alignment vertical="top" horizontal="left" wrapText="1"/>
    </xf>
    <xf applyAlignment="1" fillId="58" xfId="0" numFmtId="0" borderId="0" fontId="0" applyFill="1">
      <alignment vertical="bottom" horizontal="general" wrapText="1"/>
    </xf>
    <xf applyBorder="1" applyAlignment="1" fillId="59" xfId="0" numFmtId="0" borderId="8" applyFont="1" fontId="48" applyFill="1">
      <alignment vertical="center" horizontal="center" wrapText="1"/>
    </xf>
    <xf applyAlignment="1" fillId="60" xfId="0" numFmtId="0" borderId="0" fontId="0" applyFill="1">
      <alignment vertical="top" horizontal="left" wrapText="1"/>
    </xf>
    <xf applyAlignment="1" fillId="0" xfId="0" numFmtId="0" borderId="0" applyFont="1" fontId="49">
      <alignment vertical="bottom" horizontal="center" wrapText="1"/>
    </xf>
    <xf applyBorder="1" applyAlignment="1" fillId="0" xfId="0" numFmtId="0" borderId="9" applyFont="1" fontId="50">
      <alignment vertical="bottom" horizontal="general" wrapText="1"/>
    </xf>
    <xf applyAlignment="1" fillId="61" xfId="0" numFmtId="0" borderId="0" fontId="0" applyFill="1">
      <alignment vertical="top" horizontal="left" wrapText="1"/>
    </xf>
    <xf applyAlignment="1" fillId="62" xfId="0" numFmtId="0" borderId="0" applyFont="1" fontId="51" applyFill="1">
      <alignment vertical="top" horizontal="left" wrapText="1"/>
    </xf>
    <xf applyAlignment="1" fillId="63" xfId="0" numFmtId="0" borderId="0" applyFont="1" fontId="52" applyFill="1">
      <alignment vertical="center" horizontal="center" wrapText="1"/>
    </xf>
    <xf applyAlignment="1" fillId="64" xfId="0" numFmtId="0" borderId="0" applyFont="1" fontId="53" applyFill="1">
      <alignment vertical="bottom" horizontal="general" wrapText="1"/>
    </xf>
    <xf applyAlignment="1" fillId="65" xfId="0" numFmtId="49" borderId="0" applyFont="1" fontId="54" applyNumberFormat="1" applyFill="1">
      <alignment vertical="top" horizontal="left" wrapText="1"/>
    </xf>
    <xf applyAlignment="1" fillId="66" xfId="0" numFmtId="0" borderId="0" fontId="0" applyFill="1">
      <alignment vertical="top" horizontal="left" wrapText="1"/>
    </xf>
    <xf applyAlignment="1" fillId="67" xfId="0" numFmtId="0" borderId="0" fontId="0" applyFill="1">
      <alignment vertical="top" horizontal="left"/>
    </xf>
  </cellXfs>
  <cellStyles count="1">
    <cellStyle builtinId="0" name="Normal" xfId="0"/>
  </cellStyles>
</styleSheet>
</file>

<file path=xl/_rels/workbook.xml.rels><?xml version="1.0" encoding="UTF-8" standalone="yes"?><Relationships xmlns="http://schemas.openxmlformats.org/package/2006/relationships"><Relationship Target="worksheets/sheet12.xml" Type="http://schemas.openxmlformats.org/officeDocument/2006/relationships/worksheet" Id="rId14"/><Relationship Target="sharedStrings.xml" Type="http://schemas.openxmlformats.org/officeDocument/2006/relationships/sharedStrings" Id="rId2"/><Relationship Target="worksheets/sheet10.xml" Type="http://schemas.openxmlformats.org/officeDocument/2006/relationships/worksheet" Id="rId12"/><Relationship Target="styles.xml" Type="http://schemas.openxmlformats.org/officeDocument/2006/relationships/styles" Id="rId1"/><Relationship Target="worksheets/sheet11.xml" Type="http://schemas.openxmlformats.org/officeDocument/2006/relationships/worksheet" Id="rId13"/><Relationship Target="worksheets/sheet2.xml" Type="http://schemas.openxmlformats.org/officeDocument/2006/relationships/worksheet" Id="rId4"/><Relationship Target="worksheets/sheet8.xml" Type="http://schemas.openxmlformats.org/officeDocument/2006/relationships/worksheet" Id="rId10"/><Relationship Target="worksheets/sheet1.xml" Type="http://schemas.openxmlformats.org/officeDocument/2006/relationships/worksheet" Id="rId3"/><Relationship Target="worksheets/sheet9.xml" Type="http://schemas.openxmlformats.org/officeDocument/2006/relationships/worksheet" Id="rId11"/><Relationship Target="worksheets/sheet7.xml" Type="http://schemas.openxmlformats.org/officeDocument/2006/relationships/worksheet" Id="rId9"/><Relationship Target="worksheets/sheet4.xml" Type="http://schemas.openxmlformats.org/officeDocument/2006/relationships/worksheet" Id="rId6"/><Relationship Target="worksheets/sheet3.xml" Type="http://schemas.openxmlformats.org/officeDocument/2006/relationships/worksheet" Id="rId5"/><Relationship Target="worksheets/sheet6.xml" Type="http://schemas.openxmlformats.org/officeDocument/2006/relationships/worksheet" Id="rId8"/><Relationship Target="worksheets/sheet5.xml" Type="http://schemas.openxmlformats.org/officeDocument/2006/relationships/worksheet" Id="rId7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B1" xSplit="1.0" activePane="topRight" state="frozen"/>
      <selection sqref="B1" activeCell="B1" pane="topRight"/>
    </sheetView>
  </sheetViews>
  <sheetFormatPr customHeight="1" defaultColWidth="17.14" defaultRowHeight="12.75"/>
  <cols>
    <col min="1" customWidth="1" max="1" width="27.43"/>
    <col min="2" customWidth="1" max="2" width="26.86"/>
    <col min="3" customWidth="1" max="3" width="22.57"/>
  </cols>
  <sheetData>
    <row r="1">
      <c t="s" s="54" r="A1">
        <v>0</v>
      </c>
      <c t="s" s="47" r="B1">
        <v>1</v>
      </c>
      <c s="47" r="C1"/>
    </row>
    <row r="2">
      <c t="s" s="54" r="A2">
        <v>2</v>
      </c>
      <c s="47" r="B2"/>
      <c s="47" r="C2"/>
    </row>
    <row r="3">
      <c t="s" s="54" r="A3">
        <v>3</v>
      </c>
      <c t="s" s="47" r="B3">
        <v>4</v>
      </c>
      <c s="47" r="C3"/>
    </row>
    <row r="4">
      <c t="s" s="54" r="A4">
        <v>5</v>
      </c>
      <c s="47" r="B4"/>
      <c s="47" r="C4"/>
    </row>
    <row r="5">
      <c t="s" s="54" r="A5">
        <v>6</v>
      </c>
      <c t="s" s="47" r="B5">
        <v>7</v>
      </c>
      <c s="47" r="C5"/>
    </row>
    <row r="6">
      <c t="s" s="54" r="A6">
        <v>8</v>
      </c>
      <c t="s" s="47" r="B6">
        <v>9</v>
      </c>
      <c s="47" r="C6"/>
    </row>
    <row r="7">
      <c t="s" s="54" r="A7">
        <v>10</v>
      </c>
      <c t="s" s="47" r="B7">
        <v>11</v>
      </c>
      <c s="47" r="C7"/>
    </row>
    <row r="8">
      <c t="s" s="54" r="A8">
        <v>12</v>
      </c>
      <c t="s" s="47" r="B8">
        <v>13</v>
      </c>
      <c s="47" r="C8"/>
    </row>
    <row r="9">
      <c t="str" s="54" r="A9">
        <f>HYPERLINK("http://en.wikipedia.org/wiki/ISO_3166-1", "Country")</f>
        <v>Country</v>
      </c>
      <c t="s" s="47" r="B9">
        <v>14</v>
      </c>
      <c s="47" r="C9"/>
    </row>
    <row r="10">
      <c t="s" s="54" r="A10">
        <v>15</v>
      </c>
      <c t="s" s="47" r="B10">
        <v>16</v>
      </c>
      <c s="47" r="C10"/>
    </row>
    <row r="11">
      <c t="s" s="54" r="A11">
        <v>17</v>
      </c>
      <c s="47" r="B11"/>
      <c s="47" r="C11"/>
    </row>
    <row r="12">
      <c t="s" s="54" r="A12">
        <v>18</v>
      </c>
      <c t="s" s="47" r="B12">
        <v>19</v>
      </c>
      <c s="47" r="C12"/>
    </row>
    <row r="13">
      <c t="s" s="54" r="A13">
        <v>20</v>
      </c>
      <c t="s" s="47" r="B13">
        <v>14</v>
      </c>
      <c t="s" s="47" r="C13">
        <v>21</v>
      </c>
    </row>
    <row r="14">
      <c t="s" s="54" r="A14">
        <v>22</v>
      </c>
      <c s="47" r="B14"/>
      <c s="47" r="C14"/>
    </row>
    <row r="15">
      <c t="s" s="54" r="A15">
        <v>23</v>
      </c>
      <c s="47" r="B15"/>
      <c s="47" r="C15"/>
    </row>
    <row r="16">
      <c t="s" s="54" r="A16">
        <v>24</v>
      </c>
      <c t="s" s="47" r="B16">
        <v>25</v>
      </c>
      <c s="47" r="C16"/>
    </row>
    <row r="17">
      <c t="s" s="54" r="A17">
        <v>26</v>
      </c>
      <c s="47" r="B17"/>
      <c s="47" r="C17"/>
    </row>
    <row r="18">
      <c s="49" r="A18"/>
      <c s="47" r="B18"/>
      <c s="47" r="C18"/>
    </row>
    <row r="19">
      <c s="49" r="A19"/>
      <c s="47" r="B19"/>
      <c s="47" r="C19"/>
    </row>
    <row r="20">
      <c s="49" r="A20"/>
      <c s="47" r="B20"/>
      <c s="47" r="C20"/>
    </row>
  </sheetData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cols>
    <col min="4" customWidth="1" max="4" width="32.43"/>
    <col min="5" customWidth="1" max="5" width="47.29"/>
    <col min="6" customWidth="1" max="6" width="3.43"/>
    <col min="7" customWidth="1" max="7" width="3.86"/>
  </cols>
  <sheetData>
    <row r="1">
      <c t="s" s="29" r="A1">
        <v>1395</v>
      </c>
      <c t="s" s="29" r="B1">
        <v>1396</v>
      </c>
      <c t="s" s="29" r="C1">
        <v>1397</v>
      </c>
      <c t="s" s="25" r="D1">
        <v>1398</v>
      </c>
      <c t="s" s="25" r="E1">
        <v>1399</v>
      </c>
      <c s="25" r="F1"/>
      <c s="25" r="G1"/>
      <c t="s" s="25" r="H1">
        <v>1400</v>
      </c>
      <c t="s" s="25" r="I1">
        <v>1401</v>
      </c>
      <c t="s" s="25" r="J1">
        <v>1402</v>
      </c>
      <c t="s" s="25" r="K1">
        <v>1403</v>
      </c>
      <c s="12" r="L1"/>
      <c s="12" r="M1"/>
      <c s="12" r="N1"/>
      <c s="12" r="O1"/>
      <c s="12" r="P1"/>
      <c s="12" r="Q1"/>
      <c s="12" r="R1"/>
      <c s="12" r="S1"/>
      <c s="12" r="T1"/>
    </row>
    <row r="2">
      <c t="s" s="12" r="A2">
        <v>1698</v>
      </c>
      <c s="12" r="B2">
        <f>H2</f>
        <v>0</v>
      </c>
      <c s="12" r="C2">
        <f>J2</f>
        <v>0</v>
      </c>
      <c t="s" s="12" r="D2">
        <v>1698</v>
      </c>
      <c t="s" s="12" r="E2">
        <v>1699</v>
      </c>
      <c s="12" r="F2">
        <v>1</v>
      </c>
      <c s="12" r="G2">
        <v>1</v>
      </c>
      <c s="12" r="H2">
        <f>COUNTIF(EXPERTISE!H4:H50,"*PS1: Assessment and Management of Environmental and Social Risks and Impacts*")</f>
        <v>0</v>
      </c>
      <c s="12" r="I2">
        <f>COUNTIF(EXPERTISE!I4:I50,"*Community Engagement*")</f>
        <v>0</v>
      </c>
      <c s="12" r="J2">
        <f>COUNTIF(PROJECT!X2:X100,"*PS1: Assessment and Management of Environmental and Social Risks and Impacts*")</f>
        <v>0</v>
      </c>
      <c s="12" r="K2">
        <f>COUNTIF(PROJECT!Y2:Y100,"*Community Engagement*")</f>
        <v>0</v>
      </c>
      <c s="12" r="L2"/>
      <c s="12" r="M2"/>
      <c s="12" r="N2"/>
      <c s="12" r="O2"/>
      <c s="12" r="P2"/>
      <c s="12" r="Q2"/>
      <c s="12" r="R2"/>
      <c s="12" r="S2"/>
      <c s="12" r="T2"/>
    </row>
    <row r="3">
      <c t="s" s="12" r="A3">
        <v>1700</v>
      </c>
      <c s="12" r="B3">
        <f>H15</f>
        <v>0</v>
      </c>
      <c s="12" r="C3">
        <f>J15</f>
        <v>0</v>
      </c>
      <c t="s" s="12" r="D3">
        <v>1698</v>
      </c>
      <c t="s" s="12" r="E3">
        <v>1701</v>
      </c>
      <c s="12" r="F3">
        <v>0</v>
      </c>
      <c s="12" r="G3">
        <v>1</v>
      </c>
      <c s="12" r="H3"/>
      <c s="12" r="I3">
        <f>COUNTIF(EXPERTISE!I4:I50,"*Contractor E&amp;S Management*")</f>
        <v>0</v>
      </c>
      <c s="12" r="J3"/>
      <c s="12" r="K3">
        <f>COUNTIF(PROJECT!Y2:Y100,"*Contractor E&amp;S Management*")</f>
        <v>0</v>
      </c>
      <c s="12" r="L3"/>
      <c s="12" r="M3"/>
      <c s="12" r="N3"/>
      <c s="12" r="O3"/>
      <c s="12" r="P3"/>
      <c s="12" r="Q3"/>
      <c s="12" r="R3"/>
      <c s="12" r="S3"/>
      <c s="12" r="T3"/>
    </row>
    <row r="4">
      <c t="s" s="12" r="A4">
        <v>1702</v>
      </c>
      <c s="12" r="B4">
        <f>H23</f>
        <v>0</v>
      </c>
      <c s="12" r="C4">
        <f>J23</f>
        <v>0</v>
      </c>
      <c t="s" s="12" r="D4">
        <v>1698</v>
      </c>
      <c t="s" s="12" r="E4">
        <v>1703</v>
      </c>
      <c s="12" r="F4">
        <v>0</v>
      </c>
      <c s="12" r="G4">
        <v>1</v>
      </c>
      <c s="12" r="H4"/>
      <c s="12" r="I4">
        <f>COUNTIF(EXPERTISE!I4:I50,"*E&amp;S Organizational Capacity Assessment*")</f>
        <v>0</v>
      </c>
      <c s="12" r="J4"/>
      <c s="12" r="K4">
        <f>COUNTIF(PROJECT!Y2:Y100,"*E&amp;S Organizational Capacity Assessment*")</f>
        <v>0</v>
      </c>
      <c s="12" r="L4"/>
      <c s="12" r="M4"/>
      <c s="12" r="N4"/>
      <c s="12" r="O4"/>
      <c s="12" r="P4"/>
      <c s="12" r="Q4"/>
      <c s="12" r="R4"/>
      <c s="12" r="S4"/>
      <c s="12" r="T4"/>
    </row>
    <row r="5">
      <c t="s" s="12" r="A5">
        <v>1704</v>
      </c>
      <c s="12" r="B5">
        <f>H33</f>
        <v>0</v>
      </c>
      <c s="12" r="C5">
        <f>J33</f>
        <v>0</v>
      </c>
      <c t="s" s="12" r="D5">
        <v>1698</v>
      </c>
      <c t="s" s="12" r="E5">
        <v>1705</v>
      </c>
      <c s="12" r="F5">
        <v>0</v>
      </c>
      <c s="12" r="G5">
        <v>1</v>
      </c>
      <c s="12" r="H5"/>
      <c s="12" r="I5">
        <f>COUNTIF(EXPERTISE!I4:I50,"*E&amp;S Training Design*")</f>
        <v>0</v>
      </c>
      <c s="12" r="J5"/>
      <c s="12" r="K5">
        <f>COUNTIF(PROJECT!Y2:Y100,"*E&amp;S Training Design*")</f>
        <v>0</v>
      </c>
      <c s="12" r="L5"/>
      <c s="12" r="M5"/>
      <c s="12" r="N5"/>
      <c s="12" r="O5"/>
      <c s="12" r="P5"/>
      <c s="12" r="Q5"/>
      <c s="12" r="R5"/>
      <c s="12" r="S5"/>
      <c s="12" r="T5"/>
    </row>
    <row r="6">
      <c t="s" s="12" r="A6">
        <v>1706</v>
      </c>
      <c s="12" r="B6">
        <f>H38</f>
        <v>0</v>
      </c>
      <c s="12" r="C6">
        <f>J38</f>
        <v>0</v>
      </c>
      <c t="s" s="12" r="D6">
        <v>1698</v>
      </c>
      <c t="s" s="12" r="E6">
        <v>1707</v>
      </c>
      <c s="12" r="F6">
        <v>0</v>
      </c>
      <c s="12" r="G6">
        <v>1</v>
      </c>
      <c s="12" r="H6"/>
      <c s="12" r="I6">
        <f>COUNTIF(EXPERTISE!I4:I50,"*E&amp;S Management System*")</f>
        <v>0</v>
      </c>
      <c s="12" r="J6"/>
      <c s="12" r="K6">
        <f>COUNTIF(PROJECT!Y2:Y100,"*E&amp;S Management System*")</f>
        <v>0</v>
      </c>
      <c s="12" r="L6"/>
      <c s="12" r="M6"/>
      <c s="12" r="N6"/>
      <c s="12" r="O6"/>
      <c s="12" r="P6"/>
      <c s="12" r="Q6"/>
      <c s="12" r="R6"/>
      <c s="12" r="S6"/>
      <c s="12" r="T6"/>
    </row>
    <row r="7">
      <c t="s" s="12" r="A7">
        <v>1708</v>
      </c>
      <c s="12" r="B7">
        <f>H42</f>
        <v>0</v>
      </c>
      <c s="12" r="C7">
        <f>J42</f>
        <v>0</v>
      </c>
      <c t="s" s="12" r="D7">
        <v>1698</v>
      </c>
      <c t="s" s="12" r="E7">
        <v>1709</v>
      </c>
      <c s="12" r="F7">
        <v>0</v>
      </c>
      <c s="12" r="G7">
        <v>1</v>
      </c>
      <c s="12" r="H7"/>
      <c s="12" r="I7">
        <f>COUNTIF(EXPERTISE!I4:I50,"*Environmental and Social Impact Assessment*")</f>
        <v>0</v>
      </c>
      <c s="12" r="J7"/>
      <c s="12" r="K7">
        <f>COUNTIF(PROJECT!Y2:Y100,"*Environmental and Social Impact Assessment*")</f>
        <v>0</v>
      </c>
      <c s="12" r="L7"/>
      <c s="12" r="M7"/>
      <c s="12" r="N7"/>
      <c s="12" r="O7"/>
      <c s="12" r="P7"/>
      <c s="12" r="Q7"/>
      <c s="12" r="R7"/>
      <c s="12" r="S7"/>
      <c s="12" r="T7"/>
    </row>
    <row r="8">
      <c t="s" s="12" r="A8">
        <v>1710</v>
      </c>
      <c s="12" r="B8">
        <f>H50</f>
        <v>0</v>
      </c>
      <c s="12" r="C8">
        <f>J50</f>
        <v>0</v>
      </c>
      <c t="s" s="12" r="D8">
        <v>1698</v>
      </c>
      <c t="s" s="12" r="E8">
        <v>1711</v>
      </c>
      <c s="12" r="F8">
        <v>0</v>
      </c>
      <c s="12" r="G8">
        <v>1</v>
      </c>
      <c s="12" r="H8"/>
      <c s="12" r="I8">
        <f>COUNTIF(EXPERTISE!I4:I50,"*Food Safety and HACCP*")</f>
        <v>0</v>
      </c>
      <c s="12" r="J8"/>
      <c s="12" r="K8">
        <f>COUNTIF(PROJECT!Y2:Y100,"*Food Safety and HACCP*")</f>
        <v>0</v>
      </c>
      <c s="12" r="L8"/>
      <c s="12" r="M8"/>
      <c s="12" r="N8"/>
      <c s="12" r="O8"/>
      <c s="12" r="P8"/>
      <c s="12" r="Q8"/>
      <c s="12" r="R8"/>
      <c s="12" r="S8"/>
      <c s="12" r="T8"/>
    </row>
    <row r="9">
      <c t="s" s="12" r="A9">
        <v>1712</v>
      </c>
      <c s="12" r="B9">
        <f>H52</f>
        <v>0</v>
      </c>
      <c s="12" r="C9">
        <f>J52</f>
        <v>0</v>
      </c>
      <c t="s" s="12" r="D9">
        <v>1698</v>
      </c>
      <c t="s" s="12" r="E9">
        <v>1713</v>
      </c>
      <c s="12" r="F9">
        <v>0</v>
      </c>
      <c s="12" r="G9">
        <v>1</v>
      </c>
      <c s="12" r="H9"/>
      <c s="12" r="I9">
        <f>COUNTIF(EXPERTISE!I4:I50,"*Gender Development*")</f>
        <v>0</v>
      </c>
      <c s="12" r="J9"/>
      <c s="12" r="K9">
        <f>COUNTIF(PROJECT!Y2:Y100,"*Gender Development*")</f>
        <v>0</v>
      </c>
      <c s="12" r="L9"/>
      <c s="12" r="M9"/>
      <c s="12" r="N9"/>
      <c s="12" r="O9"/>
      <c s="12" r="P9"/>
      <c s="12" r="Q9"/>
      <c s="12" r="R9"/>
      <c s="12" r="S9"/>
      <c s="12" r="T9"/>
    </row>
    <row r="10">
      <c t="s" s="12" r="D10">
        <v>1698</v>
      </c>
      <c t="s" s="12" r="E10">
        <v>1714</v>
      </c>
      <c s="12" r="F10">
        <v>0</v>
      </c>
      <c s="12" r="G10">
        <v>1</v>
      </c>
      <c s="12" r="H10"/>
      <c s="12" r="I10">
        <f>COUNTIF(EXPERTISE!I4:I50,"*Human Rights Assessment*")</f>
        <v>0</v>
      </c>
      <c s="12" r="J10"/>
      <c s="12" r="K10">
        <f>COUNTIF(PROJECT!Y2:Y100,"*Human Rights Assessment*")</f>
        <v>0</v>
      </c>
      <c s="12" r="L10"/>
      <c s="12" r="M10"/>
      <c s="12" r="N10"/>
      <c s="12" r="O10"/>
      <c s="12" r="P10"/>
      <c s="12" r="Q10"/>
      <c s="12" r="R10"/>
      <c s="12" r="S10"/>
      <c s="12" r="T10"/>
    </row>
    <row r="11">
      <c t="s" s="12" r="D11">
        <v>1698</v>
      </c>
      <c t="s" s="12" r="E11">
        <v>1715</v>
      </c>
      <c s="12" r="F11">
        <v>0</v>
      </c>
      <c s="12" r="G11">
        <v>1</v>
      </c>
      <c s="12" r="H11"/>
      <c s="12" r="I11">
        <f>COUNTIF(EXPERTISE!I4:I50,"*Organic Food Certification*")</f>
        <v>0</v>
      </c>
      <c s="12" r="J11"/>
      <c s="12" r="K11">
        <f>COUNTIF(PROJECT!Y2:Y100,"*Organic Food Certification*")</f>
        <v>0</v>
      </c>
      <c s="12" r="L11"/>
      <c s="12" r="M11"/>
      <c s="12" r="N11"/>
      <c s="12" r="O11"/>
      <c s="12" r="P11"/>
      <c s="12" r="Q11"/>
      <c s="12" r="R11"/>
      <c s="12" r="S11"/>
      <c s="12" r="T11"/>
    </row>
    <row r="12">
      <c t="s" s="12" r="D12">
        <v>1698</v>
      </c>
      <c t="s" s="12" r="E12">
        <v>1716</v>
      </c>
      <c s="12" r="F12">
        <v>0</v>
      </c>
      <c s="12" r="G12">
        <v>1</v>
      </c>
      <c s="12" r="H12"/>
      <c s="12" r="I12">
        <f>COUNTIF(EXPERTISE!I4:I50,"*Social Impact Assessment and Socio-economic baseline study*")</f>
        <v>0</v>
      </c>
      <c s="12" r="J12"/>
      <c s="12" r="K12">
        <f>COUNTIF(PROJECT!Y2:Y100,"*Social Impact Assessment and Socio-economic baseline study*")</f>
        <v>0</v>
      </c>
      <c s="12" r="L12"/>
      <c s="12" r="M12"/>
      <c s="12" r="N12"/>
      <c s="12" r="O12"/>
      <c s="12" r="P12"/>
      <c s="12" r="Q12"/>
      <c s="12" r="R12"/>
      <c s="12" r="S12"/>
      <c s="12" r="T12"/>
    </row>
    <row r="13">
      <c t="s" s="12" r="D13">
        <v>1698</v>
      </c>
      <c t="s" s="12" r="E13">
        <v>1717</v>
      </c>
      <c s="12" r="F13">
        <v>0</v>
      </c>
      <c s="12" r="G13">
        <v>1</v>
      </c>
      <c s="12" r="H13"/>
      <c s="12" r="I13">
        <f>COUNTIF(EXPERTISE!I4:I50,"*Stakeholder Engagement and Grievance Mechanisms*")</f>
        <v>0</v>
      </c>
      <c s="12" r="J13"/>
      <c s="12" r="K13">
        <f>COUNTIF(PROJECT!Y2:Y100,"*Stakeholder Engagement and Grievance Mechanisms*")</f>
        <v>0</v>
      </c>
      <c s="12" r="L13"/>
      <c s="12" r="M13"/>
      <c s="12" r="N13"/>
      <c s="12" r="O13"/>
      <c s="12" r="P13"/>
      <c s="12" r="Q13"/>
      <c s="12" r="R13"/>
      <c s="12" r="S13"/>
      <c s="12" r="T13"/>
    </row>
    <row r="14">
      <c t="s" s="12" r="D14">
        <v>1698</v>
      </c>
      <c t="s" s="12" r="E14">
        <v>1718</v>
      </c>
      <c s="12" r="F14">
        <v>0</v>
      </c>
      <c s="12" r="G14">
        <v>1</v>
      </c>
      <c s="12" r="H14"/>
      <c s="12" r="I14">
        <f>COUNTIF(EXPERTISE!I4:I50,"*Supply Chain E&amp;S Assessment*")</f>
        <v>0</v>
      </c>
      <c s="12" r="J14"/>
      <c s="12" r="K14">
        <f>COUNTIF(PROJECT!Y2:Y100,"*Supply Chain E&amp;S Assessment*")</f>
        <v>0</v>
      </c>
      <c s="12" r="L14"/>
      <c s="12" r="M14"/>
      <c s="12" r="N14"/>
      <c s="12" r="O14"/>
      <c s="12" r="P14"/>
      <c s="12" r="Q14"/>
      <c s="12" r="R14"/>
      <c s="12" r="S14"/>
      <c s="12" r="T14"/>
    </row>
    <row r="15">
      <c t="s" s="12" r="D15">
        <v>1700</v>
      </c>
      <c t="s" s="12" r="E15">
        <v>1719</v>
      </c>
      <c s="12" r="F15">
        <v>1</v>
      </c>
      <c s="12" r="G15">
        <v>1</v>
      </c>
      <c s="12" r="H15">
        <f>COUNTIF(EXPERTISE!H4:H50,"*PS2: Labor and Working Conditions*")</f>
        <v>0</v>
      </c>
      <c s="12" r="I15">
        <f>COUNTIF(EXPERTISE!I4:I50,"*Assessment of migrant worker related issues*")</f>
        <v>0</v>
      </c>
      <c s="12" r="J15">
        <f>COUNTIF(PROJECT!X2:X100,"*PS2: Labor and Working Conditions*")</f>
        <v>0</v>
      </c>
      <c s="12" r="K15">
        <f>COUNTIF(PROJECT!Y2:Y100,"*Assessment of migrant worker related issues*")</f>
        <v>0</v>
      </c>
      <c s="12" r="L15"/>
      <c s="12" r="M15"/>
      <c s="12" r="N15"/>
      <c s="12" r="O15"/>
      <c s="12" r="P15"/>
      <c s="12" r="Q15"/>
      <c s="12" r="R15"/>
      <c s="12" r="S15"/>
      <c s="12" r="T15"/>
    </row>
    <row r="16">
      <c t="s" s="12" r="D16">
        <v>1700</v>
      </c>
      <c t="s" s="12" r="E16">
        <v>1720</v>
      </c>
      <c s="12" r="F16">
        <v>0</v>
      </c>
      <c s="12" r="G16">
        <v>1</v>
      </c>
      <c s="12" r="H16"/>
      <c s="22" r="I16">
        <f>COUNTIF(EXPERTISE!I4:I50,"*Child and Forced Labor Assessment*")</f>
        <v>0</v>
      </c>
      <c s="12" r="J16"/>
      <c s="22" r="K16">
        <f>COUNTIF(PROJECT!Y2:Y100,"*Child and Forced Labor Assessment*")</f>
        <v>0</v>
      </c>
      <c s="12" r="L16"/>
      <c s="12" r="M16"/>
      <c s="12" r="N16"/>
      <c s="12" r="O16"/>
      <c s="12" r="P16"/>
      <c s="12" r="Q16"/>
      <c s="12" r="R16"/>
      <c s="12" r="S16"/>
      <c s="12" r="T16"/>
    </row>
    <row r="17">
      <c t="s" s="12" r="D17">
        <v>1700</v>
      </c>
      <c t="s" s="12" r="E17">
        <v>1721</v>
      </c>
      <c s="12" r="F17">
        <v>0</v>
      </c>
      <c s="12" r="G17">
        <v>1</v>
      </c>
      <c s="12" r="H17"/>
      <c s="12" r="I17">
        <f>COUNTIF(EXPERTISE!I4:I50,"*Labor and Working Conditions*")</f>
        <v>0</v>
      </c>
      <c s="12" r="J17"/>
      <c s="12" r="K17">
        <f>COUNTIF(PROJECT!Y2:Y100,"*Labor and Working Conditions*")</f>
        <v>0</v>
      </c>
      <c s="12" r="L17"/>
      <c s="12" r="M17"/>
      <c s="12" r="N17"/>
      <c s="12" r="O17"/>
      <c s="12" r="P17"/>
      <c s="12" r="Q17"/>
      <c s="12" r="R17"/>
      <c s="12" r="S17"/>
      <c s="12" r="T17"/>
    </row>
    <row r="18">
      <c t="s" s="12" r="D18">
        <v>1700</v>
      </c>
      <c t="s" s="12" r="E18">
        <v>1722</v>
      </c>
      <c s="12" r="F18">
        <v>0</v>
      </c>
      <c s="12" r="G18">
        <v>1</v>
      </c>
      <c s="12" r="H18"/>
      <c s="12" r="I18">
        <f>COUNTIF(EXPERTISE!I4:I50,"*Labor Audits based on ILO Conventions*")</f>
        <v>0</v>
      </c>
      <c s="12" r="J18"/>
      <c s="12" r="K18">
        <f>COUNTIF(PROJECT!Y2:Y100,"*Labor Audits based on ILO Conventions*")</f>
        <v>0</v>
      </c>
      <c s="12" r="L18"/>
      <c s="12" r="M18"/>
      <c s="12" r="N18"/>
      <c s="12" r="O18"/>
      <c s="12" r="P18"/>
      <c s="12" r="Q18"/>
      <c s="12" r="R18"/>
      <c s="12" r="S18"/>
      <c s="12" r="T18"/>
    </row>
    <row r="19">
      <c t="s" s="12" r="D19">
        <v>1700</v>
      </c>
      <c t="s" s="12" r="E19">
        <v>1723</v>
      </c>
      <c s="12" r="F19">
        <v>0</v>
      </c>
      <c s="12" r="G19">
        <v>1</v>
      </c>
      <c s="12" r="H19"/>
      <c s="12" r="I19">
        <f>COUNTIF(EXPERTISE!I4:I50,"*Occupational Health and Safety*")</f>
        <v>0</v>
      </c>
      <c s="12" r="J19"/>
      <c s="12" r="K19">
        <f>COUNTIF(PROJECT!Y2:Y100,"*Occupational Health and Safety*")</f>
        <v>0</v>
      </c>
      <c s="12" r="L19"/>
      <c s="12" r="M19"/>
      <c s="12" r="N19"/>
      <c s="12" r="O19"/>
      <c s="12" r="P19"/>
      <c s="12" r="Q19"/>
      <c s="12" r="R19"/>
      <c s="12" r="S19"/>
      <c s="12" r="T19"/>
    </row>
    <row r="20">
      <c t="s" s="12" r="D20">
        <v>1700</v>
      </c>
      <c t="s" s="12" r="E20">
        <v>1724</v>
      </c>
      <c s="12" r="F20">
        <v>0</v>
      </c>
      <c s="12" r="G20">
        <v>1</v>
      </c>
      <c s="12" r="H20"/>
      <c s="12" r="I20">
        <f>COUNTIF(EXPERTISE!I4:I50,"*Retrenchment Audit*")</f>
        <v>0</v>
      </c>
      <c s="12" r="J20"/>
      <c s="12" r="K20">
        <f>COUNTIF(PROJECT!Y2:Y100,"*Retrenchment Audit*")</f>
        <v>0</v>
      </c>
      <c s="12" r="L20"/>
      <c s="12" r="M20"/>
      <c s="12" r="N20"/>
      <c s="12" r="O20"/>
      <c s="12" r="P20"/>
      <c s="12" r="Q20"/>
      <c s="12" r="R20"/>
      <c s="12" r="S20"/>
      <c s="12" r="T20"/>
    </row>
    <row r="21">
      <c t="s" s="12" r="D21">
        <v>1700</v>
      </c>
      <c t="s" s="12" r="E21">
        <v>1725</v>
      </c>
      <c s="12" r="F21">
        <v>0</v>
      </c>
      <c s="12" r="G21">
        <v>1</v>
      </c>
      <c s="12" r="H21"/>
      <c s="12" r="I21">
        <f>COUNTIF(EXPERTISE!I4:I50,"*Supply Chain Labor Assessment*")</f>
        <v>0</v>
      </c>
      <c s="12" r="J21"/>
      <c s="12" r="K21">
        <f>COUNTIF(PROJECT!Y2:Y100,"*Supply Chain Labor Assessment*")</f>
        <v>0</v>
      </c>
      <c s="12" r="L21"/>
      <c s="12" r="M21"/>
      <c s="12" r="N21"/>
      <c s="12" r="O21"/>
      <c s="12" r="P21"/>
      <c s="12" r="Q21"/>
      <c s="12" r="R21"/>
      <c s="12" r="S21"/>
      <c s="12" r="T21"/>
    </row>
    <row r="22">
      <c t="s" s="12" r="D22">
        <v>1700</v>
      </c>
      <c t="s" s="12" r="E22">
        <v>1726</v>
      </c>
      <c s="12" r="F22">
        <v>0</v>
      </c>
      <c s="12" r="G22">
        <v>1</v>
      </c>
      <c s="12" r="H22"/>
      <c s="12" r="I22">
        <f>COUNTIF(EXPERTISE!I4:I50,"*Workers Organization and Greivance Mechanisms*")</f>
        <v>0</v>
      </c>
      <c s="12" r="J22"/>
      <c s="12" r="K22">
        <f>COUNTIF(PROJECT!Y2:Y100,"*Workers Organization and Greivance Mechanisms*")</f>
        <v>0</v>
      </c>
      <c s="12" r="L22"/>
      <c s="12" r="M22"/>
      <c s="12" r="N22"/>
      <c s="12" r="O22"/>
      <c s="12" r="P22"/>
      <c s="12" r="Q22"/>
      <c s="12" r="R22"/>
      <c s="12" r="S22"/>
      <c s="12" r="T22"/>
    </row>
    <row r="23">
      <c t="s" s="12" r="D23">
        <v>1702</v>
      </c>
      <c t="s" s="12" r="E23">
        <v>1727</v>
      </c>
      <c s="12" r="F23">
        <v>1</v>
      </c>
      <c s="12" r="G23">
        <v>1</v>
      </c>
      <c s="12" r="H23">
        <f>COUNTIF(EXPERTISE!H4:H50,"*PS3: Resource Efficiency and Pollution Prevention*")</f>
        <v>0</v>
      </c>
      <c s="12" r="I23">
        <f>COUNTIF(EXPERTISE!I4:I50,"*Air Emission Management*")</f>
        <v>0</v>
      </c>
      <c s="12" r="J23">
        <f>COUNTIF(PROJECT!X2:X100,"*PS3: Resource Efficiency and Pollution Prevention*")</f>
        <v>0</v>
      </c>
      <c s="12" r="K23">
        <f>COUNTIF(PROJECT!Y2:Y100,"*Air Emission Management*")</f>
        <v>0</v>
      </c>
      <c s="12" r="L23"/>
      <c s="12" r="M23"/>
      <c s="12" r="N23"/>
      <c s="12" r="O23"/>
      <c s="12" r="P23"/>
      <c s="12" r="Q23"/>
      <c s="12" r="R23"/>
      <c s="12" r="S23"/>
      <c s="12" r="T23"/>
    </row>
    <row r="24">
      <c t="s" s="12" r="D24">
        <v>1702</v>
      </c>
      <c t="s" s="12" r="E24">
        <v>1728</v>
      </c>
      <c s="12" r="F24">
        <v>0</v>
      </c>
      <c s="12" r="G24">
        <v>1</v>
      </c>
      <c s="12" r="H24"/>
      <c s="12" r="I24">
        <f>COUNTIF(EXPERTISE!I4:I50,"*Cleaner Production*")</f>
        <v>0</v>
      </c>
      <c s="12" r="J24"/>
      <c s="12" r="K24">
        <f>COUNTIF(PROJECT!Y2:Y100,"*Cleaner Production*")</f>
        <v>0</v>
      </c>
      <c s="12" r="L24"/>
      <c s="12" r="M24"/>
      <c s="12" r="N24"/>
      <c s="12" r="O24"/>
      <c s="12" r="P24"/>
      <c s="12" r="Q24"/>
      <c s="12" r="R24"/>
      <c s="12" r="S24"/>
      <c s="12" r="T24"/>
    </row>
    <row r="25">
      <c t="s" s="12" r="D25">
        <v>1702</v>
      </c>
      <c t="s" s="12" r="E25">
        <v>1729</v>
      </c>
      <c s="12" r="F25">
        <v>0</v>
      </c>
      <c s="12" r="G25">
        <v>1</v>
      </c>
      <c s="12" r="H25"/>
      <c s="12" r="I25">
        <f>COUNTIF(EXPERTISE!I4:I50,"*Energy Efficiency*")</f>
        <v>0</v>
      </c>
      <c s="12" r="J25"/>
      <c s="12" r="K25">
        <f>COUNTIF(PROJECT!Y2:Y100,"*Energy Efficiency*")</f>
        <v>0</v>
      </c>
      <c s="12" r="L25"/>
      <c s="12" r="M25"/>
      <c s="12" r="N25"/>
      <c s="12" r="O25"/>
      <c s="12" r="P25"/>
      <c s="12" r="Q25"/>
      <c s="12" r="R25"/>
      <c s="12" r="S25"/>
      <c s="12" r="T25"/>
    </row>
    <row r="26">
      <c t="s" s="12" r="D26">
        <v>1702</v>
      </c>
      <c t="s" s="12" r="E26">
        <v>1730</v>
      </c>
      <c s="12" r="F26">
        <v>0</v>
      </c>
      <c s="12" r="G26">
        <v>1</v>
      </c>
      <c s="12" r="H26"/>
      <c s="12" r="I26">
        <f>COUNTIF(EXPERTISE!I4:I50,"*Green Building and Construction*")</f>
        <v>0</v>
      </c>
      <c s="12" r="J26"/>
      <c s="12" r="K26">
        <f>COUNTIF(PROJECT!Y2:Y100,"*Green Building and Construction*")</f>
        <v>0</v>
      </c>
      <c s="12" r="L26"/>
      <c s="12" r="M26"/>
      <c s="12" r="N26"/>
      <c s="12" r="O26"/>
      <c s="12" r="P26"/>
      <c s="12" r="Q26"/>
      <c s="12" r="R26"/>
      <c s="12" r="S26"/>
      <c s="12" r="T26"/>
    </row>
    <row r="27">
      <c t="s" s="12" r="D27">
        <v>1702</v>
      </c>
      <c t="s" s="12" r="E27">
        <v>1731</v>
      </c>
      <c s="12" r="F27">
        <v>0</v>
      </c>
      <c s="12" r="G27">
        <v>1</v>
      </c>
      <c s="12" r="H27"/>
      <c s="12" r="I27">
        <f>COUNTIF(EXPERTISE!I4:I50,"*Greenhouse Gas Emission Audit*")</f>
        <v>0</v>
      </c>
      <c s="12" r="J27"/>
      <c s="12" r="K27">
        <f>COUNTIF(PROJECT!Y2:Y100,"*Greenhouse Gas Emission Audit*")</f>
        <v>0</v>
      </c>
      <c s="12" r="L27"/>
      <c s="12" r="M27"/>
      <c s="12" r="N27"/>
      <c s="12" r="O27"/>
      <c s="12" r="P27"/>
      <c s="12" r="Q27"/>
      <c s="12" r="R27"/>
      <c s="12" r="S27"/>
      <c s="12" r="T27"/>
    </row>
    <row r="28">
      <c t="s" s="12" r="D28">
        <v>1702</v>
      </c>
      <c t="s" s="12" r="E28">
        <v>1732</v>
      </c>
      <c s="12" r="F28">
        <v>0</v>
      </c>
      <c s="12" r="G28">
        <v>1</v>
      </c>
      <c s="12" r="H28"/>
      <c s="12" r="I28">
        <f>COUNTIF(EXPERTISE!I4:I50,"*Hazardous Material Management*")</f>
        <v>0</v>
      </c>
      <c s="12" r="J28"/>
      <c s="12" r="K28">
        <f>COUNTIF(PROJECT!Y2:Y100,"*Hazardous Material Management*")</f>
        <v>0</v>
      </c>
      <c s="12" r="L28"/>
      <c s="12" r="M28"/>
      <c s="12" r="N28"/>
      <c s="12" r="O28"/>
      <c s="12" r="P28"/>
      <c s="12" r="Q28"/>
      <c s="12" r="R28"/>
      <c s="12" r="S28"/>
      <c s="12" r="T28"/>
    </row>
    <row r="29">
      <c t="s" s="12" r="D29">
        <v>1702</v>
      </c>
      <c t="s" s="12" r="E29">
        <v>1694</v>
      </c>
      <c s="12" r="F29">
        <v>0</v>
      </c>
      <c s="12" r="G29">
        <v>1</v>
      </c>
      <c s="12" r="H29"/>
      <c s="12" r="I29">
        <f>COUNTIF(EXPERTISE!I4:I50,"*Solid Waste Management*")</f>
        <v>0</v>
      </c>
      <c s="12" r="J29"/>
      <c s="12" r="K29">
        <f>COUNTIF(PROJECT!Y2:Y100,"*Solid Waste Management*")</f>
        <v>0</v>
      </c>
      <c s="12" r="L29"/>
      <c s="12" r="M29"/>
      <c s="12" r="N29"/>
      <c s="12" r="O29"/>
      <c s="12" r="P29"/>
      <c s="12" r="Q29"/>
      <c s="12" r="R29"/>
      <c s="12" r="S29"/>
      <c s="12" r="T29"/>
    </row>
    <row r="30">
      <c t="s" s="12" r="D30">
        <v>1702</v>
      </c>
      <c t="s" s="12" r="E30">
        <v>1733</v>
      </c>
      <c s="12" r="F30">
        <v>0</v>
      </c>
      <c s="12" r="G30">
        <v>1</v>
      </c>
      <c s="12" r="H30"/>
      <c s="12" r="I30">
        <f>COUNTIF(EXPERTISE!I4:I50,"*Urban and Regional Planning*")</f>
        <v>0</v>
      </c>
      <c s="12" r="J30"/>
      <c s="12" r="K30">
        <f>COUNTIF(PROJECT!Y2:Y100,"*Urban and Regional Planning*")</f>
        <v>0</v>
      </c>
      <c s="12" r="L30"/>
      <c s="12" r="M30"/>
      <c s="12" r="N30"/>
      <c s="12" r="O30"/>
      <c s="12" r="P30"/>
      <c s="12" r="Q30"/>
      <c s="12" r="R30"/>
      <c s="12" r="S30"/>
      <c s="12" r="T30"/>
    </row>
    <row r="31">
      <c t="s" s="12" r="D31">
        <v>1702</v>
      </c>
      <c t="s" s="12" r="E31">
        <v>1734</v>
      </c>
      <c s="12" r="F31">
        <v>0</v>
      </c>
      <c s="12" r="G31">
        <v>1</v>
      </c>
      <c s="12" r="H31"/>
      <c s="12" r="I31">
        <f>COUNTIF(EXPERTISE!I4:I50,"*Wastewater Management*")</f>
        <v>0</v>
      </c>
      <c s="12" r="J31"/>
      <c s="12" r="K31">
        <f>COUNTIF(PROJECT!Y2:Y100,"*Wastewater Management*")</f>
        <v>0</v>
      </c>
      <c s="12" r="L31"/>
      <c s="12" r="M31"/>
      <c s="12" r="N31"/>
      <c s="12" r="O31"/>
      <c s="12" r="P31"/>
      <c s="12" r="Q31"/>
      <c s="12" r="R31"/>
      <c s="12" r="S31"/>
      <c s="12" r="T31"/>
    </row>
    <row r="32">
      <c t="s" s="12" r="D32">
        <v>1702</v>
      </c>
      <c t="s" s="12" r="E32">
        <v>1735</v>
      </c>
      <c s="12" r="F32">
        <v>0</v>
      </c>
      <c s="12" r="G32">
        <v>1</v>
      </c>
      <c s="12" r="H32"/>
      <c s="12" r="I32">
        <f>COUNTIF(EXPERTISE!I4:I50,"*Wastewater Management*")</f>
        <v>0</v>
      </c>
      <c s="12" r="J32"/>
      <c s="12" r="K32">
        <f>COUNTIF(PROJECT!Y2:Y100,"*Water Efficiency*")</f>
        <v>0</v>
      </c>
      <c s="12" r="L32"/>
      <c s="12" r="M32"/>
      <c s="12" r="N32"/>
      <c s="12" r="O32"/>
      <c s="12" r="P32"/>
      <c s="12" r="Q32"/>
      <c s="12" r="R32"/>
      <c s="12" r="S32"/>
      <c s="12" r="T32"/>
    </row>
    <row r="33">
      <c t="s" s="12" r="D33">
        <v>1704</v>
      </c>
      <c t="s" s="12" r="E33">
        <v>1736</v>
      </c>
      <c s="12" r="F33">
        <v>1</v>
      </c>
      <c s="12" r="G33">
        <v>1</v>
      </c>
      <c s="12" r="H33">
        <f>COUNTIF(EXPERTISE!H4:H50,"*PS4: Community Health, Safety, and Security*")</f>
        <v>0</v>
      </c>
      <c s="12" r="I33">
        <f>COUNTIF(EXPERTISE!I4:I50,"*Buildings Structural Integrity*")</f>
        <v>0</v>
      </c>
      <c s="12" r="J33">
        <f>COUNTIF(PROJECT!X2:X100,"*PS4: Community Health, Safety, and Security*")</f>
        <v>0</v>
      </c>
      <c s="12" r="K33">
        <f>COUNTIF(PROJECT!Y2:Y100,"*Buildings Structural Integrity*")</f>
        <v>0</v>
      </c>
      <c s="12" r="L33"/>
      <c s="12" r="M33"/>
      <c s="12" r="N33"/>
      <c s="12" r="O33"/>
      <c s="12" r="P33"/>
      <c s="12" r="Q33"/>
      <c s="12" r="R33"/>
      <c s="12" r="S33"/>
      <c s="12" r="T33"/>
    </row>
    <row r="34">
      <c t="s" s="12" r="D34">
        <v>1704</v>
      </c>
      <c t="s" s="12" r="E34">
        <v>1737</v>
      </c>
      <c s="12" r="F34">
        <v>0</v>
      </c>
      <c s="12" r="G34">
        <v>1</v>
      </c>
      <c s="12" r="H34"/>
      <c s="12" r="I34">
        <f>COUNTIF(EXPERTISE!I4:I50,"*Community Health and Safety*")</f>
        <v>0</v>
      </c>
      <c s="12" r="J34"/>
      <c s="12" r="K34">
        <f>COUNTIF(PROJECT!Y2:Y100,"*Community Health and Safety*")</f>
        <v>0</v>
      </c>
      <c s="12" r="L34"/>
      <c s="12" r="M34"/>
      <c s="12" r="N34"/>
      <c s="12" r="O34"/>
      <c s="12" r="P34"/>
      <c s="12" r="Q34"/>
      <c s="12" r="R34"/>
      <c s="12" r="S34"/>
      <c s="12" r="T34"/>
    </row>
    <row r="35">
      <c t="s" s="12" r="D35">
        <v>1704</v>
      </c>
      <c t="s" s="12" r="E35">
        <v>1738</v>
      </c>
      <c s="12" r="F35">
        <v>0</v>
      </c>
      <c s="12" r="G35">
        <v>1</v>
      </c>
      <c s="12" r="H35"/>
      <c s="12" r="I35">
        <f>COUNTIF(EXPERTISE!I4:I50,"*Community Security*")</f>
        <v>0</v>
      </c>
      <c s="12" r="J35"/>
      <c s="12" r="K35">
        <f>COUNTIF(PROJECT!Y2:Y100,"*Community Security*")</f>
        <v>0</v>
      </c>
      <c s="12" r="L35"/>
      <c s="12" r="M35"/>
      <c s="12" r="N35"/>
      <c s="12" r="O35"/>
      <c s="12" r="P35"/>
      <c s="12" r="Q35"/>
      <c s="12" r="R35"/>
      <c s="12" r="S35"/>
      <c s="12" r="T35"/>
    </row>
    <row r="36">
      <c t="s" s="12" r="D36">
        <v>1704</v>
      </c>
      <c t="s" s="12" r="E36">
        <v>1739</v>
      </c>
      <c s="12" r="F36">
        <v>0</v>
      </c>
      <c s="12" r="G36">
        <v>1</v>
      </c>
      <c s="12" r="H36"/>
      <c s="12" r="I36">
        <f>COUNTIF(EXPERTISE!I4:I50,"*Life and Fire Safety*")</f>
        <v>0</v>
      </c>
      <c s="12" r="J36"/>
      <c s="12" r="K36">
        <f>COUNTIF(PROJECT!Y2:Y100,"*Life and Fire Safety*")</f>
        <v>0</v>
      </c>
      <c s="12" r="L36"/>
      <c s="12" r="M36"/>
      <c s="12" r="N36"/>
      <c s="12" r="O36"/>
      <c s="12" r="P36"/>
      <c s="12" r="Q36"/>
      <c s="12" r="R36"/>
      <c s="12" r="S36"/>
      <c s="12" r="T36"/>
    </row>
    <row r="37">
      <c t="s" s="12" r="D37">
        <v>1704</v>
      </c>
      <c t="s" s="12" r="E37">
        <v>1740</v>
      </c>
      <c s="12" r="F37">
        <v>0</v>
      </c>
      <c s="12" r="G37">
        <v>1</v>
      </c>
      <c s="12" r="H37"/>
      <c s="12" r="I37">
        <f>COUNTIF(EXPERTISE!I4:I50,"*Infrastructure and Equipment Safety*")</f>
        <v>0</v>
      </c>
      <c s="12" r="J37"/>
      <c s="12" r="K37">
        <f>COUNTIF(PROJECT!Y2:Y100,"*Infrastructure and Equipment Safety*")</f>
        <v>0</v>
      </c>
      <c s="12" r="L37"/>
      <c s="12" r="M37"/>
      <c s="12" r="N37"/>
      <c s="12" r="O37"/>
      <c s="12" r="P37"/>
      <c s="12" r="Q37"/>
      <c s="12" r="R37"/>
      <c s="12" r="S37"/>
      <c s="12" r="T37"/>
    </row>
    <row r="38">
      <c t="s" s="12" r="D38">
        <v>1706</v>
      </c>
      <c t="s" s="12" r="E38">
        <v>1741</v>
      </c>
      <c s="12" r="F38">
        <v>1</v>
      </c>
      <c s="12" r="G38">
        <v>1</v>
      </c>
      <c s="12" r="H38">
        <f>COUNTIF(EXPERTISE!H4:H50,"*PS5: Land Acquisition and Involuntary Resettlement*")</f>
        <v>0</v>
      </c>
      <c s="12" r="I38">
        <f>COUNTIF(EXPERTISE!I4:I50,"*Community Benefit Sharing Schemes*")</f>
        <v>0</v>
      </c>
      <c s="12" r="J38">
        <f>COUNTIF(PROJECT!X2:X100,"*PS5: Land Acquisition and Involuntary Resettlement*")</f>
        <v>0</v>
      </c>
      <c s="12" r="K38">
        <f>COUNTIF(PROJECT!Y2:Y100,"*Community Benefit Sharing Schemes*")</f>
        <v>0</v>
      </c>
      <c s="12" r="L38"/>
      <c s="12" r="M38"/>
      <c s="12" r="N38"/>
      <c s="12" r="O38"/>
      <c s="12" r="P38"/>
      <c s="12" r="Q38"/>
      <c s="12" r="R38"/>
      <c s="12" r="S38"/>
      <c s="12" r="T38"/>
    </row>
    <row r="39">
      <c t="s" s="12" r="D39">
        <v>1706</v>
      </c>
      <c t="s" s="12" r="E39">
        <v>1742</v>
      </c>
      <c s="12" r="F39">
        <v>0</v>
      </c>
      <c s="12" r="G39">
        <v>1</v>
      </c>
      <c s="12" r="H39"/>
      <c s="12" r="I39">
        <f>COUNTIF(EXPERTISE!I4:I50,"*Land Acquisition and Resettlement*")</f>
        <v>0</v>
      </c>
      <c s="12" r="J39"/>
      <c s="12" r="K39">
        <f>COUNTIF(PROJECT!Y2:Y100,"*Land Acquisition and Resettlement*")</f>
        <v>0</v>
      </c>
      <c s="12" r="L39"/>
      <c s="12" r="M39"/>
      <c s="12" r="N39"/>
      <c s="12" r="O39"/>
      <c s="12" r="P39"/>
      <c s="12" r="Q39"/>
      <c s="12" r="R39"/>
      <c s="12" r="S39"/>
      <c s="12" r="T39"/>
    </row>
    <row r="40">
      <c t="s" s="12" r="D40">
        <v>1706</v>
      </c>
      <c t="s" s="12" r="E40">
        <v>1743</v>
      </c>
      <c s="12" r="F40">
        <v>0</v>
      </c>
      <c s="12" r="G40">
        <v>1</v>
      </c>
      <c s="12" r="H40"/>
      <c s="12" r="I40">
        <f>COUNTIF(EXPERTISE!I4:I50,"*Livelihood Restoration*")</f>
        <v>0</v>
      </c>
      <c s="12" r="J40"/>
      <c s="12" r="K40">
        <f>COUNTIF(PROJECT!Y2:Y100,"*Livelihood Restoration*")</f>
        <v>0</v>
      </c>
      <c s="12" r="L40"/>
      <c s="12" r="M40"/>
      <c s="12" r="N40"/>
      <c s="12" r="O40"/>
      <c s="12" r="P40"/>
      <c s="12" r="Q40"/>
      <c s="12" r="R40"/>
      <c s="12" r="S40"/>
      <c s="12" r="T40"/>
    </row>
    <row r="41">
      <c t="s" s="12" r="D41">
        <v>1706</v>
      </c>
      <c t="s" s="12" r="E41">
        <v>1419</v>
      </c>
      <c s="12" r="F41">
        <v>0</v>
      </c>
      <c s="12" r="G41">
        <v>1</v>
      </c>
      <c s="12" r="H41"/>
      <c s="12" r="I41">
        <f>COUNTIF(EXPERTISE!I4:I50,"*Rural Development*")</f>
        <v>0</v>
      </c>
      <c s="12" r="J41"/>
      <c s="12" r="K41">
        <f>COUNTIF(PROJECT!Y2:Y100,"*Rural Development*")</f>
        <v>0</v>
      </c>
      <c s="12" r="L41"/>
      <c s="12" r="M41"/>
      <c s="12" r="N41"/>
      <c s="12" r="O41"/>
      <c s="12" r="P41"/>
      <c s="12" r="Q41"/>
      <c s="12" r="R41"/>
      <c s="12" r="S41"/>
      <c s="12" r="T41"/>
    </row>
    <row r="42">
      <c t="s" s="12" r="D42">
        <v>1708</v>
      </c>
      <c t="s" s="12" r="E42">
        <v>1744</v>
      </c>
      <c s="12" r="F42">
        <v>1</v>
      </c>
      <c s="12" r="G42">
        <v>1</v>
      </c>
      <c s="12" r="H42">
        <f>COUNTIF(EXPERTISE!H4:H50,"*PS6: Biodiversity Conservation and Sustainable Management of Living Natural Resources*")</f>
        <v>0</v>
      </c>
      <c s="22" r="I42">
        <f>COUNTIF(EXPERTISE!I4:I50,"*Biodiversity Assessment*")</f>
        <v>0</v>
      </c>
      <c s="12" r="J42">
        <f>COUNTIF(PROJECT!X2:X100,"*PS6: Biodiversity Conservation and Sustainable Management of Living Natural Resources*")</f>
        <v>0</v>
      </c>
      <c s="22" r="K42">
        <f>COUNTIF(PROJECT!Y2:Y100,"*Biodiversity Assessment*")</f>
        <v>0</v>
      </c>
      <c s="12" r="L42"/>
      <c s="12" r="M42"/>
      <c s="12" r="N42"/>
      <c s="12" r="O42"/>
      <c s="12" r="P42"/>
      <c s="12" r="Q42"/>
      <c s="12" r="R42"/>
      <c s="12" r="S42"/>
      <c s="12" r="T42"/>
    </row>
    <row r="43">
      <c t="s" s="12" r="D43">
        <v>1708</v>
      </c>
      <c t="s" s="12" r="E43">
        <v>1745</v>
      </c>
      <c s="12" r="F43">
        <v>0</v>
      </c>
      <c s="12" r="G43">
        <v>1</v>
      </c>
      <c s="12" r="H43"/>
      <c s="12" r="I43">
        <f>COUNTIF(EXPERTISE!I4:I50,"*Biodiversity Offset Planning and Implementation*")</f>
        <v>0</v>
      </c>
      <c s="12" r="J43"/>
      <c s="12" r="K43">
        <f>COUNTIF(PROJECT!Y2:Y100,"*Biodiversity Offset Planning and Implementation*")</f>
        <v>0</v>
      </c>
      <c s="12" r="L43"/>
      <c s="12" r="M43"/>
      <c s="12" r="N43"/>
      <c s="12" r="O43"/>
      <c s="12" r="P43"/>
      <c s="12" r="Q43"/>
      <c s="12" r="R43"/>
      <c s="12" r="S43"/>
      <c s="12" r="T43"/>
    </row>
    <row r="44">
      <c t="s" s="12" r="D44">
        <v>1708</v>
      </c>
      <c t="s" s="12" r="E44">
        <v>1746</v>
      </c>
      <c s="12" r="F44">
        <v>0</v>
      </c>
      <c s="12" r="G44">
        <v>1</v>
      </c>
      <c s="12" r="H44"/>
      <c s="12" r="I44">
        <f>COUNTIF(EXPERTISE!I4:I50,"*Ecosystem Services Review*")</f>
        <v>0</v>
      </c>
      <c s="12" r="J44"/>
      <c s="12" r="K44">
        <f>COUNTIF(PROJECT!Y2:Y100,"*Ecosystem Services Review*")</f>
        <v>0</v>
      </c>
      <c s="12" r="L44"/>
      <c s="12" r="M44"/>
      <c s="12" r="N44"/>
      <c s="12" r="O44"/>
      <c s="12" r="P44"/>
      <c s="12" r="Q44"/>
      <c s="12" r="R44"/>
      <c s="12" r="S44"/>
      <c s="12" r="T44"/>
    </row>
    <row r="45">
      <c t="s" s="12" r="D45">
        <v>1708</v>
      </c>
      <c t="s" s="12" r="E45">
        <v>1747</v>
      </c>
      <c s="12" r="F45">
        <v>0</v>
      </c>
      <c s="12" r="G45">
        <v>1</v>
      </c>
      <c s="12" r="H45"/>
      <c s="12" r="I45">
        <f>COUNTIF(EXPERTISE!I4:I50,"*Forestry Management*")</f>
        <v>0</v>
      </c>
      <c s="12" r="J45"/>
      <c s="12" r="K45">
        <f>COUNTIF(PROJECT!Y2:Y100,"*Forestry Management*")</f>
        <v>0</v>
      </c>
      <c s="12" r="L45"/>
      <c s="12" r="M45"/>
      <c s="12" r="N45"/>
      <c s="12" r="O45"/>
      <c s="12" r="P45"/>
      <c s="12" r="Q45"/>
      <c s="12" r="R45"/>
      <c s="12" r="S45"/>
      <c s="12" r="T45"/>
    </row>
    <row r="46">
      <c t="s" s="12" r="D46">
        <v>1708</v>
      </c>
      <c t="s" s="12" r="E46">
        <v>1748</v>
      </c>
      <c s="12" r="F46">
        <v>0</v>
      </c>
      <c s="12" r="G46">
        <v>1</v>
      </c>
      <c s="12" r="H46"/>
      <c s="12" r="I46">
        <f>COUNTIF(EXPERTISE!I4:I50,"*Geographic Information System &amp; Land Use Planning*")</f>
        <v>0</v>
      </c>
      <c s="12" r="J46"/>
      <c s="12" r="K46">
        <f>COUNTIF(PROJECT!Y2:Y100,"*Geographic Information System &amp; Land Use Planning*")</f>
        <v>0</v>
      </c>
      <c s="12" r="L46"/>
      <c s="12" r="M46"/>
      <c s="12" r="N46"/>
      <c s="12" r="O46"/>
      <c s="12" r="P46"/>
      <c s="12" r="Q46"/>
      <c s="12" r="R46"/>
      <c s="12" r="S46"/>
      <c s="12" r="T46"/>
    </row>
    <row r="47">
      <c t="s" s="12" r="D47">
        <v>1708</v>
      </c>
      <c t="s" s="12" r="E47">
        <v>1749</v>
      </c>
      <c s="12" r="F47">
        <v>0</v>
      </c>
      <c s="12" r="G47">
        <v>1</v>
      </c>
      <c s="12" r="H47"/>
      <c s="12" r="I47">
        <f>COUNTIF(EXPERTISE!I4:I50,"*Natural Resource Management*")</f>
        <v>0</v>
      </c>
      <c s="12" r="J47"/>
      <c s="12" r="K47">
        <f>COUNTIF(PROJECT!Y2:Y100,"*Natural Resource Management*")</f>
        <v>0</v>
      </c>
      <c s="12" r="L47"/>
      <c s="12" r="M47"/>
      <c s="12" r="N47"/>
      <c s="12" r="O47"/>
      <c s="12" r="P47"/>
      <c s="12" r="Q47"/>
      <c s="12" r="R47"/>
      <c s="12" r="S47"/>
      <c s="12" r="T47"/>
    </row>
    <row r="48">
      <c t="s" s="12" r="D48">
        <v>1708</v>
      </c>
      <c t="s" s="12" r="E48">
        <v>1750</v>
      </c>
      <c s="12" r="F48">
        <v>0</v>
      </c>
      <c s="12" r="G48">
        <v>1</v>
      </c>
      <c s="12" r="H48"/>
      <c s="12" r="I48">
        <f>COUNTIF(EXPERTISE!I4:I50,"*Supply Chain Biodiversity Assessment*")</f>
        <v>0</v>
      </c>
      <c s="12" r="J48"/>
      <c s="12" r="K48">
        <f>COUNTIF(PROJECT!Y2:Y100,"*Supply Chain Biodiversity Assessment*")</f>
        <v>0</v>
      </c>
      <c s="12" r="L48"/>
      <c s="12" r="M48"/>
      <c s="12" r="N48"/>
      <c s="12" r="O48"/>
      <c s="12" r="P48"/>
      <c s="12" r="Q48"/>
      <c s="12" r="R48"/>
      <c s="12" r="S48"/>
      <c s="12" r="T48"/>
    </row>
    <row r="49">
      <c t="s" s="12" r="D49">
        <v>1708</v>
      </c>
      <c t="s" s="12" r="E49">
        <v>1751</v>
      </c>
      <c s="12" r="F49">
        <v>0</v>
      </c>
      <c s="12" r="G49">
        <v>1</v>
      </c>
      <c s="12" r="H49"/>
      <c s="12" r="I49">
        <f>COUNTIF(EXPERTISE!I4:I50,"*Sustainable Forestry Certification (FSC, PEFC)*")</f>
        <v>0</v>
      </c>
      <c s="12" r="J49"/>
      <c s="12" r="K49">
        <f>COUNTIF(PROJECT!Y2:Y100,"*Sustainable Forestry Certification (FSC, PEFC)*")</f>
        <v>0</v>
      </c>
      <c s="12" r="L49"/>
      <c s="12" r="M49"/>
      <c s="12" r="N49"/>
      <c s="12" r="O49"/>
      <c s="12" r="P49"/>
      <c s="12" r="Q49"/>
      <c s="12" r="R49"/>
      <c s="12" r="S49"/>
      <c s="12" r="T49"/>
    </row>
    <row r="50">
      <c t="s" s="12" r="D50">
        <v>1710</v>
      </c>
      <c t="s" s="12" r="E50">
        <v>1752</v>
      </c>
      <c s="12" r="F50">
        <v>1</v>
      </c>
      <c s="12" r="G50">
        <v>1</v>
      </c>
      <c s="12" r="H50">
        <f>COUNTIF(EXPERTISE!H4:H50,"*PS7: Indigenous Peoples*")</f>
        <v>0</v>
      </c>
      <c s="12" r="I50">
        <f>COUNTIF(EXPERTISE!I4:I50,"*Free Prior and Informed Consent (FPIC)*")</f>
        <v>0</v>
      </c>
      <c s="12" r="J50">
        <f>COUNTIF(PROJECT!X2:X100,"*PS7: Indigenous Peoples*")</f>
        <v>0</v>
      </c>
      <c s="12" r="K50">
        <f>COUNTIF(PROJECT!Y2:Y100,"*Free Prior and Informed Consent (FPIC)*")</f>
        <v>0</v>
      </c>
      <c s="12" r="L50"/>
      <c s="12" r="M50"/>
      <c s="12" r="N50"/>
      <c s="12" r="O50"/>
      <c s="12" r="P50"/>
      <c s="12" r="Q50"/>
      <c s="12" r="R50"/>
      <c s="12" r="S50"/>
      <c s="12" r="T50"/>
    </row>
    <row r="51">
      <c t="s" s="12" r="D51">
        <v>1710</v>
      </c>
      <c t="s" s="12" r="E51">
        <v>1753</v>
      </c>
      <c s="12" r="F51">
        <v>0</v>
      </c>
      <c s="12" r="G51">
        <v>1</v>
      </c>
      <c s="12" r="H51"/>
      <c s="12" r="I51">
        <f>COUNTIF(EXPERTISE!I4:I50,"*Indigenous Peoples and Ethnic Minorities*")</f>
        <v>0</v>
      </c>
      <c s="12" r="J51"/>
      <c s="12" r="K51">
        <f>COUNTIF(PROJECT!Y2:Y100,"*Indigenous Peoples and Ethnic Minorities*")</f>
        <v>0</v>
      </c>
      <c s="12" r="L51"/>
      <c s="12" r="M51"/>
      <c s="12" r="N51"/>
      <c s="12" r="O51"/>
      <c s="12" r="P51"/>
      <c s="12" r="Q51"/>
      <c s="12" r="R51"/>
      <c s="12" r="S51"/>
      <c s="12" r="T51"/>
    </row>
    <row r="52">
      <c t="s" s="12" r="D52">
        <v>1712</v>
      </c>
      <c t="s" s="12" r="E52">
        <v>1754</v>
      </c>
      <c s="12" r="F52">
        <v>1</v>
      </c>
      <c s="12" r="G52">
        <v>1</v>
      </c>
      <c s="12" r="H52">
        <f>COUNTIF(EXPERTISE!H4:H50,"*PS8: Cultural Heritage*")</f>
        <v>0</v>
      </c>
      <c s="12" r="I52">
        <f>COUNTIF(EXPERTISE!I4:I50,"*Critical Cultural Heritage*")</f>
        <v>0</v>
      </c>
      <c s="12" r="J52">
        <f>COUNTIF(PROJECT!X2:X100,"*PS8: Cultural Heritage*")</f>
        <v>0</v>
      </c>
      <c s="12" r="K52">
        <f>COUNTIF(PROJECT!Y2:Y100,"*Critical Cultural Heritage*")</f>
        <v>0</v>
      </c>
      <c s="12" r="L52"/>
      <c s="12" r="M52"/>
      <c s="12" r="N52"/>
      <c s="12" r="O52"/>
      <c s="12" r="P52"/>
      <c s="12" r="Q52"/>
      <c s="12" r="R52"/>
      <c s="12" r="S52"/>
      <c s="12" r="T52"/>
    </row>
    <row r="53">
      <c t="s" s="12" r="D53">
        <v>1712</v>
      </c>
      <c t="s" s="12" r="E53">
        <v>1755</v>
      </c>
      <c s="12" r="F53">
        <v>0</v>
      </c>
      <c s="12" r="G53">
        <v>1</v>
      </c>
      <c s="12" r="H53"/>
      <c s="12" r="I53">
        <f>COUNTIF(EXPERTISE!I4:I50,"*Cultural Heritage Assessment and Preservation*")</f>
        <v>0</v>
      </c>
      <c s="12" r="J53"/>
      <c s="12" r="K53">
        <f>COUNTIF(PROJECT!Y2:Y100,"*Cultural Heritage Assessment and Preservation*")</f>
        <v>0</v>
      </c>
      <c s="12" r="L53"/>
      <c s="12" r="M53"/>
      <c s="12" r="N53"/>
      <c s="12" r="O53"/>
      <c s="12" r="P53"/>
      <c s="12" r="Q53"/>
      <c s="12" r="R53"/>
      <c s="12" r="S53"/>
      <c s="12" r="T53"/>
    </row>
  </sheetData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A3" ySplit="2.0" activePane="bottomLeft" state="frozen"/>
      <selection sqref="A3" activeCell="A3" pane="bottomLeft"/>
    </sheetView>
  </sheetViews>
  <sheetFormatPr customHeight="1" defaultColWidth="17.14" defaultRowHeight="12.75"/>
  <cols>
    <col min="1" customWidth="1" max="1" width="1.86"/>
    <col min="2" customWidth="1" max="2" width="23.14"/>
    <col min="3" customWidth="1" max="3" width="3.14"/>
    <col min="4" customWidth="1" max="5" width="6.86"/>
    <col min="7" customWidth="1" max="7" width="5.0"/>
    <col min="9" customWidth="1" max="9" width="3.43"/>
  </cols>
  <sheetData>
    <row r="2">
      <c t="s" s="25" r="B2">
        <v>1541</v>
      </c>
      <c s="25" r="C2"/>
      <c s="25" r="D2"/>
      <c s="25" r="E2"/>
      <c t="s" s="25" r="F2">
        <v>1543</v>
      </c>
      <c s="25" r="G2"/>
      <c t="s" s="25" r="H2">
        <v>1545</v>
      </c>
      <c s="25" r="I2"/>
      <c s="12" r="J2"/>
      <c s="12" r="K2"/>
      <c s="12" r="L2"/>
      <c s="12" r="M2"/>
      <c s="12" r="N2"/>
      <c s="12" r="O2"/>
      <c s="12" r="P2"/>
      <c s="12" r="Q2"/>
      <c s="12" r="R2"/>
      <c s="12" r="S2"/>
      <c s="12" r="T2"/>
    </row>
    <row r="3">
      <c t="s" s="12" r="B3">
        <v>1756</v>
      </c>
      <c s="22" r="C3"/>
      <c s="12" r="D3">
        <v>1</v>
      </c>
      <c s="12" r="E3">
        <v>0</v>
      </c>
      <c s="12" r="F3">
        <f>COUNTIF(EXPERTISE!G4:G50,"*Airlines*")</f>
        <v>0</v>
      </c>
      <c s="12" r="G3"/>
      <c s="12" r="H3">
        <f>COUNTIF(PROJECT!Z2:Z100,"*Airlines*")</f>
        <v>0</v>
      </c>
      <c s="12" r="I3"/>
      <c s="12" r="J3"/>
      <c s="12" r="K3"/>
      <c s="12" r="L3"/>
      <c s="12" r="M3"/>
      <c s="12" r="N3"/>
      <c s="12" r="O3"/>
      <c s="12" r="P3"/>
      <c s="12" r="Q3"/>
      <c s="12" r="R3"/>
      <c s="12" r="S3"/>
      <c s="12" r="T3"/>
    </row>
    <row r="4">
      <c t="s" s="12" r="B4">
        <v>1757</v>
      </c>
      <c s="22" r="C4"/>
      <c s="12" r="D4">
        <v>1</v>
      </c>
      <c s="12" r="E4">
        <v>0</v>
      </c>
      <c s="12" r="F4">
        <f>COUNTIF(EXPERTISE!G4:G50,"*Airports*")</f>
        <v>0</v>
      </c>
      <c s="12" r="G4"/>
      <c s="12" r="H4">
        <f>COUNTIF(PROJECT!Z2:Z100,"*Airports*")</f>
        <v>0</v>
      </c>
      <c s="12" r="I4"/>
      <c s="12" r="J4"/>
      <c s="12" r="K4"/>
      <c s="12" r="L4"/>
      <c s="12" r="M4"/>
      <c s="12" r="N4"/>
      <c s="12" r="O4"/>
      <c s="12" r="P4"/>
      <c s="12" r="Q4"/>
      <c s="12" r="R4"/>
      <c s="12" r="S4"/>
      <c s="12" r="T4"/>
    </row>
    <row r="5">
      <c t="s" s="12" r="B5">
        <v>1758</v>
      </c>
      <c s="22" r="C5"/>
      <c s="12" r="D5">
        <v>1</v>
      </c>
      <c s="12" r="E5">
        <v>0</v>
      </c>
      <c s="12" r="F5">
        <f>COUNTIF(EXPERTISE!G4:G50,"*Annual Crop Production*")</f>
        <v>0</v>
      </c>
      <c s="12" r="G5"/>
      <c s="12" r="H5">
        <f>COUNTIF(PROJECT!Z2:Z100,"*Annual Crop Production*")</f>
        <v>0</v>
      </c>
      <c s="12" r="I5"/>
      <c s="12" r="J5"/>
      <c s="12" r="K5"/>
      <c s="12" r="L5"/>
      <c s="12" r="M5"/>
      <c s="12" r="N5"/>
      <c s="12" r="O5"/>
      <c s="12" r="P5"/>
      <c s="12" r="Q5"/>
      <c s="12" r="R5"/>
      <c s="12" r="S5"/>
      <c s="12" r="T5"/>
    </row>
    <row r="6">
      <c t="s" s="12" r="B6">
        <v>1552</v>
      </c>
      <c s="22" r="C6"/>
      <c s="12" r="D6">
        <v>1</v>
      </c>
      <c s="12" r="E6">
        <v>0</v>
      </c>
      <c s="12" r="F6">
        <f>COUNTIF(EXPERTISE!G4:G50,"*Aquaculture*")</f>
        <v>0</v>
      </c>
      <c s="12" r="G6"/>
      <c s="12" r="H6">
        <f>COUNTIF(PROJECT!Z2:Z100,"*Aquaculture*")</f>
        <v>0</v>
      </c>
      <c s="12" r="I6"/>
      <c s="12" r="J6"/>
      <c s="12" r="K6"/>
      <c s="12" r="L6"/>
      <c s="12" r="M6"/>
      <c s="12" r="N6"/>
      <c s="12" r="O6"/>
      <c s="12" r="P6"/>
      <c s="12" r="Q6"/>
      <c s="12" r="R6"/>
      <c s="12" r="S6"/>
      <c s="12" r="T6"/>
    </row>
    <row r="7">
      <c t="s" s="12" r="B7">
        <v>1759</v>
      </c>
      <c s="22" r="C7"/>
      <c s="12" r="D7">
        <v>1</v>
      </c>
      <c s="12" r="E7">
        <v>0</v>
      </c>
      <c s="12" r="F7">
        <f>COUNTIF(EXPERTISE!G4:G50,"*Base Metal Smelting and Refining*")</f>
        <v>0</v>
      </c>
      <c s="12" r="G7"/>
      <c s="12" r="H7">
        <f>COUNTIF(PROJECT!Z2:Z100,"*Base Metal Smelting and Refining*")</f>
        <v>0</v>
      </c>
      <c s="12" r="I7"/>
      <c s="12" r="J7"/>
      <c s="12" r="K7"/>
      <c s="12" r="L7"/>
      <c s="12" r="M7"/>
      <c s="12" r="N7"/>
      <c s="12" r="O7"/>
      <c s="12" r="P7"/>
      <c s="12" r="Q7"/>
      <c s="12" r="R7"/>
      <c s="12" r="S7"/>
      <c s="12" r="T7"/>
    </row>
    <row r="8">
      <c t="s" s="12" r="B8">
        <v>1760</v>
      </c>
      <c s="22" r="C8"/>
      <c s="12" r="D8">
        <v>1</v>
      </c>
      <c s="12" r="E8">
        <v>0</v>
      </c>
      <c s="12" r="F8">
        <f>COUNTIF(EXPERTISE!G4:G50,"*Biomass Collection and Processing*")</f>
        <v>0</v>
      </c>
      <c s="12" r="G8"/>
      <c s="12" r="H8">
        <f>COUNTIF(PROJECT!Z2:Z100,"*Biomass Collection and Processing*")</f>
        <v>0</v>
      </c>
      <c s="12" r="I8"/>
      <c s="12" r="J8"/>
      <c s="12" r="K8"/>
      <c s="12" r="L8"/>
      <c s="12" r="M8"/>
      <c s="12" r="N8"/>
      <c s="12" r="O8"/>
      <c s="12" r="P8"/>
      <c s="12" r="Q8"/>
      <c s="12" r="R8"/>
      <c s="12" r="S8"/>
      <c s="12" r="T8"/>
    </row>
    <row r="9">
      <c t="s" s="12" r="B9">
        <v>1761</v>
      </c>
      <c s="22" r="C9"/>
      <c s="12" r="D9">
        <v>1</v>
      </c>
      <c s="12" r="E9">
        <v>0</v>
      </c>
      <c s="12" r="F9">
        <f>COUNTIF(EXPERTISE!G4:G50,"*Board and Particle-based Products*")</f>
        <v>0</v>
      </c>
      <c s="12" r="G9"/>
      <c s="12" r="H9">
        <f>COUNTIF(PROJECT!Z2:Z100,"*Board and Particle-based Products*")</f>
        <v>0</v>
      </c>
      <c s="12" r="I9"/>
      <c s="12" r="J9"/>
      <c s="12" r="K9"/>
      <c s="12" r="L9"/>
      <c s="12" r="M9"/>
      <c s="12" r="N9"/>
      <c s="12" r="O9"/>
      <c s="12" r="P9"/>
      <c s="12" r="Q9"/>
      <c s="12" r="R9"/>
      <c s="12" r="S9"/>
      <c s="12" r="T9"/>
    </row>
    <row r="10">
      <c t="s" s="12" r="B10">
        <v>1762</v>
      </c>
      <c s="22" r="C10"/>
      <c s="12" r="D10">
        <v>1</v>
      </c>
      <c s="12" r="E10">
        <v>0</v>
      </c>
      <c s="12" r="F10">
        <f>COUNTIF(EXPERTISE!G4:G50,"*Breweries*")</f>
        <v>0</v>
      </c>
      <c s="12" r="G10"/>
      <c s="12" r="H10">
        <f>COUNTIF(PROJECT!Z2:Z100,"*Breweries*")</f>
        <v>0</v>
      </c>
      <c s="12" r="I10"/>
      <c s="12" r="J10"/>
      <c s="12" r="K10"/>
      <c s="12" r="L10"/>
      <c s="12" r="M10"/>
      <c s="12" r="N10"/>
      <c s="12" r="O10"/>
      <c s="12" r="P10"/>
      <c s="12" r="Q10"/>
      <c s="12" r="R10"/>
      <c s="12" r="S10"/>
      <c s="12" r="T10"/>
    </row>
    <row r="11">
      <c t="s" s="12" r="B11">
        <v>1763</v>
      </c>
      <c s="22" r="C11"/>
      <c s="12" r="D11">
        <v>1</v>
      </c>
      <c s="12" r="E11">
        <v>0</v>
      </c>
      <c s="12" r="F11">
        <f>COUNTIF(EXPERTISE!G4:G50,"*Cement and Lime Manufacturing*")</f>
        <v>0</v>
      </c>
      <c s="12" r="G11"/>
      <c s="12" r="H11">
        <f>COUNTIF(PROJECT!Z2:Z100,"*Cement and Lime Manufacturing*")</f>
        <v>0</v>
      </c>
      <c s="12" r="I11"/>
      <c s="12" r="J11"/>
      <c s="12" r="K11"/>
      <c s="12" r="L11"/>
      <c s="12" r="M11"/>
      <c s="12" r="N11"/>
      <c s="12" r="O11"/>
      <c s="12" r="P11"/>
      <c s="12" r="Q11"/>
      <c s="12" r="R11"/>
      <c s="12" r="S11"/>
      <c s="12" r="T11"/>
    </row>
    <row r="12">
      <c t="s" s="12" r="B12">
        <v>1764</v>
      </c>
      <c s="22" r="C12"/>
      <c s="12" r="D12">
        <v>1</v>
      </c>
      <c s="12" r="E12">
        <v>0</v>
      </c>
      <c s="12" r="F12">
        <f>COUNTIF(EXPERTISE!G4:G50,"*Ceramic Tile and Sanitary Ware Manufacturing*")</f>
        <v>0</v>
      </c>
      <c s="12" r="G12"/>
      <c s="12" r="H12">
        <f>COUNTIF(PROJECT!Z2:Z100,"*Ceramic Tile and Sanitary Ware Manufacturing*")</f>
        <v>0</v>
      </c>
      <c s="12" r="I12"/>
      <c s="12" r="J12"/>
      <c s="12" r="K12"/>
      <c s="12" r="L12"/>
      <c s="12" r="M12"/>
      <c s="12" r="N12"/>
      <c s="12" r="O12"/>
      <c s="12" r="P12"/>
      <c s="12" r="Q12"/>
      <c s="12" r="R12"/>
      <c s="12" r="S12"/>
      <c s="12" r="T12"/>
    </row>
    <row r="13">
      <c t="s" s="12" r="B13">
        <v>1765</v>
      </c>
      <c s="22" r="C13"/>
      <c s="12" r="D13">
        <v>1</v>
      </c>
      <c s="12" r="E13">
        <v>0</v>
      </c>
      <c s="12" r="F13">
        <f>COUNTIF(EXPERTISE!G4:G50,"*Coal Tar Distillation*")</f>
        <v>0</v>
      </c>
      <c s="22" r="G13"/>
      <c s="12" r="H13">
        <f>COUNTIF(PROJECT!Z2:Z100,"*Coal Tar Distillation*")</f>
        <v>0</v>
      </c>
      <c s="22" r="I13"/>
      <c s="12" r="J13"/>
      <c s="12" r="K13"/>
      <c s="12" r="L13"/>
      <c s="12" r="M13"/>
      <c s="12" r="N13"/>
      <c s="12" r="O13"/>
      <c s="12" r="P13"/>
      <c s="12" r="Q13"/>
      <c s="12" r="R13"/>
      <c s="12" r="S13"/>
      <c s="12" r="T13"/>
    </row>
    <row r="14">
      <c t="s" s="12" r="B14">
        <v>1766</v>
      </c>
      <c s="22" r="C14"/>
      <c s="12" r="D14">
        <v>1</v>
      </c>
      <c s="12" r="E14">
        <v>0</v>
      </c>
      <c s="12" r="F14">
        <f>COUNTIF(EXPERTISE!G4:G50,"*Coal Processing*")</f>
        <v>0</v>
      </c>
      <c s="12" r="G14"/>
      <c s="12" r="H14">
        <f>COUNTIF(PROJECT!Z2:Z100,"*Coal Processing*")</f>
        <v>0</v>
      </c>
      <c s="12" r="I14"/>
      <c s="12" r="J14"/>
      <c s="12" r="K14"/>
      <c s="12" r="L14"/>
      <c s="12" r="M14"/>
      <c s="12" r="N14"/>
      <c s="12" r="O14"/>
      <c s="12" r="P14"/>
      <c s="12" r="Q14"/>
      <c s="12" r="R14"/>
      <c s="12" r="S14"/>
      <c s="12" r="T14"/>
    </row>
    <row r="15">
      <c t="s" s="12" r="B15">
        <v>1767</v>
      </c>
      <c s="22" r="C15"/>
      <c s="12" r="D15">
        <v>1</v>
      </c>
      <c s="12" r="E15">
        <v>0</v>
      </c>
      <c s="12" r="F15">
        <f>COUNTIF(EXPERTISE!G4:G50,"*Construction Materials Extraction*")</f>
        <v>0</v>
      </c>
      <c s="12" r="G15"/>
      <c s="12" r="H15">
        <f>COUNTIF(PROJECT!Z2:Z100,"*Construction Materials Extraction*")</f>
        <v>0</v>
      </c>
      <c s="12" r="I15"/>
      <c s="12" r="J15"/>
      <c s="12" r="K15"/>
      <c s="12" r="L15"/>
      <c s="12" r="M15"/>
      <c s="12" r="N15"/>
      <c s="12" r="O15"/>
      <c s="12" r="P15"/>
      <c s="12" r="Q15"/>
      <c s="12" r="R15"/>
      <c s="12" r="S15"/>
      <c s="12" r="T15"/>
    </row>
    <row r="16">
      <c t="s" s="12" r="B16">
        <v>1768</v>
      </c>
      <c s="22" r="C16"/>
      <c s="12" r="D16">
        <v>1</v>
      </c>
      <c s="12" r="E16">
        <v>0</v>
      </c>
      <c s="12" r="F16">
        <f>COUNTIF(EXPERTISE!G4:G50,"*Crude Oil and Petroleum Product Terminals*")</f>
        <v>0</v>
      </c>
      <c s="12" r="G16"/>
      <c s="12" r="H16">
        <f>COUNTIF(PROJECT!Z2:Z100,"*Crude Oil and Petroleum Product Terminals*")</f>
        <v>0</v>
      </c>
      <c s="12" r="I16"/>
      <c s="12" r="J16"/>
      <c s="12" r="K16"/>
      <c s="12" r="L16"/>
      <c s="12" r="M16"/>
      <c s="12" r="N16"/>
      <c s="12" r="O16"/>
      <c s="12" r="P16"/>
      <c s="12" r="Q16"/>
      <c s="12" r="R16"/>
      <c s="12" r="S16"/>
      <c s="12" r="T16"/>
    </row>
    <row r="17">
      <c t="s" s="12" r="B17">
        <v>1769</v>
      </c>
      <c s="22" r="C17"/>
      <c s="12" r="D17">
        <v>1</v>
      </c>
      <c s="12" r="E17">
        <v>0</v>
      </c>
      <c s="12" r="F17">
        <f>COUNTIF(EXPERTISE!G4:G50,"*Dairy Processing*")</f>
        <v>0</v>
      </c>
      <c s="12" r="G17"/>
      <c s="12" r="H17">
        <f>COUNTIF(PROJECT!Z2:Z100,"*Dairy Processing*")</f>
        <v>0</v>
      </c>
      <c s="12" r="I17"/>
      <c s="12" r="J17"/>
      <c s="12" r="K17"/>
      <c s="12" r="L17"/>
      <c s="12" r="M17"/>
      <c s="12" r="N17"/>
      <c s="12" r="O17"/>
      <c s="12" r="P17"/>
      <c s="12" r="Q17"/>
      <c s="12" r="R17"/>
      <c s="12" r="S17"/>
      <c s="12" r="T17"/>
    </row>
    <row r="18">
      <c t="s" s="12" r="B18">
        <v>1770</v>
      </c>
      <c s="22" r="C18"/>
      <c s="12" r="D18">
        <v>1</v>
      </c>
      <c s="12" r="E18">
        <v>0</v>
      </c>
      <c s="12" r="F18">
        <f>COUNTIF(EXPERTISE!G4:G50,"*Electric Power Transmission and Distribution*")</f>
        <v>0</v>
      </c>
      <c s="12" r="G18"/>
      <c s="12" r="H18">
        <f>COUNTIF(PROJECT!Z2:Z100,"*Electric Power Transmission and Distribution*")</f>
        <v>0</v>
      </c>
      <c s="12" r="I18"/>
      <c s="12" r="J18"/>
      <c s="12" r="K18"/>
      <c s="12" r="L18"/>
      <c s="12" r="M18"/>
      <c s="12" r="N18"/>
      <c s="12" r="O18"/>
      <c s="12" r="P18"/>
      <c s="12" r="Q18"/>
      <c s="12" r="R18"/>
      <c s="12" r="S18"/>
      <c s="12" r="T18"/>
    </row>
    <row r="19">
      <c t="s" s="12" r="B19">
        <v>1771</v>
      </c>
      <c s="22" r="C19"/>
      <c s="12" r="D19">
        <v>1</v>
      </c>
      <c s="12" r="E19">
        <v>0</v>
      </c>
      <c s="12" r="F19">
        <f>COUNTIF(EXPERTISE!G4:G50,"*Financial Intermediaries (e.g. Banks, PE Funds)*")</f>
        <v>0</v>
      </c>
      <c s="12" r="G19"/>
      <c s="12" r="H19">
        <f>COUNTIF(PROJECT!Z2:Z100,"*Financial Intermediaries (e.g. Banks, PE Funds)*")</f>
        <v>0</v>
      </c>
      <c s="12" r="I19"/>
      <c s="12" r="J19"/>
      <c s="12" r="K19"/>
      <c s="12" r="L19"/>
      <c s="12" r="M19"/>
      <c s="12" r="N19"/>
      <c s="12" r="O19"/>
      <c s="12" r="P19"/>
      <c s="12" r="Q19"/>
      <c s="12" r="R19"/>
      <c s="12" r="S19"/>
      <c s="12" r="T19"/>
    </row>
    <row r="20">
      <c t="s" s="12" r="B20">
        <v>1772</v>
      </c>
      <c s="22" r="C20"/>
      <c s="12" r="D20">
        <v>1</v>
      </c>
      <c s="12" r="E20">
        <v>0</v>
      </c>
      <c s="12" r="F20">
        <f>COUNTIF(EXPERTISE!G4:G50,"*Fish Processing*")</f>
        <v>0</v>
      </c>
      <c s="12" r="G20"/>
      <c s="12" r="H20">
        <f>COUNTIF(PROJECT!Z2:Z100,"*Fish Processing*")</f>
        <v>0</v>
      </c>
      <c s="12" r="I20"/>
      <c s="12" r="J20"/>
      <c s="12" r="K20"/>
      <c s="12" r="L20"/>
      <c s="12" r="M20"/>
      <c s="12" r="N20"/>
      <c s="12" r="O20"/>
      <c s="12" r="P20"/>
      <c s="12" r="Q20"/>
      <c s="12" r="R20"/>
      <c s="12" r="S20"/>
      <c s="12" r="T20"/>
    </row>
    <row r="21">
      <c t="s" s="12" r="B21">
        <v>1773</v>
      </c>
      <c s="22" r="C21"/>
      <c s="12" r="D21">
        <v>1</v>
      </c>
      <c s="12" r="E21">
        <v>0</v>
      </c>
      <c s="12" r="F21">
        <f>COUNTIF(EXPERTISE!G4:G50,"*Food and Beverage Processing*")</f>
        <v>0</v>
      </c>
      <c s="12" r="G21"/>
      <c s="12" r="H21">
        <f>COUNTIF(PROJECT!Z2:Z100,"*Food and Beverage Processing*")</f>
        <v>0</v>
      </c>
      <c s="12" r="I21"/>
      <c s="12" r="J21"/>
      <c s="12" r="K21"/>
      <c s="12" r="L21"/>
      <c s="12" r="M21"/>
      <c s="12" r="N21"/>
      <c s="12" r="O21"/>
      <c s="12" r="P21"/>
      <c s="12" r="Q21"/>
      <c s="12" r="R21"/>
      <c s="12" r="S21"/>
      <c s="12" r="T21"/>
    </row>
    <row r="22">
      <c t="s" s="12" r="B22">
        <v>1774</v>
      </c>
      <c s="22" r="C22"/>
      <c s="12" r="D22">
        <v>1</v>
      </c>
      <c s="12" r="E22">
        <v>0</v>
      </c>
      <c s="12" r="F22">
        <f>COUNTIF(EXPERTISE!G4:G50,"*Forest Harvesting Operations*")</f>
        <v>0</v>
      </c>
      <c s="12" r="G22"/>
      <c s="12" r="H22">
        <f>COUNTIF(PROJECT!Z2:Z100,"*Forest Harvesting Operations*")</f>
        <v>0</v>
      </c>
      <c s="12" r="I22"/>
      <c s="12" r="J22"/>
      <c s="12" r="K22"/>
      <c s="12" r="L22"/>
      <c s="12" r="M22"/>
      <c s="12" r="N22"/>
      <c s="12" r="O22"/>
      <c s="12" r="P22"/>
      <c s="12" r="Q22"/>
      <c s="12" r="R22"/>
      <c s="12" r="S22"/>
      <c s="12" r="T22"/>
    </row>
    <row r="23">
      <c t="s" s="12" r="B23">
        <v>1775</v>
      </c>
      <c s="22" r="C23"/>
      <c s="12" r="D23">
        <v>1</v>
      </c>
      <c s="12" r="E23">
        <v>0</v>
      </c>
      <c r="F23">
        <f>COUNTIF(EXPERTISE!G4:G50,"*Foundries*")</f>
        <v>0</v>
      </c>
      <c s="12" r="G23"/>
      <c s="12" r="H23">
        <f>COUNTIF(PROJECT!Z2:Z100,"*Foundries*")</f>
        <v>0</v>
      </c>
      <c s="12" r="I23"/>
      <c s="12" r="J23"/>
      <c s="12" r="K23"/>
      <c s="12" r="L23"/>
      <c s="12" r="M23"/>
      <c s="12" r="N23"/>
      <c s="12" r="O23"/>
      <c s="12" r="P23"/>
      <c s="12" r="Q23"/>
      <c s="12" r="R23"/>
      <c s="12" r="S23"/>
      <c s="12" r="T23"/>
    </row>
    <row r="24">
      <c t="s" s="12" r="B24">
        <v>1776</v>
      </c>
      <c s="22" r="C24"/>
      <c s="12" r="D24">
        <v>1</v>
      </c>
      <c s="12" r="E24">
        <v>0</v>
      </c>
      <c s="12" r="F24">
        <f>COUNTIF(EXPERTISE!G4:G50,"*Gas Distribution Systems*")</f>
        <v>0</v>
      </c>
      <c s="12" r="G24"/>
      <c s="12" r="H24">
        <f>COUNTIF(PROJECT!Z2:Z100,"*Gas Distribution Systems*")</f>
        <v>0</v>
      </c>
      <c s="12" r="I24"/>
      <c s="12" r="J24"/>
      <c s="12" r="K24"/>
      <c s="12" r="L24"/>
      <c s="12" r="M24"/>
      <c s="12" r="N24"/>
      <c s="12" r="O24"/>
      <c s="12" r="P24"/>
      <c s="12" r="Q24"/>
      <c s="12" r="R24"/>
      <c s="12" r="S24"/>
      <c s="12" r="T24"/>
    </row>
    <row r="25">
      <c t="s" s="12" r="B25">
        <v>1777</v>
      </c>
      <c s="22" r="C25"/>
      <c s="12" r="D25">
        <v>1</v>
      </c>
      <c s="12" r="E25">
        <v>0</v>
      </c>
      <c s="12" r="F25">
        <f>COUNTIF(EXPERTISE!G4:G50,"*Geothermal Power Generation*")</f>
        <v>0</v>
      </c>
      <c s="12" r="G25"/>
      <c s="12" r="H25">
        <f>COUNTIF(PROJECT!Z2:Z100,"*Geothermal Power Generation*")</f>
        <v>0</v>
      </c>
      <c s="12" r="I25"/>
      <c s="12" r="J25"/>
      <c s="12" r="K25"/>
      <c s="12" r="L25"/>
      <c s="12" r="M25"/>
      <c s="12" r="N25"/>
      <c s="12" r="O25"/>
      <c s="12" r="P25"/>
      <c s="12" r="Q25"/>
      <c s="12" r="R25"/>
      <c s="12" r="S25"/>
      <c s="12" r="T25"/>
    </row>
    <row r="26">
      <c t="s" s="12" r="B26">
        <v>1778</v>
      </c>
      <c s="22" r="C26"/>
      <c s="12" r="D26">
        <v>1</v>
      </c>
      <c s="12" r="E26">
        <v>0</v>
      </c>
      <c s="12" r="F26">
        <f>COUNTIF(EXPERTISE!G4:G50,"*Glass Manufacturing*")</f>
        <v>0</v>
      </c>
      <c s="12" r="G26"/>
      <c s="12" r="H26">
        <f>COUNTIF(PROJECT!Z2:Z100,"*Glass Manufacturing*")</f>
        <v>0</v>
      </c>
      <c s="12" r="I26"/>
      <c s="12" r="J26"/>
      <c s="12" r="K26"/>
      <c s="12" r="L26"/>
      <c s="12" r="M26"/>
      <c s="12" r="N26"/>
      <c s="12" r="O26"/>
      <c s="12" r="P26"/>
      <c s="12" r="Q26"/>
      <c s="12" r="R26"/>
      <c s="12" r="S26"/>
      <c s="12" r="T26"/>
    </row>
    <row r="27">
      <c t="s" s="12" r="B27">
        <v>1779</v>
      </c>
      <c s="22" r="C27"/>
      <c s="12" r="D27">
        <v>1</v>
      </c>
      <c s="12" r="E27">
        <v>0</v>
      </c>
      <c s="12" r="F27">
        <f>COUNTIF(EXPERTISE!G4:G50,"*Health Care Facilities*")</f>
        <v>0</v>
      </c>
      <c s="12" r="G27"/>
      <c s="12" r="H27">
        <f>COUNTIF(PROJECT!Z2:Z100,"*Health Care Facilities*")</f>
        <v>0</v>
      </c>
      <c s="12" r="I27"/>
      <c s="12" r="J27"/>
      <c s="12" r="K27"/>
      <c s="12" r="L27"/>
      <c s="12" r="M27"/>
      <c s="12" r="N27"/>
      <c s="12" r="O27"/>
      <c s="12" r="P27"/>
      <c s="12" r="Q27"/>
      <c s="12" r="R27"/>
      <c s="12" r="S27"/>
      <c s="12" r="T27"/>
    </row>
    <row r="28">
      <c t="s" s="12" r="B28">
        <v>1586</v>
      </c>
      <c s="22" r="C28"/>
      <c s="12" r="D28">
        <v>1</v>
      </c>
      <c s="12" r="E28">
        <v>0</v>
      </c>
      <c s="12" r="F28">
        <f>COUNTIF(EXPERTISE!G4:G50,"*Hydropower*")</f>
        <v>0</v>
      </c>
      <c s="22" r="G28"/>
      <c s="12" r="H28">
        <f>COUNTIF(PROJECT!Z2:Z100,"*Hydropower*")</f>
        <v>0</v>
      </c>
      <c s="22" r="I28"/>
      <c s="12" r="J28"/>
      <c s="12" r="K28"/>
      <c s="12" r="L28"/>
      <c s="12" r="M28"/>
      <c s="12" r="N28"/>
      <c s="12" r="O28"/>
      <c s="12" r="P28"/>
      <c s="12" r="Q28"/>
      <c s="12" r="R28"/>
      <c s="12" r="S28"/>
      <c s="12" r="T28"/>
    </row>
    <row r="29">
      <c t="s" s="12" r="B29">
        <v>1780</v>
      </c>
      <c s="22" r="C29"/>
      <c s="12" r="D29">
        <v>1</v>
      </c>
      <c s="12" r="E29">
        <v>0</v>
      </c>
      <c s="12" r="F29">
        <f>COUNTIF(EXPERTISE!G4:G50,"*Integrated Steel Mills*")</f>
        <v>0</v>
      </c>
      <c s="12" r="G29"/>
      <c s="12" r="H29">
        <f>COUNTIF(PROJECT!Z2:Z100,"*Integrated Steel Mills*")</f>
        <v>0</v>
      </c>
      <c s="22" r="I29"/>
      <c s="12" r="J29"/>
      <c s="12" r="K29"/>
      <c s="12" r="L29"/>
      <c s="12" r="M29"/>
      <c s="12" r="N29"/>
      <c s="12" r="O29"/>
      <c s="12" r="P29"/>
      <c s="12" r="Q29"/>
      <c s="12" r="R29"/>
      <c s="12" r="S29"/>
      <c s="12" r="T29"/>
    </row>
    <row r="30">
      <c t="s" s="12" r="B30">
        <v>1781</v>
      </c>
      <c s="22" r="C30"/>
      <c s="12" r="D30">
        <v>1</v>
      </c>
      <c s="12" r="E30">
        <v>0</v>
      </c>
      <c s="12" r="F30">
        <f>COUNTIF(EXPERTISE!G4:G50,"*Large Volume Inorganic Compounds Manufacturing and Coal Tar Distillation*")</f>
        <v>0</v>
      </c>
      <c s="22" r="G30"/>
      <c s="12" r="H30">
        <f>COUNTIF(PROJECT!Z2:Z100,"*Large Volume Inorganic Compounds Manufacturing and Coal Tar Distillation*")</f>
        <v>0</v>
      </c>
      <c s="22" r="I30"/>
      <c s="12" r="J30"/>
      <c s="12" r="K30"/>
      <c s="12" r="L30"/>
      <c s="12" r="M30"/>
      <c s="12" r="N30"/>
      <c s="12" r="O30"/>
      <c s="12" r="P30"/>
      <c s="12" r="Q30"/>
      <c s="12" r="R30"/>
      <c s="12" r="S30"/>
      <c s="12" r="T30"/>
    </row>
    <row r="31">
      <c t="s" s="12" r="B31">
        <v>1782</v>
      </c>
      <c s="22" r="C31"/>
      <c s="12" r="D31">
        <v>1</v>
      </c>
      <c s="12" r="E31">
        <v>0</v>
      </c>
      <c s="12" r="F31">
        <f>COUNTIF(EXPERTISE!G4:G50,"*Large Volume Petroleum based Organic Chemicals Manufacturing*")</f>
        <v>0</v>
      </c>
      <c s="12" r="G31"/>
      <c s="12" r="H31">
        <f>COUNTIF(PROJECT!Z2:Z100,"*Large Volume Petroleum based Organic Chemicals Manufacturing*")</f>
        <v>0</v>
      </c>
      <c s="12" r="I31"/>
      <c s="12" r="J31"/>
      <c s="12" r="K31"/>
      <c s="12" r="L31"/>
      <c s="12" r="M31"/>
      <c s="12" r="N31"/>
      <c s="12" r="O31"/>
      <c s="12" r="P31"/>
      <c s="12" r="Q31"/>
      <c s="12" r="R31"/>
      <c s="12" r="S31"/>
      <c s="12" r="T31"/>
    </row>
    <row r="32">
      <c t="s" s="12" r="B32">
        <v>1783</v>
      </c>
      <c s="22" r="C32"/>
      <c s="12" r="D32">
        <v>1</v>
      </c>
      <c s="12" r="E32">
        <v>0</v>
      </c>
      <c s="12" r="F32">
        <f>COUNTIF(EXPERTISE!G4:G50,"*Liquefied Natural Gas (LNG) Facilities*")</f>
        <v>0</v>
      </c>
      <c s="12" r="G32"/>
      <c s="12" r="H32">
        <f>COUNTIF(PROJECT!Z2:Z100,"*Liquefied Natural Gas (LNG) Facilities*")</f>
        <v>0</v>
      </c>
      <c s="12" r="I32"/>
      <c s="12" r="J32"/>
      <c s="12" r="K32"/>
      <c s="12" r="L32"/>
      <c s="12" r="M32"/>
      <c s="12" r="N32"/>
      <c s="12" r="O32"/>
      <c s="12" r="P32"/>
      <c s="12" r="Q32"/>
      <c s="12" r="R32"/>
      <c s="12" r="S32"/>
      <c s="12" r="T32"/>
    </row>
    <row r="33">
      <c t="s" s="12" r="B33">
        <v>1784</v>
      </c>
      <c s="22" r="C33"/>
      <c s="12" r="D33">
        <v>1</v>
      </c>
      <c s="12" r="E33">
        <v>0</v>
      </c>
      <c s="12" r="F33">
        <f>COUNTIF(EXPERTISE!G4:G50,"*Mammalian Livestock Production*")</f>
        <v>0</v>
      </c>
      <c s="12" r="G33"/>
      <c s="12" r="H33">
        <f>COUNTIF(PROJECT!Z2:Z100,"*Mammalian Livestock Production*")</f>
        <v>0</v>
      </c>
      <c s="12" r="I33"/>
      <c s="12" r="J33"/>
      <c s="12" r="K33"/>
      <c s="12" r="L33"/>
      <c s="12" r="M33"/>
      <c s="12" r="N33"/>
      <c s="12" r="O33"/>
      <c s="12" r="P33"/>
      <c s="12" r="Q33"/>
      <c s="12" r="R33"/>
      <c s="12" r="S33"/>
      <c s="12" r="T33"/>
    </row>
    <row r="34">
      <c t="s" s="12" r="B34">
        <v>1785</v>
      </c>
      <c s="22" r="C34"/>
      <c s="12" r="D34">
        <v>1</v>
      </c>
      <c s="12" r="E34">
        <v>0</v>
      </c>
      <c s="12" r="F34">
        <f>COUNTIF(EXPERTISE!G4:G50,"*Meat Processing*")</f>
        <v>0</v>
      </c>
      <c s="12" r="G34"/>
      <c s="12" r="H34">
        <f>COUNTIF(PROJECT!Z2:Z100,"*Meat Processing*")</f>
        <v>0</v>
      </c>
      <c s="12" r="I34"/>
      <c s="12" r="J34"/>
      <c s="12" r="K34"/>
      <c s="12" r="L34"/>
      <c s="12" r="M34"/>
      <c s="12" r="N34"/>
      <c s="12" r="O34"/>
      <c s="12" r="P34"/>
      <c s="12" r="Q34"/>
      <c s="12" r="R34"/>
      <c s="12" r="S34"/>
      <c s="12" r="T34"/>
    </row>
    <row r="35">
      <c t="s" s="12" r="B35">
        <v>1786</v>
      </c>
      <c s="22" r="C35"/>
      <c s="12" r="D35">
        <v>1</v>
      </c>
      <c s="12" r="E35">
        <v>0</v>
      </c>
      <c s="12" r="F35">
        <f>COUNTIF(EXPERTISE!G4:G50,"*Metal, Plastic, Rubber Products Manufacturing*")</f>
        <v>0</v>
      </c>
      <c s="22" r="G35"/>
      <c s="12" r="H35">
        <f>COUNTIF(PROJECT!Z2:Z100,"*Metal, Plastic, Rubber Products Manufacturing*")</f>
        <v>0</v>
      </c>
      <c s="22" r="I35"/>
      <c s="12" r="J35"/>
      <c s="12" r="K35"/>
      <c s="12" r="L35"/>
      <c s="12" r="M35"/>
      <c s="12" r="N35"/>
      <c s="12" r="O35"/>
      <c s="12" r="P35"/>
      <c s="12" r="Q35"/>
      <c s="12" r="R35"/>
      <c s="12" r="S35"/>
      <c s="12" r="T35"/>
    </row>
    <row r="36">
      <c t="s" s="12" r="B36">
        <v>1593</v>
      </c>
      <c s="22" r="C36"/>
      <c s="12" r="D36">
        <v>1</v>
      </c>
      <c s="12" r="E36">
        <v>0</v>
      </c>
      <c s="12" r="F36">
        <f>COUNTIF(EXPERTISE!G4:G50,"*Mining*")</f>
        <v>0</v>
      </c>
      <c s="12" r="G36"/>
      <c s="12" r="H36">
        <f>COUNTIF(PROJECT!Z2:Z100,"*Mining*")</f>
        <v>0</v>
      </c>
      <c s="22" r="I36"/>
      <c s="12" r="J36"/>
      <c s="12" r="K36"/>
      <c s="12" r="L36"/>
      <c s="12" r="M36"/>
      <c s="12" r="N36"/>
      <c s="12" r="O36"/>
      <c s="12" r="P36"/>
      <c s="12" r="Q36"/>
      <c s="12" r="R36"/>
      <c s="12" r="S36"/>
      <c s="12" r="T36"/>
    </row>
    <row r="37">
      <c t="s" s="12" r="B37">
        <v>1787</v>
      </c>
      <c s="22" r="C37"/>
      <c s="12" r="D37">
        <v>1</v>
      </c>
      <c s="12" r="E37">
        <v>0</v>
      </c>
      <c s="12" r="F37">
        <f>COUNTIF(EXPERTISE!G4:G50,"*Natural Gas Processing*")</f>
        <v>0</v>
      </c>
      <c s="12" r="G37"/>
      <c s="12" r="H37">
        <f>COUNTIF(PROJECT!Z2:Z100,"*Natural Gas Processing*")</f>
        <v>0</v>
      </c>
      <c s="12" r="I37"/>
      <c s="12" r="J37"/>
      <c s="12" r="K37"/>
      <c s="12" r="L37"/>
      <c s="12" r="M37"/>
      <c s="12" r="N37"/>
      <c s="12" r="O37"/>
      <c s="12" r="P37"/>
      <c s="12" r="Q37"/>
      <c s="12" r="R37"/>
      <c s="12" r="S37"/>
      <c s="12" r="T37"/>
    </row>
    <row r="38">
      <c t="s" s="12" r="B38">
        <v>1788</v>
      </c>
      <c s="22" r="C38"/>
      <c s="12" r="D38">
        <v>1</v>
      </c>
      <c s="12" r="E38">
        <v>0</v>
      </c>
      <c s="12" r="F38">
        <f>COUNTIF(EXPERTISE!G4:G50,"*Nitrogenous Fertilizer Manufacturing*")</f>
        <v>0</v>
      </c>
      <c s="12" r="G38"/>
      <c s="12" r="H38">
        <f>COUNTIF(PROJECT!Z2:Z100,"*Nitrogenous Fertilizer Manufacturing*")</f>
        <v>0</v>
      </c>
      <c s="12" r="I38"/>
      <c s="12" r="J38"/>
      <c s="12" r="K38"/>
      <c s="12" r="L38"/>
      <c s="12" r="M38"/>
      <c s="12" r="N38"/>
      <c s="12" r="O38"/>
      <c s="12" r="P38"/>
      <c s="12" r="Q38"/>
      <c s="12" r="R38"/>
      <c s="12" r="S38"/>
      <c s="12" r="T38"/>
    </row>
    <row r="39">
      <c t="s" s="12" r="B39">
        <v>1789</v>
      </c>
      <c s="22" r="C39"/>
      <c s="12" r="D39">
        <v>1</v>
      </c>
      <c s="12" r="E39">
        <v>0</v>
      </c>
      <c s="12" r="F39">
        <f>COUNTIF(EXPERTISE!G4:G50,"*Offshore Oil and Gas Development*")</f>
        <v>0</v>
      </c>
      <c s="12" r="G39"/>
      <c s="12" r="H39">
        <f>COUNTIF(PROJECT!Z2:Z100,"*Offshore Oil and Gas Development*")</f>
        <v>0</v>
      </c>
      <c s="12" r="I39"/>
      <c s="12" r="J39"/>
      <c s="12" r="K39"/>
      <c s="12" r="L39"/>
      <c s="12" r="M39"/>
      <c s="12" r="N39"/>
      <c s="12" r="O39"/>
      <c s="12" r="P39"/>
      <c s="12" r="Q39"/>
      <c s="12" r="R39"/>
      <c s="12" r="S39"/>
      <c s="12" r="T39"/>
    </row>
    <row r="40">
      <c t="s" s="12" r="B40">
        <v>1790</v>
      </c>
      <c s="22" r="C40"/>
      <c s="12" r="D40">
        <v>1</v>
      </c>
      <c s="12" r="E40">
        <v>0</v>
      </c>
      <c s="12" r="F40">
        <f>COUNTIF(EXPERTISE!G4:G50,"*Oleochemicals Manufacturing*")</f>
        <v>0</v>
      </c>
      <c s="22" r="G40"/>
      <c s="12" r="H40">
        <f>COUNTIF(PROJECT!Z2:Z100,"*Oleochemicals Manufacturing*")</f>
        <v>0</v>
      </c>
      <c s="22" r="I40"/>
      <c s="12" r="J40"/>
      <c s="12" r="K40"/>
      <c s="12" r="L40"/>
      <c s="12" r="M40"/>
      <c s="12" r="N40"/>
      <c s="12" r="O40"/>
      <c s="12" r="P40"/>
      <c s="12" r="Q40"/>
      <c s="12" r="R40"/>
      <c s="12" r="S40"/>
      <c s="12" r="T40"/>
    </row>
    <row r="41">
      <c t="s" s="12" r="B41">
        <v>1791</v>
      </c>
      <c s="22" r="C41"/>
      <c s="12" r="D41">
        <v>1</v>
      </c>
      <c s="12" r="E41">
        <v>0</v>
      </c>
      <c s="12" r="F41">
        <f>COUNTIF(EXPERTISE!G4:G50,"*Onshore Oil and Gas Development*")</f>
        <v>0</v>
      </c>
      <c s="22" r="G41"/>
      <c s="12" r="H41">
        <f>COUNTIF(PROJECT!Z2:Z100,"*Onshore Oil and Gas Development*")</f>
        <v>0</v>
      </c>
      <c s="22" r="I41"/>
      <c s="12" r="J41"/>
      <c s="12" r="K41"/>
      <c s="12" r="L41"/>
      <c s="12" r="M41"/>
      <c s="12" r="N41"/>
      <c s="12" r="O41"/>
      <c s="12" r="P41"/>
      <c s="12" r="Q41"/>
      <c s="12" r="R41"/>
      <c s="12" r="S41"/>
      <c s="12" r="T41"/>
    </row>
    <row r="42">
      <c t="s" s="12" r="B42">
        <v>1792</v>
      </c>
      <c s="22" r="C42"/>
      <c s="12" r="D42">
        <v>1</v>
      </c>
      <c s="12" r="E42">
        <v>0</v>
      </c>
      <c s="12" r="F42">
        <f>COUNTIF(EXPERTISE!G4:G50,"*Pesticides Formulation, Manufacturing and Packaging*")</f>
        <v>0</v>
      </c>
      <c s="12" r="G42"/>
      <c s="12" r="H42">
        <f>COUNTIF(PROJECT!Z2:Z100,"*Pesticides Formulation, Manufacturing and Packaging*")</f>
        <v>0</v>
      </c>
      <c s="12" r="I42"/>
      <c s="12" r="J42"/>
      <c s="12" r="K42"/>
      <c s="12" r="L42"/>
      <c s="12" r="M42"/>
      <c s="12" r="N42"/>
      <c s="12" r="O42"/>
      <c s="12" r="P42"/>
      <c s="12" r="Q42"/>
      <c s="12" r="R42"/>
      <c s="12" r="S42"/>
      <c s="12" r="T42"/>
    </row>
    <row r="43">
      <c t="s" s="12" r="B43">
        <v>1793</v>
      </c>
      <c s="22" r="C43"/>
      <c s="12" r="D43">
        <v>1</v>
      </c>
      <c s="12" r="E43">
        <v>0</v>
      </c>
      <c s="12" r="F43">
        <f>COUNTIF(EXPERTISE!G4:G50,"*Petroleum Refining*")</f>
        <v>0</v>
      </c>
      <c s="22" r="G43"/>
      <c s="12" r="H43">
        <f>COUNTIF(PROJECT!Z2:Z100,"*Petroleum Refining*")</f>
        <v>0</v>
      </c>
      <c s="22" r="I43"/>
      <c s="12" r="J43"/>
      <c s="12" r="K43"/>
      <c s="12" r="L43"/>
      <c s="12" r="M43"/>
      <c s="12" r="N43"/>
      <c s="12" r="O43"/>
      <c s="12" r="P43"/>
      <c s="12" r="Q43"/>
      <c s="12" r="R43"/>
      <c s="12" r="S43"/>
      <c s="12" r="T43"/>
    </row>
    <row r="44">
      <c t="s" s="12" r="B44">
        <v>1794</v>
      </c>
      <c s="22" r="C44"/>
      <c s="12" r="D44">
        <v>1</v>
      </c>
      <c s="12" r="E44">
        <v>0</v>
      </c>
      <c s="12" r="F44">
        <f>COUNTIF(EXPERTISE!G4:G50,"*Petroleum based Polymers Manufacturing*")</f>
        <v>0</v>
      </c>
      <c s="12" r="G44"/>
      <c s="12" r="H44">
        <f>COUNTIF(PROJECT!Z2:Z100,"*Petroleum based Polymers Manufacturing*")</f>
        <v>0</v>
      </c>
      <c s="22" r="I44"/>
      <c s="12" r="J44"/>
      <c s="12" r="K44"/>
      <c s="12" r="L44"/>
      <c s="12" r="M44"/>
      <c s="12" r="N44"/>
      <c s="12" r="O44"/>
      <c s="12" r="P44"/>
      <c s="12" r="Q44"/>
      <c s="12" r="R44"/>
      <c s="12" r="S44"/>
      <c s="12" r="T44"/>
    </row>
    <row r="45">
      <c t="s" s="12" r="B45">
        <v>1795</v>
      </c>
      <c s="22" r="C45"/>
      <c s="12" r="D45">
        <v>1</v>
      </c>
      <c s="12" r="E45">
        <v>0</v>
      </c>
      <c s="12" r="F45">
        <f>COUNTIF(EXPERTISE!G4:G50,"*Pharmaceuticals and Biotechnology*")</f>
        <v>0</v>
      </c>
      <c s="12" r="G45"/>
      <c s="12" r="H45">
        <f>COUNTIF(PROJECT!Z2:Z100,"*Pharmaceuticals and Biotechnology*")</f>
        <v>0</v>
      </c>
      <c s="22" r="I45"/>
      <c s="12" r="J45"/>
      <c s="12" r="K45"/>
      <c s="12" r="L45"/>
      <c s="12" r="M45"/>
      <c s="12" r="N45"/>
      <c s="12" r="O45"/>
      <c s="12" r="P45"/>
      <c s="12" r="Q45"/>
      <c s="12" r="R45"/>
      <c s="12" r="S45"/>
      <c s="12" r="T45"/>
    </row>
    <row r="46">
      <c t="s" s="12" r="B46">
        <v>1796</v>
      </c>
      <c s="22" r="C46"/>
      <c s="12" r="D46">
        <v>1</v>
      </c>
      <c s="12" r="E46">
        <v>0</v>
      </c>
      <c s="22" r="F46">
        <f>COUNTIF(EXPERTISE!G4:G50,"*Phosphate Fertilizer Manufacturing*")</f>
        <v>0</v>
      </c>
      <c s="22" r="G46"/>
      <c s="22" r="H46">
        <f>COUNTIF(PROJECT!Z2:Z100,"*Phosphate Fertilizer Manufacturing*")</f>
        <v>0</v>
      </c>
      <c s="22" r="I46"/>
      <c s="22" r="J46"/>
      <c s="12" r="K46"/>
      <c s="12" r="L46"/>
      <c s="12" r="M46"/>
      <c s="12" r="N46"/>
      <c s="12" r="O46"/>
      <c s="12" r="P46"/>
      <c s="12" r="Q46"/>
      <c s="12" r="R46"/>
      <c s="12" r="S46"/>
      <c s="12" r="T46"/>
    </row>
    <row r="47">
      <c t="s" s="12" r="B47">
        <v>1797</v>
      </c>
      <c s="22" r="C47"/>
      <c s="12" r="D47">
        <v>1</v>
      </c>
      <c s="12" r="E47">
        <v>0</v>
      </c>
      <c s="12" r="F47">
        <f>COUNTIF(EXPERTISE!G4:G50,"*Plantation Crop Production*")</f>
        <v>0</v>
      </c>
      <c s="12" r="G47"/>
      <c s="12" r="H47">
        <f>COUNTIF(PROJECT!Z2:Z100,"*Plantation Crop Production*")</f>
        <v>0</v>
      </c>
      <c s="12" r="I47"/>
      <c s="12" r="J47"/>
      <c s="12" r="K47"/>
      <c s="12" r="L47"/>
      <c s="12" r="M47"/>
      <c s="12" r="N47"/>
      <c s="12" r="O47"/>
      <c s="12" r="P47"/>
      <c s="12" r="Q47"/>
      <c s="12" r="R47"/>
      <c s="12" r="S47"/>
      <c s="12" r="T47"/>
    </row>
    <row r="48">
      <c t="s" s="12" r="B48">
        <v>1798</v>
      </c>
      <c s="22" r="C48"/>
      <c s="12" r="D48">
        <v>1</v>
      </c>
      <c s="12" r="E48">
        <v>0</v>
      </c>
      <c s="12" r="F48">
        <f>COUNTIF(EXPERTISE!G4:G50,"*Ports, Harbors and Terminals*")</f>
        <v>0</v>
      </c>
      <c s="12" r="G48"/>
      <c s="12" r="H48">
        <f>COUNTIF(PROJECT!Z2:Z100,"*Ports, Harbors and Terminals*")</f>
        <v>0</v>
      </c>
      <c s="12" r="I48"/>
      <c s="12" r="J48"/>
      <c s="12" r="K48"/>
      <c s="12" r="L48"/>
      <c s="12" r="M48"/>
      <c s="12" r="N48"/>
      <c s="12" r="O48"/>
      <c s="12" r="P48"/>
      <c s="12" r="Q48"/>
      <c s="12" r="R48"/>
      <c s="12" r="S48"/>
      <c s="12" r="T48"/>
    </row>
    <row r="49">
      <c t="s" s="12" r="B49">
        <v>1799</v>
      </c>
      <c s="22" r="C49"/>
      <c s="12" r="D49">
        <v>1</v>
      </c>
      <c s="12" r="E49">
        <v>0</v>
      </c>
      <c s="12" r="F49">
        <f>COUNTIF(EXPERTISE!G4:G50,"*Poultry Processing*")</f>
        <v>0</v>
      </c>
      <c s="22" r="G49"/>
      <c s="12" r="H49">
        <f>COUNTIF(PROJECT!Z2:Z100,"*Poultry Processing*")</f>
        <v>0</v>
      </c>
      <c s="22" r="I49"/>
      <c s="12" r="J49"/>
      <c s="12" r="K49"/>
      <c s="12" r="L49"/>
      <c s="12" r="M49"/>
      <c s="12" r="N49"/>
      <c s="12" r="O49"/>
      <c s="12" r="P49"/>
      <c s="12" r="Q49"/>
      <c s="12" r="R49"/>
      <c s="12" r="S49"/>
      <c s="12" r="T49"/>
    </row>
    <row r="50">
      <c t="s" s="12" r="B50">
        <v>1800</v>
      </c>
      <c s="22" r="C50"/>
      <c s="12" r="D50">
        <v>1</v>
      </c>
      <c s="12" r="E50">
        <v>0</v>
      </c>
      <c s="12" r="F50">
        <f>COUNTIF(EXPERTISE!G4:G50,"*Poultry Production*")</f>
        <v>0</v>
      </c>
      <c s="12" r="G50"/>
      <c s="12" r="H50">
        <f>COUNTIF(PROJECT!Z2:Z100,"*Poultry Production*")</f>
        <v>0</v>
      </c>
      <c s="12" r="I50"/>
      <c s="12" r="J50"/>
      <c s="12" r="K50"/>
      <c s="12" r="L50"/>
      <c s="12" r="M50"/>
      <c s="12" r="N50"/>
      <c s="12" r="O50"/>
      <c s="12" r="P50"/>
      <c s="12" r="Q50"/>
      <c s="12" r="R50"/>
      <c s="12" r="S50"/>
      <c s="12" r="T50"/>
    </row>
    <row r="51">
      <c t="s" s="12" r="B51">
        <v>1801</v>
      </c>
      <c s="22" r="C51"/>
      <c s="12" r="D51">
        <v>1</v>
      </c>
      <c s="12" r="E51">
        <v>0</v>
      </c>
      <c s="12" r="F51">
        <f>COUNTIF(EXPERTISE!G4:G50,"*Printing*")</f>
        <v>0</v>
      </c>
      <c s="12" r="G51"/>
      <c s="12" r="H51">
        <f>COUNTIF(PROJECT!Z2:Z100,"*Printing*")</f>
        <v>0</v>
      </c>
      <c s="12" r="I51"/>
      <c s="12" r="J51"/>
      <c s="12" r="K51"/>
      <c s="12" r="L51"/>
      <c s="12" r="M51"/>
      <c s="12" r="N51"/>
      <c s="12" r="O51"/>
      <c s="12" r="P51"/>
      <c s="12" r="Q51"/>
      <c s="12" r="R51"/>
      <c s="12" r="S51"/>
      <c s="12" r="T51"/>
    </row>
    <row r="52">
      <c t="s" s="12" r="B52">
        <v>1802</v>
      </c>
      <c s="22" r="C52"/>
      <c s="12" r="D52">
        <v>1</v>
      </c>
      <c s="12" r="E52">
        <v>0</v>
      </c>
      <c s="12" r="F52">
        <f>COUNTIF(EXPERTISE!G4:G50,"*Pulp and Paper Mills*")</f>
        <v>0</v>
      </c>
      <c s="12" r="G52"/>
      <c s="12" r="H52">
        <f>COUNTIF(PROJECT!Z2:Z100,"*Pulp and Paper Mills*")</f>
        <v>0</v>
      </c>
      <c s="12" r="I52"/>
      <c s="12" r="J52"/>
      <c s="12" r="K52"/>
      <c s="12" r="L52"/>
      <c s="12" r="M52"/>
      <c s="12" r="N52"/>
      <c s="12" r="O52"/>
      <c s="12" r="P52"/>
      <c s="12" r="Q52"/>
      <c s="12" r="R52"/>
      <c s="12" r="S52"/>
      <c s="12" r="T52"/>
    </row>
    <row r="53">
      <c t="s" s="12" r="B53">
        <v>1683</v>
      </c>
      <c s="22" r="C53"/>
      <c s="12" r="D53">
        <v>1</v>
      </c>
      <c s="12" r="E53">
        <v>0</v>
      </c>
      <c s="12" r="F53">
        <f>COUNTIF(EXPERTISE!G4:G50,"*Railways*")</f>
        <v>0</v>
      </c>
      <c s="12" r="G53"/>
      <c s="12" r="H53">
        <f>COUNTIF(PROJECT!Z2:Z100,"*Railways*")</f>
        <v>0</v>
      </c>
      <c s="12" r="I53"/>
      <c s="12" r="J53"/>
      <c s="12" r="K53"/>
      <c s="12" r="L53"/>
      <c s="12" r="M53"/>
      <c s="12" r="N53"/>
      <c s="12" r="O53"/>
      <c s="12" r="P53"/>
      <c s="12" r="Q53"/>
      <c s="12" r="R53"/>
      <c s="12" r="S53"/>
      <c s="12" r="T53"/>
    </row>
    <row r="54">
      <c t="s" s="12" r="B54">
        <v>1803</v>
      </c>
      <c s="22" r="C54"/>
      <c s="12" r="D54">
        <v>1</v>
      </c>
      <c s="12" r="E54">
        <v>0</v>
      </c>
      <c s="12" r="F54">
        <f>COUNTIF(EXPERTISE!G4:G50,"*Retail Petroleum Networks*")</f>
        <v>0</v>
      </c>
      <c s="12" r="G54"/>
      <c s="12" r="H54">
        <f>COUNTIF(PROJECT!Z2:Z100,"*Retail Petroleum Networks*")</f>
        <v>0</v>
      </c>
      <c s="12" r="I54"/>
      <c s="12" r="J54"/>
      <c s="12" r="K54"/>
      <c s="12" r="L54"/>
      <c s="12" r="M54"/>
      <c s="12" r="N54"/>
      <c s="12" r="O54"/>
      <c s="12" r="P54"/>
      <c s="12" r="Q54"/>
      <c s="12" r="R54"/>
      <c s="12" r="S54"/>
      <c s="12" r="T54"/>
    </row>
    <row r="55">
      <c t="s" s="12" r="B55">
        <v>1804</v>
      </c>
      <c s="22" r="C55"/>
      <c s="12" r="D55">
        <v>1</v>
      </c>
      <c s="12" r="E55">
        <v>0</v>
      </c>
      <c s="12" r="F55">
        <f>COUNTIF(EXPERTISE!G4:G50,"*Sawmilling and Wood-based Products*")</f>
        <v>0</v>
      </c>
      <c s="12" r="G55"/>
      <c s="12" r="H55">
        <f>COUNTIF(PROJECT!Z2:Z100,"*Sawmilling and Wood-based Products*")</f>
        <v>0</v>
      </c>
      <c s="12" r="I55"/>
      <c s="12" r="J55"/>
      <c s="12" r="K55"/>
      <c s="12" r="L55"/>
      <c s="12" r="M55"/>
      <c s="12" r="N55"/>
      <c s="12" r="O55"/>
      <c s="12" r="P55"/>
      <c s="12" r="Q55"/>
      <c s="12" r="R55"/>
      <c s="12" r="S55"/>
      <c s="12" r="T55"/>
    </row>
    <row r="56">
      <c t="s" s="12" r="B56">
        <v>1805</v>
      </c>
      <c s="22" r="C56"/>
      <c s="12" r="D56">
        <v>1</v>
      </c>
      <c s="12" r="E56">
        <v>0</v>
      </c>
      <c s="12" r="F56">
        <f>COUNTIF(EXPERTISE!G4:G50,"*Semiconductors and Electronics Manufacturing*")</f>
        <v>0</v>
      </c>
      <c s="12" r="G56"/>
      <c s="12" r="H56">
        <f>COUNTIF(PROJECT!Z2:Z100,"*Semiconductors and Electronics Manufacturing*")</f>
        <v>0</v>
      </c>
      <c s="12" r="I56"/>
      <c s="12" r="J56"/>
      <c s="12" r="K56"/>
      <c s="12" r="L56"/>
      <c s="12" r="M56"/>
      <c s="12" r="N56"/>
      <c s="12" r="O56"/>
      <c s="12" r="P56"/>
      <c s="12" r="Q56"/>
      <c s="12" r="R56"/>
      <c s="12" r="S56"/>
      <c s="12" r="T56"/>
    </row>
    <row r="57">
      <c t="s" s="12" r="B57">
        <v>1806</v>
      </c>
      <c s="22" r="C57"/>
      <c s="12" r="D57">
        <v>1</v>
      </c>
      <c s="12" r="E57">
        <v>0</v>
      </c>
      <c s="12" r="F57">
        <f>COUNTIF(EXPERTISE!G4:G50,"*Shipping*")</f>
        <v>0</v>
      </c>
      <c s="12" r="G57"/>
      <c s="12" r="H57">
        <f>COUNTIF(PROJECT!Z2:Z100,"*Shipping*")</f>
        <v>0</v>
      </c>
      <c s="12" r="I57"/>
      <c s="12" r="J57"/>
      <c s="12" r="K57"/>
      <c s="12" r="L57"/>
      <c s="12" r="M57"/>
      <c s="12" r="N57"/>
      <c s="12" r="O57"/>
      <c s="12" r="P57"/>
      <c s="12" r="Q57"/>
      <c s="12" r="R57"/>
      <c s="12" r="S57"/>
      <c s="12" r="T57"/>
    </row>
    <row r="58">
      <c t="s" s="12" r="B58">
        <v>1807</v>
      </c>
      <c s="22" r="C58"/>
      <c s="12" r="D58">
        <v>1</v>
      </c>
      <c s="12" r="E58">
        <v>0</v>
      </c>
      <c s="12" r="F58">
        <f>COUNTIF(EXPERTISE!G4:G50,"*Solar Power*")</f>
        <v>0</v>
      </c>
      <c s="12" r="G58"/>
      <c s="12" r="H58">
        <f>COUNTIF(PROJECT!Z2:Z100,"*Solar Power*")</f>
        <v>0</v>
      </c>
      <c s="12" r="I58"/>
      <c s="12" r="J58"/>
      <c s="12" r="K58"/>
      <c s="12" r="L58"/>
      <c s="12" r="M58"/>
      <c s="12" r="N58"/>
      <c s="12" r="O58"/>
      <c s="12" r="P58"/>
      <c s="12" r="Q58"/>
      <c s="12" r="R58"/>
      <c s="12" r="S58"/>
      <c s="12" r="T58"/>
    </row>
    <row r="59">
      <c t="s" s="12" r="B59">
        <v>1808</v>
      </c>
      <c s="22" r="C59"/>
      <c s="12" r="D59">
        <v>1</v>
      </c>
      <c s="12" r="E59">
        <v>0</v>
      </c>
      <c s="12" r="F59">
        <f>COUNTIF(EXPERTISE!G4:G50,"*Sugar Manufacturing*")</f>
        <v>0</v>
      </c>
      <c s="12" r="G59"/>
      <c s="12" r="H59">
        <f>COUNTIF(PROJECT!Z2:Z100,"*Sugar Manufacturing*")</f>
        <v>0</v>
      </c>
      <c s="12" r="I59"/>
      <c s="12" r="J59"/>
      <c s="12" r="K59"/>
      <c s="12" r="L59"/>
      <c s="12" r="M59"/>
      <c s="12" r="N59"/>
      <c s="12" r="O59"/>
      <c s="12" r="P59"/>
      <c s="12" r="Q59"/>
      <c s="12" r="R59"/>
      <c s="12" r="S59"/>
      <c s="12" r="T59"/>
    </row>
    <row r="60">
      <c t="s" s="12" r="B60">
        <v>1809</v>
      </c>
      <c s="22" r="C60"/>
      <c s="12" r="D60">
        <v>1</v>
      </c>
      <c s="12" r="E60">
        <v>0</v>
      </c>
      <c s="12" r="F60">
        <f>COUNTIF(EXPERTISE!G4:G50,"*Tanning and Leather Finishing*")</f>
        <v>0</v>
      </c>
      <c s="12" r="G60"/>
      <c s="12" r="H60">
        <f>COUNTIF(PROJECT!Z2:Z100,"*Tanning and Leather Finishing*")</f>
        <v>0</v>
      </c>
      <c s="12" r="I60"/>
      <c s="12" r="J60"/>
      <c s="12" r="K60"/>
      <c s="12" r="L60"/>
      <c s="12" r="M60"/>
      <c s="12" r="N60"/>
      <c s="12" r="O60"/>
      <c s="12" r="P60"/>
      <c s="12" r="Q60"/>
      <c s="12" r="R60"/>
      <c s="12" r="S60"/>
      <c s="12" r="T60"/>
    </row>
    <row r="61">
      <c t="s" s="12" r="B61">
        <v>1677</v>
      </c>
      <c s="22" r="C61"/>
      <c s="12" r="D61">
        <v>1</v>
      </c>
      <c s="12" r="E61">
        <v>0</v>
      </c>
      <c s="12" r="F61">
        <f>COUNTIF(EXPERTISE!G4:G50,"*Telecommunications*")</f>
        <v>0</v>
      </c>
      <c s="12" r="G61"/>
      <c s="12" r="H61">
        <f>COUNTIF(PROJECT!Z2:Z100,"*Telecommunications*")</f>
        <v>0</v>
      </c>
      <c s="12" r="I61"/>
      <c s="12" r="J61"/>
      <c s="12" r="K61"/>
      <c s="12" r="L61"/>
      <c s="12" r="M61"/>
      <c s="12" r="N61"/>
      <c s="12" r="O61"/>
      <c s="12" r="P61"/>
      <c s="12" r="Q61"/>
      <c s="12" r="R61"/>
      <c s="12" r="S61"/>
      <c s="12" r="T61"/>
    </row>
    <row r="62">
      <c t="s" s="12" r="B62">
        <v>1810</v>
      </c>
      <c s="22" r="C62"/>
      <c s="12" r="D62">
        <v>1</v>
      </c>
      <c s="12" r="E62">
        <v>0</v>
      </c>
      <c s="12" r="F62">
        <f>COUNTIF(EXPERTISE!G4:G50,"*Textiles Manufacturing*")</f>
        <v>0</v>
      </c>
      <c s="12" r="G62"/>
      <c s="12" r="H62">
        <f>COUNTIF(PROJECT!Z2:Z100,"*Textiles Manufacturing*")</f>
        <v>0</v>
      </c>
      <c s="12" r="I62"/>
      <c s="12" r="J62"/>
      <c s="12" r="K62"/>
      <c s="12" r="L62"/>
      <c s="12" r="M62"/>
      <c s="12" r="N62"/>
      <c s="12" r="O62"/>
      <c s="12" r="P62"/>
      <c s="12" r="Q62"/>
      <c s="12" r="R62"/>
      <c s="12" r="S62"/>
      <c s="12" r="T62"/>
    </row>
    <row r="63">
      <c t="s" s="12" r="B63">
        <v>1811</v>
      </c>
      <c s="22" r="C63"/>
      <c s="12" r="D63">
        <v>1</v>
      </c>
      <c s="12" r="E63">
        <v>0</v>
      </c>
      <c s="12" r="F63">
        <f>COUNTIF(EXPERTISE!G4:G50,"*Thermal Power*")</f>
        <v>0</v>
      </c>
      <c s="12" r="G63"/>
      <c s="12" r="H63">
        <f>COUNTIF(PROJECT!Z2:Z100,"*Thermal Power*")</f>
        <v>0</v>
      </c>
      <c s="12" r="I63"/>
      <c s="12" r="J63"/>
      <c s="12" r="K63"/>
      <c s="12" r="L63"/>
      <c s="12" r="M63"/>
      <c s="12" r="N63"/>
      <c s="12" r="O63"/>
      <c s="12" r="P63"/>
      <c s="12" r="Q63"/>
      <c s="12" r="R63"/>
      <c s="12" r="S63"/>
      <c s="12" r="T63"/>
    </row>
    <row r="64">
      <c t="s" s="12" r="B64">
        <v>1812</v>
      </c>
      <c s="22" r="C64"/>
      <c s="12" r="D64">
        <v>1</v>
      </c>
      <c s="12" r="E64">
        <v>0</v>
      </c>
      <c s="12" r="F64">
        <f>COUNTIF(EXPERTISE!G4:G50,"*Toll Roads*")</f>
        <v>0</v>
      </c>
      <c s="12" r="G64"/>
      <c s="12" r="H64">
        <f>COUNTIF(PROJECT!Z2:Z100,"*Toll Roads*")</f>
        <v>0</v>
      </c>
      <c s="12" r="I64"/>
      <c s="12" r="J64"/>
      <c s="12" r="K64"/>
      <c s="12" r="L64"/>
      <c s="12" r="M64"/>
      <c s="12" r="N64"/>
      <c s="12" r="O64"/>
      <c s="12" r="P64"/>
      <c s="12" r="Q64"/>
      <c s="12" r="R64"/>
      <c s="12" r="S64"/>
      <c s="12" r="T64"/>
    </row>
    <row r="65">
      <c t="s" s="12" r="B65">
        <v>1813</v>
      </c>
      <c s="22" r="C65"/>
      <c s="12" r="D65">
        <v>1</v>
      </c>
      <c s="12" r="E65">
        <v>0</v>
      </c>
      <c s="12" r="F65">
        <f>COUNTIF(EXPERTISE!G4:G50,"*Tourism and Hospitality Development*")</f>
        <v>0</v>
      </c>
      <c s="12" r="G65"/>
      <c s="12" r="H65">
        <f>COUNTIF(PROJECT!Z2:Z100,"*Tourism and Hospitality Development*")</f>
        <v>0</v>
      </c>
      <c s="12" r="I65"/>
      <c s="12" r="J65"/>
      <c s="12" r="K65"/>
      <c s="12" r="L65"/>
      <c s="12" r="M65"/>
      <c s="12" r="N65"/>
      <c s="12" r="O65"/>
      <c s="12" r="P65"/>
      <c s="12" r="Q65"/>
      <c s="12" r="R65"/>
      <c s="12" r="S65"/>
      <c s="12" r="T65"/>
    </row>
    <row r="66">
      <c t="s" s="12" r="B66">
        <v>1814</v>
      </c>
      <c s="22" r="C66"/>
      <c s="12" r="D66">
        <v>1</v>
      </c>
      <c s="12" r="E66">
        <v>0</v>
      </c>
      <c s="12" r="F66">
        <f>COUNTIF(EXPERTISE!G4:G50,"*Vegetable Oil Processing*")</f>
        <v>0</v>
      </c>
      <c s="12" r="G66"/>
      <c s="12" r="H66">
        <f>COUNTIF(PROJECT!Z2:Z100,"*Vegetable Oil Processing*")</f>
        <v>0</v>
      </c>
      <c s="12" r="I66"/>
      <c s="12" r="J66"/>
      <c s="12" r="K66"/>
      <c s="12" r="L66"/>
      <c s="12" r="M66"/>
      <c s="12" r="N66"/>
      <c s="12" r="O66"/>
      <c s="12" r="P66"/>
      <c s="12" r="Q66"/>
      <c s="12" r="R66"/>
      <c s="12" r="S66"/>
      <c s="12" r="T66"/>
    </row>
    <row r="67">
      <c t="s" s="12" r="B67">
        <v>1815</v>
      </c>
      <c s="22" r="C67"/>
      <c s="12" r="D67">
        <v>1</v>
      </c>
      <c s="12" r="E67">
        <v>0</v>
      </c>
      <c s="12" r="F67">
        <f>COUNTIF(EXPERTISE!G4:G50,"*Waste Management Facilities*")</f>
        <v>0</v>
      </c>
      <c s="12" r="G67"/>
      <c s="12" r="H67">
        <f>COUNTIF(PROJECT!Z2:Z100,"*Waste Management Facilities*")</f>
        <v>0</v>
      </c>
      <c s="12" r="I67"/>
      <c s="12" r="J67"/>
      <c s="12" r="K67"/>
      <c s="12" r="L67"/>
      <c s="12" r="M67"/>
      <c s="12" r="N67"/>
      <c s="12" r="O67"/>
      <c s="12" r="P67"/>
      <c s="12" r="Q67"/>
      <c s="12" r="R67"/>
      <c s="12" r="S67"/>
      <c s="12" r="T67"/>
    </row>
    <row r="68">
      <c t="s" s="12" r="B68">
        <v>1816</v>
      </c>
      <c s="22" r="C68"/>
      <c s="12" r="D68">
        <v>1</v>
      </c>
      <c s="12" r="E68">
        <v>0</v>
      </c>
      <c s="12" r="F68">
        <f>COUNTIF(EXPERTISE!G4:G50,"*Waste to Energy*")</f>
        <v>0</v>
      </c>
      <c s="12" r="G68"/>
      <c s="12" r="H68">
        <f>COUNTIF(PROJECT!Z2:Z100,"*Waste to Energy*")</f>
        <v>0</v>
      </c>
      <c s="12" r="I68"/>
      <c s="12" r="J68"/>
      <c s="12" r="K68"/>
      <c s="12" r="L68"/>
      <c s="12" r="M68"/>
      <c s="12" r="N68"/>
      <c s="12" r="O68"/>
      <c s="12" r="P68"/>
      <c s="12" r="Q68"/>
      <c s="12" r="R68"/>
      <c s="12" r="S68"/>
      <c s="12" r="T68"/>
    </row>
    <row r="69">
      <c t="s" s="12" r="B69">
        <v>1817</v>
      </c>
      <c s="22" r="C69"/>
      <c s="12" r="D69">
        <v>1</v>
      </c>
      <c s="12" r="E69">
        <v>0</v>
      </c>
      <c s="12" r="F69">
        <f>COUNTIF(EXPERTISE!G4:G50,"*Water and Sanitation*")</f>
        <v>0</v>
      </c>
      <c s="12" r="G69"/>
      <c s="12" r="H69">
        <f>COUNTIF(PROJECT!Z2:Z100,"*Water and Sanitation*")</f>
        <v>0</v>
      </c>
      <c s="12" r="I69"/>
      <c s="12" r="J69"/>
      <c s="12" r="K69"/>
      <c s="12" r="L69"/>
      <c s="12" r="M69"/>
      <c s="12" r="N69"/>
      <c s="12" r="O69"/>
      <c s="12" r="P69"/>
      <c s="12" r="Q69"/>
      <c s="12" r="R69"/>
      <c s="12" r="S69"/>
      <c s="12" r="T69"/>
    </row>
    <row r="70">
      <c t="s" s="12" r="B70">
        <v>1818</v>
      </c>
      <c s="22" r="C70"/>
      <c s="12" r="D70">
        <v>1</v>
      </c>
      <c s="12" r="E70">
        <v>0</v>
      </c>
      <c s="12" r="F70">
        <f>COUNTIF(EXPERTISE!G4:G50,"*Wind Energy*")</f>
        <v>0</v>
      </c>
      <c s="12" r="G70"/>
      <c s="12" r="H70">
        <f>COUNTIF(PROJECT!Z2:Z100,"*Wind Energy*")</f>
        <v>0</v>
      </c>
      <c s="12" r="I70"/>
      <c s="12" r="J70"/>
      <c s="12" r="K70"/>
      <c s="12" r="L70"/>
      <c s="12" r="M70"/>
      <c s="12" r="N70"/>
      <c s="12" r="O70"/>
      <c s="12" r="P70"/>
      <c s="12" r="Q70"/>
      <c s="12" r="R70"/>
      <c s="12" r="S70"/>
      <c s="12" r="T70"/>
    </row>
  </sheetData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cols>
    <col min="1" customWidth="1" max="1" width="23.86"/>
  </cols>
  <sheetData>
    <row r="1">
      <c t="str" r="A1">
        <f>CONCATENATE(BIODATA!B22," ",BIODATA!B23,"/", BIODATA!B24,"/", BIODATA!B25)</f>
        <v> //</v>
      </c>
    </row>
    <row r="2">
      <c t="str" r="A2">
        <f>CONCATENATE(BIODATA!C22," ",BIODATA!C23,"/", BIODATA!C24,"/", BIODATA!C25)</f>
        <v> //</v>
      </c>
    </row>
    <row r="3">
      <c t="str" r="A3">
        <f>CONCATENATE(BIODATA!D22," ",BIODATA!D23,"/", BIODATA!D24,"/", BIODATA!D25)</f>
        <v> //</v>
      </c>
    </row>
    <row r="5">
      <c t="str" r="A5">
        <f>CONCATENATE(BIODATA!B27,"/",BIODATA!B28,"/", BIODATA!B29,"/", BIODATA!B30, "/", BIODATA!B31)</f>
        <v>////</v>
      </c>
    </row>
    <row r="6">
      <c t="str" r="A6">
        <f>CONCATENATE(BIODATA!C27,"/",BIODATA!C28,"/", BIODATA!C29,"/", BIODATA!C30, "/", BIODATA!C31)</f>
        <v>////</v>
      </c>
    </row>
  </sheetData>
  <dataValidations>
    <dataValidation errorStyle="warning" showErrorMessage="1" sqref="A12" allowBlank="1" prompt="Enter text that contains" type="custom" showInputMessage="1">
      <formula1>ISNUMBER(SEARCH("", A12))</formula1>
    </dataValidation>
    <dataValidation showErrorMessage="1" sqref="A17" allowBlank="1" prompt="Enter a valid date" type="custom" showInputMessage="1">
      <formula1>ISNUMBER(DATEVALUE(A17))</formula1>
    </dataValidation>
  </dataValidation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A3" ySplit="2.0" activePane="bottomLeft" state="frozen"/>
      <selection sqref="A3" activeCell="A3" pane="bottomLeft"/>
    </sheetView>
  </sheetViews>
  <sheetFormatPr customHeight="1" defaultColWidth="17.14" defaultRowHeight="12.75"/>
  <cols>
    <col min="1" customWidth="1" max="1" width="38.71"/>
    <col min="2" customWidth="1" max="2" width="16.14"/>
    <col min="4" customWidth="1" max="4" width="29.71"/>
    <col min="6" customWidth="1" max="6" width="33.14"/>
    <col min="8" customWidth="1" max="8" width="25.43"/>
    <col min="9" customWidth="1" max="9" width="36.29"/>
    <col min="12" customWidth="1" max="12" width="18.71"/>
  </cols>
  <sheetData>
    <row r="1">
      <c t="s" s="80" r="A1">
        <v>27</v>
      </c>
      <c s="86" r="B1"/>
      <c s="86" r="C1"/>
      <c s="86" r="D1"/>
      <c s="35" r="E1"/>
      <c t="s" s="57" r="F1">
        <v>28</v>
      </c>
      <c s="61" r="G1"/>
      <c s="18" r="H1"/>
      <c t="s" s="80" r="I1">
        <v>29</v>
      </c>
      <c s="86" r="J1"/>
      <c s="35" r="K1"/>
      <c t="s" s="72" r="L1">
        <v>30</v>
      </c>
      <c s="61" r="M1"/>
      <c s="61" r="N1"/>
      <c s="61" r="O1"/>
    </row>
    <row r="2">
      <c t="s" s="83" r="A2">
        <v>31</v>
      </c>
      <c t="s" s="68" r="B2">
        <v>32</v>
      </c>
      <c t="s" s="68" r="C2">
        <v>33</v>
      </c>
      <c t="s" s="68" r="D2">
        <v>34</v>
      </c>
      <c t="s" s="27" r="E2">
        <v>35</v>
      </c>
      <c t="s" s="83" r="F2">
        <v>36</v>
      </c>
      <c t="s" s="68" r="G2">
        <v>37</v>
      </c>
      <c t="s" s="27" r="H2">
        <v>38</v>
      </c>
      <c t="s" s="83" r="I2">
        <v>39</v>
      </c>
      <c t="s" s="68" r="J2">
        <v>40</v>
      </c>
      <c t="s" s="27" r="K2">
        <v>41</v>
      </c>
      <c t="s" s="83" r="L2">
        <v>42</v>
      </c>
      <c t="s" s="68" r="M2">
        <v>43</v>
      </c>
      <c t="s" s="68" r="N2">
        <v>44</v>
      </c>
      <c t="s" s="68" r="O2">
        <v>45</v>
      </c>
    </row>
    <row r="3">
      <c t="s" s="24" r="A3">
        <v>46</v>
      </c>
      <c s="52" r="B3">
        <v>2008</v>
      </c>
      <c t="s" s="52" r="C3">
        <v>47</v>
      </c>
      <c t="s" s="52" r="D3">
        <v>48</v>
      </c>
      <c s="78" r="E3"/>
      <c t="s" s="24" r="F3">
        <v>49</v>
      </c>
      <c s="52" r="G3">
        <v>2006</v>
      </c>
      <c t="s" s="78" r="H3">
        <v>50</v>
      </c>
      <c t="s" s="24" r="I3">
        <v>51</v>
      </c>
      <c s="52" r="J3"/>
      <c t="s" s="78" r="K3">
        <v>52</v>
      </c>
      <c t="s" s="24" r="L3">
        <v>53</v>
      </c>
      <c s="52" r="M3">
        <v>5</v>
      </c>
      <c s="52" r="N3">
        <v>5</v>
      </c>
      <c s="52" r="O3">
        <v>5</v>
      </c>
    </row>
    <row r="4">
      <c t="s" s="24" r="A4">
        <v>54</v>
      </c>
      <c s="52" r="B4">
        <v>2004</v>
      </c>
      <c t="s" s="52" r="C4">
        <v>55</v>
      </c>
      <c t="s" s="52" r="D4">
        <v>56</v>
      </c>
      <c s="78" r="E4"/>
      <c t="s" s="24" r="F4">
        <v>57</v>
      </c>
      <c s="52" r="G4">
        <v>2003</v>
      </c>
      <c t="s" s="78" r="H4">
        <v>58</v>
      </c>
      <c t="s" s="24" r="I4">
        <v>59</v>
      </c>
      <c s="52" r="J4"/>
      <c t="s" s="78" r="K4">
        <v>52</v>
      </c>
      <c t="s" s="24" r="L4">
        <v>60</v>
      </c>
      <c s="52" r="M4">
        <v>4</v>
      </c>
      <c s="52" r="N4">
        <v>4</v>
      </c>
      <c s="52" r="O4">
        <v>4</v>
      </c>
    </row>
    <row r="5">
      <c t="s" s="24" r="A5">
        <v>61</v>
      </c>
      <c s="52" r="B5">
        <v>2001</v>
      </c>
      <c t="s" s="52" r="C5">
        <v>62</v>
      </c>
      <c t="s" s="52" r="D5">
        <v>63</v>
      </c>
      <c s="78" r="E5"/>
      <c t="s" s="24" r="F5">
        <v>64</v>
      </c>
      <c s="52" r="G5">
        <v>2002</v>
      </c>
      <c t="s" s="78" r="H5">
        <v>65</v>
      </c>
      <c t="s" s="24" r="I5">
        <v>66</v>
      </c>
      <c s="52" r="J5"/>
      <c t="s" s="78" r="K5">
        <v>52</v>
      </c>
      <c t="s" s="24" r="L5">
        <v>67</v>
      </c>
      <c s="52" r="M5">
        <v>4</v>
      </c>
      <c s="52" r="N5">
        <v>4</v>
      </c>
      <c s="52" r="O5">
        <v>4</v>
      </c>
    </row>
    <row r="6">
      <c t="s" s="24" r="A6">
        <v>68</v>
      </c>
      <c s="52" r="B6">
        <v>2000</v>
      </c>
      <c t="s" s="52" r="C6">
        <v>69</v>
      </c>
      <c t="s" s="52" r="D6">
        <v>70</v>
      </c>
      <c s="78" r="E6"/>
      <c s="24" r="F6"/>
      <c s="52" r="G6"/>
      <c s="78" r="H6"/>
      <c t="s" s="24" r="I6">
        <v>71</v>
      </c>
      <c s="52" r="J6"/>
      <c t="s" s="78" r="K6">
        <v>72</v>
      </c>
      <c t="s" s="24" r="L6">
        <v>73</v>
      </c>
      <c s="52" r="M6">
        <v>3</v>
      </c>
      <c s="52" r="N6">
        <v>3</v>
      </c>
      <c s="52" r="O6">
        <v>3</v>
      </c>
    </row>
    <row r="7">
      <c s="24" r="A7"/>
      <c s="52" r="B7"/>
      <c s="52" r="C7"/>
      <c s="52" r="D7"/>
      <c s="78" r="E7"/>
      <c s="24" r="F7"/>
      <c s="52" r="G7"/>
      <c s="78" r="H7"/>
      <c t="s" s="24" r="I7">
        <v>74</v>
      </c>
      <c s="52" r="J7">
        <v>2008</v>
      </c>
      <c t="s" s="78" r="K7">
        <v>52</v>
      </c>
      <c t="s" s="24" r="L7">
        <v>75</v>
      </c>
      <c s="52" r="M7">
        <v>2</v>
      </c>
      <c s="52" r="N7">
        <v>2</v>
      </c>
      <c s="52" r="O7">
        <v>2</v>
      </c>
    </row>
    <row r="8">
      <c s="24" r="A8"/>
      <c s="52" r="B8"/>
      <c s="52" r="C8"/>
      <c s="52" r="D8"/>
      <c s="78" r="E8"/>
      <c s="24" r="F8"/>
      <c s="52" r="G8"/>
      <c s="78" r="H8"/>
      <c s="24" r="I8"/>
      <c s="52" r="J8"/>
      <c s="78" r="K8"/>
      <c t="s" s="24" r="L8">
        <v>76</v>
      </c>
      <c s="52" r="M8">
        <v>2</v>
      </c>
      <c s="52" r="N8">
        <v>2</v>
      </c>
      <c s="52" r="O8">
        <v>2</v>
      </c>
    </row>
    <row r="9">
      <c s="24" r="A9"/>
      <c s="52" r="B9"/>
      <c s="52" r="C9"/>
      <c s="52" r="D9"/>
      <c s="78" r="E9"/>
      <c s="24" r="F9"/>
      <c s="52" r="G9"/>
      <c s="78" r="H9"/>
      <c s="24" r="I9"/>
      <c s="52" r="J9"/>
      <c s="78" r="K9"/>
      <c s="24" r="L9"/>
      <c s="52" r="M9"/>
      <c s="52" r="N9"/>
      <c s="52" r="O9"/>
    </row>
    <row r="10">
      <c s="24" r="A10"/>
      <c s="52" r="B10"/>
      <c s="52" r="C10"/>
      <c s="52" r="D10"/>
      <c s="78" r="E10"/>
      <c s="24" r="F10"/>
      <c s="52" r="G10"/>
      <c s="78" r="H10"/>
      <c s="24" r="I10"/>
      <c s="52" r="J10"/>
      <c s="78" r="K10"/>
      <c s="24" r="L10"/>
      <c s="52" r="M10"/>
      <c s="52" r="N10"/>
      <c s="52" r="O10"/>
    </row>
  </sheetData>
  <mergeCells count="4">
    <mergeCell ref="A1:E1"/>
    <mergeCell ref="F1:H1"/>
    <mergeCell ref="I1:K1"/>
    <mergeCell ref="L1:O1"/>
  </mergeCell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A4" ySplit="3.0" activePane="bottomLeft" state="frozen"/>
      <selection sqref="A4" activeCell="A4" pane="bottomLeft"/>
    </sheetView>
  </sheetViews>
  <sheetFormatPr customHeight="1" defaultColWidth="17.14" defaultRowHeight="12.75"/>
  <sheetData>
    <row r="1">
      <c t="s" s="17" r="A1">
        <v>77</v>
      </c>
      <c s="7" r="B1"/>
      <c s="69" r="C1"/>
      <c s="69" r="D1"/>
      <c s="69" r="E1"/>
      <c s="69" r="F1"/>
      <c s="38" r="G1"/>
      <c s="38" r="H1"/>
      <c s="38" r="I1"/>
    </row>
    <row r="2">
      <c s="42" r="G2"/>
      <c s="42" r="H2"/>
      <c s="42" r="I2"/>
    </row>
    <row r="3">
      <c t="s" s="60" r="A3">
        <v>78</v>
      </c>
      <c t="s" s="60" r="B3">
        <v>79</v>
      </c>
      <c t="s" s="87" r="C3">
        <v>80</v>
      </c>
      <c t="s" s="87" r="D3">
        <v>81</v>
      </c>
      <c t="s" s="87" r="E3">
        <v>82</v>
      </c>
      <c t="s" s="87" r="F3">
        <v>83</v>
      </c>
      <c t="s" s="13" r="G3">
        <v>84</v>
      </c>
      <c t="s" s="13" r="H3">
        <v>85</v>
      </c>
      <c t="s" s="13" r="I3">
        <v>86</v>
      </c>
    </row>
    <row r="4">
      <c s="42" r="G4"/>
      <c s="42" r="H4"/>
      <c s="42" r="I4"/>
    </row>
    <row r="5">
      <c s="42" r="G5"/>
      <c s="42" r="H5"/>
      <c s="42" r="I5"/>
    </row>
    <row r="6">
      <c s="42" r="G6"/>
      <c s="42" r="H6"/>
      <c s="42" r="I6"/>
    </row>
    <row r="7">
      <c s="42" r="G7"/>
      <c s="42" r="H7"/>
      <c s="42" r="I7"/>
    </row>
    <row r="8">
      <c s="42" r="G8"/>
      <c s="42" r="H8"/>
      <c s="42" r="I8"/>
    </row>
    <row r="9">
      <c s="42" r="G9"/>
      <c s="42" r="H9"/>
      <c s="42" r="I9"/>
    </row>
    <row r="10">
      <c s="42" r="G10"/>
      <c s="42" r="H10"/>
      <c s="42" r="I10"/>
    </row>
    <row r="11">
      <c s="42" r="G11"/>
      <c s="42" r="H11"/>
      <c s="42" r="I11"/>
    </row>
    <row r="12">
      <c s="42" r="G12"/>
      <c s="42" r="H12"/>
      <c s="42" r="I12"/>
    </row>
    <row r="13">
      <c s="42" r="G13"/>
      <c s="42" r="H13"/>
      <c s="42" r="I13"/>
    </row>
    <row r="14">
      <c s="42" r="G14"/>
      <c s="42" r="H14"/>
      <c s="42" r="I14"/>
    </row>
    <row r="15">
      <c s="42" r="G15"/>
      <c s="42" r="H15"/>
      <c s="42" r="I15"/>
    </row>
    <row r="16">
      <c s="42" r="G16"/>
      <c s="42" r="H16"/>
      <c s="42" r="I16"/>
    </row>
    <row r="17">
      <c s="42" r="G17"/>
      <c s="42" r="H17"/>
      <c s="42" r="I17"/>
    </row>
    <row r="18">
      <c s="42" r="G18"/>
      <c s="42" r="H18"/>
      <c s="42" r="I18"/>
    </row>
    <row r="19">
      <c s="42" r="G19"/>
      <c s="42" r="H19"/>
      <c s="42" r="I19"/>
    </row>
    <row r="20">
      <c s="42" r="G20"/>
      <c s="42" r="H20"/>
      <c s="42" r="I20"/>
    </row>
    <row r="21">
      <c s="42" r="G21"/>
      <c s="42" r="H21"/>
      <c s="42" r="I21"/>
    </row>
    <row r="22">
      <c s="42" r="G22"/>
      <c s="42" r="H22"/>
      <c s="42" r="I22"/>
    </row>
    <row r="23">
      <c s="42" r="G23"/>
      <c s="42" r="H23"/>
      <c s="42" r="I23"/>
    </row>
    <row r="24">
      <c s="42" r="G24"/>
      <c s="42" r="H24"/>
      <c s="42" r="I24"/>
    </row>
    <row r="25">
      <c s="42" r="G25"/>
      <c s="42" r="H25"/>
      <c s="42" r="I25"/>
    </row>
    <row r="26">
      <c s="42" r="G26"/>
      <c s="42" r="H26"/>
      <c s="42" r="I26"/>
    </row>
    <row r="27">
      <c s="42" r="G27"/>
      <c s="42" r="H27"/>
      <c s="42" r="I27"/>
    </row>
    <row r="28">
      <c s="42" r="G28"/>
      <c s="42" r="H28"/>
      <c s="42" r="I28"/>
    </row>
    <row r="29">
      <c s="42" r="G29"/>
      <c s="42" r="H29"/>
      <c s="42" r="I29"/>
    </row>
    <row r="30">
      <c s="42" r="G30"/>
      <c s="42" r="H30"/>
      <c s="42" r="I30"/>
    </row>
    <row r="31">
      <c s="42" r="G31"/>
      <c s="42" r="H31"/>
      <c s="42" r="I31"/>
    </row>
    <row r="32">
      <c s="42" r="G32"/>
      <c s="42" r="H32"/>
      <c s="42" r="I32"/>
    </row>
    <row r="33">
      <c s="42" r="G33"/>
      <c s="42" r="H33"/>
      <c s="42" r="I33"/>
    </row>
    <row r="34">
      <c s="42" r="G34"/>
      <c s="42" r="H34"/>
      <c s="42" r="I34"/>
    </row>
    <row r="35">
      <c s="42" r="G35"/>
      <c s="42" r="H35"/>
      <c s="42" r="I35"/>
    </row>
    <row r="36">
      <c s="42" r="G36"/>
      <c s="42" r="H36"/>
      <c s="42" r="I36"/>
    </row>
    <row r="37">
      <c s="42" r="G37"/>
      <c s="42" r="H37"/>
      <c s="42" r="I37"/>
    </row>
    <row r="38">
      <c s="42" r="G38"/>
      <c s="42" r="H38"/>
      <c s="42" r="I38"/>
    </row>
    <row r="39">
      <c s="42" r="G39"/>
      <c s="42" r="H39"/>
      <c s="42" r="I39"/>
    </row>
    <row r="40">
      <c s="42" r="G40"/>
      <c s="42" r="H40"/>
      <c s="42" r="I40"/>
    </row>
    <row r="41">
      <c s="42" r="G41"/>
      <c s="42" r="H41"/>
      <c s="42" r="I41"/>
    </row>
    <row r="42">
      <c s="42" r="G42"/>
      <c s="42" r="H42"/>
      <c s="42" r="I42"/>
    </row>
    <row r="43">
      <c s="42" r="G43"/>
      <c s="42" r="H43"/>
      <c s="42" r="I43"/>
    </row>
    <row r="44">
      <c s="42" r="G44"/>
      <c s="42" r="H44"/>
      <c s="42" r="I44"/>
    </row>
    <row r="45">
      <c s="42" r="G45"/>
      <c s="42" r="H45"/>
      <c s="42" r="I45"/>
    </row>
    <row r="46">
      <c s="42" r="G46"/>
      <c s="42" r="H46"/>
      <c s="42" r="I46"/>
    </row>
    <row r="47">
      <c s="42" r="G47"/>
      <c s="42" r="H47"/>
      <c s="42" r="I47"/>
    </row>
    <row r="48">
      <c s="42" r="G48"/>
      <c s="42" r="H48"/>
      <c s="42" r="I48"/>
    </row>
    <row r="49">
      <c s="42" r="G49"/>
      <c s="42" r="H49"/>
      <c s="42" r="I49"/>
    </row>
    <row r="50">
      <c s="42" r="G50"/>
      <c s="42" r="H50"/>
      <c s="42" r="I50"/>
    </row>
  </sheetData>
  <mergeCells count="1">
    <mergeCell ref="B1:F1"/>
  </mergeCells>
  <dataValidations>
    <dataValidation errorStyle="warning" showErrorMessage="1" sqref="C4:D4" allowBlank="1" type="list">
      <formula1>'.sector-calc, CCCS'!B3:B139</formula1>
    </dataValidation>
    <dataValidation errorStyle="warning" showErrorMessage="1" sqref="E4:F4" allowBlank="1" type="list">
      <formula1>'.theme-calc, CCCS'!A2:A125</formula1>
    </dataValidation>
    <dataValidation errorStyle="warning" showErrorMessage="1" sqref="G4" allowBlank="1" type="list">
      <formula1>'.sector-calc, IFC'!B3:B70</formula1>
    </dataValidation>
    <dataValidation errorStyle="warning" showErrorMessage="1" sqref="H4:I4" allowBlank="1" type="list">
      <formula1>'.theme-calc, IFC'!A2:A53</formula1>
    </dataValidation>
    <dataValidation errorStyle="warning" showErrorMessage="1" sqref="C5:D5" allowBlank="1" type="list">
      <formula1>'.sector-calc, CCCS'!B3:B139</formula1>
    </dataValidation>
    <dataValidation errorStyle="warning" showErrorMessage="1" sqref="E5:F5" allowBlank="1" type="list">
      <formula1>'.theme-calc, CCCS'!A2:A125</formula1>
    </dataValidation>
    <dataValidation errorStyle="warning" showErrorMessage="1" sqref="G5" allowBlank="1" type="list">
      <formula1>'.sector-calc, IFC'!B3:B70</formula1>
    </dataValidation>
    <dataValidation errorStyle="warning" showErrorMessage="1" sqref="H5:I5" allowBlank="1" type="list">
      <formula1>'.theme-calc, IFC'!A2:A53</formula1>
    </dataValidation>
    <dataValidation errorStyle="warning" showErrorMessage="1" sqref="C6:D6" allowBlank="1" type="list">
      <formula1>'.sector-calc, CCCS'!B3:B139</formula1>
    </dataValidation>
    <dataValidation errorStyle="warning" showErrorMessage="1" sqref="E6:F6" allowBlank="1" type="list">
      <formula1>'.theme-calc, CCCS'!A2:A125</formula1>
    </dataValidation>
    <dataValidation errorStyle="warning" showErrorMessage="1" sqref="G6" allowBlank="1" type="list">
      <formula1>'.sector-calc, IFC'!B3:B70</formula1>
    </dataValidation>
    <dataValidation errorStyle="warning" showErrorMessage="1" sqref="H6:I6" allowBlank="1" type="list">
      <formula1>'.theme-calc, IFC'!A2:A53</formula1>
    </dataValidation>
    <dataValidation errorStyle="warning" showErrorMessage="1" sqref="C7:D7" allowBlank="1" type="list">
      <formula1>'.sector-calc, CCCS'!B3:B139</formula1>
    </dataValidation>
    <dataValidation errorStyle="warning" showErrorMessage="1" sqref="E7:F7" allowBlank="1" type="list">
      <formula1>'.theme-calc, CCCS'!A2:A125</formula1>
    </dataValidation>
    <dataValidation errorStyle="warning" showErrorMessage="1" sqref="G7" allowBlank="1" type="list">
      <formula1>'.sector-calc, IFC'!B3:B70</formula1>
    </dataValidation>
    <dataValidation errorStyle="warning" showErrorMessage="1" sqref="H7:I7" allowBlank="1" type="list">
      <formula1>'.theme-calc, IFC'!A2:A53</formula1>
    </dataValidation>
    <dataValidation errorStyle="warning" showErrorMessage="1" sqref="C8:D8" allowBlank="1" type="list">
      <formula1>'.sector-calc, CCCS'!B3:B139</formula1>
    </dataValidation>
    <dataValidation errorStyle="warning" showErrorMessage="1" sqref="E8:F8" allowBlank="1" type="list">
      <formula1>'.theme-calc, CCCS'!A2:A125</formula1>
    </dataValidation>
    <dataValidation errorStyle="warning" showErrorMessage="1" sqref="G8" allowBlank="1" type="list">
      <formula1>'.sector-calc, IFC'!B3:B70</formula1>
    </dataValidation>
    <dataValidation errorStyle="warning" showErrorMessage="1" sqref="H8:I8" allowBlank="1" type="list">
      <formula1>'.theme-calc, IFC'!A2:A53</formula1>
    </dataValidation>
    <dataValidation errorStyle="warning" showErrorMessage="1" sqref="C9:D9" allowBlank="1" type="list">
      <formula1>'.sector-calc, CCCS'!B3:B139</formula1>
    </dataValidation>
    <dataValidation errorStyle="warning" showErrorMessage="1" sqref="E9:F9" allowBlank="1" type="list">
      <formula1>'.theme-calc, CCCS'!A2:A125</formula1>
    </dataValidation>
    <dataValidation errorStyle="warning" showErrorMessage="1" sqref="G9" allowBlank="1" type="list">
      <formula1>'.sector-calc, IFC'!B3:B70</formula1>
    </dataValidation>
    <dataValidation errorStyle="warning" showErrorMessage="1" sqref="H9:I9" allowBlank="1" type="list">
      <formula1>'.theme-calc, IFC'!A2:A53</formula1>
    </dataValidation>
    <dataValidation errorStyle="warning" showErrorMessage="1" sqref="C10:D10" allowBlank="1" type="list">
      <formula1>'.sector-calc, CCCS'!B3:B139</formula1>
    </dataValidation>
    <dataValidation errorStyle="warning" showErrorMessage="1" sqref="E10:F10" allowBlank="1" type="list">
      <formula1>'.theme-calc, CCCS'!A2:A125</formula1>
    </dataValidation>
    <dataValidation errorStyle="warning" showErrorMessage="1" sqref="G10" allowBlank="1" type="list">
      <formula1>'.sector-calc, IFC'!B3:B70</formula1>
    </dataValidation>
    <dataValidation errorStyle="warning" showErrorMessage="1" sqref="H10:I10" allowBlank="1" type="list">
      <formula1>'.theme-calc, IFC'!A2:A53</formula1>
    </dataValidation>
    <dataValidation errorStyle="warning" showErrorMessage="1" sqref="C11:D11" allowBlank="1" type="list">
      <formula1>'.sector-calc, CCCS'!B3:B139</formula1>
    </dataValidation>
    <dataValidation errorStyle="warning" showErrorMessage="1" sqref="E11:F11" allowBlank="1" type="list">
      <formula1>'.theme-calc, CCCS'!A2:A125</formula1>
    </dataValidation>
    <dataValidation errorStyle="warning" showErrorMessage="1" sqref="G11" allowBlank="1" type="list">
      <formula1>'.sector-calc, IFC'!B3:B70</formula1>
    </dataValidation>
    <dataValidation errorStyle="warning" showErrorMessage="1" sqref="H11:I11" allowBlank="1" type="list">
      <formula1>'.theme-calc, IFC'!A2:A53</formula1>
    </dataValidation>
    <dataValidation errorStyle="warning" showErrorMessage="1" sqref="C12:D12" allowBlank="1" type="list">
      <formula1>'.sector-calc, CCCS'!B3:B139</formula1>
    </dataValidation>
    <dataValidation errorStyle="warning" showErrorMessage="1" sqref="E12:F12" allowBlank="1" type="list">
      <formula1>'.theme-calc, CCCS'!A2:A125</formula1>
    </dataValidation>
    <dataValidation errorStyle="warning" showErrorMessage="1" sqref="G12" allowBlank="1" type="list">
      <formula1>'.sector-calc, IFC'!B3:B70</formula1>
    </dataValidation>
    <dataValidation errorStyle="warning" showErrorMessage="1" sqref="H12:I12" allowBlank="1" type="list">
      <formula1>'.theme-calc, IFC'!A2:A53</formula1>
    </dataValidation>
    <dataValidation errorStyle="warning" showErrorMessage="1" sqref="C13:D13" allowBlank="1" type="list">
      <formula1>'.sector-calc, CCCS'!B3:B139</formula1>
    </dataValidation>
    <dataValidation errorStyle="warning" showErrorMessage="1" sqref="E13:F13" allowBlank="1" type="list">
      <formula1>'.theme-calc, CCCS'!A2:A125</formula1>
    </dataValidation>
    <dataValidation errorStyle="warning" showErrorMessage="1" sqref="G13" allowBlank="1" type="list">
      <formula1>'.sector-calc, IFC'!B3:B70</formula1>
    </dataValidation>
    <dataValidation errorStyle="warning" showErrorMessage="1" sqref="H13:I13" allowBlank="1" type="list">
      <formula1>'.theme-calc, IFC'!A2:A53</formula1>
    </dataValidation>
    <dataValidation errorStyle="warning" showErrorMessage="1" sqref="C14:D14" allowBlank="1" type="list">
      <formula1>'.sector-calc, CCCS'!B3:B139</formula1>
    </dataValidation>
    <dataValidation errorStyle="warning" showErrorMessage="1" sqref="E14:F14" allowBlank="1" type="list">
      <formula1>'.theme-calc, CCCS'!A2:A125</formula1>
    </dataValidation>
    <dataValidation errorStyle="warning" showErrorMessage="1" sqref="G14" allowBlank="1" type="list">
      <formula1>'.sector-calc, IFC'!B3:B70</formula1>
    </dataValidation>
    <dataValidation errorStyle="warning" showErrorMessage="1" sqref="H14:I14" allowBlank="1" type="list">
      <formula1>'.theme-calc, IFC'!A2:A53</formula1>
    </dataValidation>
    <dataValidation errorStyle="warning" showErrorMessage="1" sqref="C15:D15" allowBlank="1" type="list">
      <formula1>'.sector-calc, CCCS'!B3:B139</formula1>
    </dataValidation>
    <dataValidation errorStyle="warning" showErrorMessage="1" sqref="E15:F15" allowBlank="1" type="list">
      <formula1>'.theme-calc, CCCS'!A2:A125</formula1>
    </dataValidation>
    <dataValidation errorStyle="warning" showErrorMessage="1" sqref="G15" allowBlank="1" type="list">
      <formula1>'.sector-calc, IFC'!B3:B70</formula1>
    </dataValidation>
    <dataValidation errorStyle="warning" showErrorMessage="1" sqref="H15:I15" allowBlank="1" type="list">
      <formula1>'.theme-calc, IFC'!A2:A53</formula1>
    </dataValidation>
    <dataValidation errorStyle="warning" showErrorMessage="1" sqref="C16:D16" allowBlank="1" type="list">
      <formula1>'.sector-calc, CCCS'!B3:B139</formula1>
    </dataValidation>
    <dataValidation errorStyle="warning" showErrorMessage="1" sqref="E16:F16" allowBlank="1" type="list">
      <formula1>'.theme-calc, CCCS'!A2:A125</formula1>
    </dataValidation>
    <dataValidation errorStyle="warning" showErrorMessage="1" sqref="G16" allowBlank="1" type="list">
      <formula1>'.sector-calc, IFC'!B3:B70</formula1>
    </dataValidation>
    <dataValidation errorStyle="warning" showErrorMessage="1" sqref="H16:I16" allowBlank="1" type="list">
      <formula1>'.theme-calc, IFC'!A2:A53</formula1>
    </dataValidation>
    <dataValidation errorStyle="warning" showErrorMessage="1" sqref="C17:D17" allowBlank="1" type="list">
      <formula1>'.sector-calc, CCCS'!B3:B139</formula1>
    </dataValidation>
    <dataValidation errorStyle="warning" showErrorMessage="1" sqref="E17:F17" allowBlank="1" type="list">
      <formula1>'.theme-calc, CCCS'!A2:A125</formula1>
    </dataValidation>
    <dataValidation errorStyle="warning" showErrorMessage="1" sqref="G17" allowBlank="1" type="list">
      <formula1>'.sector-calc, IFC'!B3:B70</formula1>
    </dataValidation>
    <dataValidation errorStyle="warning" showErrorMessage="1" sqref="H17:I17" allowBlank="1" type="list">
      <formula1>'.theme-calc, IFC'!A2:A53</formula1>
    </dataValidation>
    <dataValidation errorStyle="warning" showErrorMessage="1" sqref="C18:D18" allowBlank="1" type="list">
      <formula1>'.sector-calc, CCCS'!B3:B139</formula1>
    </dataValidation>
    <dataValidation errorStyle="warning" showErrorMessage="1" sqref="E18:F18" allowBlank="1" type="list">
      <formula1>'.theme-calc, CCCS'!A2:A125</formula1>
    </dataValidation>
    <dataValidation errorStyle="warning" showErrorMessage="1" sqref="G18" allowBlank="1" type="list">
      <formula1>'.sector-calc, IFC'!B3:B70</formula1>
    </dataValidation>
    <dataValidation errorStyle="warning" showErrorMessage="1" sqref="H18:I18" allowBlank="1" type="list">
      <formula1>'.theme-calc, IFC'!A2:A53</formula1>
    </dataValidation>
    <dataValidation errorStyle="warning" showErrorMessage="1" sqref="C19:D19" allowBlank="1" type="list">
      <formula1>'.sector-calc, CCCS'!B3:B139</formula1>
    </dataValidation>
    <dataValidation errorStyle="warning" showErrorMessage="1" sqref="E19:F19" allowBlank="1" type="list">
      <formula1>'.theme-calc, CCCS'!A2:A125</formula1>
    </dataValidation>
    <dataValidation errorStyle="warning" showErrorMessage="1" sqref="G19" allowBlank="1" type="list">
      <formula1>'.sector-calc, IFC'!B3:B70</formula1>
    </dataValidation>
    <dataValidation errorStyle="warning" showErrorMessage="1" sqref="H19:I19" allowBlank="1" type="list">
      <formula1>'.theme-calc, IFC'!A2:A53</formula1>
    </dataValidation>
    <dataValidation errorStyle="warning" showErrorMessage="1" sqref="C20:D20" allowBlank="1" type="list">
      <formula1>'.sector-calc, CCCS'!B3:B139</formula1>
    </dataValidation>
    <dataValidation errorStyle="warning" showErrorMessage="1" sqref="E20:F20" allowBlank="1" type="list">
      <formula1>'.theme-calc, CCCS'!A2:A125</formula1>
    </dataValidation>
    <dataValidation errorStyle="warning" showErrorMessage="1" sqref="G20" allowBlank="1" type="list">
      <formula1>'.sector-calc, IFC'!B3:B70</formula1>
    </dataValidation>
    <dataValidation errorStyle="warning" showErrorMessage="1" sqref="H20:I20" allowBlank="1" type="list">
      <formula1>'.theme-calc, IFC'!A2:A53</formula1>
    </dataValidation>
    <dataValidation errorStyle="warning" showErrorMessage="1" sqref="C21:D21" allowBlank="1" type="list">
      <formula1>'.sector-calc, CCCS'!B3:B139</formula1>
    </dataValidation>
    <dataValidation errorStyle="warning" showErrorMessage="1" sqref="E21:F21" allowBlank="1" type="list">
      <formula1>'.theme-calc, CCCS'!A2:A125</formula1>
    </dataValidation>
    <dataValidation errorStyle="warning" showErrorMessage="1" sqref="G21" allowBlank="1" type="list">
      <formula1>'.sector-calc, IFC'!B3:B70</formula1>
    </dataValidation>
    <dataValidation errorStyle="warning" showErrorMessage="1" sqref="H21:I21" allowBlank="1" type="list">
      <formula1>'.theme-calc, IFC'!A2:A53</formula1>
    </dataValidation>
    <dataValidation errorStyle="warning" showErrorMessage="1" sqref="C22:D22" allowBlank="1" type="list">
      <formula1>'.sector-calc, CCCS'!B3:B139</formula1>
    </dataValidation>
    <dataValidation errorStyle="warning" showErrorMessage="1" sqref="E22:F22" allowBlank="1" type="list">
      <formula1>'.theme-calc, CCCS'!A2:A125</formula1>
    </dataValidation>
    <dataValidation errorStyle="warning" showErrorMessage="1" sqref="G22" allowBlank="1" type="list">
      <formula1>'.sector-calc, IFC'!B3:B70</formula1>
    </dataValidation>
    <dataValidation errorStyle="warning" showErrorMessage="1" sqref="H22:I22" allowBlank="1" type="list">
      <formula1>'.theme-calc, IFC'!A2:A53</formula1>
    </dataValidation>
    <dataValidation errorStyle="warning" showErrorMessage="1" sqref="C23:D23" allowBlank="1" type="list">
      <formula1>'.sector-calc, CCCS'!B3:B139</formula1>
    </dataValidation>
    <dataValidation errorStyle="warning" showErrorMessage="1" sqref="E23:F23" allowBlank="1" type="list">
      <formula1>'.theme-calc, CCCS'!A2:A125</formula1>
    </dataValidation>
    <dataValidation errorStyle="warning" showErrorMessage="1" sqref="G23" allowBlank="1" type="list">
      <formula1>'.sector-calc, IFC'!B3:B70</formula1>
    </dataValidation>
    <dataValidation errorStyle="warning" showErrorMessage="1" sqref="H23:I23" allowBlank="1" type="list">
      <formula1>'.theme-calc, IFC'!A2:A53</formula1>
    </dataValidation>
    <dataValidation errorStyle="warning" showErrorMessage="1" sqref="C24:D24" allowBlank="1" type="list">
      <formula1>'.sector-calc, CCCS'!B3:B139</formula1>
    </dataValidation>
    <dataValidation errorStyle="warning" showErrorMessage="1" sqref="E24:F24" allowBlank="1" type="list">
      <formula1>'.theme-calc, CCCS'!A2:A125</formula1>
    </dataValidation>
    <dataValidation errorStyle="warning" showErrorMessage="1" sqref="G24" allowBlank="1" type="list">
      <formula1>'.sector-calc, IFC'!B3:B70</formula1>
    </dataValidation>
    <dataValidation errorStyle="warning" showErrorMessage="1" sqref="H24:I24" allowBlank="1" type="list">
      <formula1>'.theme-calc, IFC'!A2:A53</formula1>
    </dataValidation>
    <dataValidation errorStyle="warning" showErrorMessage="1" sqref="C25:D25" allowBlank="1" type="list">
      <formula1>'.sector-calc, CCCS'!B3:B139</formula1>
    </dataValidation>
    <dataValidation errorStyle="warning" showErrorMessage="1" sqref="E25:F25" allowBlank="1" type="list">
      <formula1>'.theme-calc, CCCS'!A2:A125</formula1>
    </dataValidation>
    <dataValidation errorStyle="warning" showErrorMessage="1" sqref="G25" allowBlank="1" type="list">
      <formula1>'.sector-calc, IFC'!B3:B70</formula1>
    </dataValidation>
    <dataValidation errorStyle="warning" showErrorMessage="1" sqref="H25:I25" allowBlank="1" type="list">
      <formula1>'.theme-calc, IFC'!A2:A53</formula1>
    </dataValidation>
    <dataValidation errorStyle="warning" showErrorMessage="1" sqref="C26:D26" allowBlank="1" type="list">
      <formula1>'.sector-calc, CCCS'!B3:B139</formula1>
    </dataValidation>
    <dataValidation errorStyle="warning" showErrorMessage="1" sqref="E26:F26" allowBlank="1" type="list">
      <formula1>'.theme-calc, CCCS'!A2:A125</formula1>
    </dataValidation>
    <dataValidation errorStyle="warning" showErrorMessage="1" sqref="G26" allowBlank="1" type="list">
      <formula1>'.sector-calc, IFC'!B3:B70</formula1>
    </dataValidation>
    <dataValidation errorStyle="warning" showErrorMessage="1" sqref="H26:I26" allowBlank="1" type="list">
      <formula1>'.theme-calc, IFC'!A2:A53</formula1>
    </dataValidation>
    <dataValidation errorStyle="warning" showErrorMessage="1" sqref="C27:D27" allowBlank="1" type="list">
      <formula1>'.sector-calc, CCCS'!B3:B139</formula1>
    </dataValidation>
    <dataValidation errorStyle="warning" showErrorMessage="1" sqref="E27:F27" allowBlank="1" type="list">
      <formula1>'.theme-calc, CCCS'!A2:A125</formula1>
    </dataValidation>
    <dataValidation errorStyle="warning" showErrorMessage="1" sqref="G27" allowBlank="1" type="list">
      <formula1>'.sector-calc, IFC'!B3:B70</formula1>
    </dataValidation>
    <dataValidation errorStyle="warning" showErrorMessage="1" sqref="H27:I27" allowBlank="1" type="list">
      <formula1>'.theme-calc, IFC'!A2:A53</formula1>
    </dataValidation>
    <dataValidation errorStyle="warning" showErrorMessage="1" sqref="C28:D28" allowBlank="1" type="list">
      <formula1>'.sector-calc, CCCS'!B3:B139</formula1>
    </dataValidation>
    <dataValidation errorStyle="warning" showErrorMessage="1" sqref="E28:F28" allowBlank="1" type="list">
      <formula1>'.theme-calc, CCCS'!A2:A125</formula1>
    </dataValidation>
    <dataValidation errorStyle="warning" showErrorMessage="1" sqref="G28" allowBlank="1" type="list">
      <formula1>'.sector-calc, IFC'!B3:B70</formula1>
    </dataValidation>
    <dataValidation errorStyle="warning" showErrorMessage="1" sqref="H28:I28" allowBlank="1" type="list">
      <formula1>'.theme-calc, IFC'!A2:A53</formula1>
    </dataValidation>
    <dataValidation errorStyle="warning" showErrorMessage="1" sqref="C29:D29" allowBlank="1" type="list">
      <formula1>'.sector-calc, CCCS'!B3:B139</formula1>
    </dataValidation>
    <dataValidation errorStyle="warning" showErrorMessage="1" sqref="E29:F29" allowBlank="1" type="list">
      <formula1>'.theme-calc, CCCS'!A2:A125</formula1>
    </dataValidation>
    <dataValidation errorStyle="warning" showErrorMessage="1" sqref="G29" allowBlank="1" type="list">
      <formula1>'.sector-calc, IFC'!B3:B70</formula1>
    </dataValidation>
    <dataValidation errorStyle="warning" showErrorMessage="1" sqref="H29:I29" allowBlank="1" type="list">
      <formula1>'.theme-calc, IFC'!A2:A53</formula1>
    </dataValidation>
    <dataValidation errorStyle="warning" showErrorMessage="1" sqref="C30:D30" allowBlank="1" type="list">
      <formula1>'.sector-calc, CCCS'!B3:B139</formula1>
    </dataValidation>
    <dataValidation errorStyle="warning" showErrorMessage="1" sqref="E30:F30" allowBlank="1" type="list">
      <formula1>'.theme-calc, CCCS'!A2:A125</formula1>
    </dataValidation>
    <dataValidation errorStyle="warning" showErrorMessage="1" sqref="G30" allowBlank="1" type="list">
      <formula1>'.sector-calc, IFC'!B3:B70</formula1>
    </dataValidation>
    <dataValidation errorStyle="warning" showErrorMessage="1" sqref="H30:I30" allowBlank="1" type="list">
      <formula1>'.theme-calc, IFC'!A2:A53</formula1>
    </dataValidation>
    <dataValidation errorStyle="warning" showErrorMessage="1" sqref="C31:D31" allowBlank="1" type="list">
      <formula1>'.sector-calc, CCCS'!B3:B139</formula1>
    </dataValidation>
    <dataValidation errorStyle="warning" showErrorMessage="1" sqref="E31:F31" allowBlank="1" type="list">
      <formula1>'.theme-calc, CCCS'!A2:A125</formula1>
    </dataValidation>
    <dataValidation errorStyle="warning" showErrorMessage="1" sqref="G31" allowBlank="1" type="list">
      <formula1>'.sector-calc, IFC'!B3:B70</formula1>
    </dataValidation>
    <dataValidation errorStyle="warning" showErrorMessage="1" sqref="H31:I31" allowBlank="1" type="list">
      <formula1>'.theme-calc, IFC'!A2:A53</formula1>
    </dataValidation>
    <dataValidation errorStyle="warning" showErrorMessage="1" sqref="C32:D32" allowBlank="1" type="list">
      <formula1>'.sector-calc, CCCS'!B3:B139</formula1>
    </dataValidation>
    <dataValidation errorStyle="warning" showErrorMessage="1" sqref="E32:F32" allowBlank="1" type="list">
      <formula1>'.theme-calc, CCCS'!A2:A125</formula1>
    </dataValidation>
    <dataValidation errorStyle="warning" showErrorMessage="1" sqref="G32" allowBlank="1" type="list">
      <formula1>'.sector-calc, IFC'!B3:B70</formula1>
    </dataValidation>
    <dataValidation errorStyle="warning" showErrorMessage="1" sqref="H32:I32" allowBlank="1" type="list">
      <formula1>'.theme-calc, IFC'!A2:A53</formula1>
    </dataValidation>
    <dataValidation errorStyle="warning" showErrorMessage="1" sqref="C33:D33" allowBlank="1" type="list">
      <formula1>'.sector-calc, CCCS'!B3:B139</formula1>
    </dataValidation>
    <dataValidation errorStyle="warning" showErrorMessage="1" sqref="E33:F33" allowBlank="1" type="list">
      <formula1>'.theme-calc, CCCS'!A2:A125</formula1>
    </dataValidation>
    <dataValidation errorStyle="warning" showErrorMessage="1" sqref="G33" allowBlank="1" type="list">
      <formula1>'.sector-calc, IFC'!B3:B70</formula1>
    </dataValidation>
    <dataValidation errorStyle="warning" showErrorMessage="1" sqref="H33:I33" allowBlank="1" type="list">
      <formula1>'.theme-calc, IFC'!A2:A53</formula1>
    </dataValidation>
    <dataValidation errorStyle="warning" showErrorMessage="1" sqref="C34:D34" allowBlank="1" type="list">
      <formula1>'.sector-calc, CCCS'!B3:B139</formula1>
    </dataValidation>
    <dataValidation errorStyle="warning" showErrorMessage="1" sqref="E34:F34" allowBlank="1" type="list">
      <formula1>'.theme-calc, CCCS'!A2:A125</formula1>
    </dataValidation>
    <dataValidation errorStyle="warning" showErrorMessage="1" sqref="G34" allowBlank="1" type="list">
      <formula1>'.sector-calc, IFC'!B3:B70</formula1>
    </dataValidation>
    <dataValidation errorStyle="warning" showErrorMessage="1" sqref="H34:I34" allowBlank="1" type="list">
      <formula1>'.theme-calc, IFC'!A2:A53</formula1>
    </dataValidation>
    <dataValidation errorStyle="warning" showErrorMessage="1" sqref="C35:D35" allowBlank="1" type="list">
      <formula1>'.sector-calc, CCCS'!B3:B139</formula1>
    </dataValidation>
    <dataValidation errorStyle="warning" showErrorMessage="1" sqref="E35:F35" allowBlank="1" type="list">
      <formula1>'.theme-calc, CCCS'!A2:A125</formula1>
    </dataValidation>
    <dataValidation errorStyle="warning" showErrorMessage="1" sqref="G35" allowBlank="1" type="list">
      <formula1>'.sector-calc, IFC'!B3:B70</formula1>
    </dataValidation>
    <dataValidation errorStyle="warning" showErrorMessage="1" sqref="H35:I35" allowBlank="1" type="list">
      <formula1>'.theme-calc, IFC'!A2:A53</formula1>
    </dataValidation>
    <dataValidation errorStyle="warning" showErrorMessage="1" sqref="C36:D36" allowBlank="1" type="list">
      <formula1>'.sector-calc, CCCS'!B3:B139</formula1>
    </dataValidation>
    <dataValidation errorStyle="warning" showErrorMessage="1" sqref="E36:F36" allowBlank="1" type="list">
      <formula1>'.theme-calc, CCCS'!A2:A125</formula1>
    </dataValidation>
    <dataValidation errorStyle="warning" showErrorMessage="1" sqref="G36" allowBlank="1" type="list">
      <formula1>'.sector-calc, IFC'!B3:B70</formula1>
    </dataValidation>
    <dataValidation errorStyle="warning" showErrorMessage="1" sqref="H36:I36" allowBlank="1" type="list">
      <formula1>'.theme-calc, IFC'!A2:A53</formula1>
    </dataValidation>
    <dataValidation errorStyle="warning" showErrorMessage="1" sqref="C37:D37" allowBlank="1" type="list">
      <formula1>'.sector-calc, CCCS'!B3:B139</formula1>
    </dataValidation>
    <dataValidation errorStyle="warning" showErrorMessage="1" sqref="E37:F37" allowBlank="1" type="list">
      <formula1>'.theme-calc, CCCS'!A2:A125</formula1>
    </dataValidation>
    <dataValidation errorStyle="warning" showErrorMessage="1" sqref="G37" allowBlank="1" type="list">
      <formula1>'.sector-calc, IFC'!B3:B70</formula1>
    </dataValidation>
    <dataValidation errorStyle="warning" showErrorMessage="1" sqref="H37:I37" allowBlank="1" type="list">
      <formula1>'.theme-calc, IFC'!A2:A53</formula1>
    </dataValidation>
    <dataValidation errorStyle="warning" showErrorMessage="1" sqref="C38:D38" allowBlank="1" type="list">
      <formula1>'.sector-calc, CCCS'!B3:B139</formula1>
    </dataValidation>
    <dataValidation errorStyle="warning" showErrorMessage="1" sqref="E38:F38" allowBlank="1" type="list">
      <formula1>'.theme-calc, CCCS'!A2:A125</formula1>
    </dataValidation>
    <dataValidation errorStyle="warning" showErrorMessage="1" sqref="G38" allowBlank="1" type="list">
      <formula1>'.sector-calc, IFC'!B3:B70</formula1>
    </dataValidation>
    <dataValidation errorStyle="warning" showErrorMessage="1" sqref="H38:I38" allowBlank="1" type="list">
      <formula1>'.theme-calc, IFC'!A2:A53</formula1>
    </dataValidation>
    <dataValidation errorStyle="warning" showErrorMessage="1" sqref="C39:D39" allowBlank="1" type="list">
      <formula1>'.sector-calc, CCCS'!B3:B139</formula1>
    </dataValidation>
    <dataValidation errorStyle="warning" showErrorMessage="1" sqref="E39:F39" allowBlank="1" type="list">
      <formula1>'.theme-calc, CCCS'!A2:A125</formula1>
    </dataValidation>
    <dataValidation errorStyle="warning" showErrorMessage="1" sqref="G39" allowBlank="1" type="list">
      <formula1>'.sector-calc, IFC'!B3:B70</formula1>
    </dataValidation>
    <dataValidation errorStyle="warning" showErrorMessage="1" sqref="H39:I39" allowBlank="1" type="list">
      <formula1>'.theme-calc, IFC'!A2:A53</formula1>
    </dataValidation>
    <dataValidation errorStyle="warning" showErrorMessage="1" sqref="C40:D40" allowBlank="1" type="list">
      <formula1>'.sector-calc, CCCS'!B3:B139</formula1>
    </dataValidation>
    <dataValidation errorStyle="warning" showErrorMessage="1" sqref="E40:F40" allowBlank="1" type="list">
      <formula1>'.theme-calc, CCCS'!A2:A125</formula1>
    </dataValidation>
    <dataValidation errorStyle="warning" showErrorMessage="1" sqref="G40" allowBlank="1" type="list">
      <formula1>'.sector-calc, IFC'!B3:B70</formula1>
    </dataValidation>
    <dataValidation errorStyle="warning" showErrorMessage="1" sqref="H40:I40" allowBlank="1" type="list">
      <formula1>'.theme-calc, IFC'!A2:A53</formula1>
    </dataValidation>
    <dataValidation errorStyle="warning" showErrorMessage="1" sqref="C41:D41" allowBlank="1" type="list">
      <formula1>'.sector-calc, CCCS'!B3:B139</formula1>
    </dataValidation>
    <dataValidation errorStyle="warning" showErrorMessage="1" sqref="E41:F41" allowBlank="1" type="list">
      <formula1>'.theme-calc, CCCS'!A2:A125</formula1>
    </dataValidation>
    <dataValidation errorStyle="warning" showErrorMessage="1" sqref="G41" allowBlank="1" type="list">
      <formula1>'.sector-calc, IFC'!B3:B70</formula1>
    </dataValidation>
    <dataValidation errorStyle="warning" showErrorMessage="1" sqref="H41:I41" allowBlank="1" type="list">
      <formula1>'.theme-calc, IFC'!A2:A53</formula1>
    </dataValidation>
    <dataValidation errorStyle="warning" showErrorMessage="1" sqref="C42:D42" allowBlank="1" type="list">
      <formula1>'.sector-calc, CCCS'!B3:B139</formula1>
    </dataValidation>
    <dataValidation errorStyle="warning" showErrorMessage="1" sqref="E42:F42" allowBlank="1" type="list">
      <formula1>'.theme-calc, CCCS'!A2:A125</formula1>
    </dataValidation>
    <dataValidation errorStyle="warning" showErrorMessage="1" sqref="G42" allowBlank="1" type="list">
      <formula1>'.sector-calc, IFC'!B3:B70</formula1>
    </dataValidation>
    <dataValidation errorStyle="warning" showErrorMessage="1" sqref="H42:I42" allowBlank="1" type="list">
      <formula1>'.theme-calc, IFC'!A2:A53</formula1>
    </dataValidation>
    <dataValidation errorStyle="warning" showErrorMessage="1" sqref="C43:D43" allowBlank="1" type="list">
      <formula1>'.sector-calc, CCCS'!B3:B139</formula1>
    </dataValidation>
    <dataValidation errorStyle="warning" showErrorMessage="1" sqref="E43:F43" allowBlank="1" type="list">
      <formula1>'.theme-calc, CCCS'!A2:A125</formula1>
    </dataValidation>
    <dataValidation errorStyle="warning" showErrorMessage="1" sqref="G43" allowBlank="1" type="list">
      <formula1>'.sector-calc, IFC'!B3:B70</formula1>
    </dataValidation>
    <dataValidation errorStyle="warning" showErrorMessage="1" sqref="H43:I43" allowBlank="1" type="list">
      <formula1>'.theme-calc, IFC'!A2:A53</formula1>
    </dataValidation>
    <dataValidation errorStyle="warning" showErrorMessage="1" sqref="C44:D44" allowBlank="1" type="list">
      <formula1>'.sector-calc, CCCS'!B3:B139</formula1>
    </dataValidation>
    <dataValidation errorStyle="warning" showErrorMessage="1" sqref="E44:F44" allowBlank="1" type="list">
      <formula1>'.theme-calc, CCCS'!A2:A125</formula1>
    </dataValidation>
    <dataValidation errorStyle="warning" showErrorMessage="1" sqref="G44" allowBlank="1" type="list">
      <formula1>'.sector-calc, IFC'!B3:B70</formula1>
    </dataValidation>
    <dataValidation errorStyle="warning" showErrorMessage="1" sqref="H44:I44" allowBlank="1" type="list">
      <formula1>'.theme-calc, IFC'!A2:A53</formula1>
    </dataValidation>
    <dataValidation errorStyle="warning" showErrorMessage="1" sqref="C45:D45" allowBlank="1" type="list">
      <formula1>'.sector-calc, CCCS'!B3:B139</formula1>
    </dataValidation>
    <dataValidation errorStyle="warning" showErrorMessage="1" sqref="E45:F45" allowBlank="1" type="list">
      <formula1>'.theme-calc, CCCS'!A2:A125</formula1>
    </dataValidation>
    <dataValidation errorStyle="warning" showErrorMessage="1" sqref="G45" allowBlank="1" type="list">
      <formula1>'.sector-calc, IFC'!B3:B70</formula1>
    </dataValidation>
    <dataValidation errorStyle="warning" showErrorMessage="1" sqref="H45:I45" allowBlank="1" type="list">
      <formula1>'.theme-calc, IFC'!A2:A53</formula1>
    </dataValidation>
    <dataValidation errorStyle="warning" showErrorMessage="1" sqref="C46:D46" allowBlank="1" type="list">
      <formula1>'.sector-calc, CCCS'!B3:B139</formula1>
    </dataValidation>
    <dataValidation errorStyle="warning" showErrorMessage="1" sqref="E46:F46" allowBlank="1" type="list">
      <formula1>'.theme-calc, CCCS'!A2:A125</formula1>
    </dataValidation>
    <dataValidation errorStyle="warning" showErrorMessage="1" sqref="G46" allowBlank="1" type="list">
      <formula1>'.sector-calc, IFC'!B3:B70</formula1>
    </dataValidation>
    <dataValidation errorStyle="warning" showErrorMessage="1" sqref="H46:I46" allowBlank="1" type="list">
      <formula1>'.theme-calc, IFC'!A2:A53</formula1>
    </dataValidation>
    <dataValidation errorStyle="warning" showErrorMessage="1" sqref="C47:D47" allowBlank="1" type="list">
      <formula1>'.sector-calc, CCCS'!B3:B139</formula1>
    </dataValidation>
    <dataValidation errorStyle="warning" showErrorMessage="1" sqref="E47:F47" allowBlank="1" type="list">
      <formula1>'.theme-calc, CCCS'!A2:A125</formula1>
    </dataValidation>
    <dataValidation errorStyle="warning" showErrorMessage="1" sqref="G47" allowBlank="1" type="list">
      <formula1>'.sector-calc, IFC'!B3:B70</formula1>
    </dataValidation>
    <dataValidation errorStyle="warning" showErrorMessage="1" sqref="H47:I47" allowBlank="1" type="list">
      <formula1>'.theme-calc, IFC'!A2:A53</formula1>
    </dataValidation>
    <dataValidation errorStyle="warning" showErrorMessage="1" sqref="C48:D48" allowBlank="1" type="list">
      <formula1>'.sector-calc, CCCS'!B3:B139</formula1>
    </dataValidation>
    <dataValidation errorStyle="warning" showErrorMessage="1" sqref="E48:F48" allowBlank="1" type="list">
      <formula1>'.theme-calc, CCCS'!A2:A125</formula1>
    </dataValidation>
    <dataValidation errorStyle="warning" showErrorMessage="1" sqref="G48" allowBlank="1" type="list">
      <formula1>'.sector-calc, IFC'!B3:B70</formula1>
    </dataValidation>
    <dataValidation errorStyle="warning" showErrorMessage="1" sqref="H48:I48" allowBlank="1" type="list">
      <formula1>'.theme-calc, IFC'!A2:A53</formula1>
    </dataValidation>
    <dataValidation errorStyle="warning" showErrorMessage="1" sqref="C49:D49" allowBlank="1" type="list">
      <formula1>'.sector-calc, CCCS'!B3:B139</formula1>
    </dataValidation>
    <dataValidation errorStyle="warning" showErrorMessage="1" sqref="E49:F49" allowBlank="1" type="list">
      <formula1>'.theme-calc, CCCS'!A2:A125</formula1>
    </dataValidation>
    <dataValidation errorStyle="warning" showErrorMessage="1" sqref="G49" allowBlank="1" type="list">
      <formula1>'.sector-calc, IFC'!B3:B70</formula1>
    </dataValidation>
    <dataValidation errorStyle="warning" showErrorMessage="1" sqref="H49:I49" allowBlank="1" type="list">
      <formula1>'.theme-calc, IFC'!A2:A53</formula1>
    </dataValidation>
    <dataValidation errorStyle="warning" showErrorMessage="1" sqref="C50:D50" allowBlank="1" type="list">
      <formula1>'.sector-calc, CCCS'!B3:B139</formula1>
    </dataValidation>
    <dataValidation errorStyle="warning" showErrorMessage="1" sqref="E50:F50" allowBlank="1" type="list">
      <formula1>'.theme-calc, CCCS'!A2:A125</formula1>
    </dataValidation>
    <dataValidation errorStyle="warning" showErrorMessage="1" sqref="G50" allowBlank="1" type="list">
      <formula1>'.sector-calc, IFC'!B3:B70</formula1>
    </dataValidation>
    <dataValidation errorStyle="warning" showErrorMessage="1" sqref="H50:I50" allowBlank="1" type="list">
      <formula1>'.theme-calc, IFC'!A2:A53</formula1>
    </dataValidation>
  </dataValidation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cols>
    <col min="1" customWidth="1" max="1" width="22.0"/>
    <col min="2" customWidth="1" max="2" width="31.57"/>
    <col min="3" customWidth="1" max="3" width="23.86"/>
    <col min="4" customWidth="1" max="4" width="33.57"/>
    <col min="5" customWidth="1" max="5" width="67.86"/>
    <col min="6" customWidth="1" max="6" width="26.29"/>
  </cols>
  <sheetData>
    <row r="1">
      <c t="s" s="48" r="A1">
        <v>87</v>
      </c>
      <c t="s" s="48" r="B1">
        <v>88</v>
      </c>
      <c t="s" s="48" r="C1">
        <v>89</v>
      </c>
      <c t="s" s="48" r="D1">
        <v>90</v>
      </c>
      <c t="s" s="48" r="E1">
        <v>91</v>
      </c>
      <c t="s" s="16" r="F1">
        <v>92</v>
      </c>
    </row>
    <row r="2">
      <c t="s" s="52" r="A2">
        <v>93</v>
      </c>
      <c t="s" s="52" r="B2">
        <v>94</v>
      </c>
      <c t="s" s="52" r="C2">
        <v>95</v>
      </c>
      <c t="s" s="52" r="D2">
        <v>96</v>
      </c>
      <c s="52" r="E2"/>
      <c s="52" r="F2"/>
    </row>
    <row r="3">
      <c t="s" s="52" r="A3">
        <v>97</v>
      </c>
      <c t="s" s="52" r="B3">
        <v>94</v>
      </c>
      <c t="s" s="52" r="C3">
        <v>95</v>
      </c>
      <c t="s" s="52" r="D3">
        <v>98</v>
      </c>
      <c s="52" r="E3"/>
      <c s="52" r="F3"/>
    </row>
    <row r="4">
      <c t="s" s="52" r="A4">
        <v>99</v>
      </c>
      <c t="s" s="52" r="B4">
        <v>100</v>
      </c>
      <c t="s" s="52" r="C4">
        <v>95</v>
      </c>
      <c t="s" s="52" r="D4">
        <v>96</v>
      </c>
      <c s="52" r="E4"/>
      <c s="52" r="F4"/>
    </row>
    <row r="5">
      <c s="52" r="A5">
        <v>2009</v>
      </c>
      <c t="s" s="52" r="B5">
        <v>100</v>
      </c>
      <c t="s" s="52" r="C5">
        <v>95</v>
      </c>
      <c t="s" s="52" r="D5">
        <v>101</v>
      </c>
      <c s="52" r="E5"/>
      <c s="52" r="F5"/>
    </row>
    <row r="6">
      <c s="52" r="A6">
        <v>2007</v>
      </c>
      <c t="s" s="52" r="B6">
        <v>100</v>
      </c>
      <c t="s" s="52" r="C6">
        <v>95</v>
      </c>
      <c t="s" s="52" r="D6">
        <v>102</v>
      </c>
      <c s="52" r="E6"/>
      <c s="52" r="F6"/>
    </row>
    <row r="7">
      <c s="52" r="A7">
        <v>2008</v>
      </c>
      <c t="s" s="52" r="B7">
        <v>49</v>
      </c>
      <c t="s" s="52" r="C7">
        <v>103</v>
      </c>
      <c t="s" s="52" r="D7">
        <v>104</v>
      </c>
      <c t="s" s="52" r="E7">
        <v>105</v>
      </c>
      <c s="52" r="F7"/>
    </row>
    <row r="8">
      <c t="s" s="52" r="A8">
        <v>106</v>
      </c>
      <c t="s" s="52" r="B8">
        <v>107</v>
      </c>
      <c t="s" s="52" r="C8">
        <v>108</v>
      </c>
      <c t="s" s="52" r="D8">
        <v>109</v>
      </c>
      <c t="s" s="52" r="E8">
        <v>110</v>
      </c>
      <c s="52" r="F8"/>
    </row>
    <row r="9">
      <c s="52" r="A9">
        <v>2006</v>
      </c>
      <c t="s" s="52" r="B9">
        <v>107</v>
      </c>
      <c t="s" s="52" r="C9">
        <v>108</v>
      </c>
      <c t="s" s="52" r="D9">
        <v>111</v>
      </c>
      <c t="s" s="52" r="E9">
        <v>112</v>
      </c>
      <c s="52" r="F9"/>
    </row>
    <row r="10">
      <c s="52" r="A10">
        <v>2005</v>
      </c>
      <c t="s" s="52" r="B10">
        <v>113</v>
      </c>
      <c t="s" s="52" r="C10">
        <v>114</v>
      </c>
      <c t="s" s="52" r="D10">
        <v>115</v>
      </c>
      <c t="s" s="52" r="E10">
        <v>116</v>
      </c>
      <c s="52" r="F10"/>
    </row>
    <row r="11">
      <c t="s" s="52" r="A11">
        <v>117</v>
      </c>
      <c t="s" s="52" r="B11">
        <v>118</v>
      </c>
      <c t="s" s="52" r="C11">
        <v>119</v>
      </c>
      <c t="s" s="52" r="D11">
        <v>120</v>
      </c>
      <c s="52" r="E11"/>
      <c s="52" r="F11"/>
    </row>
    <row r="12">
      <c s="52" r="A12">
        <v>2001</v>
      </c>
      <c t="s" s="52" r="B12">
        <v>121</v>
      </c>
      <c t="s" s="52" r="C12">
        <v>122</v>
      </c>
      <c t="s" s="52" r="D12">
        <v>123</v>
      </c>
      <c t="s" s="52" r="E12">
        <v>124</v>
      </c>
      <c s="52" r="F12"/>
    </row>
    <row r="13">
      <c s="52" r="A13">
        <v>1999</v>
      </c>
      <c t="s" s="52" r="B13">
        <v>125</v>
      </c>
      <c t="s" s="52" r="C13">
        <v>126</v>
      </c>
      <c t="s" s="52" r="D13">
        <v>123</v>
      </c>
      <c t="s" s="52" r="E13">
        <v>127</v>
      </c>
      <c s="52" r="F13"/>
    </row>
    <row r="14">
      <c s="52" r="A14"/>
      <c s="52" r="B14"/>
      <c s="52" r="C14"/>
      <c s="52" r="D14"/>
      <c s="52" r="E14"/>
      <c s="52" r="F14"/>
    </row>
    <row r="15">
      <c s="52" r="A15"/>
      <c s="52" r="B15"/>
      <c s="52" r="C15"/>
      <c s="52" r="D15"/>
      <c s="52" r="E15"/>
      <c s="52" r="F15"/>
    </row>
    <row r="16">
      <c s="52" r="A16"/>
      <c s="52" r="B16"/>
      <c s="52" r="C16"/>
      <c s="52" r="D16"/>
      <c s="52" r="E16"/>
      <c s="52" r="F16"/>
    </row>
    <row r="17">
      <c s="52" r="A17"/>
      <c s="52" r="B17"/>
      <c s="52" r="C17"/>
      <c s="52" r="D17"/>
      <c s="52" r="E17"/>
      <c s="52" r="F17"/>
    </row>
    <row r="18">
      <c s="52" r="A18"/>
      <c s="52" r="B18"/>
      <c s="52" r="C18"/>
      <c s="52" r="D18"/>
      <c s="52" r="E18"/>
      <c s="52" r="F18"/>
    </row>
    <row r="19">
      <c s="52" r="A19"/>
      <c s="52" r="B19"/>
      <c s="52" r="C19"/>
      <c s="52" r="D19"/>
      <c s="52" r="E19"/>
      <c s="52" r="F19"/>
    </row>
    <row r="20">
      <c s="4" r="A20"/>
      <c s="4" r="B20"/>
      <c s="4" r="C20"/>
      <c s="4" r="D20"/>
      <c s="4" r="E20"/>
      <c s="4" r="F20"/>
    </row>
  </sheetData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A2" ySplit="1.0" activePane="bottomLeft" state="frozen"/>
      <selection sqref="A2" activeCell="A2" pane="bottomLeft"/>
    </sheetView>
  </sheetViews>
  <sheetFormatPr customHeight="1" defaultColWidth="17.14" defaultRowHeight="12.75"/>
  <cols>
    <col min="1" customWidth="1" max="1" width="17.71"/>
    <col min="2" customWidth="1" max="2" width="41.71"/>
    <col min="4" customWidth="1" max="4" width="31.29"/>
    <col min="9" customWidth="1" max="9" width="22.14"/>
    <col min="10" customWidth="1" max="10" width="24.86"/>
    <col min="12" customWidth="1" max="12" width="24.29"/>
    <col min="13" customWidth="1" max="13" width="31.29"/>
    <col min="18" customWidth="1" max="18" width="79.14"/>
    <col min="19" customWidth="1" max="19" width="24.43"/>
    <col min="20" customWidth="1" max="20" width="17.0"/>
  </cols>
  <sheetData>
    <row r="1">
      <c t="s" s="48" r="A1">
        <v>128</v>
      </c>
      <c t="s" s="48" r="B1">
        <v>129</v>
      </c>
      <c t="s" s="75" r="C1">
        <v>130</v>
      </c>
      <c t="s" s="48" r="D1">
        <v>131</v>
      </c>
      <c t="s" s="75" r="E1">
        <v>132</v>
      </c>
      <c t="s" s="51" r="F1">
        <v>133</v>
      </c>
      <c t="s" s="75" r="G1">
        <v>134</v>
      </c>
      <c t="s" s="75" r="H1">
        <v>135</v>
      </c>
      <c t="s" s="41" r="I1">
        <v>136</v>
      </c>
      <c t="s" s="48" r="J1">
        <v>90</v>
      </c>
      <c t="s" s="41" r="K1">
        <v>137</v>
      </c>
      <c t="s" s="41" r="L1">
        <v>138</v>
      </c>
      <c t="s" s="41" r="M1">
        <v>139</v>
      </c>
      <c t="s" s="41" r="N1">
        <v>140</v>
      </c>
      <c t="s" s="48" r="O1">
        <v>141</v>
      </c>
      <c t="s" s="48" r="P1">
        <v>142</v>
      </c>
      <c t="s" s="40" r="Q1">
        <v>143</v>
      </c>
      <c t="s" s="48" r="R1">
        <v>144</v>
      </c>
      <c t="s" s="48" r="S1">
        <v>145</v>
      </c>
      <c t="s" s="3" r="T1">
        <v>146</v>
      </c>
      <c t="s" s="3" r="U1">
        <v>147</v>
      </c>
      <c t="s" s="3" r="V1">
        <v>148</v>
      </c>
      <c t="s" s="3" r="W1">
        <v>149</v>
      </c>
      <c t="s" s="55" r="X1">
        <v>150</v>
      </c>
      <c t="s" s="55" r="Y1">
        <v>151</v>
      </c>
      <c t="s" s="55" r="Z1">
        <v>152</v>
      </c>
    </row>
    <row r="2">
      <c s="52" r="A2"/>
      <c s="52" r="R2"/>
      <c s="46" r="X2"/>
      <c s="46" r="Y2"/>
      <c s="46" r="Z2"/>
    </row>
    <row r="3">
      <c s="52" r="A3"/>
      <c s="52" r="R3"/>
      <c s="46" r="X3"/>
      <c s="46" r="Y3"/>
      <c s="46" r="Z3"/>
    </row>
    <row r="4">
      <c s="52" r="A4"/>
      <c s="52" r="R4"/>
      <c s="46" r="X4"/>
      <c s="46" r="Y4"/>
      <c s="46" r="Z4"/>
    </row>
    <row r="5">
      <c s="52" r="A5"/>
      <c s="52" r="R5"/>
      <c s="46" r="X5"/>
      <c s="46" r="Y5"/>
      <c s="46" r="Z5"/>
    </row>
    <row r="6">
      <c s="52" r="A6"/>
      <c s="52" r="R6"/>
      <c s="46" r="X6"/>
      <c s="46" r="Y6"/>
      <c s="46" r="Z6"/>
    </row>
    <row r="7">
      <c s="12" r="A7"/>
      <c s="52" r="R7"/>
      <c s="46" r="X7"/>
      <c s="46" r="Y7"/>
      <c s="46" r="Z7"/>
    </row>
    <row r="8">
      <c s="52" r="R8"/>
      <c s="46" r="X8"/>
      <c s="46" r="Y8"/>
      <c s="46" r="Z8"/>
    </row>
    <row r="9">
      <c s="52" r="R9"/>
      <c s="46" r="X9"/>
      <c s="46" r="Y9"/>
      <c s="46" r="Z9"/>
    </row>
    <row r="10">
      <c s="52" r="R10"/>
      <c s="46" r="X10"/>
      <c s="46" r="Y10"/>
      <c s="46" r="Z10"/>
    </row>
    <row r="11">
      <c s="52" r="R11"/>
      <c s="46" r="X11"/>
      <c s="46" r="Y11"/>
      <c s="46" r="Z11"/>
    </row>
    <row r="12">
      <c s="52" r="R12"/>
      <c s="46" r="X12"/>
      <c s="46" r="Y12"/>
      <c s="46" r="Z12"/>
    </row>
    <row r="13">
      <c s="52" r="R13"/>
      <c s="46" r="X13"/>
      <c s="46" r="Y13"/>
      <c s="46" r="Z13"/>
    </row>
    <row r="14">
      <c s="52" r="B14"/>
      <c s="52" r="C14"/>
      <c s="52" r="D14"/>
      <c s="52" r="E14"/>
      <c s="52" r="F14"/>
      <c s="52" r="G14"/>
      <c s="52" r="H14"/>
      <c s="52" r="I14"/>
      <c s="52" r="J14"/>
      <c s="52" r="L14"/>
      <c s="52" r="M14"/>
      <c s="52" r="N14"/>
      <c s="52" r="O14"/>
      <c s="52" r="P14"/>
      <c s="52" r="Q14"/>
      <c s="52" r="R14"/>
      <c s="46" r="X14"/>
      <c s="46" r="Y14"/>
      <c s="46" r="Z14"/>
    </row>
    <row r="15">
      <c s="52" r="B15"/>
      <c s="52" r="C15"/>
      <c s="52" r="D15"/>
      <c s="52" r="E15"/>
      <c s="52" r="F15"/>
      <c s="52" r="G15"/>
      <c s="52" r="H15"/>
      <c s="52" r="I15"/>
      <c s="52" r="J15"/>
      <c s="52" r="L15"/>
      <c s="52" r="M15"/>
      <c s="52" r="N15"/>
      <c s="52" r="O15"/>
      <c s="52" r="P15"/>
      <c s="52" r="Q15"/>
      <c s="52" r="R15"/>
      <c s="46" r="X15"/>
      <c s="46" r="Y15"/>
      <c s="46" r="Z15"/>
    </row>
    <row r="16">
      <c s="52" r="B16"/>
      <c s="52" r="C16"/>
      <c s="52" r="D16"/>
      <c s="52" r="E16"/>
      <c s="52" r="F16"/>
      <c s="52" r="G16"/>
      <c s="52" r="H16"/>
      <c s="52" r="I16"/>
      <c s="52" r="J16"/>
      <c s="52" r="L16"/>
      <c s="52" r="M16"/>
      <c s="52" r="N16"/>
      <c s="52" r="O16"/>
      <c s="52" r="P16"/>
      <c s="52" r="Q16"/>
      <c s="52" r="R16"/>
      <c s="46" r="X16"/>
      <c s="46" r="Y16"/>
      <c s="46" r="Z16"/>
    </row>
    <row r="17">
      <c s="52" r="B17"/>
      <c s="52" r="C17"/>
      <c s="52" r="D17"/>
      <c s="52" r="E17"/>
      <c s="52" r="F17"/>
      <c s="52" r="G17"/>
      <c s="52" r="H17"/>
      <c s="52" r="I17"/>
      <c s="52" r="J17"/>
      <c s="52" r="L17"/>
      <c s="52" r="M17"/>
      <c s="52" r="N17"/>
      <c s="52" r="O17"/>
      <c s="52" r="P17"/>
      <c s="52" r="Q17"/>
      <c s="52" r="R17"/>
      <c s="46" r="X17"/>
      <c s="46" r="Y17"/>
      <c s="46" r="Z17"/>
    </row>
    <row r="18">
      <c s="52" r="B18"/>
      <c s="52" r="C18"/>
      <c s="52" r="D18"/>
      <c s="52" r="E18"/>
      <c s="52" r="F18"/>
      <c s="52" r="G18"/>
      <c s="52" r="H18"/>
      <c s="52" r="I18"/>
      <c s="52" r="J18"/>
      <c s="52" r="L18"/>
      <c s="52" r="M18"/>
      <c s="52" r="N18"/>
      <c s="52" r="O18"/>
      <c s="52" r="P18"/>
      <c s="52" r="Q18"/>
      <c s="52" r="R18"/>
      <c s="46" r="X18"/>
      <c s="46" r="Y18"/>
      <c s="46" r="Z18"/>
    </row>
    <row r="19">
      <c s="52" r="B19"/>
      <c s="52" r="C19"/>
      <c s="52" r="D19"/>
      <c s="52" r="E19"/>
      <c s="52" r="F19"/>
      <c s="52" r="G19"/>
      <c s="52" r="H19"/>
      <c s="52" r="I19"/>
      <c s="52" r="J19"/>
      <c s="52" r="L19"/>
      <c s="52" r="M19"/>
      <c s="52" r="N19"/>
      <c s="52" r="O19"/>
      <c s="52" r="P19"/>
      <c s="52" r="Q19"/>
      <c s="52" r="R19"/>
      <c s="46" r="X19"/>
      <c s="46" r="Y19"/>
      <c s="46" r="Z19"/>
    </row>
    <row r="20">
      <c s="52" r="B20"/>
      <c s="52" r="C20"/>
      <c s="52" r="D20"/>
      <c s="52" r="E20"/>
      <c s="52" r="F20"/>
      <c s="52" r="G20"/>
      <c s="52" r="H20"/>
      <c s="52" r="I20"/>
      <c s="52" r="J20"/>
      <c s="52" r="L20"/>
      <c s="52" r="M20"/>
      <c s="52" r="N20"/>
      <c s="52" r="O20"/>
      <c s="52" r="P20"/>
      <c s="52" r="Q20"/>
      <c s="52" r="R20"/>
      <c s="46" r="X20"/>
      <c s="46" r="Y20"/>
      <c s="46" r="Z20"/>
    </row>
    <row r="21">
      <c s="52" r="B21"/>
      <c s="52" r="C21"/>
      <c s="52" r="D21"/>
      <c s="52" r="E21"/>
      <c s="52" r="F21"/>
      <c s="52" r="G21"/>
      <c s="52" r="H21"/>
      <c s="52" r="I21"/>
      <c s="52" r="J21"/>
      <c s="52" r="L21"/>
      <c s="52" r="M21"/>
      <c s="52" r="N21"/>
      <c s="52" r="O21"/>
      <c s="52" r="P21"/>
      <c s="52" r="Q21"/>
      <c s="52" r="R21"/>
      <c s="46" r="X21"/>
      <c s="46" r="Y21"/>
      <c s="46" r="Z21"/>
    </row>
    <row r="22">
      <c s="52" r="B22"/>
      <c s="52" r="C22"/>
      <c s="52" r="D22"/>
      <c s="52" r="E22"/>
      <c s="52" r="F22"/>
      <c s="52" r="G22"/>
      <c s="52" r="H22"/>
      <c s="52" r="I22"/>
      <c s="52" r="J22"/>
      <c s="52" r="L22"/>
      <c s="52" r="M22"/>
      <c s="52" r="N22"/>
      <c s="52" r="O22"/>
      <c s="52" r="P22"/>
      <c s="52" r="Q22"/>
      <c s="52" r="R22"/>
      <c s="46" r="X22"/>
      <c s="46" r="Y22"/>
      <c s="46" r="Z22"/>
    </row>
    <row r="23">
      <c s="52" r="B23"/>
      <c s="52" r="C23"/>
      <c s="52" r="D23"/>
      <c s="52" r="E23"/>
      <c s="52" r="F23"/>
      <c s="52" r="G23"/>
      <c s="52" r="H23"/>
      <c s="52" r="I23"/>
      <c s="52" r="J23"/>
      <c s="52" r="L23"/>
      <c s="52" r="M23"/>
      <c s="52" r="N23"/>
      <c s="52" r="O23"/>
      <c s="52" r="P23"/>
      <c s="52" r="Q23"/>
      <c s="52" r="R23"/>
      <c s="46" r="X23"/>
      <c s="46" r="Y23"/>
      <c s="46" r="Z23"/>
    </row>
    <row r="24">
      <c s="52" r="B24"/>
      <c s="52" r="C24"/>
      <c s="52" r="D24"/>
      <c s="52" r="E24"/>
      <c s="52" r="F24"/>
      <c s="52" r="G24"/>
      <c s="52" r="H24"/>
      <c s="52" r="I24"/>
      <c s="52" r="J24"/>
      <c s="52" r="L24"/>
      <c s="52" r="M24"/>
      <c s="52" r="N24"/>
      <c s="52" r="O24"/>
      <c s="52" r="P24"/>
      <c s="52" r="Q24"/>
      <c s="52" r="R24"/>
      <c s="46" r="X24"/>
      <c s="46" r="Y24"/>
      <c s="46" r="Z24"/>
    </row>
    <row r="25">
      <c s="52" r="B25"/>
      <c s="52" r="C25"/>
      <c s="52" r="D25"/>
      <c s="52" r="E25"/>
      <c s="52" r="F25"/>
      <c s="52" r="G25"/>
      <c s="52" r="H25"/>
      <c s="52" r="I25"/>
      <c s="52" r="J25"/>
      <c s="52" r="L25"/>
      <c s="52" r="M25"/>
      <c s="52" r="N25"/>
      <c s="52" r="O25"/>
      <c s="52" r="P25"/>
      <c s="52" r="Q25"/>
      <c s="52" r="R25"/>
      <c s="46" r="X25"/>
      <c s="46" r="Y25"/>
      <c s="46" r="Z25"/>
    </row>
    <row r="26">
      <c s="52" r="B26"/>
      <c s="52" r="C26"/>
      <c s="52" r="D26"/>
      <c s="52" r="E26"/>
      <c s="52" r="F26"/>
      <c s="52" r="G26"/>
      <c s="52" r="H26"/>
      <c s="52" r="I26"/>
      <c s="52" r="J26"/>
      <c s="52" r="L26"/>
      <c s="52" r="M26"/>
      <c s="52" r="N26"/>
      <c s="52" r="O26"/>
      <c s="52" r="P26"/>
      <c s="52" r="Q26"/>
      <c s="52" r="R26"/>
      <c s="46" r="X26"/>
      <c s="46" r="Y26"/>
      <c s="46" r="Z26"/>
    </row>
    <row r="27">
      <c s="52" r="B27"/>
      <c s="52" r="C27"/>
      <c s="52" r="D27"/>
      <c s="52" r="E27"/>
      <c s="52" r="F27"/>
      <c s="52" r="G27"/>
      <c s="52" r="H27"/>
      <c s="52" r="I27"/>
      <c s="52" r="J27"/>
      <c s="52" r="L27"/>
      <c s="52" r="M27"/>
      <c s="52" r="N27"/>
      <c s="52" r="O27"/>
      <c s="52" r="P27"/>
      <c s="52" r="Q27"/>
      <c s="52" r="R27"/>
      <c s="46" r="X27"/>
      <c s="46" r="Y27"/>
      <c s="46" r="Z27"/>
    </row>
    <row r="28">
      <c s="52" r="B28"/>
      <c s="52" r="C28"/>
      <c s="52" r="D28"/>
      <c s="52" r="E28"/>
      <c s="52" r="F28"/>
      <c s="52" r="G28"/>
      <c s="52" r="H28"/>
      <c s="52" r="I28"/>
      <c s="52" r="J28"/>
      <c s="52" r="L28"/>
      <c s="52" r="M28"/>
      <c s="52" r="N28"/>
      <c s="52" r="O28"/>
      <c s="52" r="P28"/>
      <c s="52" r="Q28"/>
      <c s="52" r="R28"/>
      <c s="46" r="X28"/>
      <c s="46" r="Y28"/>
      <c s="46" r="Z28"/>
    </row>
    <row r="29">
      <c s="52" r="B29"/>
      <c s="52" r="C29"/>
      <c s="52" r="D29"/>
      <c s="52" r="E29"/>
      <c s="52" r="F29"/>
      <c s="52" r="G29"/>
      <c s="52" r="H29"/>
      <c s="52" r="I29"/>
      <c s="52" r="J29"/>
      <c s="52" r="L29"/>
      <c s="52" r="M29"/>
      <c s="52" r="N29"/>
      <c s="52" r="O29"/>
      <c s="52" r="P29"/>
      <c s="52" r="Q29"/>
      <c s="52" r="R29"/>
      <c s="46" r="X29"/>
      <c s="46" r="Y29"/>
      <c s="46" r="Z29"/>
    </row>
    <row r="30">
      <c s="52" r="B30"/>
      <c s="52" r="C30"/>
      <c s="52" r="D30"/>
      <c s="52" r="E30"/>
      <c s="52" r="F30"/>
      <c s="52" r="G30"/>
      <c s="52" r="H30"/>
      <c s="52" r="I30"/>
      <c s="52" r="J30"/>
      <c s="52" r="L30"/>
      <c s="52" r="M30"/>
      <c s="52" r="N30"/>
      <c s="52" r="O30"/>
      <c s="52" r="P30"/>
      <c s="52" r="Q30"/>
      <c s="52" r="R30"/>
      <c s="46" r="X30"/>
      <c s="46" r="Y30"/>
      <c s="46" r="Z30"/>
    </row>
    <row r="31">
      <c s="52" r="B31"/>
      <c s="52" r="C31"/>
      <c s="52" r="D31"/>
      <c s="52" r="E31"/>
      <c s="52" r="F31"/>
      <c s="52" r="G31"/>
      <c s="52" r="H31"/>
      <c s="52" r="I31"/>
      <c s="52" r="J31"/>
      <c s="52" r="L31"/>
      <c s="52" r="M31"/>
      <c s="52" r="N31"/>
      <c s="52" r="O31"/>
      <c s="52" r="P31"/>
      <c s="52" r="Q31"/>
      <c s="52" r="R31"/>
      <c s="46" r="X31"/>
      <c s="46" r="Y31"/>
      <c s="46" r="Z31"/>
    </row>
    <row r="32">
      <c s="46" r="X32"/>
      <c s="46" r="Y32"/>
      <c s="46" r="Z32"/>
    </row>
    <row r="33">
      <c s="46" r="X33"/>
      <c s="46" r="Y33"/>
      <c s="46" r="Z33"/>
    </row>
    <row r="34">
      <c s="46" r="X34"/>
      <c s="46" r="Y34"/>
      <c s="46" r="Z34"/>
    </row>
    <row r="35">
      <c s="46" r="X35"/>
      <c s="46" r="Y35"/>
      <c s="46" r="Z35"/>
    </row>
    <row r="36">
      <c s="46" r="X36"/>
      <c s="46" r="Y36"/>
      <c s="46" r="Z36"/>
    </row>
    <row r="37">
      <c s="46" r="X37"/>
      <c s="46" r="Y37"/>
      <c s="46" r="Z37"/>
    </row>
    <row r="38">
      <c s="46" r="X38"/>
      <c s="46" r="Y38"/>
      <c s="46" r="Z38"/>
    </row>
    <row r="39">
      <c s="46" r="X39"/>
      <c s="46" r="Y39"/>
      <c s="46" r="Z39"/>
    </row>
    <row r="40">
      <c s="46" r="X40"/>
      <c s="46" r="Y40"/>
      <c s="46" r="Z40"/>
    </row>
    <row r="41">
      <c s="46" r="X41"/>
      <c s="46" r="Y41"/>
      <c s="46" r="Z41"/>
    </row>
    <row r="42">
      <c s="46" r="X42"/>
      <c s="46" r="Y42"/>
      <c s="46" r="Z42"/>
    </row>
    <row r="43">
      <c s="46" r="X43"/>
      <c s="46" r="Y43"/>
      <c s="46" r="Z43"/>
    </row>
    <row r="44">
      <c s="46" r="X44"/>
      <c s="46" r="Y44"/>
      <c s="46" r="Z44"/>
    </row>
    <row r="45">
      <c s="46" r="X45"/>
      <c s="46" r="Y45"/>
      <c s="46" r="Z45"/>
    </row>
    <row r="46">
      <c s="46" r="X46"/>
      <c s="46" r="Y46"/>
      <c s="46" r="Z46"/>
    </row>
    <row r="47">
      <c s="46" r="X47"/>
      <c s="46" r="Y47"/>
      <c s="46" r="Z47"/>
    </row>
    <row r="48">
      <c s="46" r="X48"/>
      <c s="46" r="Y48"/>
      <c s="46" r="Z48"/>
    </row>
    <row r="49">
      <c s="46" r="X49"/>
      <c s="46" r="Y49"/>
      <c s="46" r="Z49"/>
    </row>
    <row r="50">
      <c s="46" r="X50"/>
      <c s="46" r="Y50"/>
      <c s="46" r="Z50"/>
    </row>
    <row r="51">
      <c s="46" r="X51"/>
      <c s="46" r="Y51"/>
      <c s="46" r="Z51"/>
    </row>
    <row r="52">
      <c s="46" r="X52"/>
      <c s="46" r="Y52"/>
      <c s="46" r="Z52"/>
    </row>
    <row r="53">
      <c s="46" r="X53"/>
      <c s="46" r="Y53"/>
      <c s="46" r="Z53"/>
    </row>
    <row r="54">
      <c s="46" r="X54"/>
      <c s="46" r="Y54"/>
      <c s="46" r="Z54"/>
    </row>
    <row r="55">
      <c s="46" r="X55"/>
      <c s="46" r="Y55"/>
      <c s="46" r="Z55"/>
    </row>
    <row r="56">
      <c s="46" r="X56"/>
      <c s="46" r="Y56"/>
      <c s="46" r="Z56"/>
    </row>
    <row r="57">
      <c s="46" r="X57"/>
      <c s="46" r="Y57"/>
      <c s="46" r="Z57"/>
    </row>
    <row r="58">
      <c s="46" r="X58"/>
      <c s="46" r="Y58"/>
      <c s="46" r="Z58"/>
    </row>
    <row r="59">
      <c s="46" r="X59"/>
      <c s="46" r="Y59"/>
      <c s="46" r="Z59"/>
    </row>
    <row r="60">
      <c s="46" r="X60"/>
      <c s="46" r="Y60"/>
      <c s="46" r="Z60"/>
    </row>
    <row r="61">
      <c s="46" r="X61"/>
      <c s="46" r="Y61"/>
      <c s="46" r="Z61"/>
    </row>
    <row r="62">
      <c s="46" r="X62"/>
      <c s="46" r="Y62"/>
      <c s="46" r="Z62"/>
    </row>
    <row r="63">
      <c s="46" r="X63"/>
      <c s="46" r="Y63"/>
      <c s="46" r="Z63"/>
    </row>
    <row r="64">
      <c s="46" r="X64"/>
      <c s="46" r="Y64"/>
      <c s="46" r="Z64"/>
    </row>
    <row r="65">
      <c s="46" r="X65"/>
      <c s="46" r="Y65"/>
      <c s="46" r="Z65"/>
    </row>
    <row r="66">
      <c s="46" r="X66"/>
      <c s="46" r="Y66"/>
      <c s="46" r="Z66"/>
    </row>
    <row r="67">
      <c s="46" r="X67"/>
      <c s="46" r="Y67"/>
      <c s="46" r="Z67"/>
    </row>
    <row r="68">
      <c s="46" r="X68"/>
      <c s="46" r="Y68"/>
      <c s="46" r="Z68"/>
    </row>
    <row r="69">
      <c s="46" r="X69"/>
      <c s="46" r="Y69"/>
      <c s="46" r="Z69"/>
    </row>
    <row r="70">
      <c s="46" r="X70"/>
      <c s="46" r="Y70"/>
      <c s="46" r="Z70"/>
    </row>
    <row r="71">
      <c s="46" r="X71"/>
      <c s="46" r="Y71"/>
      <c s="46" r="Z71"/>
    </row>
    <row r="72">
      <c s="46" r="X72"/>
      <c s="46" r="Y72"/>
      <c s="46" r="Z72"/>
    </row>
    <row r="73">
      <c s="46" r="X73"/>
      <c s="46" r="Y73"/>
      <c s="46" r="Z73"/>
    </row>
    <row r="74">
      <c s="46" r="X74"/>
      <c s="46" r="Y74"/>
      <c s="46" r="Z74"/>
    </row>
    <row r="75">
      <c s="46" r="X75"/>
      <c s="46" r="Y75"/>
      <c s="46" r="Z75"/>
    </row>
    <row r="76">
      <c s="46" r="X76"/>
      <c s="46" r="Y76"/>
      <c s="46" r="Z76"/>
    </row>
    <row r="77">
      <c s="46" r="X77"/>
      <c s="46" r="Y77"/>
      <c s="46" r="Z77"/>
    </row>
    <row r="78">
      <c s="46" r="X78"/>
      <c s="46" r="Y78"/>
      <c s="46" r="Z78"/>
    </row>
    <row r="79">
      <c s="46" r="X79"/>
      <c s="46" r="Y79"/>
      <c s="46" r="Z79"/>
    </row>
    <row r="80">
      <c s="46" r="X80"/>
      <c s="46" r="Y80"/>
      <c s="46" r="Z80"/>
    </row>
    <row r="81">
      <c s="46" r="X81"/>
      <c s="46" r="Y81"/>
      <c s="46" r="Z81"/>
    </row>
    <row r="82">
      <c s="46" r="X82"/>
      <c s="46" r="Y82"/>
      <c s="46" r="Z82"/>
    </row>
    <row r="83">
      <c s="46" r="X83"/>
      <c s="46" r="Y83"/>
      <c s="46" r="Z83"/>
    </row>
    <row r="84">
      <c s="46" r="X84"/>
      <c s="46" r="Y84"/>
      <c s="46" r="Z84"/>
    </row>
    <row r="85">
      <c s="46" r="X85"/>
      <c s="46" r="Y85"/>
      <c s="46" r="Z85"/>
    </row>
    <row r="86">
      <c s="46" r="X86"/>
      <c s="46" r="Y86"/>
      <c s="46" r="Z86"/>
    </row>
    <row r="87">
      <c s="46" r="X87"/>
      <c s="46" r="Y87"/>
      <c s="46" r="Z87"/>
    </row>
    <row r="88">
      <c s="46" r="X88"/>
      <c s="46" r="Y88"/>
      <c s="46" r="Z88"/>
    </row>
    <row r="89">
      <c s="46" r="X89"/>
      <c s="46" r="Y89"/>
      <c s="46" r="Z89"/>
    </row>
    <row r="90">
      <c s="46" r="X90"/>
      <c s="46" r="Y90"/>
      <c s="46" r="Z90"/>
    </row>
    <row r="91">
      <c s="46" r="X91"/>
      <c s="46" r="Y91"/>
      <c s="46" r="Z91"/>
    </row>
    <row r="92">
      <c s="46" r="X92"/>
      <c s="46" r="Y92"/>
      <c s="46" r="Z92"/>
    </row>
    <row r="93">
      <c s="46" r="X93"/>
      <c s="46" r="Y93"/>
      <c s="46" r="Z93"/>
    </row>
    <row r="94">
      <c s="46" r="X94"/>
      <c s="46" r="Y94"/>
      <c s="46" r="Z94"/>
    </row>
    <row r="95">
      <c s="46" r="X95"/>
      <c s="46" r="Y95"/>
      <c s="46" r="Z95"/>
    </row>
    <row r="96">
      <c s="46" r="X96"/>
      <c s="46" r="Y96"/>
      <c s="46" r="Z96"/>
    </row>
    <row r="97">
      <c s="46" r="X97"/>
      <c s="46" r="Y97"/>
      <c s="46" r="Z97"/>
    </row>
    <row r="98">
      <c s="46" r="X98"/>
      <c s="46" r="Y98"/>
      <c s="46" r="Z98"/>
    </row>
    <row r="99">
      <c s="46" r="X99"/>
      <c s="46" r="Y99"/>
      <c s="46" r="Z99"/>
    </row>
    <row r="100">
      <c s="46" r="X100"/>
      <c s="46" r="Y100"/>
      <c s="46" r="Z100"/>
    </row>
  </sheetData>
  <dataValidations>
    <dataValidation errorStyle="warning" showErrorMessage="1" sqref="F2" allowBlank="1" type="list">
      <formula1>'.country-calc, CCCS'!E4:E269</formula1>
    </dataValidation>
    <dataValidation errorStyle="warning" showErrorMessage="1" sqref="T2:U2" allowBlank="1" type="list">
      <formula1>'.theme-calc, CCCS'!A2:A125</formula1>
    </dataValidation>
    <dataValidation errorStyle="warning" showErrorMessage="1" sqref="V2:W2" allowBlank="1" type="list">
      <formula1>'.sector-calc, CCCS'!B3:B139</formula1>
    </dataValidation>
    <dataValidation errorStyle="warning" showErrorMessage="1" sqref="X2:Y2" allowBlank="1" type="list">
      <formula1>'.theme-calc, IFC'!A2:A53</formula1>
    </dataValidation>
    <dataValidation errorStyle="warning" showErrorMessage="1" sqref="Z2" allowBlank="1" type="list">
      <formula1>'.sector-calc, IFC'!B3:B70</formula1>
    </dataValidation>
    <dataValidation errorStyle="warning" showErrorMessage="1" sqref="F3" allowBlank="1" type="list">
      <formula1>'.country-calc, CCCS'!E4:E269</formula1>
    </dataValidation>
    <dataValidation errorStyle="warning" showErrorMessage="1" sqref="T3:U3" allowBlank="1" type="list">
      <formula1>'.theme-calc, CCCS'!A2:A125</formula1>
    </dataValidation>
    <dataValidation errorStyle="warning" showErrorMessage="1" sqref="V3:W3" allowBlank="1" type="list">
      <formula1>'.sector-calc, CCCS'!B3:B139</formula1>
    </dataValidation>
    <dataValidation errorStyle="warning" showErrorMessage="1" sqref="X3:Y3" allowBlank="1" type="list">
      <formula1>'.theme-calc, IFC'!A2:A53</formula1>
    </dataValidation>
    <dataValidation errorStyle="warning" showErrorMessage="1" sqref="Z3" allowBlank="1" type="list">
      <formula1>'.sector-calc, IFC'!B3:B70</formula1>
    </dataValidation>
    <dataValidation errorStyle="warning" showErrorMessage="1" sqref="F4" allowBlank="1" type="list">
      <formula1>'.country-calc, CCCS'!E4:E269</formula1>
    </dataValidation>
    <dataValidation errorStyle="warning" showErrorMessage="1" sqref="T4:U4" allowBlank="1" type="list">
      <formula1>'.theme-calc, CCCS'!A2:A125</formula1>
    </dataValidation>
    <dataValidation errorStyle="warning" showErrorMessage="1" sqref="V4:W4" allowBlank="1" type="list">
      <formula1>'.sector-calc, CCCS'!B3:B139</formula1>
    </dataValidation>
    <dataValidation errorStyle="warning" showErrorMessage="1" sqref="X4:Y4" allowBlank="1" type="list">
      <formula1>'.theme-calc, IFC'!A2:A53</formula1>
    </dataValidation>
    <dataValidation errorStyle="warning" showErrorMessage="1" sqref="Z4" allowBlank="1" type="list">
      <formula1>'.sector-calc, IFC'!B3:B70</formula1>
    </dataValidation>
    <dataValidation errorStyle="warning" showErrorMessage="1" sqref="F5" allowBlank="1" type="list">
      <formula1>'.country-calc, CCCS'!E4:E269</formula1>
    </dataValidation>
    <dataValidation errorStyle="warning" showErrorMessage="1" sqref="T5:U5" allowBlank="1" type="list">
      <formula1>'.theme-calc, CCCS'!A2:A125</formula1>
    </dataValidation>
    <dataValidation errorStyle="warning" showErrorMessage="1" sqref="V5:W5" allowBlank="1" type="list">
      <formula1>'.sector-calc, CCCS'!B3:B139</formula1>
    </dataValidation>
    <dataValidation errorStyle="warning" showErrorMessage="1" sqref="X5:Y5" allowBlank="1" type="list">
      <formula1>'.theme-calc, IFC'!A2:A53</formula1>
    </dataValidation>
    <dataValidation errorStyle="warning" showErrorMessage="1" sqref="Z5" allowBlank="1" type="list">
      <formula1>'.sector-calc, IFC'!B3:B70</formula1>
    </dataValidation>
    <dataValidation errorStyle="warning" showErrorMessage="1" sqref="F6" allowBlank="1" type="list">
      <formula1>'.country-calc, CCCS'!E4:E269</formula1>
    </dataValidation>
    <dataValidation errorStyle="warning" showErrorMessage="1" sqref="T6:U6" allowBlank="1" type="list">
      <formula1>'.theme-calc, CCCS'!A2:A125</formula1>
    </dataValidation>
    <dataValidation errorStyle="warning" showErrorMessage="1" sqref="V6:W6" allowBlank="1" type="list">
      <formula1>'.sector-calc, CCCS'!B3:B139</formula1>
    </dataValidation>
    <dataValidation errorStyle="warning" showErrorMessage="1" sqref="X6:Y6" allowBlank="1" type="list">
      <formula1>'.theme-calc, IFC'!A2:A53</formula1>
    </dataValidation>
    <dataValidation errorStyle="warning" showErrorMessage="1" sqref="Z6" allowBlank="1" type="list">
      <formula1>'.sector-calc, IFC'!B3:B70</formula1>
    </dataValidation>
    <dataValidation errorStyle="warning" showErrorMessage="1" sqref="F7" allowBlank="1" type="list">
      <formula1>'.country-calc, CCCS'!E4:E269</formula1>
    </dataValidation>
    <dataValidation errorStyle="warning" showErrorMessage="1" sqref="T7:U7" allowBlank="1" type="list">
      <formula1>'.theme-calc, CCCS'!A2:A125</formula1>
    </dataValidation>
    <dataValidation errorStyle="warning" showErrorMessage="1" sqref="V7:W7" allowBlank="1" type="list">
      <formula1>'.sector-calc, CCCS'!B3:B139</formula1>
    </dataValidation>
    <dataValidation errorStyle="warning" showErrorMessage="1" sqref="X7:Y7" allowBlank="1" type="list">
      <formula1>'.theme-calc, IFC'!A2:A53</formula1>
    </dataValidation>
    <dataValidation errorStyle="warning" showErrorMessage="1" sqref="Z7" allowBlank="1" type="list">
      <formula1>'.sector-calc, IFC'!B3:B70</formula1>
    </dataValidation>
    <dataValidation errorStyle="warning" showErrorMessage="1" sqref="F8" allowBlank="1" type="list">
      <formula1>'.country-calc, CCCS'!E4:E269</formula1>
    </dataValidation>
    <dataValidation errorStyle="warning" showErrorMessage="1" sqref="T8:U8" allowBlank="1" type="list">
      <formula1>'.theme-calc, CCCS'!A2:A125</formula1>
    </dataValidation>
    <dataValidation errorStyle="warning" showErrorMessage="1" sqref="V8:W8" allowBlank="1" type="list">
      <formula1>'.sector-calc, CCCS'!B3:B139</formula1>
    </dataValidation>
    <dataValidation errorStyle="warning" showErrorMessage="1" sqref="X8:Y8" allowBlank="1" type="list">
      <formula1>'.theme-calc, IFC'!A2:A53</formula1>
    </dataValidation>
    <dataValidation errorStyle="warning" showErrorMessage="1" sqref="Z8" allowBlank="1" type="list">
      <formula1>'.sector-calc, IFC'!B3:B70</formula1>
    </dataValidation>
    <dataValidation errorStyle="warning" showErrorMessage="1" sqref="F9" allowBlank="1" type="list">
      <formula1>'.country-calc, CCCS'!E4:E269</formula1>
    </dataValidation>
    <dataValidation errorStyle="warning" showErrorMessage="1" sqref="T9:U9" allowBlank="1" type="list">
      <formula1>'.theme-calc, CCCS'!A2:A125</formula1>
    </dataValidation>
    <dataValidation errorStyle="warning" showErrorMessage="1" sqref="V9:W9" allowBlank="1" type="list">
      <formula1>'.sector-calc, CCCS'!B3:B139</formula1>
    </dataValidation>
    <dataValidation errorStyle="warning" showErrorMessage="1" sqref="X9:Y9" allowBlank="1" type="list">
      <formula1>'.theme-calc, IFC'!A2:A53</formula1>
    </dataValidation>
    <dataValidation errorStyle="warning" showErrorMessage="1" sqref="Z9" allowBlank="1" type="list">
      <formula1>'.sector-calc, IFC'!B3:B70</formula1>
    </dataValidation>
    <dataValidation errorStyle="warning" showErrorMessage="1" sqref="F10" allowBlank="1" type="list">
      <formula1>'.country-calc, CCCS'!E4:E269</formula1>
    </dataValidation>
    <dataValidation errorStyle="warning" showErrorMessage="1" sqref="T10:U10" allowBlank="1" type="list">
      <formula1>'.theme-calc, CCCS'!A2:A125</formula1>
    </dataValidation>
    <dataValidation errorStyle="warning" showErrorMessage="1" sqref="V10:W10" allowBlank="1" type="list">
      <formula1>'.sector-calc, CCCS'!B3:B139</formula1>
    </dataValidation>
    <dataValidation errorStyle="warning" showErrorMessage="1" sqref="X10:Y10" allowBlank="1" type="list">
      <formula1>'.theme-calc, IFC'!A2:A53</formula1>
    </dataValidation>
    <dataValidation errorStyle="warning" showErrorMessage="1" sqref="Z10" allowBlank="1" type="list">
      <formula1>'.sector-calc, IFC'!B3:B70</formula1>
    </dataValidation>
    <dataValidation errorStyle="warning" showErrorMessage="1" sqref="F11" allowBlank="1" type="list">
      <formula1>'.country-calc, CCCS'!E4:E269</formula1>
    </dataValidation>
    <dataValidation errorStyle="warning" showErrorMessage="1" sqref="T11:U11" allowBlank="1" type="list">
      <formula1>'.theme-calc, CCCS'!A2:A125</formula1>
    </dataValidation>
    <dataValidation errorStyle="warning" showErrorMessage="1" sqref="V11:W11" allowBlank="1" type="list">
      <formula1>'.sector-calc, CCCS'!B3:B139</formula1>
    </dataValidation>
    <dataValidation errorStyle="warning" showErrorMessage="1" sqref="X11:Y11" allowBlank="1" type="list">
      <formula1>'.theme-calc, IFC'!A2:A53</formula1>
    </dataValidation>
    <dataValidation errorStyle="warning" showErrorMessage="1" sqref="Z11" allowBlank="1" type="list">
      <formula1>'.sector-calc, IFC'!B3:B70</formula1>
    </dataValidation>
    <dataValidation errorStyle="warning" showErrorMessage="1" sqref="F12" allowBlank="1" type="list">
      <formula1>'.country-calc, CCCS'!E4:E269</formula1>
    </dataValidation>
    <dataValidation errorStyle="warning" showErrorMessage="1" sqref="T12:U12" allowBlank="1" type="list">
      <formula1>'.theme-calc, CCCS'!A2:A125</formula1>
    </dataValidation>
    <dataValidation errorStyle="warning" showErrorMessage="1" sqref="V12:W12" allowBlank="1" type="list">
      <formula1>'.sector-calc, CCCS'!B3:B139</formula1>
    </dataValidation>
    <dataValidation errorStyle="warning" showErrorMessage="1" sqref="X12:Y12" allowBlank="1" type="list">
      <formula1>'.theme-calc, IFC'!A2:A53</formula1>
    </dataValidation>
    <dataValidation errorStyle="warning" showErrorMessage="1" sqref="Z12" allowBlank="1" type="list">
      <formula1>'.sector-calc, IFC'!B3:B70</formula1>
    </dataValidation>
    <dataValidation errorStyle="warning" showErrorMessage="1" sqref="F13" allowBlank="1" type="list">
      <formula1>'.country-calc, CCCS'!E4:E269</formula1>
    </dataValidation>
    <dataValidation errorStyle="warning" showErrorMessage="1" sqref="T13:U13" allowBlank="1" type="list">
      <formula1>'.theme-calc, CCCS'!A2:A125</formula1>
    </dataValidation>
    <dataValidation errorStyle="warning" showErrorMessage="1" sqref="V13:W13" allowBlank="1" type="list">
      <formula1>'.sector-calc, CCCS'!B3:B139</formula1>
    </dataValidation>
    <dataValidation errorStyle="warning" showErrorMessage="1" sqref="X13:Y13" allowBlank="1" type="list">
      <formula1>'.theme-calc, IFC'!A2:A53</formula1>
    </dataValidation>
    <dataValidation errorStyle="warning" showErrorMessage="1" sqref="Z13" allowBlank="1" type="list">
      <formula1>'.sector-calc, IFC'!B3:B70</formula1>
    </dataValidation>
    <dataValidation errorStyle="warning" showErrorMessage="1" sqref="F14" allowBlank="1" type="list">
      <formula1>'.country-calc, CCCS'!E4:E269</formula1>
    </dataValidation>
    <dataValidation errorStyle="warning" showErrorMessage="1" sqref="T14:U14" allowBlank="1" type="list">
      <formula1>'.theme-calc, CCCS'!A2:A125</formula1>
    </dataValidation>
    <dataValidation errorStyle="warning" showErrorMessage="1" sqref="V14:W14" allowBlank="1" type="list">
      <formula1>'.sector-calc, CCCS'!B3:B139</formula1>
    </dataValidation>
    <dataValidation errorStyle="warning" showErrorMessage="1" sqref="X14:Y14" allowBlank="1" type="list">
      <formula1>'.theme-calc, IFC'!A2:A53</formula1>
    </dataValidation>
    <dataValidation errorStyle="warning" showErrorMessage="1" sqref="Z14" allowBlank="1" type="list">
      <formula1>'.sector-calc, IFC'!B3:B70</formula1>
    </dataValidation>
    <dataValidation errorStyle="warning" showErrorMessage="1" sqref="F15" allowBlank="1" type="list">
      <formula1>'.country-calc, CCCS'!E4:E269</formula1>
    </dataValidation>
    <dataValidation errorStyle="warning" showErrorMessage="1" sqref="T15:U15" allowBlank="1" type="list">
      <formula1>'.theme-calc, CCCS'!A2:A125</formula1>
    </dataValidation>
    <dataValidation errorStyle="warning" showErrorMessage="1" sqref="V15:W15" allowBlank="1" type="list">
      <formula1>'.sector-calc, CCCS'!B3:B139</formula1>
    </dataValidation>
    <dataValidation errorStyle="warning" showErrorMessage="1" sqref="X15:Y15" allowBlank="1" type="list">
      <formula1>'.theme-calc, IFC'!A2:A53</formula1>
    </dataValidation>
    <dataValidation errorStyle="warning" showErrorMessage="1" sqref="Z15" allowBlank="1" type="list">
      <formula1>'.sector-calc, IFC'!B3:B70</formula1>
    </dataValidation>
    <dataValidation errorStyle="warning" showErrorMessage="1" sqref="F16" allowBlank="1" type="list">
      <formula1>'.country-calc, CCCS'!E4:E269</formula1>
    </dataValidation>
    <dataValidation errorStyle="warning" showErrorMessage="1" sqref="T16:U16" allowBlank="1" type="list">
      <formula1>'.theme-calc, CCCS'!A2:A125</formula1>
    </dataValidation>
    <dataValidation errorStyle="warning" showErrorMessage="1" sqref="V16:W16" allowBlank="1" type="list">
      <formula1>'.sector-calc, CCCS'!B3:B139</formula1>
    </dataValidation>
    <dataValidation errorStyle="warning" showErrorMessage="1" sqref="X16:Y16" allowBlank="1" type="list">
      <formula1>'.theme-calc, IFC'!A2:A53</formula1>
    </dataValidation>
    <dataValidation errorStyle="warning" showErrorMessage="1" sqref="Z16" allowBlank="1" type="list">
      <formula1>'.sector-calc, IFC'!B3:B70</formula1>
    </dataValidation>
    <dataValidation errorStyle="warning" showErrorMessage="1" sqref="F17" allowBlank="1" type="list">
      <formula1>'.country-calc, CCCS'!E4:E269</formula1>
    </dataValidation>
    <dataValidation errorStyle="warning" showErrorMessage="1" sqref="T17:U17" allowBlank="1" type="list">
      <formula1>'.theme-calc, CCCS'!A2:A125</formula1>
    </dataValidation>
    <dataValidation errorStyle="warning" showErrorMessage="1" sqref="V17:W17" allowBlank="1" type="list">
      <formula1>'.sector-calc, CCCS'!B3:B139</formula1>
    </dataValidation>
    <dataValidation errorStyle="warning" showErrorMessage="1" sqref="X17:Y17" allowBlank="1" type="list">
      <formula1>'.theme-calc, IFC'!A2:A53</formula1>
    </dataValidation>
    <dataValidation errorStyle="warning" showErrorMessage="1" sqref="Z17" allowBlank="1" type="list">
      <formula1>'.sector-calc, IFC'!B3:B70</formula1>
    </dataValidation>
    <dataValidation errorStyle="warning" showErrorMessage="1" sqref="F18" allowBlank="1" type="list">
      <formula1>'.country-calc, CCCS'!E4:E269</formula1>
    </dataValidation>
    <dataValidation errorStyle="warning" showErrorMessage="1" sqref="T18:U18" allowBlank="1" type="list">
      <formula1>'.theme-calc, CCCS'!A2:A125</formula1>
    </dataValidation>
    <dataValidation errorStyle="warning" showErrorMessage="1" sqref="V18:W18" allowBlank="1" type="list">
      <formula1>'.sector-calc, CCCS'!B3:B139</formula1>
    </dataValidation>
    <dataValidation errorStyle="warning" showErrorMessage="1" sqref="X18:Y18" allowBlank="1" type="list">
      <formula1>'.theme-calc, IFC'!A2:A53</formula1>
    </dataValidation>
    <dataValidation errorStyle="warning" showErrorMessage="1" sqref="Z18" allowBlank="1" type="list">
      <formula1>'.sector-calc, IFC'!B3:B70</formula1>
    </dataValidation>
    <dataValidation errorStyle="warning" showErrorMessage="1" sqref="F19" allowBlank="1" type="list">
      <formula1>'.country-calc, CCCS'!E4:E269</formula1>
    </dataValidation>
    <dataValidation errorStyle="warning" showErrorMessage="1" sqref="T19:U19" allowBlank="1" type="list">
      <formula1>'.theme-calc, CCCS'!A2:A125</formula1>
    </dataValidation>
    <dataValidation errorStyle="warning" showErrorMessage="1" sqref="V19:W19" allowBlank="1" type="list">
      <formula1>'.sector-calc, CCCS'!B3:B139</formula1>
    </dataValidation>
    <dataValidation errorStyle="warning" showErrorMessage="1" sqref="X19:Y19" allowBlank="1" type="list">
      <formula1>'.theme-calc, IFC'!A2:A53</formula1>
    </dataValidation>
    <dataValidation errorStyle="warning" showErrorMessage="1" sqref="Z19" allowBlank="1" type="list">
      <formula1>'.sector-calc, IFC'!B3:B70</formula1>
    </dataValidation>
    <dataValidation errorStyle="warning" showErrorMessage="1" sqref="F20" allowBlank="1" type="list">
      <formula1>'.country-calc, CCCS'!E4:E269</formula1>
    </dataValidation>
    <dataValidation errorStyle="warning" showErrorMessage="1" sqref="T20:U20" allowBlank="1" type="list">
      <formula1>'.theme-calc, CCCS'!A2:A125</formula1>
    </dataValidation>
    <dataValidation errorStyle="warning" showErrorMessage="1" sqref="V20:W20" allowBlank="1" type="list">
      <formula1>'.sector-calc, CCCS'!B3:B139</formula1>
    </dataValidation>
    <dataValidation errorStyle="warning" showErrorMessage="1" sqref="X20:Y20" allowBlank="1" type="list">
      <formula1>'.theme-calc, IFC'!A2:A53</formula1>
    </dataValidation>
    <dataValidation errorStyle="warning" showErrorMessage="1" sqref="Z20" allowBlank="1" type="list">
      <formula1>'.sector-calc, IFC'!B3:B70</formula1>
    </dataValidation>
    <dataValidation errorStyle="warning" showErrorMessage="1" sqref="F21" allowBlank="1" type="list">
      <formula1>'.country-calc, CCCS'!E4:E269</formula1>
    </dataValidation>
    <dataValidation errorStyle="warning" showErrorMessage="1" sqref="T21:U21" allowBlank="1" type="list">
      <formula1>'.theme-calc, CCCS'!A2:A125</formula1>
    </dataValidation>
    <dataValidation errorStyle="warning" showErrorMessage="1" sqref="V21:W21" allowBlank="1" type="list">
      <formula1>'.sector-calc, CCCS'!B3:B139</formula1>
    </dataValidation>
    <dataValidation errorStyle="warning" showErrorMessage="1" sqref="X21:Y21" allowBlank="1" type="list">
      <formula1>'.theme-calc, IFC'!A2:A53</formula1>
    </dataValidation>
    <dataValidation errorStyle="warning" showErrorMessage="1" sqref="Z21" allowBlank="1" type="list">
      <formula1>'.sector-calc, IFC'!B3:B70</formula1>
    </dataValidation>
    <dataValidation errorStyle="warning" showErrorMessage="1" sqref="F22" allowBlank="1" type="list">
      <formula1>'.country-calc, CCCS'!E4:E269</formula1>
    </dataValidation>
    <dataValidation errorStyle="warning" showErrorMessage="1" sqref="T22:U22" allowBlank="1" type="list">
      <formula1>'.theme-calc, CCCS'!A2:A125</formula1>
    </dataValidation>
    <dataValidation errorStyle="warning" showErrorMessage="1" sqref="V22:W22" allowBlank="1" type="list">
      <formula1>'.sector-calc, CCCS'!B3:B139</formula1>
    </dataValidation>
    <dataValidation errorStyle="warning" showErrorMessage="1" sqref="X22:Y22" allowBlank="1" type="list">
      <formula1>'.theme-calc, IFC'!A2:A53</formula1>
    </dataValidation>
    <dataValidation errorStyle="warning" showErrorMessage="1" sqref="Z22" allowBlank="1" type="list">
      <formula1>'.sector-calc, IFC'!B3:B70</formula1>
    </dataValidation>
    <dataValidation errorStyle="warning" showErrorMessage="1" sqref="F23" allowBlank="1" type="list">
      <formula1>'.country-calc, CCCS'!E4:E269</formula1>
    </dataValidation>
    <dataValidation errorStyle="warning" showErrorMessage="1" sqref="T23:U23" allowBlank="1" type="list">
      <formula1>'.theme-calc, CCCS'!A2:A125</formula1>
    </dataValidation>
    <dataValidation errorStyle="warning" showErrorMessage="1" sqref="V23:W23" allowBlank="1" type="list">
      <formula1>'.sector-calc, CCCS'!B3:B139</formula1>
    </dataValidation>
    <dataValidation errorStyle="warning" showErrorMessage="1" sqref="X23:Y23" allowBlank="1" type="list">
      <formula1>'.theme-calc, IFC'!A2:A53</formula1>
    </dataValidation>
    <dataValidation errorStyle="warning" showErrorMessage="1" sqref="Z23" allowBlank="1" type="list">
      <formula1>'.sector-calc, IFC'!B3:B70</formula1>
    </dataValidation>
    <dataValidation errorStyle="warning" showErrorMessage="1" sqref="F24" allowBlank="1" type="list">
      <formula1>'.country-calc, CCCS'!E4:E269</formula1>
    </dataValidation>
    <dataValidation errorStyle="warning" showErrorMessage="1" sqref="T24:U24" allowBlank="1" type="list">
      <formula1>'.theme-calc, CCCS'!A2:A125</formula1>
    </dataValidation>
    <dataValidation errorStyle="warning" showErrorMessage="1" sqref="V24:W24" allowBlank="1" type="list">
      <formula1>'.sector-calc, CCCS'!B3:B139</formula1>
    </dataValidation>
    <dataValidation errorStyle="warning" showErrorMessage="1" sqref="X24:Y24" allowBlank="1" type="list">
      <formula1>'.theme-calc, IFC'!A2:A53</formula1>
    </dataValidation>
    <dataValidation errorStyle="warning" showErrorMessage="1" sqref="Z24" allowBlank="1" type="list">
      <formula1>'.sector-calc, IFC'!B3:B70</formula1>
    </dataValidation>
    <dataValidation errorStyle="warning" showErrorMessage="1" sqref="F25" allowBlank="1" type="list">
      <formula1>'.country-calc, CCCS'!E4:E269</formula1>
    </dataValidation>
    <dataValidation errorStyle="warning" showErrorMessage="1" sqref="T25:U25" allowBlank="1" type="list">
      <formula1>'.theme-calc, CCCS'!A2:A125</formula1>
    </dataValidation>
    <dataValidation errorStyle="warning" showErrorMessage="1" sqref="V25:W25" allowBlank="1" type="list">
      <formula1>'.sector-calc, CCCS'!B3:B139</formula1>
    </dataValidation>
    <dataValidation errorStyle="warning" showErrorMessage="1" sqref="X25:Y25" allowBlank="1" type="list">
      <formula1>'.theme-calc, IFC'!A2:A53</formula1>
    </dataValidation>
    <dataValidation errorStyle="warning" showErrorMessage="1" sqref="Z25" allowBlank="1" type="list">
      <formula1>'.sector-calc, IFC'!B3:B70</formula1>
    </dataValidation>
    <dataValidation errorStyle="warning" showErrorMessage="1" sqref="F26" allowBlank="1" type="list">
      <formula1>'.country-calc, CCCS'!E4:E269</formula1>
    </dataValidation>
    <dataValidation errorStyle="warning" showErrorMessage="1" sqref="T26:U26" allowBlank="1" type="list">
      <formula1>'.theme-calc, CCCS'!A2:A125</formula1>
    </dataValidation>
    <dataValidation errorStyle="warning" showErrorMessage="1" sqref="V26:W26" allowBlank="1" type="list">
      <formula1>'.sector-calc, CCCS'!B3:B139</formula1>
    </dataValidation>
    <dataValidation errorStyle="warning" showErrorMessage="1" sqref="X26:Y26" allowBlank="1" type="list">
      <formula1>'.theme-calc, IFC'!A2:A53</formula1>
    </dataValidation>
    <dataValidation errorStyle="warning" showErrorMessage="1" sqref="Z26" allowBlank="1" type="list">
      <formula1>'.sector-calc, IFC'!B3:B70</formula1>
    </dataValidation>
    <dataValidation errorStyle="warning" showErrorMessage="1" sqref="F27" allowBlank="1" type="list">
      <formula1>'.country-calc, CCCS'!E4:E269</formula1>
    </dataValidation>
    <dataValidation errorStyle="warning" showErrorMessage="1" sqref="T27:U27" allowBlank="1" type="list">
      <formula1>'.theme-calc, CCCS'!A2:A125</formula1>
    </dataValidation>
    <dataValidation errorStyle="warning" showErrorMessage="1" sqref="V27:W27" allowBlank="1" type="list">
      <formula1>'.sector-calc, CCCS'!B3:B139</formula1>
    </dataValidation>
    <dataValidation errorStyle="warning" showErrorMessage="1" sqref="X27:Y27" allowBlank="1" type="list">
      <formula1>'.theme-calc, IFC'!A2:A53</formula1>
    </dataValidation>
    <dataValidation errorStyle="warning" showErrorMessage="1" sqref="Z27" allowBlank="1" type="list">
      <formula1>'.sector-calc, IFC'!B3:B70</formula1>
    </dataValidation>
    <dataValidation errorStyle="warning" showErrorMessage="1" sqref="F28" allowBlank="1" type="list">
      <formula1>'.country-calc, CCCS'!E4:E269</formula1>
    </dataValidation>
    <dataValidation errorStyle="warning" showErrorMessage="1" sqref="T28:U28" allowBlank="1" type="list">
      <formula1>'.theme-calc, CCCS'!A2:A125</formula1>
    </dataValidation>
    <dataValidation errorStyle="warning" showErrorMessage="1" sqref="V28:W28" allowBlank="1" type="list">
      <formula1>'.sector-calc, CCCS'!B3:B139</formula1>
    </dataValidation>
    <dataValidation errorStyle="warning" showErrorMessage="1" sqref="X28:Y28" allowBlank="1" type="list">
      <formula1>'.theme-calc, IFC'!A2:A53</formula1>
    </dataValidation>
    <dataValidation errorStyle="warning" showErrorMessage="1" sqref="Z28" allowBlank="1" type="list">
      <formula1>'.sector-calc, IFC'!B3:B70</formula1>
    </dataValidation>
    <dataValidation errorStyle="warning" showErrorMessage="1" sqref="F29" allowBlank="1" type="list">
      <formula1>'.country-calc, CCCS'!E4:E269</formula1>
    </dataValidation>
    <dataValidation errorStyle="warning" showErrorMessage="1" sqref="T29:U29" allowBlank="1" type="list">
      <formula1>'.theme-calc, CCCS'!A2:A125</formula1>
    </dataValidation>
    <dataValidation errorStyle="warning" showErrorMessage="1" sqref="V29:W29" allowBlank="1" type="list">
      <formula1>'.sector-calc, CCCS'!B3:B139</formula1>
    </dataValidation>
    <dataValidation errorStyle="warning" showErrorMessage="1" sqref="X29:Y29" allowBlank="1" type="list">
      <formula1>'.theme-calc, IFC'!A2:A53</formula1>
    </dataValidation>
    <dataValidation errorStyle="warning" showErrorMessage="1" sqref="Z29" allowBlank="1" type="list">
      <formula1>'.sector-calc, IFC'!B3:B70</formula1>
    </dataValidation>
    <dataValidation errorStyle="warning" showErrorMessage="1" sqref="F30" allowBlank="1" type="list">
      <formula1>'.country-calc, CCCS'!E4:E269</formula1>
    </dataValidation>
    <dataValidation errorStyle="warning" showErrorMessage="1" sqref="T30:U30" allowBlank="1" type="list">
      <formula1>'.theme-calc, CCCS'!A2:A125</formula1>
    </dataValidation>
    <dataValidation errorStyle="warning" showErrorMessage="1" sqref="V30:W30" allowBlank="1" type="list">
      <formula1>'.sector-calc, CCCS'!B3:B139</formula1>
    </dataValidation>
    <dataValidation errorStyle="warning" showErrorMessage="1" sqref="X30:Y30" allowBlank="1" type="list">
      <formula1>'.theme-calc, IFC'!A2:A53</formula1>
    </dataValidation>
    <dataValidation errorStyle="warning" showErrorMessage="1" sqref="Z30" allowBlank="1" type="list">
      <formula1>'.sector-calc, IFC'!B3:B70</formula1>
    </dataValidation>
    <dataValidation errorStyle="warning" showErrorMessage="1" sqref="F31" allowBlank="1" type="list">
      <formula1>'.country-calc, CCCS'!E4:E269</formula1>
    </dataValidation>
    <dataValidation errorStyle="warning" showErrorMessage="1" sqref="T31:U31" allowBlank="1" type="list">
      <formula1>'.theme-calc, CCCS'!A2:A125</formula1>
    </dataValidation>
    <dataValidation errorStyle="warning" showErrorMessage="1" sqref="V31:W31" allowBlank="1" type="list">
      <formula1>'.sector-calc, CCCS'!B3:B139</formula1>
    </dataValidation>
    <dataValidation errorStyle="warning" showErrorMessage="1" sqref="X31:Y31" allowBlank="1" type="list">
      <formula1>'.theme-calc, IFC'!A2:A53</formula1>
    </dataValidation>
    <dataValidation errorStyle="warning" showErrorMessage="1" sqref="Z31" allowBlank="1" type="list">
      <formula1>'.sector-calc, IFC'!B3:B70</formula1>
    </dataValidation>
    <dataValidation errorStyle="warning" showErrorMessage="1" sqref="F32" allowBlank="1" type="list">
      <formula1>'.country-calc, CCCS'!E4:E269</formula1>
    </dataValidation>
    <dataValidation errorStyle="warning" showErrorMessage="1" sqref="T32:U32" allowBlank="1" type="list">
      <formula1>'.theme-calc, CCCS'!A2:A125</formula1>
    </dataValidation>
    <dataValidation errorStyle="warning" showErrorMessage="1" sqref="V32:W32" allowBlank="1" type="list">
      <formula1>'.sector-calc, CCCS'!B3:B139</formula1>
    </dataValidation>
    <dataValidation errorStyle="warning" showErrorMessage="1" sqref="X32:Y32" allowBlank="1" type="list">
      <formula1>'.theme-calc, IFC'!A2:A53</formula1>
    </dataValidation>
    <dataValidation errorStyle="warning" showErrorMessage="1" sqref="Z32" allowBlank="1" type="list">
      <formula1>'.sector-calc, IFC'!B3:B70</formula1>
    </dataValidation>
    <dataValidation errorStyle="warning" showErrorMessage="1" sqref="F33" allowBlank="1" type="list">
      <formula1>'.country-calc, CCCS'!E4:E269</formula1>
    </dataValidation>
    <dataValidation errorStyle="warning" showErrorMessage="1" sqref="T33:U33" allowBlank="1" type="list">
      <formula1>'.theme-calc, CCCS'!A2:A125</formula1>
    </dataValidation>
    <dataValidation errorStyle="warning" showErrorMessage="1" sqref="V33:W33" allowBlank="1" type="list">
      <formula1>'.sector-calc, CCCS'!B3:B139</formula1>
    </dataValidation>
    <dataValidation errorStyle="warning" showErrorMessage="1" sqref="X33:Y33" allowBlank="1" type="list">
      <formula1>'.theme-calc, IFC'!A2:A53</formula1>
    </dataValidation>
    <dataValidation errorStyle="warning" showErrorMessage="1" sqref="Z33" allowBlank="1" type="list">
      <formula1>'.sector-calc, IFC'!B3:B70</formula1>
    </dataValidation>
    <dataValidation errorStyle="warning" showErrorMessage="1" sqref="F34" allowBlank="1" type="list">
      <formula1>'.country-calc, CCCS'!E4:E269</formula1>
    </dataValidation>
    <dataValidation errorStyle="warning" showErrorMessage="1" sqref="T34:U34" allowBlank="1" type="list">
      <formula1>'.theme-calc, CCCS'!A2:A125</formula1>
    </dataValidation>
    <dataValidation errorStyle="warning" showErrorMessage="1" sqref="V34:W34" allowBlank="1" type="list">
      <formula1>'.sector-calc, CCCS'!B3:B139</formula1>
    </dataValidation>
    <dataValidation errorStyle="warning" showErrorMessage="1" sqref="X34:Y34" allowBlank="1" type="list">
      <formula1>'.theme-calc, IFC'!A2:A53</formula1>
    </dataValidation>
    <dataValidation errorStyle="warning" showErrorMessage="1" sqref="Z34" allowBlank="1" type="list">
      <formula1>'.sector-calc, IFC'!B3:B70</formula1>
    </dataValidation>
    <dataValidation errorStyle="warning" showErrorMessage="1" sqref="F35" allowBlank="1" type="list">
      <formula1>'.country-calc, CCCS'!E4:E269</formula1>
    </dataValidation>
    <dataValidation errorStyle="warning" showErrorMessage="1" sqref="T35:U35" allowBlank="1" type="list">
      <formula1>'.theme-calc, CCCS'!A2:A125</formula1>
    </dataValidation>
    <dataValidation errorStyle="warning" showErrorMessage="1" sqref="V35:W35" allowBlank="1" type="list">
      <formula1>'.sector-calc, CCCS'!B3:B139</formula1>
    </dataValidation>
    <dataValidation errorStyle="warning" showErrorMessage="1" sqref="X35:Y35" allowBlank="1" type="list">
      <formula1>'.theme-calc, IFC'!A2:A53</formula1>
    </dataValidation>
    <dataValidation errorStyle="warning" showErrorMessage="1" sqref="Z35" allowBlank="1" type="list">
      <formula1>'.sector-calc, IFC'!B3:B70</formula1>
    </dataValidation>
    <dataValidation errorStyle="warning" showErrorMessage="1" sqref="F36" allowBlank="1" type="list">
      <formula1>'.country-calc, CCCS'!E4:E269</formula1>
    </dataValidation>
    <dataValidation errorStyle="warning" showErrorMessage="1" sqref="T36:U36" allowBlank="1" type="list">
      <formula1>'.theme-calc, CCCS'!A2:A125</formula1>
    </dataValidation>
    <dataValidation errorStyle="warning" showErrorMessage="1" sqref="V36:W36" allowBlank="1" type="list">
      <formula1>'.sector-calc, CCCS'!B3:B139</formula1>
    </dataValidation>
    <dataValidation errorStyle="warning" showErrorMessage="1" sqref="X36:Y36" allowBlank="1" type="list">
      <formula1>'.theme-calc, IFC'!A2:A53</formula1>
    </dataValidation>
    <dataValidation errorStyle="warning" showErrorMessage="1" sqref="Z36" allowBlank="1" type="list">
      <formula1>'.sector-calc, IFC'!B3:B70</formula1>
    </dataValidation>
    <dataValidation errorStyle="warning" showErrorMessage="1" sqref="F37" allowBlank="1" type="list">
      <formula1>'.country-calc, CCCS'!E4:E269</formula1>
    </dataValidation>
    <dataValidation errorStyle="warning" showErrorMessage="1" sqref="T37:U37" allowBlank="1" type="list">
      <formula1>'.theme-calc, CCCS'!A2:A125</formula1>
    </dataValidation>
    <dataValidation errorStyle="warning" showErrorMessage="1" sqref="V37:W37" allowBlank="1" type="list">
      <formula1>'.sector-calc, CCCS'!B3:B139</formula1>
    </dataValidation>
    <dataValidation errorStyle="warning" showErrorMessage="1" sqref="X37:Y37" allowBlank="1" type="list">
      <formula1>'.theme-calc, IFC'!A2:A53</formula1>
    </dataValidation>
    <dataValidation errorStyle="warning" showErrorMessage="1" sqref="Z37" allowBlank="1" type="list">
      <formula1>'.sector-calc, IFC'!B3:B70</formula1>
    </dataValidation>
    <dataValidation errorStyle="warning" showErrorMessage="1" sqref="F38" allowBlank="1" type="list">
      <formula1>'.country-calc, CCCS'!E4:E269</formula1>
    </dataValidation>
    <dataValidation errorStyle="warning" showErrorMessage="1" sqref="T38:U38" allowBlank="1" type="list">
      <formula1>'.theme-calc, CCCS'!A2:A125</formula1>
    </dataValidation>
    <dataValidation errorStyle="warning" showErrorMessage="1" sqref="V38:W38" allowBlank="1" type="list">
      <formula1>'.sector-calc, CCCS'!B3:B139</formula1>
    </dataValidation>
    <dataValidation errorStyle="warning" showErrorMessage="1" sqref="X38:Y38" allowBlank="1" type="list">
      <formula1>'.theme-calc, IFC'!A2:A53</formula1>
    </dataValidation>
    <dataValidation errorStyle="warning" showErrorMessage="1" sqref="Z38" allowBlank="1" type="list">
      <formula1>'.sector-calc, IFC'!B3:B70</formula1>
    </dataValidation>
    <dataValidation errorStyle="warning" showErrorMessage="1" sqref="F39" allowBlank="1" type="list">
      <formula1>'.country-calc, CCCS'!E4:E269</formula1>
    </dataValidation>
    <dataValidation errorStyle="warning" showErrorMessage="1" sqref="T39:U39" allowBlank="1" type="list">
      <formula1>'.theme-calc, CCCS'!A2:A125</formula1>
    </dataValidation>
    <dataValidation errorStyle="warning" showErrorMessage="1" sqref="V39:W39" allowBlank="1" type="list">
      <formula1>'.sector-calc, CCCS'!B3:B139</formula1>
    </dataValidation>
    <dataValidation errorStyle="warning" showErrorMessage="1" sqref="X39:Y39" allowBlank="1" type="list">
      <formula1>'.theme-calc, IFC'!A2:A53</formula1>
    </dataValidation>
    <dataValidation errorStyle="warning" showErrorMessage="1" sqref="Z39" allowBlank="1" type="list">
      <formula1>'.sector-calc, IFC'!B3:B70</formula1>
    </dataValidation>
    <dataValidation errorStyle="warning" showErrorMessage="1" sqref="F40" allowBlank="1" type="list">
      <formula1>'.country-calc, CCCS'!E4:E269</formula1>
    </dataValidation>
    <dataValidation errorStyle="warning" showErrorMessage="1" sqref="T40:U40" allowBlank="1" type="list">
      <formula1>'.theme-calc, CCCS'!A2:A125</formula1>
    </dataValidation>
    <dataValidation errorStyle="warning" showErrorMessage="1" sqref="V40:W40" allowBlank="1" type="list">
      <formula1>'.sector-calc, CCCS'!B3:B139</formula1>
    </dataValidation>
    <dataValidation errorStyle="warning" showErrorMessage="1" sqref="X40:Y40" allowBlank="1" type="list">
      <formula1>'.theme-calc, IFC'!A2:A53</formula1>
    </dataValidation>
    <dataValidation errorStyle="warning" showErrorMessage="1" sqref="Z40" allowBlank="1" type="list">
      <formula1>'.sector-calc, IFC'!B3:B70</formula1>
    </dataValidation>
    <dataValidation errorStyle="warning" showErrorMessage="1" sqref="F41" allowBlank="1" type="list">
      <formula1>'.country-calc, CCCS'!E4:E269</formula1>
    </dataValidation>
    <dataValidation errorStyle="warning" showErrorMessage="1" sqref="T41:U41" allowBlank="1" type="list">
      <formula1>'.theme-calc, CCCS'!A2:A125</formula1>
    </dataValidation>
    <dataValidation errorStyle="warning" showErrorMessage="1" sqref="V41:W41" allowBlank="1" type="list">
      <formula1>'.sector-calc, CCCS'!B3:B139</formula1>
    </dataValidation>
    <dataValidation errorStyle="warning" showErrorMessage="1" sqref="X41:Y41" allowBlank="1" type="list">
      <formula1>'.theme-calc, IFC'!A2:A53</formula1>
    </dataValidation>
    <dataValidation errorStyle="warning" showErrorMessage="1" sqref="Z41" allowBlank="1" type="list">
      <formula1>'.sector-calc, IFC'!B3:B70</formula1>
    </dataValidation>
    <dataValidation errorStyle="warning" showErrorMessage="1" sqref="F42" allowBlank="1" type="list">
      <formula1>'.country-calc, CCCS'!E4:E269</formula1>
    </dataValidation>
    <dataValidation errorStyle="warning" showErrorMessage="1" sqref="T42:U42" allowBlank="1" type="list">
      <formula1>'.theme-calc, CCCS'!A2:A125</formula1>
    </dataValidation>
    <dataValidation errorStyle="warning" showErrorMessage="1" sqref="V42:W42" allowBlank="1" type="list">
      <formula1>'.sector-calc, CCCS'!B3:B139</formula1>
    </dataValidation>
    <dataValidation errorStyle="warning" showErrorMessage="1" sqref="X42:Y42" allowBlank="1" type="list">
      <formula1>'.theme-calc, IFC'!A2:A53</formula1>
    </dataValidation>
    <dataValidation errorStyle="warning" showErrorMessage="1" sqref="Z42" allowBlank="1" type="list">
      <formula1>'.sector-calc, IFC'!B3:B70</formula1>
    </dataValidation>
    <dataValidation errorStyle="warning" showErrorMessage="1" sqref="F43" allowBlank="1" type="list">
      <formula1>'.country-calc, CCCS'!E4:E269</formula1>
    </dataValidation>
    <dataValidation errorStyle="warning" showErrorMessage="1" sqref="T43:U43" allowBlank="1" type="list">
      <formula1>'.theme-calc, CCCS'!A2:A125</formula1>
    </dataValidation>
    <dataValidation errorStyle="warning" showErrorMessage="1" sqref="V43:W43" allowBlank="1" type="list">
      <formula1>'.sector-calc, CCCS'!B3:B139</formula1>
    </dataValidation>
    <dataValidation errorStyle="warning" showErrorMessage="1" sqref="X43:Y43" allowBlank="1" type="list">
      <formula1>'.theme-calc, IFC'!A2:A53</formula1>
    </dataValidation>
    <dataValidation errorStyle="warning" showErrorMessage="1" sqref="Z43" allowBlank="1" type="list">
      <formula1>'.sector-calc, IFC'!B3:B70</formula1>
    </dataValidation>
    <dataValidation errorStyle="warning" showErrorMessage="1" sqref="F44" allowBlank="1" type="list">
      <formula1>'.country-calc, CCCS'!E4:E269</formula1>
    </dataValidation>
    <dataValidation errorStyle="warning" showErrorMessage="1" sqref="T44:U44" allowBlank="1" type="list">
      <formula1>'.theme-calc, CCCS'!A2:A125</formula1>
    </dataValidation>
    <dataValidation errorStyle="warning" showErrorMessage="1" sqref="V44:W44" allowBlank="1" type="list">
      <formula1>'.sector-calc, CCCS'!B3:B139</formula1>
    </dataValidation>
    <dataValidation errorStyle="warning" showErrorMessage="1" sqref="X44:Y44" allowBlank="1" type="list">
      <formula1>'.theme-calc, IFC'!A2:A53</formula1>
    </dataValidation>
    <dataValidation errorStyle="warning" showErrorMessage="1" sqref="Z44" allowBlank="1" type="list">
      <formula1>'.sector-calc, IFC'!B3:B70</formula1>
    </dataValidation>
    <dataValidation errorStyle="warning" showErrorMessage="1" sqref="F45" allowBlank="1" type="list">
      <formula1>'.country-calc, CCCS'!E4:E269</formula1>
    </dataValidation>
    <dataValidation errorStyle="warning" showErrorMessage="1" sqref="T45:U45" allowBlank="1" type="list">
      <formula1>'.theme-calc, CCCS'!A2:A125</formula1>
    </dataValidation>
    <dataValidation errorStyle="warning" showErrorMessage="1" sqref="V45:W45" allowBlank="1" type="list">
      <formula1>'.sector-calc, CCCS'!B3:B139</formula1>
    </dataValidation>
    <dataValidation errorStyle="warning" showErrorMessage="1" sqref="X45:Y45" allowBlank="1" type="list">
      <formula1>'.theme-calc, IFC'!A2:A53</formula1>
    </dataValidation>
    <dataValidation errorStyle="warning" showErrorMessage="1" sqref="Z45" allowBlank="1" type="list">
      <formula1>'.sector-calc, IFC'!B3:B70</formula1>
    </dataValidation>
    <dataValidation errorStyle="warning" showErrorMessage="1" sqref="F46" allowBlank="1" type="list">
      <formula1>'.country-calc, CCCS'!E4:E269</formula1>
    </dataValidation>
    <dataValidation errorStyle="warning" showErrorMessage="1" sqref="T46:U46" allowBlank="1" type="list">
      <formula1>'.theme-calc, CCCS'!A2:A125</formula1>
    </dataValidation>
    <dataValidation errorStyle="warning" showErrorMessage="1" sqref="V46:W46" allowBlank="1" type="list">
      <formula1>'.sector-calc, CCCS'!B3:B139</formula1>
    </dataValidation>
    <dataValidation errorStyle="warning" showErrorMessage="1" sqref="X46:Y46" allowBlank="1" type="list">
      <formula1>'.theme-calc, IFC'!A2:A53</formula1>
    </dataValidation>
    <dataValidation errorStyle="warning" showErrorMessage="1" sqref="Z46" allowBlank="1" type="list">
      <formula1>'.sector-calc, IFC'!B3:B70</formula1>
    </dataValidation>
    <dataValidation errorStyle="warning" showErrorMessage="1" sqref="F47" allowBlank="1" type="list">
      <formula1>'.country-calc, CCCS'!E4:E269</formula1>
    </dataValidation>
    <dataValidation errorStyle="warning" showErrorMessage="1" sqref="T47:U47" allowBlank="1" type="list">
      <formula1>'.theme-calc, CCCS'!A2:A125</formula1>
    </dataValidation>
    <dataValidation errorStyle="warning" showErrorMessage="1" sqref="V47:W47" allowBlank="1" type="list">
      <formula1>'.sector-calc, CCCS'!B3:B139</formula1>
    </dataValidation>
    <dataValidation errorStyle="warning" showErrorMessage="1" sqref="X47:Y47" allowBlank="1" type="list">
      <formula1>'.theme-calc, IFC'!A2:A53</formula1>
    </dataValidation>
    <dataValidation errorStyle="warning" showErrorMessage="1" sqref="Z47" allowBlank="1" type="list">
      <formula1>'.sector-calc, IFC'!B3:B70</formula1>
    </dataValidation>
    <dataValidation errorStyle="warning" showErrorMessage="1" sqref="F48" allowBlank="1" type="list">
      <formula1>'.country-calc, CCCS'!E4:E269</formula1>
    </dataValidation>
    <dataValidation errorStyle="warning" showErrorMessage="1" sqref="T48:U48" allowBlank="1" type="list">
      <formula1>'.theme-calc, CCCS'!A2:A125</formula1>
    </dataValidation>
    <dataValidation errorStyle="warning" showErrorMessage="1" sqref="V48:W48" allowBlank="1" type="list">
      <formula1>'.sector-calc, CCCS'!B3:B139</formula1>
    </dataValidation>
    <dataValidation errorStyle="warning" showErrorMessage="1" sqref="X48:Y48" allowBlank="1" type="list">
      <formula1>'.theme-calc, IFC'!A2:A53</formula1>
    </dataValidation>
    <dataValidation errorStyle="warning" showErrorMessage="1" sqref="Z48" allowBlank="1" type="list">
      <formula1>'.sector-calc, IFC'!B3:B70</formula1>
    </dataValidation>
    <dataValidation errorStyle="warning" showErrorMessage="1" sqref="F49" allowBlank="1" type="list">
      <formula1>'.country-calc, CCCS'!E4:E269</formula1>
    </dataValidation>
    <dataValidation errorStyle="warning" showErrorMessage="1" sqref="T49:U49" allowBlank="1" type="list">
      <formula1>'.theme-calc, CCCS'!A2:A125</formula1>
    </dataValidation>
    <dataValidation errorStyle="warning" showErrorMessage="1" sqref="V49:W49" allowBlank="1" type="list">
      <formula1>'.sector-calc, CCCS'!B3:B139</formula1>
    </dataValidation>
    <dataValidation errorStyle="warning" showErrorMessage="1" sqref="X49:Y49" allowBlank="1" type="list">
      <formula1>'.theme-calc, IFC'!A2:A53</formula1>
    </dataValidation>
    <dataValidation errorStyle="warning" showErrorMessage="1" sqref="Z49" allowBlank="1" type="list">
      <formula1>'.sector-calc, IFC'!B3:B70</formula1>
    </dataValidation>
    <dataValidation errorStyle="warning" showErrorMessage="1" sqref="F50" allowBlank="1" type="list">
      <formula1>'.country-calc, CCCS'!E4:E269</formula1>
    </dataValidation>
    <dataValidation errorStyle="warning" showErrorMessage="1" sqref="T50:U50" allowBlank="1" type="list">
      <formula1>'.theme-calc, CCCS'!A2:A125</formula1>
    </dataValidation>
    <dataValidation errorStyle="warning" showErrorMessage="1" sqref="V50:W50" allowBlank="1" type="list">
      <formula1>'.sector-calc, CCCS'!B3:B139</formula1>
    </dataValidation>
    <dataValidation errorStyle="warning" showErrorMessage="1" sqref="X50:Y50" allowBlank="1" type="list">
      <formula1>'.theme-calc, IFC'!A2:A53</formula1>
    </dataValidation>
    <dataValidation errorStyle="warning" showErrorMessage="1" sqref="Z50" allowBlank="1" type="list">
      <formula1>'.sector-calc, IFC'!B3:B70</formula1>
    </dataValidation>
    <dataValidation errorStyle="warning" showErrorMessage="1" sqref="F51" allowBlank="1" type="list">
      <formula1>'.country-calc, CCCS'!E4:E269</formula1>
    </dataValidation>
    <dataValidation errorStyle="warning" showErrorMessage="1" sqref="T51:U51" allowBlank="1" type="list">
      <formula1>'.theme-calc, CCCS'!A2:A125</formula1>
    </dataValidation>
    <dataValidation errorStyle="warning" showErrorMessage="1" sqref="V51:W51" allowBlank="1" type="list">
      <formula1>'.sector-calc, CCCS'!B3:B139</formula1>
    </dataValidation>
    <dataValidation errorStyle="warning" showErrorMessage="1" sqref="X51:Y51" allowBlank="1" type="list">
      <formula1>'.theme-calc, IFC'!A2:A53</formula1>
    </dataValidation>
    <dataValidation errorStyle="warning" showErrorMessage="1" sqref="Z51" allowBlank="1" type="list">
      <formula1>'.sector-calc, IFC'!B3:B70</formula1>
    </dataValidation>
    <dataValidation errorStyle="warning" showErrorMessage="1" sqref="F52" allowBlank="1" type="list">
      <formula1>'.country-calc, CCCS'!E4:E269</formula1>
    </dataValidation>
    <dataValidation errorStyle="warning" showErrorMessage="1" sqref="T52:U52" allowBlank="1" type="list">
      <formula1>'.theme-calc, CCCS'!A2:A125</formula1>
    </dataValidation>
    <dataValidation errorStyle="warning" showErrorMessage="1" sqref="V52:W52" allowBlank="1" type="list">
      <formula1>'.sector-calc, CCCS'!B3:B139</formula1>
    </dataValidation>
    <dataValidation errorStyle="warning" showErrorMessage="1" sqref="X52:Y52" allowBlank="1" type="list">
      <formula1>'.theme-calc, IFC'!A2:A53</formula1>
    </dataValidation>
    <dataValidation errorStyle="warning" showErrorMessage="1" sqref="Z52" allowBlank="1" type="list">
      <formula1>'.sector-calc, IFC'!B3:B70</formula1>
    </dataValidation>
    <dataValidation errorStyle="warning" showErrorMessage="1" sqref="F53" allowBlank="1" type="list">
      <formula1>'.country-calc, CCCS'!E4:E269</formula1>
    </dataValidation>
    <dataValidation errorStyle="warning" showErrorMessage="1" sqref="T53:U53" allowBlank="1" type="list">
      <formula1>'.theme-calc, CCCS'!A2:A125</formula1>
    </dataValidation>
    <dataValidation errorStyle="warning" showErrorMessage="1" sqref="V53:W53" allowBlank="1" type="list">
      <formula1>'.sector-calc, CCCS'!B3:B139</formula1>
    </dataValidation>
    <dataValidation errorStyle="warning" showErrorMessage="1" sqref="X53:Y53" allowBlank="1" type="list">
      <formula1>'.theme-calc, IFC'!A2:A53</formula1>
    </dataValidation>
    <dataValidation errorStyle="warning" showErrorMessage="1" sqref="Z53" allowBlank="1" type="list">
      <formula1>'.sector-calc, IFC'!B3:B70</formula1>
    </dataValidation>
    <dataValidation errorStyle="warning" showErrorMessage="1" sqref="F54" allowBlank="1" type="list">
      <formula1>'.country-calc, CCCS'!E4:E269</formula1>
    </dataValidation>
    <dataValidation errorStyle="warning" showErrorMessage="1" sqref="T54:U54" allowBlank="1" type="list">
      <formula1>'.theme-calc, CCCS'!A2:A125</formula1>
    </dataValidation>
    <dataValidation errorStyle="warning" showErrorMessage="1" sqref="V54:W54" allowBlank="1" type="list">
      <formula1>'.sector-calc, CCCS'!B3:B139</formula1>
    </dataValidation>
    <dataValidation errorStyle="warning" showErrorMessage="1" sqref="X54:Y54" allowBlank="1" type="list">
      <formula1>'.theme-calc, IFC'!A2:A53</formula1>
    </dataValidation>
    <dataValidation errorStyle="warning" showErrorMessage="1" sqref="Z54" allowBlank="1" type="list">
      <formula1>'.sector-calc, IFC'!B3:B70</formula1>
    </dataValidation>
    <dataValidation errorStyle="warning" showErrorMessage="1" sqref="F55" allowBlank="1" type="list">
      <formula1>'.country-calc, CCCS'!E4:E269</formula1>
    </dataValidation>
    <dataValidation errorStyle="warning" showErrorMessage="1" sqref="T55:U55" allowBlank="1" type="list">
      <formula1>'.theme-calc, CCCS'!A2:A125</formula1>
    </dataValidation>
    <dataValidation errorStyle="warning" showErrorMessage="1" sqref="V55:W55" allowBlank="1" type="list">
      <formula1>'.sector-calc, CCCS'!B3:B139</formula1>
    </dataValidation>
    <dataValidation errorStyle="warning" showErrorMessage="1" sqref="X55:Y55" allowBlank="1" type="list">
      <formula1>'.theme-calc, IFC'!A2:A53</formula1>
    </dataValidation>
    <dataValidation errorStyle="warning" showErrorMessage="1" sqref="Z55" allowBlank="1" type="list">
      <formula1>'.sector-calc, IFC'!B3:B70</formula1>
    </dataValidation>
    <dataValidation errorStyle="warning" showErrorMessage="1" sqref="F56" allowBlank="1" type="list">
      <formula1>'.country-calc, CCCS'!E4:E269</formula1>
    </dataValidation>
    <dataValidation errorStyle="warning" showErrorMessage="1" sqref="T56:U56" allowBlank="1" type="list">
      <formula1>'.theme-calc, CCCS'!A2:A125</formula1>
    </dataValidation>
    <dataValidation errorStyle="warning" showErrorMessage="1" sqref="V56:W56" allowBlank="1" type="list">
      <formula1>'.sector-calc, CCCS'!B3:B139</formula1>
    </dataValidation>
    <dataValidation errorStyle="warning" showErrorMessage="1" sqref="X56:Y56" allowBlank="1" type="list">
      <formula1>'.theme-calc, IFC'!A2:A53</formula1>
    </dataValidation>
    <dataValidation errorStyle="warning" showErrorMessage="1" sqref="Z56" allowBlank="1" type="list">
      <formula1>'.sector-calc, IFC'!B3:B70</formula1>
    </dataValidation>
    <dataValidation errorStyle="warning" showErrorMessage="1" sqref="F57" allowBlank="1" type="list">
      <formula1>'.country-calc, CCCS'!E4:E269</formula1>
    </dataValidation>
    <dataValidation errorStyle="warning" showErrorMessage="1" sqref="T57:U57" allowBlank="1" type="list">
      <formula1>'.theme-calc, CCCS'!A2:A125</formula1>
    </dataValidation>
    <dataValidation errorStyle="warning" showErrorMessage="1" sqref="V57:W57" allowBlank="1" type="list">
      <formula1>'.sector-calc, CCCS'!B3:B139</formula1>
    </dataValidation>
    <dataValidation errorStyle="warning" showErrorMessage="1" sqref="X57:Y57" allowBlank="1" type="list">
      <formula1>'.theme-calc, IFC'!A2:A53</formula1>
    </dataValidation>
    <dataValidation errorStyle="warning" showErrorMessage="1" sqref="Z57" allowBlank="1" type="list">
      <formula1>'.sector-calc, IFC'!B3:B70</formula1>
    </dataValidation>
    <dataValidation errorStyle="warning" showErrorMessage="1" sqref="F58" allowBlank="1" type="list">
      <formula1>'.country-calc, CCCS'!E4:E269</formula1>
    </dataValidation>
    <dataValidation errorStyle="warning" showErrorMessage="1" sqref="T58:U58" allowBlank="1" type="list">
      <formula1>'.theme-calc, CCCS'!A2:A125</formula1>
    </dataValidation>
    <dataValidation errorStyle="warning" showErrorMessage="1" sqref="V58:W58" allowBlank="1" type="list">
      <formula1>'.sector-calc, CCCS'!B3:B139</formula1>
    </dataValidation>
    <dataValidation errorStyle="warning" showErrorMessage="1" sqref="X58:Y58" allowBlank="1" type="list">
      <formula1>'.theme-calc, IFC'!A2:A53</formula1>
    </dataValidation>
    <dataValidation errorStyle="warning" showErrorMessage="1" sqref="Z58" allowBlank="1" type="list">
      <formula1>'.sector-calc, IFC'!B3:B70</formula1>
    </dataValidation>
    <dataValidation errorStyle="warning" showErrorMessage="1" sqref="F59" allowBlank="1" type="list">
      <formula1>'.country-calc, CCCS'!E4:E269</formula1>
    </dataValidation>
    <dataValidation errorStyle="warning" showErrorMessage="1" sqref="T59:U59" allowBlank="1" type="list">
      <formula1>'.theme-calc, CCCS'!A2:A125</formula1>
    </dataValidation>
    <dataValidation errorStyle="warning" showErrorMessage="1" sqref="V59:W59" allowBlank="1" type="list">
      <formula1>'.sector-calc, CCCS'!B3:B139</formula1>
    </dataValidation>
    <dataValidation errorStyle="warning" showErrorMessage="1" sqref="X59:Y59" allowBlank="1" type="list">
      <formula1>'.theme-calc, IFC'!A2:A53</formula1>
    </dataValidation>
    <dataValidation errorStyle="warning" showErrorMessage="1" sqref="Z59" allowBlank="1" type="list">
      <formula1>'.sector-calc, IFC'!B3:B70</formula1>
    </dataValidation>
    <dataValidation errorStyle="warning" showErrorMessage="1" sqref="F60" allowBlank="1" type="list">
      <formula1>'.country-calc, CCCS'!E4:E269</formula1>
    </dataValidation>
    <dataValidation errorStyle="warning" showErrorMessage="1" sqref="T60:U60" allowBlank="1" type="list">
      <formula1>'.theme-calc, CCCS'!A2:A125</formula1>
    </dataValidation>
    <dataValidation errorStyle="warning" showErrorMessage="1" sqref="V60:W60" allowBlank="1" type="list">
      <formula1>'.sector-calc, CCCS'!B3:B139</formula1>
    </dataValidation>
    <dataValidation errorStyle="warning" showErrorMessage="1" sqref="X60:Y60" allowBlank="1" type="list">
      <formula1>'.theme-calc, IFC'!A2:A53</formula1>
    </dataValidation>
    <dataValidation errorStyle="warning" showErrorMessage="1" sqref="Z60" allowBlank="1" type="list">
      <formula1>'.sector-calc, IFC'!B3:B70</formula1>
    </dataValidation>
    <dataValidation errorStyle="warning" showErrorMessage="1" sqref="F61" allowBlank="1" type="list">
      <formula1>'.country-calc, CCCS'!E4:E269</formula1>
    </dataValidation>
    <dataValidation errorStyle="warning" showErrorMessage="1" sqref="T61:U61" allowBlank="1" type="list">
      <formula1>'.theme-calc, CCCS'!A2:A125</formula1>
    </dataValidation>
    <dataValidation errorStyle="warning" showErrorMessage="1" sqref="V61:W61" allowBlank="1" type="list">
      <formula1>'.sector-calc, CCCS'!B3:B139</formula1>
    </dataValidation>
    <dataValidation errorStyle="warning" showErrorMessage="1" sqref="X61:Y61" allowBlank="1" type="list">
      <formula1>'.theme-calc, IFC'!A2:A53</formula1>
    </dataValidation>
    <dataValidation errorStyle="warning" showErrorMessage="1" sqref="Z61" allowBlank="1" type="list">
      <formula1>'.sector-calc, IFC'!B3:B70</formula1>
    </dataValidation>
    <dataValidation errorStyle="warning" showErrorMessage="1" sqref="F62" allowBlank="1" type="list">
      <formula1>'.country-calc, CCCS'!E4:E269</formula1>
    </dataValidation>
    <dataValidation errorStyle="warning" showErrorMessage="1" sqref="T62:U62" allowBlank="1" type="list">
      <formula1>'.theme-calc, CCCS'!A2:A125</formula1>
    </dataValidation>
    <dataValidation errorStyle="warning" showErrorMessage="1" sqref="V62:W62" allowBlank="1" type="list">
      <formula1>'.sector-calc, CCCS'!B3:B139</formula1>
    </dataValidation>
    <dataValidation errorStyle="warning" showErrorMessage="1" sqref="X62:Y62" allowBlank="1" type="list">
      <formula1>'.theme-calc, IFC'!A2:A53</formula1>
    </dataValidation>
    <dataValidation errorStyle="warning" showErrorMessage="1" sqref="Z62" allowBlank="1" type="list">
      <formula1>'.sector-calc, IFC'!B3:B70</formula1>
    </dataValidation>
    <dataValidation errorStyle="warning" showErrorMessage="1" sqref="F63" allowBlank="1" type="list">
      <formula1>'.country-calc, CCCS'!E4:E269</formula1>
    </dataValidation>
    <dataValidation errorStyle="warning" showErrorMessage="1" sqref="T63:U63" allowBlank="1" type="list">
      <formula1>'.theme-calc, CCCS'!A2:A125</formula1>
    </dataValidation>
    <dataValidation errorStyle="warning" showErrorMessage="1" sqref="V63:W63" allowBlank="1" type="list">
      <formula1>'.sector-calc, CCCS'!B3:B139</formula1>
    </dataValidation>
    <dataValidation errorStyle="warning" showErrorMessage="1" sqref="X63:Y63" allowBlank="1" type="list">
      <formula1>'.theme-calc, IFC'!A2:A53</formula1>
    </dataValidation>
    <dataValidation errorStyle="warning" showErrorMessage="1" sqref="Z63" allowBlank="1" type="list">
      <formula1>'.sector-calc, IFC'!B3:B70</formula1>
    </dataValidation>
    <dataValidation errorStyle="warning" showErrorMessage="1" sqref="F64" allowBlank="1" type="list">
      <formula1>'.country-calc, CCCS'!E4:E269</formula1>
    </dataValidation>
    <dataValidation errorStyle="warning" showErrorMessage="1" sqref="T64:U64" allowBlank="1" type="list">
      <formula1>'.theme-calc, CCCS'!A2:A125</formula1>
    </dataValidation>
    <dataValidation errorStyle="warning" showErrorMessage="1" sqref="V64:W64" allowBlank="1" type="list">
      <formula1>'.sector-calc, CCCS'!B3:B139</formula1>
    </dataValidation>
    <dataValidation errorStyle="warning" showErrorMessage="1" sqref="X64:Y64" allowBlank="1" type="list">
      <formula1>'.theme-calc, IFC'!A2:A53</formula1>
    </dataValidation>
    <dataValidation errorStyle="warning" showErrorMessage="1" sqref="Z64" allowBlank="1" type="list">
      <formula1>'.sector-calc, IFC'!B3:B70</formula1>
    </dataValidation>
    <dataValidation errorStyle="warning" showErrorMessage="1" sqref="F65" allowBlank="1" type="list">
      <formula1>'.country-calc, CCCS'!E4:E269</formula1>
    </dataValidation>
    <dataValidation errorStyle="warning" showErrorMessage="1" sqref="T65:U65" allowBlank="1" type="list">
      <formula1>'.theme-calc, CCCS'!A2:A125</formula1>
    </dataValidation>
    <dataValidation errorStyle="warning" showErrorMessage="1" sqref="V65:W65" allowBlank="1" type="list">
      <formula1>'.sector-calc, CCCS'!B3:B139</formula1>
    </dataValidation>
    <dataValidation errorStyle="warning" showErrorMessage="1" sqref="X65:Y65" allowBlank="1" type="list">
      <formula1>'.theme-calc, IFC'!A2:A53</formula1>
    </dataValidation>
    <dataValidation errorStyle="warning" showErrorMessage="1" sqref="Z65" allowBlank="1" type="list">
      <formula1>'.sector-calc, IFC'!B3:B70</formula1>
    </dataValidation>
    <dataValidation errorStyle="warning" showErrorMessage="1" sqref="F66" allowBlank="1" type="list">
      <formula1>'.country-calc, CCCS'!E4:E269</formula1>
    </dataValidation>
    <dataValidation errorStyle="warning" showErrorMessage="1" sqref="T66:U66" allowBlank="1" type="list">
      <formula1>'.theme-calc, CCCS'!A2:A125</formula1>
    </dataValidation>
    <dataValidation errorStyle="warning" showErrorMessage="1" sqref="V66:W66" allowBlank="1" type="list">
      <formula1>'.sector-calc, CCCS'!B3:B139</formula1>
    </dataValidation>
    <dataValidation errorStyle="warning" showErrorMessage="1" sqref="X66:Y66" allowBlank="1" type="list">
      <formula1>'.theme-calc, IFC'!A2:A53</formula1>
    </dataValidation>
    <dataValidation errorStyle="warning" showErrorMessage="1" sqref="Z66" allowBlank="1" type="list">
      <formula1>'.sector-calc, IFC'!B3:B70</formula1>
    </dataValidation>
    <dataValidation errorStyle="warning" showErrorMessage="1" sqref="F67" allowBlank="1" type="list">
      <formula1>'.country-calc, CCCS'!E4:E269</formula1>
    </dataValidation>
    <dataValidation errorStyle="warning" showErrorMessage="1" sqref="T67:U67" allowBlank="1" type="list">
      <formula1>'.theme-calc, CCCS'!A2:A125</formula1>
    </dataValidation>
    <dataValidation errorStyle="warning" showErrorMessage="1" sqref="V67:W67" allowBlank="1" type="list">
      <formula1>'.sector-calc, CCCS'!B3:B139</formula1>
    </dataValidation>
    <dataValidation errorStyle="warning" showErrorMessage="1" sqref="X67:Y67" allowBlank="1" type="list">
      <formula1>'.theme-calc, IFC'!A2:A53</formula1>
    </dataValidation>
    <dataValidation errorStyle="warning" showErrorMessage="1" sqref="Z67" allowBlank="1" type="list">
      <formula1>'.sector-calc, IFC'!B3:B70</formula1>
    </dataValidation>
    <dataValidation errorStyle="warning" showErrorMessage="1" sqref="F68" allowBlank="1" type="list">
      <formula1>'.country-calc, CCCS'!E4:E269</formula1>
    </dataValidation>
    <dataValidation errorStyle="warning" showErrorMessage="1" sqref="T68:U68" allowBlank="1" type="list">
      <formula1>'.theme-calc, CCCS'!A2:A125</formula1>
    </dataValidation>
    <dataValidation errorStyle="warning" showErrorMessage="1" sqref="V68:W68" allowBlank="1" type="list">
      <formula1>'.sector-calc, CCCS'!B3:B139</formula1>
    </dataValidation>
    <dataValidation errorStyle="warning" showErrorMessage="1" sqref="X68:Y68" allowBlank="1" type="list">
      <formula1>'.theme-calc, IFC'!A2:A53</formula1>
    </dataValidation>
    <dataValidation errorStyle="warning" showErrorMessage="1" sqref="Z68" allowBlank="1" type="list">
      <formula1>'.sector-calc, IFC'!B3:B70</formula1>
    </dataValidation>
    <dataValidation errorStyle="warning" showErrorMessage="1" sqref="F69" allowBlank="1" type="list">
      <formula1>'.country-calc, CCCS'!E4:E269</formula1>
    </dataValidation>
    <dataValidation errorStyle="warning" showErrorMessage="1" sqref="T69:U69" allowBlank="1" type="list">
      <formula1>'.theme-calc, CCCS'!A2:A125</formula1>
    </dataValidation>
    <dataValidation errorStyle="warning" showErrorMessage="1" sqref="V69:W69" allowBlank="1" type="list">
      <formula1>'.sector-calc, CCCS'!B3:B139</formula1>
    </dataValidation>
    <dataValidation errorStyle="warning" showErrorMessage="1" sqref="X69:Y69" allowBlank="1" type="list">
      <formula1>'.theme-calc, IFC'!A2:A53</formula1>
    </dataValidation>
    <dataValidation errorStyle="warning" showErrorMessage="1" sqref="Z69" allowBlank="1" type="list">
      <formula1>'.sector-calc, IFC'!B3:B70</formula1>
    </dataValidation>
    <dataValidation errorStyle="warning" showErrorMessage="1" sqref="F70" allowBlank="1" type="list">
      <formula1>'.country-calc, CCCS'!E4:E269</formula1>
    </dataValidation>
    <dataValidation errorStyle="warning" showErrorMessage="1" sqref="T70:U70" allowBlank="1" type="list">
      <formula1>'.theme-calc, CCCS'!A2:A125</formula1>
    </dataValidation>
    <dataValidation errorStyle="warning" showErrorMessage="1" sqref="V70:W70" allowBlank="1" type="list">
      <formula1>'.sector-calc, CCCS'!B3:B139</formula1>
    </dataValidation>
    <dataValidation errorStyle="warning" showErrorMessage="1" sqref="X70:Y70" allowBlank="1" type="list">
      <formula1>'.theme-calc, IFC'!A2:A53</formula1>
    </dataValidation>
    <dataValidation errorStyle="warning" showErrorMessage="1" sqref="Z70" allowBlank="1" type="list">
      <formula1>'.sector-calc, IFC'!B3:B70</formula1>
    </dataValidation>
    <dataValidation errorStyle="warning" showErrorMessage="1" sqref="F71" allowBlank="1" type="list">
      <formula1>'.country-calc, CCCS'!E4:E269</formula1>
    </dataValidation>
    <dataValidation errorStyle="warning" showErrorMessage="1" sqref="T71:U71" allowBlank="1" type="list">
      <formula1>'.theme-calc, CCCS'!A2:A125</formula1>
    </dataValidation>
    <dataValidation errorStyle="warning" showErrorMessage="1" sqref="V71:W71" allowBlank="1" type="list">
      <formula1>'.sector-calc, CCCS'!B3:B139</formula1>
    </dataValidation>
    <dataValidation errorStyle="warning" showErrorMessage="1" sqref="X71:Y71" allowBlank="1" type="list">
      <formula1>'.theme-calc, IFC'!A2:A53</formula1>
    </dataValidation>
    <dataValidation errorStyle="warning" showErrorMessage="1" sqref="Z71" allowBlank="1" type="list">
      <formula1>'.sector-calc, IFC'!B3:B70</formula1>
    </dataValidation>
    <dataValidation errorStyle="warning" showErrorMessage="1" sqref="F72" allowBlank="1" type="list">
      <formula1>'.country-calc, CCCS'!E4:E269</formula1>
    </dataValidation>
    <dataValidation errorStyle="warning" showErrorMessage="1" sqref="T72:U72" allowBlank="1" type="list">
      <formula1>'.theme-calc, CCCS'!A2:A125</formula1>
    </dataValidation>
    <dataValidation errorStyle="warning" showErrorMessage="1" sqref="V72:W72" allowBlank="1" type="list">
      <formula1>'.sector-calc, CCCS'!B3:B139</formula1>
    </dataValidation>
    <dataValidation errorStyle="warning" showErrorMessage="1" sqref="X72:Y72" allowBlank="1" type="list">
      <formula1>'.theme-calc, IFC'!A2:A53</formula1>
    </dataValidation>
    <dataValidation errorStyle="warning" showErrorMessage="1" sqref="Z72" allowBlank="1" type="list">
      <formula1>'.sector-calc, IFC'!B3:B70</formula1>
    </dataValidation>
    <dataValidation errorStyle="warning" showErrorMessage="1" sqref="F73" allowBlank="1" type="list">
      <formula1>'.country-calc, CCCS'!E4:E269</formula1>
    </dataValidation>
    <dataValidation errorStyle="warning" showErrorMessage="1" sqref="T73:U73" allowBlank="1" type="list">
      <formula1>'.theme-calc, CCCS'!A2:A125</formula1>
    </dataValidation>
    <dataValidation errorStyle="warning" showErrorMessage="1" sqref="V73:W73" allowBlank="1" type="list">
      <formula1>'.sector-calc, CCCS'!B3:B139</formula1>
    </dataValidation>
    <dataValidation errorStyle="warning" showErrorMessage="1" sqref="X73:Y73" allowBlank="1" type="list">
      <formula1>'.theme-calc, IFC'!A2:A53</formula1>
    </dataValidation>
    <dataValidation errorStyle="warning" showErrorMessage="1" sqref="Z73" allowBlank="1" type="list">
      <formula1>'.sector-calc, IFC'!B3:B70</formula1>
    </dataValidation>
    <dataValidation errorStyle="warning" showErrorMessage="1" sqref="F74" allowBlank="1" type="list">
      <formula1>'.country-calc, CCCS'!E4:E269</formula1>
    </dataValidation>
    <dataValidation errorStyle="warning" showErrorMessage="1" sqref="T74:U74" allowBlank="1" type="list">
      <formula1>'.theme-calc, CCCS'!A2:A125</formula1>
    </dataValidation>
    <dataValidation errorStyle="warning" showErrorMessage="1" sqref="V74:W74" allowBlank="1" type="list">
      <formula1>'.sector-calc, CCCS'!B3:B139</formula1>
    </dataValidation>
    <dataValidation errorStyle="warning" showErrorMessage="1" sqref="X74:Y74" allowBlank="1" type="list">
      <formula1>'.theme-calc, IFC'!A2:A53</formula1>
    </dataValidation>
    <dataValidation errorStyle="warning" showErrorMessage="1" sqref="Z74" allowBlank="1" type="list">
      <formula1>'.sector-calc, IFC'!B3:B70</formula1>
    </dataValidation>
    <dataValidation errorStyle="warning" showErrorMessage="1" sqref="F75" allowBlank="1" type="list">
      <formula1>'.country-calc, CCCS'!E4:E269</formula1>
    </dataValidation>
    <dataValidation errorStyle="warning" showErrorMessage="1" sqref="T75:U75" allowBlank="1" type="list">
      <formula1>'.theme-calc, CCCS'!A2:A125</formula1>
    </dataValidation>
    <dataValidation errorStyle="warning" showErrorMessage="1" sqref="V75:W75" allowBlank="1" type="list">
      <formula1>'.sector-calc, CCCS'!B3:B139</formula1>
    </dataValidation>
    <dataValidation errorStyle="warning" showErrorMessage="1" sqref="X75:Y75" allowBlank="1" type="list">
      <formula1>'.theme-calc, IFC'!A2:A53</formula1>
    </dataValidation>
    <dataValidation errorStyle="warning" showErrorMessage="1" sqref="Z75" allowBlank="1" type="list">
      <formula1>'.sector-calc, IFC'!B3:B70</formula1>
    </dataValidation>
    <dataValidation errorStyle="warning" showErrorMessage="1" sqref="F76" allowBlank="1" type="list">
      <formula1>'.country-calc, CCCS'!E4:E269</formula1>
    </dataValidation>
    <dataValidation errorStyle="warning" showErrorMessage="1" sqref="T76:U76" allowBlank="1" type="list">
      <formula1>'.theme-calc, CCCS'!A2:A125</formula1>
    </dataValidation>
    <dataValidation errorStyle="warning" showErrorMessage="1" sqref="V76:W76" allowBlank="1" type="list">
      <formula1>'.sector-calc, CCCS'!B3:B139</formula1>
    </dataValidation>
    <dataValidation errorStyle="warning" showErrorMessage="1" sqref="X76:Y76" allowBlank="1" type="list">
      <formula1>'.theme-calc, IFC'!A2:A53</formula1>
    </dataValidation>
    <dataValidation errorStyle="warning" showErrorMessage="1" sqref="Z76" allowBlank="1" type="list">
      <formula1>'.sector-calc, IFC'!B3:B70</formula1>
    </dataValidation>
    <dataValidation errorStyle="warning" showErrorMessage="1" sqref="F77" allowBlank="1" type="list">
      <formula1>'.country-calc, CCCS'!E4:E269</formula1>
    </dataValidation>
    <dataValidation errorStyle="warning" showErrorMessage="1" sqref="T77:U77" allowBlank="1" type="list">
      <formula1>'.theme-calc, CCCS'!A2:A125</formula1>
    </dataValidation>
    <dataValidation errorStyle="warning" showErrorMessage="1" sqref="V77:W77" allowBlank="1" type="list">
      <formula1>'.sector-calc, CCCS'!B3:B139</formula1>
    </dataValidation>
    <dataValidation errorStyle="warning" showErrorMessage="1" sqref="X77:Y77" allowBlank="1" type="list">
      <formula1>'.theme-calc, IFC'!A2:A53</formula1>
    </dataValidation>
    <dataValidation errorStyle="warning" showErrorMessage="1" sqref="Z77" allowBlank="1" type="list">
      <formula1>'.sector-calc, IFC'!B3:B70</formula1>
    </dataValidation>
    <dataValidation errorStyle="warning" showErrorMessage="1" sqref="F78" allowBlank="1" type="list">
      <formula1>'.country-calc, CCCS'!E4:E269</formula1>
    </dataValidation>
    <dataValidation errorStyle="warning" showErrorMessage="1" sqref="T78:U78" allowBlank="1" type="list">
      <formula1>'.theme-calc, CCCS'!A2:A125</formula1>
    </dataValidation>
    <dataValidation errorStyle="warning" showErrorMessage="1" sqref="V78:W78" allowBlank="1" type="list">
      <formula1>'.sector-calc, CCCS'!B3:B139</formula1>
    </dataValidation>
    <dataValidation errorStyle="warning" showErrorMessage="1" sqref="X78:Y78" allowBlank="1" type="list">
      <formula1>'.theme-calc, IFC'!A2:A53</formula1>
    </dataValidation>
    <dataValidation errorStyle="warning" showErrorMessage="1" sqref="Z78" allowBlank="1" type="list">
      <formula1>'.sector-calc, IFC'!B3:B70</formula1>
    </dataValidation>
    <dataValidation errorStyle="warning" showErrorMessage="1" sqref="F79" allowBlank="1" type="list">
      <formula1>'.country-calc, CCCS'!E4:E269</formula1>
    </dataValidation>
    <dataValidation errorStyle="warning" showErrorMessage="1" sqref="T79:U79" allowBlank="1" type="list">
      <formula1>'.theme-calc, CCCS'!A2:A125</formula1>
    </dataValidation>
    <dataValidation errorStyle="warning" showErrorMessage="1" sqref="V79:W79" allowBlank="1" type="list">
      <formula1>'.sector-calc, CCCS'!B3:B139</formula1>
    </dataValidation>
    <dataValidation errorStyle="warning" showErrorMessage="1" sqref="X79:Y79" allowBlank="1" type="list">
      <formula1>'.theme-calc, IFC'!A2:A53</formula1>
    </dataValidation>
    <dataValidation errorStyle="warning" showErrorMessage="1" sqref="Z79" allowBlank="1" type="list">
      <formula1>'.sector-calc, IFC'!B3:B70</formula1>
    </dataValidation>
    <dataValidation errorStyle="warning" showErrorMessage="1" sqref="F80" allowBlank="1" type="list">
      <formula1>'.country-calc, CCCS'!E4:E269</formula1>
    </dataValidation>
    <dataValidation errorStyle="warning" showErrorMessage="1" sqref="T80:U80" allowBlank="1" type="list">
      <formula1>'.theme-calc, CCCS'!A2:A125</formula1>
    </dataValidation>
    <dataValidation errorStyle="warning" showErrorMessage="1" sqref="V80:W80" allowBlank="1" type="list">
      <formula1>'.sector-calc, CCCS'!B3:B139</formula1>
    </dataValidation>
    <dataValidation errorStyle="warning" showErrorMessage="1" sqref="X80:Y80" allowBlank="1" type="list">
      <formula1>'.theme-calc, IFC'!A2:A53</formula1>
    </dataValidation>
    <dataValidation errorStyle="warning" showErrorMessage="1" sqref="Z80" allowBlank="1" type="list">
      <formula1>'.sector-calc, IFC'!B3:B70</formula1>
    </dataValidation>
    <dataValidation errorStyle="warning" showErrorMessage="1" sqref="F81" allowBlank="1" type="list">
      <formula1>'.country-calc, CCCS'!E4:E269</formula1>
    </dataValidation>
    <dataValidation errorStyle="warning" showErrorMessage="1" sqref="T81:U81" allowBlank="1" type="list">
      <formula1>'.theme-calc, CCCS'!A2:A125</formula1>
    </dataValidation>
    <dataValidation errorStyle="warning" showErrorMessage="1" sqref="V81:W81" allowBlank="1" type="list">
      <formula1>'.sector-calc, CCCS'!B3:B139</formula1>
    </dataValidation>
    <dataValidation errorStyle="warning" showErrorMessage="1" sqref="X81:Y81" allowBlank="1" type="list">
      <formula1>'.theme-calc, IFC'!A2:A53</formula1>
    </dataValidation>
    <dataValidation errorStyle="warning" showErrorMessage="1" sqref="Z81" allowBlank="1" type="list">
      <formula1>'.sector-calc, IFC'!B3:B70</formula1>
    </dataValidation>
    <dataValidation errorStyle="warning" showErrorMessage="1" sqref="F82" allowBlank="1" type="list">
      <formula1>'.country-calc, CCCS'!E4:E269</formula1>
    </dataValidation>
    <dataValidation errorStyle="warning" showErrorMessage="1" sqref="T82:U82" allowBlank="1" type="list">
      <formula1>'.theme-calc, CCCS'!A2:A125</formula1>
    </dataValidation>
    <dataValidation errorStyle="warning" showErrorMessage="1" sqref="V82:W82" allowBlank="1" type="list">
      <formula1>'.sector-calc, CCCS'!B3:B139</formula1>
    </dataValidation>
    <dataValidation errorStyle="warning" showErrorMessage="1" sqref="X82:Y82" allowBlank="1" type="list">
      <formula1>'.theme-calc, IFC'!A2:A53</formula1>
    </dataValidation>
    <dataValidation errorStyle="warning" showErrorMessage="1" sqref="Z82" allowBlank="1" type="list">
      <formula1>'.sector-calc, IFC'!B3:B70</formula1>
    </dataValidation>
    <dataValidation errorStyle="warning" showErrorMessage="1" sqref="F83" allowBlank="1" type="list">
      <formula1>'.country-calc, CCCS'!E4:E269</formula1>
    </dataValidation>
    <dataValidation errorStyle="warning" showErrorMessage="1" sqref="T83:U83" allowBlank="1" type="list">
      <formula1>'.theme-calc, CCCS'!A2:A125</formula1>
    </dataValidation>
    <dataValidation errorStyle="warning" showErrorMessage="1" sqref="V83:W83" allowBlank="1" type="list">
      <formula1>'.sector-calc, CCCS'!B3:B139</formula1>
    </dataValidation>
    <dataValidation errorStyle="warning" showErrorMessage="1" sqref="X83:Y83" allowBlank="1" type="list">
      <formula1>'.theme-calc, IFC'!A2:A53</formula1>
    </dataValidation>
    <dataValidation errorStyle="warning" showErrorMessage="1" sqref="Z83" allowBlank="1" type="list">
      <formula1>'.sector-calc, IFC'!B3:B70</formula1>
    </dataValidation>
    <dataValidation errorStyle="warning" showErrorMessage="1" sqref="F84" allowBlank="1" type="list">
      <formula1>'.country-calc, CCCS'!E4:E269</formula1>
    </dataValidation>
    <dataValidation errorStyle="warning" showErrorMessage="1" sqref="T84:U84" allowBlank="1" type="list">
      <formula1>'.theme-calc, CCCS'!A2:A125</formula1>
    </dataValidation>
    <dataValidation errorStyle="warning" showErrorMessage="1" sqref="V84:W84" allowBlank="1" type="list">
      <formula1>'.sector-calc, CCCS'!B3:B139</formula1>
    </dataValidation>
    <dataValidation errorStyle="warning" showErrorMessage="1" sqref="X84:Y84" allowBlank="1" type="list">
      <formula1>'.theme-calc, IFC'!A2:A53</formula1>
    </dataValidation>
    <dataValidation errorStyle="warning" showErrorMessage="1" sqref="Z84" allowBlank="1" type="list">
      <formula1>'.sector-calc, IFC'!B3:B70</formula1>
    </dataValidation>
    <dataValidation errorStyle="warning" showErrorMessage="1" sqref="F85" allowBlank="1" type="list">
      <formula1>'.country-calc, CCCS'!E4:E269</formula1>
    </dataValidation>
    <dataValidation errorStyle="warning" showErrorMessage="1" sqref="T85:U85" allowBlank="1" type="list">
      <formula1>'.theme-calc, CCCS'!A2:A125</formula1>
    </dataValidation>
    <dataValidation errorStyle="warning" showErrorMessage="1" sqref="V85:W85" allowBlank="1" type="list">
      <formula1>'.sector-calc, CCCS'!B3:B139</formula1>
    </dataValidation>
    <dataValidation errorStyle="warning" showErrorMessage="1" sqref="X85:Y85" allowBlank="1" type="list">
      <formula1>'.theme-calc, IFC'!A2:A53</formula1>
    </dataValidation>
    <dataValidation errorStyle="warning" showErrorMessage="1" sqref="Z85" allowBlank="1" type="list">
      <formula1>'.sector-calc, IFC'!B3:B70</formula1>
    </dataValidation>
    <dataValidation errorStyle="warning" showErrorMessage="1" sqref="F86" allowBlank="1" type="list">
      <formula1>'.country-calc, CCCS'!E4:E269</formula1>
    </dataValidation>
    <dataValidation errorStyle="warning" showErrorMessage="1" sqref="T86:U86" allowBlank="1" type="list">
      <formula1>'.theme-calc, CCCS'!A2:A125</formula1>
    </dataValidation>
    <dataValidation errorStyle="warning" showErrorMessage="1" sqref="V86:W86" allowBlank="1" type="list">
      <formula1>'.sector-calc, CCCS'!B3:B139</formula1>
    </dataValidation>
    <dataValidation errorStyle="warning" showErrorMessage="1" sqref="X86:Y86" allowBlank="1" type="list">
      <formula1>'.theme-calc, IFC'!A2:A53</formula1>
    </dataValidation>
    <dataValidation errorStyle="warning" showErrorMessage="1" sqref="Z86" allowBlank="1" type="list">
      <formula1>'.sector-calc, IFC'!B3:B70</formula1>
    </dataValidation>
    <dataValidation errorStyle="warning" showErrorMessage="1" sqref="F87" allowBlank="1" type="list">
      <formula1>'.country-calc, CCCS'!E4:E269</formula1>
    </dataValidation>
    <dataValidation errorStyle="warning" showErrorMessage="1" sqref="T87:U87" allowBlank="1" type="list">
      <formula1>'.theme-calc, CCCS'!A2:A125</formula1>
    </dataValidation>
    <dataValidation errorStyle="warning" showErrorMessage="1" sqref="V87:W87" allowBlank="1" type="list">
      <formula1>'.sector-calc, CCCS'!B3:B139</formula1>
    </dataValidation>
    <dataValidation errorStyle="warning" showErrorMessage="1" sqref="X87:Y87" allowBlank="1" type="list">
      <formula1>'.theme-calc, IFC'!A2:A53</formula1>
    </dataValidation>
    <dataValidation errorStyle="warning" showErrorMessage="1" sqref="Z87" allowBlank="1" type="list">
      <formula1>'.sector-calc, IFC'!B3:B70</formula1>
    </dataValidation>
    <dataValidation errorStyle="warning" showErrorMessage="1" sqref="F88" allowBlank="1" type="list">
      <formula1>'.country-calc, CCCS'!E4:E269</formula1>
    </dataValidation>
    <dataValidation errorStyle="warning" showErrorMessage="1" sqref="T88:U88" allowBlank="1" type="list">
      <formula1>'.theme-calc, CCCS'!A2:A125</formula1>
    </dataValidation>
    <dataValidation errorStyle="warning" showErrorMessage="1" sqref="V88:W88" allowBlank="1" type="list">
      <formula1>'.sector-calc, CCCS'!B3:B139</formula1>
    </dataValidation>
    <dataValidation errorStyle="warning" showErrorMessage="1" sqref="X88:Y88" allowBlank="1" type="list">
      <formula1>'.theme-calc, IFC'!A2:A53</formula1>
    </dataValidation>
    <dataValidation errorStyle="warning" showErrorMessage="1" sqref="Z88" allowBlank="1" type="list">
      <formula1>'.sector-calc, IFC'!B3:B70</formula1>
    </dataValidation>
    <dataValidation errorStyle="warning" showErrorMessage="1" sqref="F89" allowBlank="1" type="list">
      <formula1>'.country-calc, CCCS'!E4:E269</formula1>
    </dataValidation>
    <dataValidation errorStyle="warning" showErrorMessage="1" sqref="T89:U89" allowBlank="1" type="list">
      <formula1>'.theme-calc, CCCS'!A2:A125</formula1>
    </dataValidation>
    <dataValidation errorStyle="warning" showErrorMessage="1" sqref="V89:W89" allowBlank="1" type="list">
      <formula1>'.sector-calc, CCCS'!B3:B139</formula1>
    </dataValidation>
    <dataValidation errorStyle="warning" showErrorMessage="1" sqref="X89:Y89" allowBlank="1" type="list">
      <formula1>'.theme-calc, IFC'!A2:A53</formula1>
    </dataValidation>
    <dataValidation errorStyle="warning" showErrorMessage="1" sqref="Z89" allowBlank="1" type="list">
      <formula1>'.sector-calc, IFC'!B3:B70</formula1>
    </dataValidation>
    <dataValidation errorStyle="warning" showErrorMessage="1" sqref="F90" allowBlank="1" type="list">
      <formula1>'.country-calc, CCCS'!E4:E269</formula1>
    </dataValidation>
    <dataValidation errorStyle="warning" showErrorMessage="1" sqref="T90:U90" allowBlank="1" type="list">
      <formula1>'.theme-calc, CCCS'!A2:A125</formula1>
    </dataValidation>
    <dataValidation errorStyle="warning" showErrorMessage="1" sqref="V90:W90" allowBlank="1" type="list">
      <formula1>'.sector-calc, CCCS'!B3:B139</formula1>
    </dataValidation>
    <dataValidation errorStyle="warning" showErrorMessage="1" sqref="X90:Y90" allowBlank="1" type="list">
      <formula1>'.theme-calc, IFC'!A2:A53</formula1>
    </dataValidation>
    <dataValidation errorStyle="warning" showErrorMessage="1" sqref="Z90" allowBlank="1" type="list">
      <formula1>'.sector-calc, IFC'!B3:B70</formula1>
    </dataValidation>
    <dataValidation errorStyle="warning" showErrorMessage="1" sqref="F91" allowBlank="1" type="list">
      <formula1>'.country-calc, CCCS'!E4:E269</formula1>
    </dataValidation>
    <dataValidation errorStyle="warning" showErrorMessage="1" sqref="T91:U91" allowBlank="1" type="list">
      <formula1>'.theme-calc, CCCS'!A2:A125</formula1>
    </dataValidation>
    <dataValidation errorStyle="warning" showErrorMessage="1" sqref="V91:W91" allowBlank="1" type="list">
      <formula1>'.sector-calc, CCCS'!B3:B139</formula1>
    </dataValidation>
    <dataValidation errorStyle="warning" showErrorMessage="1" sqref="X91:Y91" allowBlank="1" type="list">
      <formula1>'.theme-calc, IFC'!A2:A53</formula1>
    </dataValidation>
    <dataValidation errorStyle="warning" showErrorMessage="1" sqref="Z91" allowBlank="1" type="list">
      <formula1>'.sector-calc, IFC'!B3:B70</formula1>
    </dataValidation>
    <dataValidation errorStyle="warning" showErrorMessage="1" sqref="F92" allowBlank="1" type="list">
      <formula1>'.country-calc, CCCS'!E4:E269</formula1>
    </dataValidation>
    <dataValidation errorStyle="warning" showErrorMessage="1" sqref="T92:U92" allowBlank="1" type="list">
      <formula1>'.theme-calc, CCCS'!A2:A125</formula1>
    </dataValidation>
    <dataValidation errorStyle="warning" showErrorMessage="1" sqref="V92:W92" allowBlank="1" type="list">
      <formula1>'.sector-calc, CCCS'!B3:B139</formula1>
    </dataValidation>
    <dataValidation errorStyle="warning" showErrorMessage="1" sqref="X92:Y92" allowBlank="1" type="list">
      <formula1>'.theme-calc, IFC'!A2:A53</formula1>
    </dataValidation>
    <dataValidation errorStyle="warning" showErrorMessage="1" sqref="Z92" allowBlank="1" type="list">
      <formula1>'.sector-calc, IFC'!B3:B70</formula1>
    </dataValidation>
    <dataValidation errorStyle="warning" showErrorMessage="1" sqref="F93" allowBlank="1" type="list">
      <formula1>'.country-calc, CCCS'!E4:E269</formula1>
    </dataValidation>
    <dataValidation errorStyle="warning" showErrorMessage="1" sqref="T93:U93" allowBlank="1" type="list">
      <formula1>'.theme-calc, CCCS'!A2:A125</formula1>
    </dataValidation>
    <dataValidation errorStyle="warning" showErrorMessage="1" sqref="V93:W93" allowBlank="1" type="list">
      <formula1>'.sector-calc, CCCS'!B3:B139</formula1>
    </dataValidation>
    <dataValidation errorStyle="warning" showErrorMessage="1" sqref="X93:Y93" allowBlank="1" type="list">
      <formula1>'.theme-calc, IFC'!A2:A53</formula1>
    </dataValidation>
    <dataValidation errorStyle="warning" showErrorMessage="1" sqref="Z93" allowBlank="1" type="list">
      <formula1>'.sector-calc, IFC'!B3:B70</formula1>
    </dataValidation>
    <dataValidation errorStyle="warning" showErrorMessage="1" sqref="F94" allowBlank="1" type="list">
      <formula1>'.country-calc, CCCS'!E4:E269</formula1>
    </dataValidation>
    <dataValidation errorStyle="warning" showErrorMessage="1" sqref="T94:U94" allowBlank="1" type="list">
      <formula1>'.theme-calc, CCCS'!A2:A125</formula1>
    </dataValidation>
    <dataValidation errorStyle="warning" showErrorMessage="1" sqref="V94:W94" allowBlank="1" type="list">
      <formula1>'.sector-calc, CCCS'!B3:B139</formula1>
    </dataValidation>
    <dataValidation errorStyle="warning" showErrorMessage="1" sqref="X94:Y94" allowBlank="1" type="list">
      <formula1>'.theme-calc, IFC'!A2:A53</formula1>
    </dataValidation>
    <dataValidation errorStyle="warning" showErrorMessage="1" sqref="Z94" allowBlank="1" type="list">
      <formula1>'.sector-calc, IFC'!B3:B70</formula1>
    </dataValidation>
    <dataValidation errorStyle="warning" showErrorMessage="1" sqref="F95" allowBlank="1" type="list">
      <formula1>'.country-calc, CCCS'!E4:E269</formula1>
    </dataValidation>
    <dataValidation errorStyle="warning" showErrorMessage="1" sqref="T95:U95" allowBlank="1" type="list">
      <formula1>'.theme-calc, CCCS'!A2:A125</formula1>
    </dataValidation>
    <dataValidation errorStyle="warning" showErrorMessage="1" sqref="V95:W95" allowBlank="1" type="list">
      <formula1>'.sector-calc, CCCS'!B3:B139</formula1>
    </dataValidation>
    <dataValidation errorStyle="warning" showErrorMessage="1" sqref="X95:Y95" allowBlank="1" type="list">
      <formula1>'.theme-calc, IFC'!A2:A53</formula1>
    </dataValidation>
    <dataValidation errorStyle="warning" showErrorMessage="1" sqref="Z95" allowBlank="1" type="list">
      <formula1>'.sector-calc, IFC'!B3:B70</formula1>
    </dataValidation>
    <dataValidation errorStyle="warning" showErrorMessage="1" sqref="F96" allowBlank="1" type="list">
      <formula1>'.country-calc, CCCS'!E4:E269</formula1>
    </dataValidation>
    <dataValidation errorStyle="warning" showErrorMessage="1" sqref="T96:U96" allowBlank="1" type="list">
      <formula1>'.theme-calc, CCCS'!A2:A125</formula1>
    </dataValidation>
    <dataValidation errorStyle="warning" showErrorMessage="1" sqref="V96:W96" allowBlank="1" type="list">
      <formula1>'.sector-calc, CCCS'!B3:B139</formula1>
    </dataValidation>
    <dataValidation errorStyle="warning" showErrorMessage="1" sqref="X96:Y96" allowBlank="1" type="list">
      <formula1>'.theme-calc, IFC'!A2:A53</formula1>
    </dataValidation>
    <dataValidation errorStyle="warning" showErrorMessage="1" sqref="Z96" allowBlank="1" type="list">
      <formula1>'.sector-calc, IFC'!B3:B70</formula1>
    </dataValidation>
    <dataValidation errorStyle="warning" showErrorMessage="1" sqref="F97" allowBlank="1" type="list">
      <formula1>'.country-calc, CCCS'!E4:E269</formula1>
    </dataValidation>
    <dataValidation errorStyle="warning" showErrorMessage="1" sqref="T97:U97" allowBlank="1" type="list">
      <formula1>'.theme-calc, CCCS'!A2:A125</formula1>
    </dataValidation>
    <dataValidation errorStyle="warning" showErrorMessage="1" sqref="V97:W97" allowBlank="1" type="list">
      <formula1>'.sector-calc, CCCS'!B3:B139</formula1>
    </dataValidation>
    <dataValidation errorStyle="warning" showErrorMessage="1" sqref="X97:Y97" allowBlank="1" type="list">
      <formula1>'.theme-calc, IFC'!A2:A53</formula1>
    </dataValidation>
    <dataValidation errorStyle="warning" showErrorMessage="1" sqref="Z97" allowBlank="1" type="list">
      <formula1>'.sector-calc, IFC'!B3:B70</formula1>
    </dataValidation>
    <dataValidation errorStyle="warning" showErrorMessage="1" sqref="F98" allowBlank="1" type="list">
      <formula1>'.country-calc, CCCS'!E4:E269</formula1>
    </dataValidation>
    <dataValidation errorStyle="warning" showErrorMessage="1" sqref="T98:U98" allowBlank="1" type="list">
      <formula1>'.theme-calc, CCCS'!A2:A125</formula1>
    </dataValidation>
    <dataValidation errorStyle="warning" showErrorMessage="1" sqref="V98:W98" allowBlank="1" type="list">
      <formula1>'.sector-calc, CCCS'!B3:B139</formula1>
    </dataValidation>
    <dataValidation errorStyle="warning" showErrorMessage="1" sqref="X98:Y98" allowBlank="1" type="list">
      <formula1>'.theme-calc, IFC'!A2:A53</formula1>
    </dataValidation>
    <dataValidation errorStyle="warning" showErrorMessage="1" sqref="Z98" allowBlank="1" type="list">
      <formula1>'.sector-calc, IFC'!B3:B70</formula1>
    </dataValidation>
    <dataValidation errorStyle="warning" showErrorMessage="1" sqref="F99" allowBlank="1" type="list">
      <formula1>'.country-calc, CCCS'!E4:E269</formula1>
    </dataValidation>
    <dataValidation errorStyle="warning" showErrorMessage="1" sqref="T99:U99" allowBlank="1" type="list">
      <formula1>'.theme-calc, CCCS'!A2:A125</formula1>
    </dataValidation>
    <dataValidation errorStyle="warning" showErrorMessage="1" sqref="V99:W99" allowBlank="1" type="list">
      <formula1>'.sector-calc, CCCS'!B3:B139</formula1>
    </dataValidation>
    <dataValidation errorStyle="warning" showErrorMessage="1" sqref="X99:Y99" allowBlank="1" type="list">
      <formula1>'.theme-calc, IFC'!A2:A53</formula1>
    </dataValidation>
    <dataValidation errorStyle="warning" showErrorMessage="1" sqref="Z99" allowBlank="1" type="list">
      <formula1>'.sector-calc, IFC'!B3:B70</formula1>
    </dataValidation>
    <dataValidation errorStyle="warning" showErrorMessage="1" sqref="F100" allowBlank="1" type="list">
      <formula1>'.country-calc, CCCS'!E4:E269</formula1>
    </dataValidation>
    <dataValidation errorStyle="warning" showErrorMessage="1" sqref="T100:U100" allowBlank="1" type="list">
      <formula1>'.theme-calc, CCCS'!A2:A125</formula1>
    </dataValidation>
    <dataValidation errorStyle="warning" showErrorMessage="1" sqref="V100:W100" allowBlank="1" type="list">
      <formula1>'.sector-calc, CCCS'!B3:B139</formula1>
    </dataValidation>
    <dataValidation errorStyle="warning" showErrorMessage="1" sqref="X100:Y100" allowBlank="1" type="list">
      <formula1>'.theme-calc, IFC'!A2:A53</formula1>
    </dataValidation>
    <dataValidation errorStyle="warning" showErrorMessage="1" sqref="Z100" allowBlank="1" type="list">
      <formula1>'.sector-calc, IFC'!B3:B70</formula1>
    </dataValidation>
  </dataValidation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A2" ySplit="1.0" activePane="bottomLeft" state="frozen"/>
      <selection sqref="A2" activeCell="A2" pane="bottomLeft"/>
    </sheetView>
  </sheetViews>
  <sheetFormatPr customHeight="1" defaultColWidth="17.14" defaultRowHeight="12.75"/>
  <cols>
    <col min="2" customWidth="1" max="2" width="21.29"/>
    <col min="3" customWidth="1" max="3" width="22.0"/>
    <col min="4" customWidth="1" max="4" width="39.57"/>
    <col min="5" customWidth="1" max="5" width="57.43"/>
    <col min="6" customWidth="1" max="6" width="21.86"/>
  </cols>
  <sheetData>
    <row r="1">
      <c t="s" s="82" r="A1">
        <v>153</v>
      </c>
      <c t="s" s="82" r="B1">
        <v>154</v>
      </c>
      <c t="s" s="82" r="C1">
        <v>155</v>
      </c>
      <c t="s" s="82" r="D1">
        <v>156</v>
      </c>
      <c t="s" s="82" r="E1">
        <v>157</v>
      </c>
      <c t="s" s="82" r="F1">
        <v>158</v>
      </c>
    </row>
    <row r="2">
      <c s="52" r="A2">
        <v>2011</v>
      </c>
      <c t="s" s="52" r="B2">
        <v>159</v>
      </c>
      <c t="s" s="52" r="C2">
        <v>160</v>
      </c>
      <c t="s" s="52" r="D2">
        <v>161</v>
      </c>
      <c t="s" s="52" r="E2">
        <v>162</v>
      </c>
      <c t="s" s="52" r="F2">
        <v>163</v>
      </c>
    </row>
    <row r="3">
      <c s="52" r="A3">
        <v>2010</v>
      </c>
      <c t="s" s="52" r="B3">
        <v>159</v>
      </c>
      <c t="s" s="52" r="C3">
        <v>164</v>
      </c>
      <c t="s" s="52" r="D3">
        <v>165</v>
      </c>
      <c t="s" s="52" r="E3">
        <v>166</v>
      </c>
      <c t="s" s="52" r="F3">
        <v>167</v>
      </c>
    </row>
    <row r="4">
      <c s="52" r="A4">
        <v>2010</v>
      </c>
      <c t="s" s="52" r="B4">
        <v>159</v>
      </c>
      <c t="s" s="52" r="C4">
        <v>160</v>
      </c>
      <c t="s" s="52" r="D4">
        <v>168</v>
      </c>
      <c t="s" s="52" r="E4">
        <v>169</v>
      </c>
      <c t="s" s="52" r="F4">
        <v>170</v>
      </c>
    </row>
    <row r="5">
      <c s="52" r="A5">
        <v>2009</v>
      </c>
      <c t="s" s="52" r="B5">
        <v>159</v>
      </c>
      <c t="s" s="52" r="C5">
        <v>171</v>
      </c>
      <c t="s" s="52" r="D5">
        <v>172</v>
      </c>
      <c t="s" s="52" r="E5">
        <v>173</v>
      </c>
      <c t="s" s="52" r="F5">
        <v>174</v>
      </c>
    </row>
    <row r="6">
      <c s="52" r="A6">
        <v>2010</v>
      </c>
      <c t="s" s="52" r="B6">
        <v>175</v>
      </c>
      <c t="s" s="52" r="C6">
        <v>160</v>
      </c>
      <c t="s" s="52" r="D6">
        <v>176</v>
      </c>
      <c t="s" s="52" r="E6">
        <v>177</v>
      </c>
      <c s="52" r="F6"/>
    </row>
    <row r="7">
      <c s="52" r="A7">
        <v>2010</v>
      </c>
      <c t="s" s="52" r="B7">
        <v>175</v>
      </c>
      <c t="s" s="52" r="C7">
        <v>160</v>
      </c>
      <c t="s" s="52" r="D7">
        <v>178</v>
      </c>
      <c t="s" s="52" r="E7">
        <v>177</v>
      </c>
      <c s="52" r="F7"/>
    </row>
    <row r="8">
      <c s="52" r="A8">
        <v>2010</v>
      </c>
      <c t="s" s="52" r="B8">
        <v>175</v>
      </c>
      <c t="s" s="52" r="C8">
        <v>160</v>
      </c>
      <c t="s" s="52" r="D8">
        <v>179</v>
      </c>
      <c t="s" s="52" r="E8">
        <v>180</v>
      </c>
      <c s="52" r="F8"/>
    </row>
    <row r="9">
      <c s="52" r="A9">
        <v>2010</v>
      </c>
      <c t="s" s="52" r="B9">
        <v>175</v>
      </c>
      <c t="s" s="52" r="C9">
        <v>160</v>
      </c>
      <c t="s" s="52" r="D9">
        <v>181</v>
      </c>
      <c t="s" s="52" r="E9">
        <v>182</v>
      </c>
      <c s="52" r="F9"/>
    </row>
    <row r="10">
      <c s="52" r="A10">
        <v>2009</v>
      </c>
      <c t="s" s="52" r="B10">
        <v>175</v>
      </c>
      <c t="s" s="52" r="C10">
        <v>160</v>
      </c>
      <c t="s" s="52" r="D10">
        <v>183</v>
      </c>
      <c t="s" s="52" r="E10">
        <v>184</v>
      </c>
      <c s="52" r="F10"/>
    </row>
    <row r="11">
      <c s="52" r="A11">
        <v>2009</v>
      </c>
      <c t="s" s="52" r="B11">
        <v>175</v>
      </c>
      <c t="s" s="52" r="C11">
        <v>160</v>
      </c>
      <c t="s" s="52" r="D11">
        <v>185</v>
      </c>
      <c t="s" s="52" r="E11">
        <v>186</v>
      </c>
      <c s="52" r="F11"/>
    </row>
    <row r="12">
      <c s="52" r="A12">
        <v>2011</v>
      </c>
      <c t="s" s="52" r="B12">
        <v>187</v>
      </c>
      <c t="s" s="52" r="C12">
        <v>164</v>
      </c>
      <c t="s" s="52" r="D12">
        <v>188</v>
      </c>
      <c t="s" s="52" r="E12">
        <v>189</v>
      </c>
      <c s="52" r="F12"/>
    </row>
    <row r="13">
      <c s="52" r="A13">
        <v>2008</v>
      </c>
      <c t="s" s="52" r="B13">
        <v>187</v>
      </c>
      <c t="s" s="52" r="C13">
        <v>190</v>
      </c>
      <c t="s" s="52" r="D13">
        <v>191</v>
      </c>
      <c t="s" s="52" r="E13">
        <v>192</v>
      </c>
      <c s="52" r="F13"/>
    </row>
    <row r="14">
      <c s="52" r="A14">
        <v>2008</v>
      </c>
      <c t="s" s="52" r="B14">
        <v>187</v>
      </c>
      <c t="s" s="52" r="C14">
        <v>193</v>
      </c>
      <c t="s" s="52" r="D14">
        <v>194</v>
      </c>
      <c t="s" s="52" r="E14">
        <v>195</v>
      </c>
      <c s="52" r="F14"/>
    </row>
    <row r="15">
      <c s="52" r="A15">
        <v>2007</v>
      </c>
      <c t="s" s="52" r="B15">
        <v>187</v>
      </c>
      <c t="s" s="52" r="C15">
        <v>190</v>
      </c>
      <c t="s" s="52" r="D15">
        <v>196</v>
      </c>
      <c t="s" s="52" r="E15">
        <v>197</v>
      </c>
      <c s="52" r="F15"/>
    </row>
    <row r="16">
      <c s="52" r="A16">
        <v>2007</v>
      </c>
      <c t="s" s="52" r="B16">
        <v>187</v>
      </c>
      <c t="s" s="52" r="C16">
        <v>193</v>
      </c>
      <c t="s" s="52" r="D16">
        <v>198</v>
      </c>
      <c t="s" s="52" r="E16">
        <v>199</v>
      </c>
      <c s="52" r="F16"/>
    </row>
    <row r="17">
      <c s="52" r="A17">
        <v>2007</v>
      </c>
      <c t="s" s="52" r="B17">
        <v>187</v>
      </c>
      <c t="s" s="52" r="C17">
        <v>193</v>
      </c>
      <c t="s" s="52" r="D17">
        <v>200</v>
      </c>
      <c t="s" s="52" r="E17">
        <v>201</v>
      </c>
      <c s="52" r="F17"/>
    </row>
  </sheetData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A4" ySplit="3.0" activePane="bottomLeft" state="frozen"/>
      <selection sqref="A4" activeCell="A4" pane="bottomLeft"/>
    </sheetView>
  </sheetViews>
  <sheetFormatPr customHeight="1" defaultColWidth="17.14" defaultRowHeight="12.75"/>
  <cols>
    <col min="1" customWidth="1" max="1" width="19.86"/>
    <col min="2" customWidth="1" max="2" width="26.29"/>
    <col min="3" customWidth="1" max="5" width="13.0"/>
    <col min="6" customWidth="1" max="6" width="9.57"/>
    <col min="7" customWidth="1" max="7" width="44.86"/>
    <col min="8" customWidth="1" max="8" width="14.0"/>
  </cols>
  <sheetData>
    <row r="1">
      <c t="s" s="71" r="A1">
        <v>202</v>
      </c>
      <c t="s" s="71" r="B1">
        <v>202</v>
      </c>
      <c t="s" s="53" r="C1">
        <v>203</v>
      </c>
      <c t="s" s="37" r="D1">
        <v>203</v>
      </c>
      <c s="12" r="E1"/>
      <c s="12" r="F1"/>
      <c s="12" r="G1"/>
      <c t="s" s="66" r="H1">
        <v>204</v>
      </c>
      <c s="12" r="I1"/>
      <c s="12" r="J1"/>
      <c s="12" r="K1"/>
      <c s="12" r="L1"/>
      <c s="12" r="M1"/>
      <c s="12" r="N1"/>
      <c s="12" r="O1"/>
      <c s="12" r="P1"/>
      <c s="12" r="Q1"/>
    </row>
    <row r="2">
      <c s="12" r="A2"/>
      <c s="12" r="B2"/>
      <c s="12" r="C2"/>
      <c s="77" r="D2"/>
      <c s="12" r="E2"/>
      <c s="12" r="F2"/>
      <c s="12" r="G2"/>
      <c s="12" r="H2"/>
      <c s="12" r="I2"/>
      <c s="12" r="J2"/>
      <c s="12" r="K2"/>
      <c s="12" r="L2"/>
      <c s="12" r="M2"/>
      <c s="12" r="N2"/>
      <c s="12" r="O2"/>
      <c s="12" r="P2"/>
      <c s="12" r="Q2"/>
    </row>
    <row r="3">
      <c t="s" s="56" r="A3">
        <v>205</v>
      </c>
      <c t="s" s="56" r="B3">
        <v>206</v>
      </c>
      <c t="s" s="56" r="C3">
        <v>207</v>
      </c>
      <c t="s" s="2" r="D3">
        <v>208</v>
      </c>
      <c t="s" s="56" r="E3">
        <v>209</v>
      </c>
      <c t="s" s="56" r="F3">
        <v>210</v>
      </c>
      <c t="s" s="11" r="G3">
        <v>211</v>
      </c>
      <c t="s" s="5" r="H3">
        <v>212</v>
      </c>
      <c s="52" r="I3"/>
      <c s="52" r="J3"/>
      <c s="52" r="K3"/>
      <c s="52" r="L3"/>
      <c s="52" r="M3"/>
      <c s="52" r="N3"/>
      <c s="52" r="O3"/>
      <c s="52" r="P3"/>
      <c s="52" r="Q3"/>
    </row>
    <row r="4">
      <c t="s" s="52" r="A4">
        <v>213</v>
      </c>
      <c t="s" s="52" r="B4">
        <v>213</v>
      </c>
      <c t="s" s="67" r="C4">
        <v>214</v>
      </c>
      <c t="s" s="70" r="D4">
        <v>215</v>
      </c>
      <c t="s" s="52" r="E4">
        <v>216</v>
      </c>
      <c t="s" s="52" r="F4">
        <v>214</v>
      </c>
      <c s="52" r="G4"/>
      <c s="12" r="H4">
        <f>COUNTIF(PROJECT!F2:F100, "*AFG*")</f>
        <v>0</v>
      </c>
      <c s="52" r="I4"/>
      <c s="52" r="J4"/>
      <c s="52" r="K4"/>
      <c s="52" r="L4"/>
      <c s="52" r="M4"/>
      <c s="52" r="N4"/>
      <c s="52" r="O4"/>
      <c s="52" r="P4"/>
      <c s="52" r="Q4"/>
    </row>
    <row r="5">
      <c t="s" s="52" r="A5">
        <v>217</v>
      </c>
      <c t="s" s="52" r="B5">
        <v>217</v>
      </c>
      <c s="84" r="C5"/>
      <c t="s" s="70" r="D5">
        <v>218</v>
      </c>
      <c t="s" s="45" r="E5">
        <v>219</v>
      </c>
      <c t="s" s="45" r="F5">
        <v>220</v>
      </c>
      <c s="52" r="G5"/>
      <c s="12" r="H5">
        <f>COUNTIF(PROJECT!F2:F100, "*ALA*")</f>
        <v>0</v>
      </c>
      <c s="52" r="I5"/>
      <c s="52" r="J5"/>
      <c s="52" r="K5"/>
      <c s="52" r="L5"/>
      <c s="52" r="M5"/>
      <c s="52" r="N5"/>
      <c s="52" r="O5"/>
      <c s="52" r="P5"/>
      <c s="52" r="Q5"/>
    </row>
    <row r="6">
      <c t="s" s="52" r="A6">
        <v>221</v>
      </c>
      <c t="s" s="52" r="B6">
        <v>221</v>
      </c>
      <c t="s" s="67" r="C6">
        <v>222</v>
      </c>
      <c t="s" s="70" r="D6">
        <v>223</v>
      </c>
      <c t="s" s="52" r="E6">
        <v>224</v>
      </c>
      <c t="s" s="52" r="F6">
        <v>222</v>
      </c>
      <c s="52" r="G6"/>
      <c s="12" r="H6">
        <f>COUNTIF(PROJECT!F2:F100, "*ALB*")</f>
        <v>0</v>
      </c>
      <c s="52" r="I6"/>
      <c s="52" r="J6"/>
      <c s="52" r="K6"/>
      <c s="52" r="L6"/>
      <c s="52" r="M6"/>
      <c s="52" r="N6"/>
      <c s="52" r="O6"/>
      <c s="52" r="P6"/>
      <c s="52" r="Q6"/>
    </row>
    <row r="7">
      <c t="s" s="52" r="A7">
        <v>225</v>
      </c>
      <c t="s" s="52" r="B7">
        <v>225</v>
      </c>
      <c t="s" s="15" r="C7">
        <v>226</v>
      </c>
      <c t="s" s="70" r="D7">
        <v>227</v>
      </c>
      <c t="s" s="45" r="E7">
        <v>228</v>
      </c>
      <c t="s" s="52" r="F7">
        <v>229</v>
      </c>
      <c s="52" r="G7"/>
      <c s="12" r="H7">
        <f>COUNTIF(PROJECT!F2:F100, "*DZA*")</f>
        <v>0</v>
      </c>
      <c s="52" r="I7"/>
      <c s="52" r="J7"/>
      <c s="52" r="K7"/>
      <c s="52" r="L7"/>
      <c s="52" r="M7"/>
      <c s="52" r="N7"/>
      <c s="52" r="O7"/>
      <c s="52" r="P7"/>
      <c s="52" r="Q7"/>
    </row>
    <row r="8">
      <c t="s" s="52" r="A8">
        <v>230</v>
      </c>
      <c t="s" s="52" r="B8">
        <v>230</v>
      </c>
      <c t="s" s="67" r="C8">
        <v>231</v>
      </c>
      <c t="s" s="70" r="D8">
        <v>232</v>
      </c>
      <c t="s" s="52" r="E8">
        <v>233</v>
      </c>
      <c t="s" s="52" r="F8">
        <v>234</v>
      </c>
      <c s="52" r="G8"/>
      <c s="12" r="H8">
        <f>COUNTIF(PROJECT!F2:F100, "*ASM*")</f>
        <v>0</v>
      </c>
      <c s="52" r="I8"/>
      <c s="52" r="J8"/>
      <c s="52" r="K8"/>
      <c s="52" r="L8"/>
      <c s="52" r="M8"/>
      <c s="52" r="N8"/>
      <c s="52" r="O8"/>
      <c s="52" r="P8"/>
      <c s="52" r="Q8"/>
    </row>
    <row r="9">
      <c t="s" s="52" r="A9">
        <v>235</v>
      </c>
      <c t="s" s="52" r="B9">
        <v>236</v>
      </c>
      <c t="s" s="67" r="C9">
        <v>237</v>
      </c>
      <c t="s" s="70" r="D9">
        <v>238</v>
      </c>
      <c t="s" s="52" r="E9">
        <v>239</v>
      </c>
      <c t="s" s="52" r="F9">
        <v>240</v>
      </c>
      <c s="52" r="G9"/>
      <c s="12" r="H9">
        <f>COUNTIF(PROJECT!F2:F100, "*AND*")</f>
        <v>0</v>
      </c>
      <c s="52" r="I9"/>
      <c s="52" r="J9"/>
      <c s="52" r="K9"/>
      <c s="52" r="L9"/>
      <c s="52" r="M9"/>
      <c s="52" r="N9"/>
      <c s="52" r="O9"/>
      <c s="52" r="P9"/>
      <c s="52" r="Q9"/>
    </row>
    <row r="10">
      <c t="s" s="52" r="A10">
        <v>241</v>
      </c>
      <c t="s" s="52" r="B10">
        <v>241</v>
      </c>
      <c t="s" s="67" r="C10">
        <v>242</v>
      </c>
      <c t="s" s="70" r="D10">
        <v>243</v>
      </c>
      <c t="s" s="52" r="E10">
        <v>244</v>
      </c>
      <c t="s" s="52" r="F10">
        <v>242</v>
      </c>
      <c s="52" r="G10"/>
      <c s="12" r="H10">
        <f>COUNTIF(PROJECT!F2:F100, "*AGO*")</f>
        <v>0</v>
      </c>
      <c s="52" r="I10"/>
      <c s="52" r="J10"/>
      <c s="52" r="K10"/>
      <c s="52" r="L10"/>
      <c s="52" r="M10"/>
      <c s="52" r="N10"/>
      <c s="52" r="O10"/>
      <c s="52" r="P10"/>
      <c s="52" r="Q10"/>
    </row>
    <row r="11">
      <c t="s" s="52" r="A11">
        <v>245</v>
      </c>
      <c t="s" s="52" r="B11">
        <v>245</v>
      </c>
      <c t="s" s="67" r="C11">
        <v>246</v>
      </c>
      <c t="s" s="70" r="D11">
        <v>247</v>
      </c>
      <c t="s" s="52" r="E11">
        <v>248</v>
      </c>
      <c t="s" s="52" r="F11">
        <v>249</v>
      </c>
      <c s="52" r="G11"/>
      <c s="12" r="H11">
        <f>COUNTIF(PROJECT!F2:F100, "*AIA*")</f>
        <v>0</v>
      </c>
      <c s="52" r="I11"/>
      <c s="52" r="J11"/>
      <c s="52" r="K11"/>
      <c s="52" r="L11"/>
      <c s="52" r="M11"/>
      <c s="52" r="N11"/>
      <c s="52" r="O11"/>
      <c s="52" r="P11"/>
      <c s="52" r="Q11"/>
    </row>
    <row r="12">
      <c t="s" s="52" r="A12">
        <v>250</v>
      </c>
      <c t="s" s="52" r="B12">
        <v>250</v>
      </c>
      <c t="s" s="67" r="C12">
        <v>251</v>
      </c>
      <c t="s" s="70" r="D12">
        <v>252</v>
      </c>
      <c t="s" s="52" r="E12">
        <v>253</v>
      </c>
      <c t="s" s="52" r="F12">
        <v>231</v>
      </c>
      <c s="52" r="G12"/>
      <c s="12" r="H12">
        <f>COUNTIF(PROJECT!F2:F100, "*ATA*")</f>
        <v>0</v>
      </c>
      <c s="52" r="I12"/>
      <c s="52" r="J12"/>
      <c s="52" r="K12"/>
      <c s="52" r="L12"/>
      <c s="52" r="M12"/>
      <c s="52" r="N12"/>
      <c s="52" r="O12"/>
      <c s="52" r="P12"/>
      <c s="52" r="Q12"/>
    </row>
    <row r="13">
      <c t="s" s="52" r="A13">
        <v>254</v>
      </c>
      <c t="s" s="52" r="B13">
        <v>255</v>
      </c>
      <c t="s" s="67" r="C13">
        <v>256</v>
      </c>
      <c t="s" s="70" r="D13">
        <v>257</v>
      </c>
      <c t="s" s="52" r="E13">
        <v>258</v>
      </c>
      <c t="s" s="52" r="F13">
        <v>226</v>
      </c>
      <c s="52" r="G13"/>
      <c s="12" r="H13">
        <f>COUNTIF(PROJECT!F2:F100, "*ATG*")</f>
        <v>0</v>
      </c>
      <c s="52" r="I13"/>
      <c s="52" r="J13"/>
      <c s="52" r="K13"/>
      <c s="52" r="L13"/>
      <c s="52" r="M13"/>
      <c s="52" r="N13"/>
      <c s="52" r="O13"/>
      <c s="52" r="P13"/>
      <c s="52" r="Q13"/>
    </row>
    <row r="14">
      <c t="s" s="52" r="A14">
        <v>259</v>
      </c>
      <c t="s" s="52" r="B14">
        <v>259</v>
      </c>
      <c t="s" s="67" r="C14">
        <v>260</v>
      </c>
      <c t="s" s="70" r="D14">
        <v>261</v>
      </c>
      <c t="s" s="52" r="E14">
        <v>262</v>
      </c>
      <c t="s" s="52" r="F14">
        <v>260</v>
      </c>
      <c s="52" r="G14"/>
      <c s="12" r="H14">
        <f>COUNTIF(PROJECT!F2:F100, "*ARG*")</f>
        <v>0</v>
      </c>
      <c s="52" r="I14"/>
      <c s="52" r="J14"/>
      <c s="52" r="K14"/>
      <c s="52" r="L14"/>
      <c s="52" r="M14"/>
      <c s="52" r="N14"/>
      <c s="52" r="O14"/>
      <c s="52" r="P14"/>
      <c s="52" r="Q14"/>
    </row>
    <row r="15">
      <c t="s" s="52" r="A15">
        <v>263</v>
      </c>
      <c t="s" s="52" r="B15">
        <v>263</v>
      </c>
      <c t="s" s="67" r="C15">
        <v>264</v>
      </c>
      <c t="s" s="70" r="D15">
        <v>265</v>
      </c>
      <c t="s" s="52" r="E15">
        <v>266</v>
      </c>
      <c t="s" s="52" r="F15">
        <v>264</v>
      </c>
      <c s="52" r="G15"/>
      <c s="12" r="H15">
        <f>COUNTIF(PROJECT!F2:F100, "*ARM*")</f>
        <v>0</v>
      </c>
      <c s="52" r="I15"/>
      <c s="52" r="J15"/>
      <c s="52" r="K15"/>
      <c s="52" r="L15"/>
      <c s="52" r="M15"/>
      <c s="52" r="N15"/>
      <c s="52" r="O15"/>
      <c s="52" r="P15"/>
      <c s="52" r="Q15"/>
    </row>
    <row r="16">
      <c t="s" s="52" r="A16">
        <v>267</v>
      </c>
      <c t="s" s="52" r="B16">
        <v>267</v>
      </c>
      <c t="s" s="67" r="C16">
        <v>268</v>
      </c>
      <c t="s" s="70" r="D16">
        <v>269</v>
      </c>
      <c t="s" s="52" r="E16">
        <v>270</v>
      </c>
      <c t="s" s="52" r="F16">
        <v>271</v>
      </c>
      <c s="52" r="G16"/>
      <c s="12" r="H16">
        <f>COUNTIF(PROJECT!F2:F100, "*ABW*")</f>
        <v>0</v>
      </c>
      <c s="52" r="I16"/>
      <c s="52" r="J16"/>
      <c s="52" r="K16"/>
      <c s="52" r="L16"/>
      <c s="52" r="M16"/>
      <c s="52" r="N16"/>
      <c s="52" r="O16"/>
      <c s="52" r="P16"/>
      <c s="52" r="Q16"/>
    </row>
    <row r="17">
      <c t="s" s="52" r="A17">
        <v>272</v>
      </c>
      <c t="s" s="52" r="B17">
        <v>272</v>
      </c>
      <c t="s" s="67" r="C17">
        <v>234</v>
      </c>
      <c t="s" s="70" r="D17">
        <v>273</v>
      </c>
      <c t="s" s="52" r="E17">
        <v>274</v>
      </c>
      <c t="s" s="52" r="F17">
        <v>275</v>
      </c>
      <c s="52" r="G17"/>
      <c s="12" r="H17">
        <f>COUNTIF(PROJECT!F2:F100, "*AUS*")</f>
        <v>0</v>
      </c>
      <c s="52" r="I17"/>
      <c s="52" r="J17"/>
      <c s="52" r="K17"/>
      <c s="52" r="L17"/>
      <c s="52" r="M17"/>
      <c s="52" r="N17"/>
      <c s="52" r="O17"/>
      <c s="52" r="P17"/>
      <c s="52" r="Q17"/>
    </row>
    <row r="18">
      <c t="s" s="52" r="A18">
        <v>276</v>
      </c>
      <c t="s" s="52" r="B18">
        <v>276</v>
      </c>
      <c t="s" s="67" r="C18">
        <v>275</v>
      </c>
      <c t="s" s="70" r="D18">
        <v>277</v>
      </c>
      <c t="s" s="52" r="E18">
        <v>278</v>
      </c>
      <c t="s" s="52" r="F18">
        <v>279</v>
      </c>
      <c s="52" r="G18"/>
      <c s="12" r="H18">
        <f>COUNTIF(PROJECT!F2:F100, "*AUT*")</f>
        <v>0</v>
      </c>
      <c s="52" r="I18"/>
      <c s="52" r="J18"/>
      <c s="52" r="K18"/>
      <c s="52" r="L18"/>
      <c s="52" r="M18"/>
      <c s="52" r="N18"/>
      <c s="52" r="O18"/>
      <c s="52" r="P18"/>
      <c s="52" r="Q18"/>
    </row>
    <row r="19">
      <c t="s" s="52" r="A19">
        <v>280</v>
      </c>
      <c t="s" s="52" r="B19">
        <v>280</v>
      </c>
      <c t="s" s="67" r="C19">
        <v>281</v>
      </c>
      <c t="s" s="70" r="D19">
        <v>282</v>
      </c>
      <c t="s" s="52" r="E19">
        <v>283</v>
      </c>
      <c t="s" s="52" r="F19">
        <v>284</v>
      </c>
      <c s="52" r="G19"/>
      <c s="12" r="H19">
        <f>COUNTIF(PROJECT!F2:F100, "*AZE*")</f>
        <v>0</v>
      </c>
      <c s="52" r="I19"/>
      <c s="52" r="J19"/>
      <c s="52" r="K19"/>
      <c s="52" r="L19"/>
      <c s="52" r="M19"/>
      <c s="52" r="N19"/>
      <c s="52" r="O19"/>
      <c s="52" r="P19"/>
      <c s="52" r="Q19"/>
    </row>
    <row r="20">
      <c t="s" s="52" r="A20">
        <v>285</v>
      </c>
      <c t="s" s="52" r="B20">
        <v>285</v>
      </c>
      <c t="s" s="15" r="C20">
        <v>286</v>
      </c>
      <c t="s" s="44" r="D20">
        <v>287</v>
      </c>
      <c t="s" s="45" r="E20">
        <v>288</v>
      </c>
      <c t="s" s="45" r="F20">
        <v>289</v>
      </c>
      <c s="52" r="G20"/>
      <c s="22" r="H20">
        <f>COUNTIF(PROJECT!F2:F100, "*BHR*")</f>
        <v>0</v>
      </c>
      <c s="52" r="I20"/>
      <c s="52" r="J20"/>
      <c s="52" r="K20"/>
      <c s="52" r="L20"/>
      <c s="52" r="M20"/>
      <c s="52" r="N20"/>
      <c s="52" r="O20"/>
      <c s="52" r="P20"/>
      <c s="52" r="Q20"/>
    </row>
    <row r="21">
      <c t="s" s="52" r="A21">
        <v>290</v>
      </c>
      <c t="s" s="52" r="B21">
        <v>290</v>
      </c>
      <c t="s" s="67" r="C21">
        <v>291</v>
      </c>
      <c s="84" r="D21"/>
      <c s="84" r="E21"/>
      <c t="s" s="52" r="F21">
        <v>292</v>
      </c>
      <c t="s" s="12" r="G21">
        <v>293</v>
      </c>
      <c s="8" r="H21"/>
      <c s="52" r="I21"/>
      <c s="52" r="J21"/>
      <c s="52" r="K21"/>
      <c s="52" r="L21"/>
      <c s="52" r="M21"/>
      <c s="52" r="N21"/>
      <c s="52" r="O21"/>
      <c s="52" r="P21"/>
      <c s="52" r="Q21"/>
    </row>
    <row r="22">
      <c t="s" s="52" r="A22">
        <v>294</v>
      </c>
      <c t="s" s="52" r="B22">
        <v>294</v>
      </c>
      <c t="s" s="67" r="C22">
        <v>295</v>
      </c>
      <c t="s" s="70" r="D22">
        <v>296</v>
      </c>
      <c t="s" s="52" r="E22">
        <v>297</v>
      </c>
      <c t="s" s="52" r="F22">
        <v>298</v>
      </c>
      <c s="52" r="G22"/>
      <c s="12" r="H22">
        <f>COUNTIF(PROJECT!F2:F100, "*BGD*")</f>
        <v>0</v>
      </c>
      <c s="52" r="I22"/>
      <c s="52" r="J22"/>
      <c s="52" r="K22"/>
      <c s="52" r="L22"/>
      <c s="52" r="M22"/>
      <c s="52" r="N22"/>
      <c s="52" r="O22"/>
      <c s="52" r="P22"/>
      <c s="52" r="Q22"/>
    </row>
    <row r="23">
      <c t="s" s="52" r="A23">
        <v>299</v>
      </c>
      <c t="s" s="52" r="B23">
        <v>299</v>
      </c>
      <c t="s" s="67" r="C23">
        <v>300</v>
      </c>
      <c t="s" s="70" r="D23">
        <v>301</v>
      </c>
      <c t="s" s="52" r="E23">
        <v>302</v>
      </c>
      <c t="s" s="52" r="F23">
        <v>300</v>
      </c>
      <c s="52" r="G23"/>
      <c s="12" r="H23">
        <f>COUNTIF(PROJECT!F2:F100, "*BRB*")</f>
        <v>0</v>
      </c>
      <c s="52" r="I23"/>
      <c s="52" r="J23"/>
      <c s="52" r="K23"/>
      <c s="52" r="L23"/>
      <c s="52" r="M23"/>
      <c s="52" r="N23"/>
      <c s="52" r="O23"/>
      <c s="52" r="P23"/>
      <c s="52" r="Q23"/>
    </row>
    <row r="24">
      <c t="s" s="52" r="A24">
        <v>303</v>
      </c>
      <c t="s" s="52" r="B24">
        <v>303</v>
      </c>
      <c t="s" s="67" r="C24">
        <v>304</v>
      </c>
      <c t="s" s="70" r="D24">
        <v>305</v>
      </c>
      <c t="s" s="52" r="E24">
        <v>306</v>
      </c>
      <c t="s" s="52" r="F24">
        <v>307</v>
      </c>
      <c s="52" r="G24"/>
      <c s="12" r="H24">
        <f>COUNTIF(PROJECT!F2:F100, "*BLR*")</f>
        <v>0</v>
      </c>
      <c s="52" r="I24"/>
      <c s="52" r="J24"/>
      <c s="52" r="K24"/>
      <c s="52" r="L24"/>
      <c s="52" r="M24"/>
      <c s="52" r="N24"/>
      <c s="52" r="O24"/>
      <c s="52" r="P24"/>
      <c s="52" r="Q24"/>
    </row>
    <row r="25">
      <c t="s" s="52" r="A25">
        <v>308</v>
      </c>
      <c t="s" s="52" r="B25">
        <v>308</v>
      </c>
      <c t="s" s="67" r="C25">
        <v>309</v>
      </c>
      <c t="s" s="70" r="D25">
        <v>310</v>
      </c>
      <c t="s" s="52" r="E25">
        <v>311</v>
      </c>
      <c t="s" s="52" r="F25">
        <v>309</v>
      </c>
      <c s="52" r="G25"/>
      <c s="12" r="H25">
        <f>COUNTIF(PROJECT!F2:F100, "*BEL*")</f>
        <v>0</v>
      </c>
      <c s="52" r="I25"/>
      <c s="52" r="J25"/>
      <c s="52" r="K25"/>
      <c s="52" r="L25"/>
      <c s="52" r="M25"/>
      <c s="52" r="N25"/>
      <c s="52" r="O25"/>
      <c s="52" r="P25"/>
      <c s="52" r="Q25"/>
    </row>
    <row r="26">
      <c t="s" s="52" r="A26">
        <v>312</v>
      </c>
      <c t="s" s="52" r="B26">
        <v>312</v>
      </c>
      <c t="s" s="67" r="C26">
        <v>289</v>
      </c>
      <c t="s" s="70" r="D26">
        <v>313</v>
      </c>
      <c t="s" s="52" r="E26">
        <v>314</v>
      </c>
      <c t="s" s="52" r="F26">
        <v>315</v>
      </c>
      <c s="52" r="G26"/>
      <c s="12" r="H26">
        <f>COUNTIF(PROJECT!F2:F100, "*BLZ*")</f>
        <v>0</v>
      </c>
      <c s="52" r="I26"/>
      <c s="52" r="J26"/>
      <c s="52" r="K26"/>
      <c s="52" r="L26"/>
      <c s="52" r="M26"/>
      <c s="52" r="N26"/>
      <c s="52" r="O26"/>
      <c s="52" r="P26"/>
      <c s="52" r="Q26"/>
    </row>
    <row r="27">
      <c t="s" s="52" r="A27">
        <v>316</v>
      </c>
      <c t="s" s="52" r="B27">
        <v>316</v>
      </c>
      <c t="s" s="67" r="C27">
        <v>317</v>
      </c>
      <c t="s" s="70" r="D27">
        <v>318</v>
      </c>
      <c t="s" s="52" r="E27">
        <v>319</v>
      </c>
      <c t="s" s="52" r="F27">
        <v>320</v>
      </c>
      <c s="52" r="G27"/>
      <c s="12" r="H27">
        <f>COUNTIF(PROJECT!F2:F100, "*BEN*")</f>
        <v>0</v>
      </c>
      <c s="52" r="I27"/>
      <c s="52" r="J27"/>
      <c s="52" r="K27"/>
      <c s="52" r="L27"/>
      <c s="52" r="M27"/>
      <c s="52" r="N27"/>
      <c s="52" r="O27"/>
      <c s="52" r="P27"/>
      <c s="52" r="Q27"/>
    </row>
    <row r="28">
      <c t="s" s="52" r="A28">
        <v>321</v>
      </c>
      <c t="s" s="52" r="B28">
        <v>321</v>
      </c>
      <c t="s" s="67" r="C28">
        <v>298</v>
      </c>
      <c t="s" s="70" r="D28">
        <v>322</v>
      </c>
      <c t="s" s="52" r="E28">
        <v>323</v>
      </c>
      <c t="s" s="52" r="F28">
        <v>324</v>
      </c>
      <c s="52" r="G28"/>
      <c s="12" r="H28">
        <f>COUNTIF(PROJECT!F2:F100, "*BMU*")</f>
        <v>0</v>
      </c>
      <c s="52" r="I28"/>
      <c s="52" r="J28"/>
      <c s="52" r="K28"/>
      <c s="52" r="L28"/>
      <c s="52" r="M28"/>
      <c s="52" r="N28"/>
      <c s="52" r="O28"/>
      <c s="52" r="P28"/>
      <c s="52" r="Q28"/>
    </row>
    <row r="29">
      <c t="s" s="52" r="A29">
        <v>325</v>
      </c>
      <c t="s" s="52" r="B29">
        <v>325</v>
      </c>
      <c t="s" s="67" r="C29">
        <v>326</v>
      </c>
      <c t="s" s="70" r="D29">
        <v>327</v>
      </c>
      <c t="s" s="52" r="E29">
        <v>328</v>
      </c>
      <c t="s" s="52" r="F29">
        <v>326</v>
      </c>
      <c s="52" r="G29"/>
      <c s="12" r="H29">
        <f>COUNTIF(PROJECT!F2:F100, "*BTN*")</f>
        <v>0</v>
      </c>
      <c s="52" r="I29"/>
      <c s="52" r="J29"/>
      <c s="52" r="K29"/>
      <c s="52" r="L29"/>
      <c s="52" r="M29"/>
      <c s="52" r="N29"/>
      <c s="52" r="O29"/>
      <c s="52" r="P29"/>
      <c s="52" r="Q29"/>
    </row>
    <row r="30">
      <c t="s" s="52" r="A30">
        <v>329</v>
      </c>
      <c t="s" s="52" r="B30">
        <v>330</v>
      </c>
      <c t="s" s="67" r="C30">
        <v>331</v>
      </c>
      <c t="s" s="70" r="D30">
        <v>332</v>
      </c>
      <c t="s" s="52" r="E30">
        <v>333</v>
      </c>
      <c t="s" s="52" r="F30">
        <v>304</v>
      </c>
      <c s="52" r="G30"/>
      <c s="12" r="H30">
        <f>COUNTIF(PROJECT!F2:F100, "*BOL*")</f>
        <v>0</v>
      </c>
      <c s="52" r="I30"/>
      <c s="52" r="J30"/>
      <c s="52" r="K30"/>
      <c s="52" r="L30"/>
      <c s="52" r="M30"/>
      <c s="52" r="N30"/>
      <c s="52" r="O30"/>
      <c s="52" r="P30"/>
      <c s="52" r="Q30"/>
    </row>
    <row r="31">
      <c t="s" s="52" r="A31">
        <v>334</v>
      </c>
      <c t="s" s="52" r="B31">
        <v>334</v>
      </c>
      <c s="84" r="C31"/>
      <c t="s" s="70" r="D31">
        <v>335</v>
      </c>
      <c t="s" s="52" r="E31">
        <v>336</v>
      </c>
      <c t="s" s="52" r="F31">
        <v>337</v>
      </c>
      <c s="52" r="G31"/>
      <c s="12" r="H31">
        <f>COUNTIF(PROJECT!F2:F100, "*BES*")</f>
        <v>0</v>
      </c>
      <c s="52" r="I31"/>
      <c s="52" r="J31"/>
      <c s="52" r="K31"/>
      <c s="52" r="L31"/>
      <c s="52" r="M31"/>
      <c s="52" r="N31"/>
      <c s="52" r="O31"/>
      <c s="52" r="P31"/>
      <c s="52" r="Q31"/>
    </row>
    <row r="32">
      <c t="s" s="52" r="A32">
        <v>338</v>
      </c>
      <c t="s" s="52" r="B32">
        <v>339</v>
      </c>
      <c t="s" s="67" r="C32">
        <v>340</v>
      </c>
      <c t="s" s="70" r="D32">
        <v>341</v>
      </c>
      <c t="s" s="52" r="E32">
        <v>342</v>
      </c>
      <c t="s" s="52" r="F32">
        <v>286</v>
      </c>
      <c s="52" r="G32"/>
      <c s="12" r="H32">
        <f>COUNTIF(PROJECT!F2:F100, "*BIH*")</f>
        <v>0</v>
      </c>
      <c s="52" r="I32"/>
      <c s="52" r="J32"/>
      <c s="52" r="K32"/>
      <c s="52" r="L32"/>
      <c s="52" r="M32"/>
      <c s="52" r="N32"/>
      <c s="52" r="O32"/>
      <c s="52" r="P32"/>
      <c s="52" r="Q32"/>
    </row>
    <row r="33">
      <c t="s" s="52" r="A33">
        <v>343</v>
      </c>
      <c t="s" s="52" r="B33">
        <v>343</v>
      </c>
      <c t="s" s="67" r="C33">
        <v>344</v>
      </c>
      <c t="s" s="70" r="D33">
        <v>345</v>
      </c>
      <c t="s" s="52" r="E33">
        <v>346</v>
      </c>
      <c t="s" s="52" r="F33">
        <v>347</v>
      </c>
      <c s="52" r="G33"/>
      <c s="12" r="H33">
        <f>COUNTIF(PROJECT!F2:F100, "*BWA*")</f>
        <v>0</v>
      </c>
      <c s="52" r="I33"/>
      <c s="52" r="J33"/>
      <c s="52" r="K33"/>
      <c s="52" r="L33"/>
      <c s="52" r="M33"/>
      <c s="52" r="N33"/>
      <c s="52" r="O33"/>
      <c s="52" r="P33"/>
      <c s="52" r="Q33"/>
    </row>
    <row r="34">
      <c t="s" s="52" r="A34">
        <v>348</v>
      </c>
      <c t="s" s="52" r="B34">
        <v>349</v>
      </c>
      <c t="s" s="67" r="C34">
        <v>350</v>
      </c>
      <c t="s" s="70" r="D34">
        <v>351</v>
      </c>
      <c t="s" s="52" r="E34">
        <v>352</v>
      </c>
      <c t="s" s="52" r="F34">
        <v>350</v>
      </c>
      <c s="52" r="G34"/>
      <c s="12" r="H34">
        <f>COUNTIF(PROJECT!F2:F100, "*BVT*")</f>
        <v>0</v>
      </c>
      <c s="52" r="I34"/>
      <c s="52" r="J34"/>
      <c s="52" r="K34"/>
      <c s="52" r="L34"/>
      <c s="52" r="M34"/>
      <c s="52" r="N34"/>
      <c s="52" r="O34"/>
      <c s="52" r="P34"/>
      <c s="52" r="Q34"/>
    </row>
    <row r="35">
      <c t="s" s="52" r="A35">
        <v>353</v>
      </c>
      <c t="s" s="52" r="B35">
        <v>353</v>
      </c>
      <c t="s" s="67" r="C35">
        <v>354</v>
      </c>
      <c t="s" s="70" r="D35">
        <v>355</v>
      </c>
      <c t="s" s="52" r="E35">
        <v>356</v>
      </c>
      <c t="s" s="52" r="F35">
        <v>354</v>
      </c>
      <c s="52" r="G35"/>
      <c s="12" r="H35">
        <f>COUNTIF(PROJECT!F2:F100, "*BRA*")</f>
        <v>0</v>
      </c>
      <c s="52" r="I35"/>
      <c s="52" r="J35"/>
      <c s="52" r="K35"/>
      <c s="52" r="L35"/>
      <c s="52" r="M35"/>
      <c s="52" r="N35"/>
      <c s="52" r="O35"/>
      <c s="52" r="P35"/>
      <c s="52" r="Q35"/>
    </row>
    <row r="36">
      <c t="s" s="52" r="A36">
        <v>357</v>
      </c>
      <c t="s" s="52" r="B36">
        <v>357</v>
      </c>
      <c t="s" s="67" r="C36">
        <v>358</v>
      </c>
      <c t="s" s="70" r="D36">
        <v>359</v>
      </c>
      <c t="s" s="52" r="E36">
        <v>360</v>
      </c>
      <c t="s" s="52" r="F36">
        <v>358</v>
      </c>
      <c s="52" r="G36"/>
      <c s="12" r="H36">
        <f>COUNTIF(PROJECT!F2:F100, "*IOT*")</f>
        <v>0</v>
      </c>
      <c s="52" r="I36"/>
      <c s="52" r="J36"/>
      <c s="52" r="K36"/>
      <c s="52" r="L36"/>
      <c s="52" r="M36"/>
      <c s="52" r="N36"/>
      <c s="52" r="O36"/>
      <c s="52" r="P36"/>
      <c s="52" r="Q36"/>
    </row>
    <row r="37">
      <c t="s" s="52" r="A37">
        <v>361</v>
      </c>
      <c t="s" s="52" r="B37">
        <v>362</v>
      </c>
      <c t="s" s="67" r="C37">
        <v>363</v>
      </c>
      <c t="s" s="70" r="D37">
        <v>364</v>
      </c>
      <c t="s" s="52" r="E37">
        <v>365</v>
      </c>
      <c t="s" s="52" r="F37">
        <v>317</v>
      </c>
      <c s="52" r="G37"/>
      <c s="12" r="H37">
        <f>COUNTIF(PROJECT!F2:F100, "*BRN*")</f>
        <v>0</v>
      </c>
      <c s="52" r="I37"/>
      <c s="52" r="J37"/>
      <c s="52" r="K37"/>
      <c s="52" r="L37"/>
      <c s="52" r="M37"/>
      <c s="52" r="N37"/>
      <c s="52" r="O37"/>
      <c s="52" r="P37"/>
      <c s="52" r="Q37"/>
    </row>
    <row r="38">
      <c t="s" s="52" r="A38">
        <v>366</v>
      </c>
      <c t="s" s="52" r="B38">
        <v>366</v>
      </c>
      <c t="s" s="67" r="C38">
        <v>367</v>
      </c>
      <c t="s" s="70" r="D38">
        <v>368</v>
      </c>
      <c t="s" s="52" r="E38">
        <v>369</v>
      </c>
      <c t="s" s="52" r="F38">
        <v>295</v>
      </c>
      <c s="52" r="G38"/>
      <c s="12" r="H38">
        <f>COUNTIF(PROJECT!F2:F100, "*BGR*")</f>
        <v>0</v>
      </c>
      <c s="52" r="I38"/>
      <c s="52" r="J38"/>
      <c s="52" r="K38"/>
      <c s="52" r="L38"/>
      <c s="52" r="M38"/>
      <c s="52" r="N38"/>
      <c s="52" r="O38"/>
      <c s="52" r="P38"/>
      <c s="52" r="Q38"/>
    </row>
    <row r="39">
      <c t="s" s="45" r="A39">
        <v>370</v>
      </c>
      <c t="s" s="45" r="B39">
        <v>370</v>
      </c>
      <c t="s" s="67" r="C39">
        <v>371</v>
      </c>
      <c t="s" s="70" r="D39">
        <v>372</v>
      </c>
      <c t="s" s="52" r="E39">
        <v>373</v>
      </c>
      <c t="s" s="52" r="F39">
        <v>374</v>
      </c>
      <c s="52" r="G39"/>
      <c s="12" r="H39">
        <f>COUNTIF(PROJECT!F2:F100, "*BFA*")</f>
        <v>0</v>
      </c>
      <c s="52" r="I39"/>
      <c s="52" r="J39"/>
      <c s="52" r="K39"/>
      <c s="52" r="L39"/>
      <c s="52" r="M39"/>
      <c s="52" r="N39"/>
      <c s="52" r="O39"/>
      <c s="52" r="P39"/>
      <c s="52" r="Q39"/>
    </row>
    <row r="40">
      <c t="s" s="52" r="A40">
        <v>375</v>
      </c>
      <c t="s" s="52" r="B40">
        <v>375</v>
      </c>
      <c t="s" s="67" r="C40">
        <v>307</v>
      </c>
      <c t="s" s="70" r="D40">
        <v>376</v>
      </c>
      <c t="s" s="52" r="E40">
        <v>377</v>
      </c>
      <c t="s" s="52" r="F40">
        <v>378</v>
      </c>
      <c s="52" r="G40"/>
      <c s="12" r="H40">
        <f>COUNTIF(PROJECT!F2:F100, "*BDI*")</f>
        <v>0</v>
      </c>
      <c s="52" r="I40"/>
      <c s="52" r="J40"/>
      <c s="52" r="K40"/>
      <c s="52" r="L40"/>
      <c s="52" r="M40"/>
      <c s="52" r="N40"/>
      <c s="52" r="O40"/>
      <c s="52" r="P40"/>
      <c s="52" r="Q40"/>
    </row>
    <row r="41">
      <c t="s" s="52" r="A41">
        <v>379</v>
      </c>
      <c t="s" s="52" r="B41">
        <v>379</v>
      </c>
      <c t="s" s="15" r="C41">
        <v>380</v>
      </c>
      <c t="s" s="70" r="D41">
        <v>381</v>
      </c>
      <c t="s" s="45" r="E41">
        <v>382</v>
      </c>
      <c t="s" s="52" r="F41">
        <v>383</v>
      </c>
      <c s="52" r="G41"/>
      <c s="12" r="H41">
        <f>COUNTIF(PROJECT!F2:F100, "*KHM*")</f>
        <v>0</v>
      </c>
      <c s="52" r="I41"/>
      <c s="52" r="J41"/>
      <c s="52" r="K41"/>
      <c s="52" r="L41"/>
      <c s="52" r="M41"/>
      <c s="52" r="N41"/>
      <c s="52" r="O41"/>
      <c s="52" r="P41"/>
      <c s="52" r="Q41"/>
    </row>
    <row r="42">
      <c t="s" s="52" r="A42">
        <v>384</v>
      </c>
      <c t="s" s="52" r="B42">
        <v>384</v>
      </c>
      <c t="s" s="67" r="C42">
        <v>385</v>
      </c>
      <c t="s" s="70" r="D42">
        <v>386</v>
      </c>
      <c t="s" s="52" r="E42">
        <v>387</v>
      </c>
      <c t="s" s="52" r="F42">
        <v>385</v>
      </c>
      <c s="52" r="G42"/>
      <c s="12" r="H42">
        <f>COUNTIF(PROJECT!F2:F100, "*CMR*")</f>
        <v>0</v>
      </c>
      <c s="52" r="I42"/>
      <c s="52" r="J42"/>
      <c s="52" r="K42"/>
      <c s="52" r="L42"/>
      <c s="52" r="M42"/>
      <c s="52" r="N42"/>
      <c s="52" r="O42"/>
      <c s="52" r="P42"/>
      <c s="52" r="Q42"/>
    </row>
    <row r="43">
      <c t="s" s="52" r="A43">
        <v>14</v>
      </c>
      <c t="s" s="52" r="B43">
        <v>14</v>
      </c>
      <c t="s" s="67" r="C43">
        <v>388</v>
      </c>
      <c t="s" s="70" r="D43">
        <v>389</v>
      </c>
      <c t="s" s="52" r="E43">
        <v>390</v>
      </c>
      <c t="s" s="52" r="F43">
        <v>388</v>
      </c>
      <c s="52" r="G43"/>
      <c s="12" r="H43">
        <f>COUNTIF(PROJECT!F2:F100, "*CAN*")</f>
        <v>0</v>
      </c>
      <c s="52" r="I43"/>
      <c s="52" r="J43"/>
      <c s="52" r="K43"/>
      <c s="52" r="L43"/>
      <c s="52" r="M43"/>
      <c s="52" r="N43"/>
      <c s="52" r="O43"/>
      <c s="52" r="P43"/>
      <c s="52" r="Q43"/>
    </row>
    <row r="44">
      <c t="s" s="52" r="A44">
        <v>391</v>
      </c>
      <c t="s" s="52" r="B44">
        <v>391</v>
      </c>
      <c t="s" s="67" r="C44">
        <v>392</v>
      </c>
      <c t="s" s="70" r="D44">
        <v>393</v>
      </c>
      <c t="s" s="52" r="E44">
        <v>394</v>
      </c>
      <c t="s" s="52" r="F44">
        <v>392</v>
      </c>
      <c s="52" r="G44"/>
      <c s="12" r="H44">
        <f>COUNTIF(PROJECT!F2:F100, "*CPV*")</f>
        <v>0</v>
      </c>
      <c s="52" r="I44"/>
      <c s="52" r="J44"/>
      <c s="52" r="K44"/>
      <c s="52" r="L44"/>
      <c s="52" r="M44"/>
      <c s="52" r="N44"/>
      <c s="52" r="O44"/>
      <c s="52" r="P44"/>
      <c s="52" r="Q44"/>
    </row>
    <row r="45">
      <c t="s" s="52" r="A45">
        <v>395</v>
      </c>
      <c t="s" s="52" r="B45">
        <v>396</v>
      </c>
      <c t="s" s="15" r="C45">
        <v>397</v>
      </c>
      <c t="s" s="70" r="D45">
        <v>398</v>
      </c>
      <c t="s" s="45" r="E45">
        <v>399</v>
      </c>
      <c t="s" s="52" r="F45">
        <v>400</v>
      </c>
      <c s="52" r="G45"/>
      <c s="12" r="H45">
        <f>COUNTIF(PROJECT!F2:F100, "*CYM*")</f>
        <v>0</v>
      </c>
      <c s="52" r="I45"/>
      <c s="52" r="J45"/>
      <c s="52" r="K45"/>
      <c s="52" r="L45"/>
      <c s="52" r="M45"/>
      <c s="52" r="N45"/>
      <c s="52" r="O45"/>
      <c s="52" r="P45"/>
      <c s="52" r="Q45"/>
    </row>
    <row r="46">
      <c t="s" s="52" r="A46">
        <v>401</v>
      </c>
      <c t="s" s="52" r="B46">
        <v>401</v>
      </c>
      <c t="s" s="67" r="C46">
        <v>402</v>
      </c>
      <c t="s" s="70" r="D46">
        <v>403</v>
      </c>
      <c t="s" s="52" r="E46">
        <v>404</v>
      </c>
      <c t="s" s="52" r="F46">
        <v>405</v>
      </c>
      <c s="52" r="G46"/>
      <c s="12" r="H46">
        <f>COUNTIF(PROJECT!F2:F100, "*CAF*")</f>
        <v>0</v>
      </c>
      <c s="52" r="I46"/>
      <c s="52" r="J46"/>
      <c s="52" r="K46"/>
      <c s="52" r="L46"/>
      <c s="52" r="M46"/>
      <c s="52" r="N46"/>
      <c s="52" r="O46"/>
      <c s="52" r="P46"/>
      <c s="52" r="Q46"/>
    </row>
    <row r="47">
      <c t="s" s="52" r="A47">
        <v>406</v>
      </c>
      <c t="s" s="52" r="B47">
        <v>406</v>
      </c>
      <c t="s" s="15" r="C47">
        <v>407</v>
      </c>
      <c t="s" s="70" r="D47">
        <v>408</v>
      </c>
      <c t="s" s="45" r="E47">
        <v>409</v>
      </c>
      <c t="s" s="52" r="F47">
        <v>410</v>
      </c>
      <c s="52" r="G47"/>
      <c s="12" r="H47">
        <f>COUNTIF(PROJECT!F2:F100, "*TCD*")</f>
        <v>0</v>
      </c>
      <c s="52" r="I47"/>
      <c s="52" r="J47"/>
      <c s="52" r="K47"/>
      <c s="52" r="L47"/>
      <c s="52" r="M47"/>
      <c s="52" r="N47"/>
      <c s="52" r="O47"/>
      <c s="52" r="P47"/>
      <c s="52" r="Q47"/>
    </row>
    <row r="48">
      <c t="s" s="52" r="A48">
        <v>411</v>
      </c>
      <c t="s" s="52" r="B48">
        <v>411</v>
      </c>
      <c t="s" s="67" r="C48">
        <v>412</v>
      </c>
      <c t="s" s="70" r="D48">
        <v>413</v>
      </c>
      <c t="s" s="52" r="E48">
        <v>414</v>
      </c>
      <c t="s" s="52" r="F48">
        <v>415</v>
      </c>
      <c s="52" r="G48"/>
      <c s="12" r="H48">
        <f>COUNTIF(PROJECT!F2:F100, "*CHL*")</f>
        <v>0</v>
      </c>
      <c s="52" r="I48"/>
      <c s="52" r="J48"/>
      <c s="52" r="K48"/>
      <c s="52" r="L48"/>
      <c s="52" r="M48"/>
      <c s="52" r="N48"/>
      <c s="52" r="O48"/>
      <c s="52" r="P48"/>
      <c s="52" r="Q48"/>
    </row>
    <row r="49">
      <c t="s" s="52" r="A49">
        <v>416</v>
      </c>
      <c t="s" s="52" r="B49">
        <v>416</v>
      </c>
      <c t="s" s="67" r="C49">
        <v>417</v>
      </c>
      <c t="s" s="70" r="D49">
        <v>418</v>
      </c>
      <c t="s" s="52" r="E49">
        <v>419</v>
      </c>
      <c t="s" s="52" r="F49">
        <v>420</v>
      </c>
      <c s="52" r="G49"/>
      <c s="12" r="H49">
        <f>COUNTIF(PROJECT!F2:F100, "*CHN*")</f>
        <v>0</v>
      </c>
      <c s="52" r="I49"/>
      <c s="52" r="J49"/>
      <c s="52" r="K49"/>
      <c s="52" r="L49"/>
      <c s="52" r="M49"/>
      <c s="52" r="N49"/>
      <c s="52" r="O49"/>
      <c s="52" r="P49"/>
      <c s="52" r="Q49"/>
    </row>
    <row r="50">
      <c t="s" s="52" r="A50">
        <v>421</v>
      </c>
      <c t="s" s="52" r="B50">
        <v>422</v>
      </c>
      <c t="s" s="15" r="C50">
        <v>423</v>
      </c>
      <c t="s" s="70" r="D50">
        <v>424</v>
      </c>
      <c t="s" s="45" r="E50">
        <v>425</v>
      </c>
      <c t="s" s="52" r="F50">
        <v>426</v>
      </c>
      <c s="52" r="G50"/>
      <c s="12" r="H50">
        <f>COUNTIF(PROJECT!F2:F100, "*CXR*")</f>
        <v>0</v>
      </c>
      <c s="52" r="I50"/>
      <c s="52" r="J50"/>
      <c s="52" r="K50"/>
      <c s="52" r="L50"/>
      <c s="52" r="M50"/>
      <c s="52" r="N50"/>
      <c s="52" r="O50"/>
      <c s="52" r="P50"/>
      <c s="52" r="Q50"/>
    </row>
    <row r="51">
      <c t="s" s="52" r="A51">
        <v>427</v>
      </c>
      <c t="s" s="52" r="B51">
        <v>428</v>
      </c>
      <c t="s" s="67" r="C51">
        <v>429</v>
      </c>
      <c t="s" s="70" r="D51">
        <v>430</v>
      </c>
      <c t="s" s="52" r="E51">
        <v>431</v>
      </c>
      <c t="s" s="52" r="F51">
        <v>432</v>
      </c>
      <c s="52" r="G51"/>
      <c s="12" r="H51">
        <f>COUNTIF(PROJECT!F2:F100, "*CCK*")</f>
        <v>0</v>
      </c>
      <c s="52" r="I51"/>
      <c s="52" r="J51"/>
      <c s="52" r="K51"/>
      <c s="52" r="L51"/>
      <c s="52" r="M51"/>
      <c s="52" r="N51"/>
      <c s="52" r="O51"/>
      <c s="52" r="P51"/>
      <c s="52" r="Q51"/>
    </row>
    <row r="52">
      <c t="s" s="52" r="A52">
        <v>433</v>
      </c>
      <c t="s" s="52" r="B52">
        <v>433</v>
      </c>
      <c t="s" s="67" r="C52">
        <v>434</v>
      </c>
      <c t="s" s="70" r="D52">
        <v>435</v>
      </c>
      <c t="s" s="52" r="E52">
        <v>436</v>
      </c>
      <c t="s" s="52" r="F52">
        <v>434</v>
      </c>
      <c s="52" r="G52"/>
      <c s="12" r="H52">
        <f>COUNTIF(PROJECT!F2:F100, "*COL*")</f>
        <v>0</v>
      </c>
      <c s="52" r="I52"/>
      <c s="52" r="J52"/>
      <c s="52" r="K52"/>
      <c s="52" r="L52"/>
      <c s="52" r="M52"/>
      <c s="52" r="N52"/>
      <c s="52" r="O52"/>
      <c s="52" r="P52"/>
      <c s="52" r="Q52"/>
    </row>
    <row r="53">
      <c t="s" s="52" r="A53">
        <v>437</v>
      </c>
      <c t="s" s="52" r="B53">
        <v>437</v>
      </c>
      <c t="s" s="67" r="C53">
        <v>420</v>
      </c>
      <c t="s" s="70" r="D53">
        <v>438</v>
      </c>
      <c t="s" s="52" r="E53">
        <v>439</v>
      </c>
      <c t="s" s="52" r="F53">
        <v>440</v>
      </c>
      <c s="52" r="G53"/>
      <c s="12" r="H53">
        <f>COUNTIF(PROJECT!F2:F100, "*COM*")</f>
        <v>0</v>
      </c>
      <c s="52" r="I53"/>
      <c s="52" r="J53"/>
      <c s="52" r="K53"/>
      <c s="52" r="L53"/>
      <c s="52" r="M53"/>
      <c s="52" r="N53"/>
      <c s="52" r="O53"/>
      <c s="52" r="P53"/>
      <c s="52" r="Q53"/>
    </row>
    <row r="54">
      <c t="s" s="52" r="A54">
        <v>441</v>
      </c>
      <c t="s" s="52" r="B54">
        <v>441</v>
      </c>
      <c t="s" s="67" r="C54">
        <v>405</v>
      </c>
      <c t="s" s="70" r="D54">
        <v>442</v>
      </c>
      <c t="s" s="52" r="E54">
        <v>443</v>
      </c>
      <c t="s" s="52" r="F54">
        <v>444</v>
      </c>
      <c s="52" r="G54"/>
      <c s="12" r="H54">
        <f>COUNTIF(PROJECT!F2:F100, "*COG*")</f>
        <v>0</v>
      </c>
      <c s="52" r="I54"/>
      <c s="52" r="J54"/>
      <c s="52" r="K54"/>
      <c s="52" r="L54"/>
      <c s="52" r="M54"/>
      <c s="52" r="N54"/>
      <c s="52" r="O54"/>
      <c s="52" r="P54"/>
      <c s="52" r="Q54"/>
    </row>
    <row r="55">
      <c t="s" s="52" r="A55">
        <v>445</v>
      </c>
      <c t="s" s="52" r="B55">
        <v>446</v>
      </c>
      <c t="s" s="67" r="C55">
        <v>444</v>
      </c>
      <c t="s" s="70" r="D55">
        <v>447</v>
      </c>
      <c t="s" s="52" r="E55">
        <v>448</v>
      </c>
      <c t="s" s="52" r="F55">
        <v>407</v>
      </c>
      <c s="52" r="G55"/>
      <c s="12" r="H55">
        <f>COUNTIF(PROJECT!F2:F100, "*COD*")</f>
        <v>0</v>
      </c>
      <c s="52" r="I55"/>
      <c s="52" r="J55"/>
      <c s="52" r="K55"/>
      <c s="52" r="L55"/>
      <c s="52" r="M55"/>
      <c s="52" r="N55"/>
      <c s="52" r="O55"/>
      <c s="52" r="P55"/>
      <c s="52" r="Q55"/>
    </row>
    <row r="56">
      <c t="s" s="45" r="A56">
        <v>449</v>
      </c>
      <c t="s" s="45" r="B56">
        <v>450</v>
      </c>
      <c t="s" s="67" r="C56">
        <v>451</v>
      </c>
      <c t="s" s="70" r="D56">
        <v>452</v>
      </c>
      <c t="s" s="52" r="E56">
        <v>453</v>
      </c>
      <c t="s" s="52" r="F56">
        <v>429</v>
      </c>
      <c s="52" r="G56"/>
      <c s="12" r="H56">
        <f>COUNTIF(PROJECT!F2:F100, "*COK*")</f>
        <v>0</v>
      </c>
      <c s="52" r="I56"/>
      <c s="52" r="J56"/>
      <c s="52" r="K56"/>
      <c s="52" r="L56"/>
      <c s="52" r="M56"/>
      <c s="52" r="N56"/>
      <c s="52" r="O56"/>
      <c s="52" r="P56"/>
      <c s="52" r="Q56"/>
    </row>
    <row r="57">
      <c t="s" s="52" r="A57">
        <v>454</v>
      </c>
      <c t="s" s="52" r="B57">
        <v>454</v>
      </c>
      <c t="s" s="67" r="C57">
        <v>455</v>
      </c>
      <c t="s" s="70" r="D57">
        <v>456</v>
      </c>
      <c t="s" s="52" r="E57">
        <v>457</v>
      </c>
      <c t="s" s="52" r="F57">
        <v>458</v>
      </c>
      <c s="52" r="G57"/>
      <c s="12" r="H57">
        <f>COUNTIF(PROJECT!F2:F100, "*CRI*")</f>
        <v>0</v>
      </c>
      <c s="52" r="I57"/>
      <c s="52" r="J57"/>
      <c s="52" r="K57"/>
      <c s="52" r="L57"/>
      <c s="52" r="M57"/>
      <c s="52" r="N57"/>
      <c s="52" r="O57"/>
      <c s="52" r="P57"/>
      <c s="52" r="Q57"/>
    </row>
    <row r="58">
      <c t="s" s="45" r="A58">
        <v>459</v>
      </c>
      <c t="s" s="52" r="B58">
        <v>460</v>
      </c>
      <c t="s" s="15" r="C58">
        <v>461</v>
      </c>
      <c t="s" s="70" r="D58">
        <v>462</v>
      </c>
      <c t="s" s="45" r="E58">
        <v>463</v>
      </c>
      <c t="s" s="52" r="F58">
        <v>412</v>
      </c>
      <c s="52" r="G58"/>
      <c s="12" r="H58">
        <f>COUNTIF(PROJECT!F2:F100, "*CIV*")</f>
        <v>0</v>
      </c>
      <c s="52" r="I58"/>
      <c s="52" r="J58"/>
      <c s="52" r="K58"/>
      <c s="52" r="L58"/>
      <c s="52" r="M58"/>
      <c s="52" r="N58"/>
      <c s="52" r="O58"/>
      <c s="52" r="P58"/>
      <c s="52" r="Q58"/>
    </row>
    <row r="59">
      <c t="s" s="52" r="A59">
        <v>464</v>
      </c>
      <c t="s" s="52" r="B59">
        <v>464</v>
      </c>
      <c t="s" s="67" r="C59">
        <v>465</v>
      </c>
      <c t="s" s="70" r="D59">
        <v>466</v>
      </c>
      <c t="s" s="52" r="E59">
        <v>467</v>
      </c>
      <c t="s" s="52" r="F59">
        <v>465</v>
      </c>
      <c s="52" r="G59"/>
      <c s="12" r="H59">
        <f>COUNTIF(PROJECT!F2:F100, "*HRV*")</f>
        <v>0</v>
      </c>
      <c s="52" r="I59"/>
      <c s="52" r="J59"/>
      <c s="52" r="K59"/>
      <c s="52" r="L59"/>
      <c s="52" r="M59"/>
      <c s="52" r="N59"/>
      <c s="52" r="O59"/>
      <c s="52" r="P59"/>
      <c s="52" r="Q59"/>
    </row>
    <row r="60">
      <c t="s" s="52" r="A60">
        <v>468</v>
      </c>
      <c t="s" s="52" r="B60">
        <v>468</v>
      </c>
      <c t="s" s="67" r="C60">
        <v>469</v>
      </c>
      <c t="s" s="70" r="D60">
        <v>470</v>
      </c>
      <c t="s" s="52" r="E60">
        <v>471</v>
      </c>
      <c t="s" s="52" r="F60">
        <v>469</v>
      </c>
      <c s="52" r="G60"/>
      <c s="12" r="H60">
        <f>COUNTIF(PROJECT!F2:F100, "*CUB*")</f>
        <v>0</v>
      </c>
      <c s="52" r="I60"/>
      <c s="52" r="J60"/>
      <c s="52" r="K60"/>
      <c s="52" r="L60"/>
      <c s="52" r="M60"/>
      <c s="52" r="N60"/>
      <c s="52" r="O60"/>
      <c s="52" r="P60"/>
      <c s="52" r="Q60"/>
    </row>
    <row r="61">
      <c t="s" s="52" r="A61">
        <v>472</v>
      </c>
      <c t="s" s="52" r="B61">
        <v>472</v>
      </c>
      <c t="s" s="67" r="C61">
        <v>473</v>
      </c>
      <c t="s" s="70" r="D61">
        <v>474</v>
      </c>
      <c t="s" s="52" r="E61">
        <v>475</v>
      </c>
      <c t="s" s="52" r="F61">
        <v>451</v>
      </c>
      <c s="52" r="G61"/>
      <c s="12" r="H61">
        <f>COUNTIF(PROJECT!F2:F100, "*CUW*")</f>
        <v>0</v>
      </c>
      <c s="52" r="I61"/>
      <c s="52" r="J61"/>
      <c s="52" r="K61"/>
      <c s="52" r="L61"/>
      <c s="52" r="M61"/>
      <c s="52" r="N61"/>
      <c s="52" r="O61"/>
      <c s="52" r="P61"/>
      <c s="52" r="Q61"/>
    </row>
    <row r="62">
      <c t="s" s="52" r="A62">
        <v>476</v>
      </c>
      <c t="s" s="52" r="B62">
        <v>476</v>
      </c>
      <c t="s" s="67" r="C62">
        <v>477</v>
      </c>
      <c t="s" s="70" r="D62">
        <v>478</v>
      </c>
      <c t="s" s="52" r="E62">
        <v>479</v>
      </c>
      <c t="s" s="52" r="F62">
        <v>477</v>
      </c>
      <c s="52" r="G62"/>
      <c s="12" r="H62">
        <f>COUNTIF(PROJECT!F2:F100, "*CYP*")</f>
        <v>0</v>
      </c>
      <c s="52" r="I62"/>
      <c s="52" r="J62"/>
      <c s="52" r="K62"/>
      <c s="52" r="L62"/>
      <c s="52" r="M62"/>
      <c s="52" r="N62"/>
      <c s="52" r="O62"/>
      <c s="52" r="P62"/>
      <c s="52" r="Q62"/>
    </row>
    <row r="63">
      <c t="s" s="52" r="A63">
        <v>480</v>
      </c>
      <c t="s" s="52" r="B63">
        <v>480</v>
      </c>
      <c t="s" s="67" r="C63">
        <v>481</v>
      </c>
      <c t="s" s="70" r="D63">
        <v>482</v>
      </c>
      <c t="s" s="52" r="E63">
        <v>483</v>
      </c>
      <c t="s" s="52" r="F63">
        <v>484</v>
      </c>
      <c s="52" r="G63"/>
      <c s="12" r="H63">
        <f>COUNTIF(PROJECT!F2:F100, "*CZE*")</f>
        <v>0</v>
      </c>
      <c s="52" r="I63"/>
      <c s="52" r="J63"/>
      <c s="52" r="K63"/>
      <c s="52" r="L63"/>
      <c s="52" r="M63"/>
      <c s="52" r="N63"/>
      <c s="52" r="O63"/>
      <c s="52" r="P63"/>
      <c s="52" r="Q63"/>
    </row>
    <row r="64">
      <c t="s" s="52" r="A64">
        <v>485</v>
      </c>
      <c t="s" s="52" r="B64">
        <v>485</v>
      </c>
      <c t="s" s="67" r="C64">
        <v>486</v>
      </c>
      <c t="s" s="70" r="D64">
        <v>487</v>
      </c>
      <c t="s" s="52" r="E64">
        <v>488</v>
      </c>
      <c t="s" s="52" r="F64">
        <v>489</v>
      </c>
      <c s="52" r="G64"/>
      <c s="12" r="H64">
        <f>COUNTIF(PROJECT!F2:F100, "*DNK*")</f>
        <v>0</v>
      </c>
      <c s="52" r="I64"/>
      <c s="52" r="J64"/>
      <c s="52" r="K64"/>
      <c s="52" r="L64"/>
      <c s="52" r="M64"/>
      <c s="52" r="N64"/>
      <c s="52" r="O64"/>
      <c s="52" r="P64"/>
      <c s="52" r="Q64"/>
    </row>
    <row r="65">
      <c t="s" s="52" r="A65">
        <v>490</v>
      </c>
      <c t="s" s="52" r="B65">
        <v>490</v>
      </c>
      <c t="s" s="67" r="C65">
        <v>491</v>
      </c>
      <c t="s" s="70" r="D65">
        <v>492</v>
      </c>
      <c t="s" s="52" r="E65">
        <v>493</v>
      </c>
      <c t="s" s="52" r="F65">
        <v>491</v>
      </c>
      <c s="52" r="G65"/>
      <c s="12" r="H65">
        <f>COUNTIF(PROJECT!F2:F100, "*DJI*")</f>
        <v>0</v>
      </c>
      <c s="52" r="I65"/>
      <c s="52" r="J65"/>
      <c s="52" r="K65"/>
      <c s="52" r="L65"/>
      <c s="52" r="M65"/>
      <c s="52" r="N65"/>
      <c s="52" r="O65"/>
      <c s="52" r="P65"/>
      <c s="52" r="Q65"/>
    </row>
    <row r="66">
      <c t="s" s="52" r="A66">
        <v>494</v>
      </c>
      <c t="s" s="52" r="B66">
        <v>494</v>
      </c>
      <c t="s" s="67" r="C66">
        <v>495</v>
      </c>
      <c t="s" s="70" r="D66">
        <v>496</v>
      </c>
      <c t="s" s="52" r="E66">
        <v>497</v>
      </c>
      <c t="s" s="52" r="F66">
        <v>498</v>
      </c>
      <c s="52" r="G66"/>
      <c s="12" r="H66">
        <f>COUNTIF(PROJECT!F2:F100, "*DMA*")</f>
        <v>0</v>
      </c>
      <c s="52" r="I66"/>
      <c s="52" r="J66"/>
      <c s="52" r="K66"/>
      <c s="52" r="L66"/>
      <c s="52" r="M66"/>
      <c s="52" r="N66"/>
      <c s="52" r="O66"/>
      <c s="52" r="P66"/>
      <c s="52" r="Q66"/>
    </row>
    <row r="67">
      <c t="s" s="52" r="A67">
        <v>499</v>
      </c>
      <c t="s" s="52" r="B67">
        <v>499</v>
      </c>
      <c t="s" s="67" r="C67">
        <v>500</v>
      </c>
      <c t="s" s="70" r="D67">
        <v>501</v>
      </c>
      <c t="s" s="52" r="E67">
        <v>502</v>
      </c>
      <c t="s" s="52" r="F67">
        <v>495</v>
      </c>
      <c s="52" r="G67"/>
      <c s="12" r="H67">
        <f>COUNTIF(PROJECT!F2:F100, "*DOM*")</f>
        <v>0</v>
      </c>
      <c s="52" r="I67"/>
      <c s="52" r="J67"/>
      <c s="52" r="K67"/>
      <c s="52" r="L67"/>
      <c s="52" r="M67"/>
      <c s="52" r="N67"/>
      <c s="52" r="O67"/>
      <c s="52" r="P67"/>
      <c s="52" r="Q67"/>
    </row>
    <row r="68">
      <c t="s" s="52" r="A68">
        <v>503</v>
      </c>
      <c t="s" s="52" r="B68">
        <v>503</v>
      </c>
      <c t="s" s="67" r="C68">
        <v>504</v>
      </c>
      <c t="s" s="70" r="D68">
        <v>505</v>
      </c>
      <c t="s" s="52" r="E68">
        <v>506</v>
      </c>
      <c t="s" s="52" r="F68">
        <v>504</v>
      </c>
      <c s="52" r="G68"/>
      <c s="12" r="H68">
        <f>COUNTIF(PROJECT!F2:F100, "*ECU*")</f>
        <v>0</v>
      </c>
      <c s="52" r="I68"/>
      <c s="52" r="J68"/>
      <c s="52" r="K68"/>
      <c s="52" r="L68"/>
      <c s="52" r="M68"/>
      <c s="52" r="N68"/>
      <c s="52" r="O68"/>
      <c s="52" r="P68"/>
      <c s="52" r="Q68"/>
    </row>
    <row r="69">
      <c t="s" s="52" r="A69">
        <v>507</v>
      </c>
      <c t="s" s="52" r="B69">
        <v>507</v>
      </c>
      <c t="s" s="67" r="C69">
        <v>508</v>
      </c>
      <c t="s" s="70" r="D69">
        <v>509</v>
      </c>
      <c t="s" s="52" r="E69">
        <v>510</v>
      </c>
      <c t="s" s="52" r="F69">
        <v>508</v>
      </c>
      <c s="52" r="G69"/>
      <c s="12" r="H69">
        <f>COUNTIF(PROJECT!F2:F100, "*EGY*")</f>
        <v>0</v>
      </c>
      <c s="52" r="I69"/>
      <c s="52" r="J69"/>
      <c s="52" r="K69"/>
      <c s="52" r="L69"/>
      <c s="52" r="M69"/>
      <c s="52" r="N69"/>
      <c s="52" r="O69"/>
      <c s="52" r="P69"/>
      <c s="52" r="Q69"/>
    </row>
    <row r="70">
      <c t="s" s="52" r="A70">
        <v>511</v>
      </c>
      <c t="s" s="52" r="B70">
        <v>511</v>
      </c>
      <c t="s" s="15" r="C70">
        <v>512</v>
      </c>
      <c t="s" s="70" r="D70">
        <v>513</v>
      </c>
      <c t="s" s="45" r="E70">
        <v>514</v>
      </c>
      <c t="s" s="52" r="F70">
        <v>515</v>
      </c>
      <c s="52" r="G70"/>
      <c s="12" r="H70">
        <f>COUNTIF(PROJECT!F2:F100, "*SLV*")</f>
        <v>0</v>
      </c>
      <c s="52" r="I70"/>
      <c s="52" r="J70"/>
      <c s="52" r="K70"/>
      <c s="52" r="L70"/>
      <c s="52" r="M70"/>
      <c s="52" r="N70"/>
      <c s="52" r="O70"/>
      <c s="52" r="P70"/>
      <c s="52" r="Q70"/>
    </row>
    <row r="71">
      <c t="s" s="52" r="A71">
        <v>516</v>
      </c>
      <c t="s" s="52" r="B71">
        <v>516</v>
      </c>
      <c t="s" s="15" r="C71">
        <v>517</v>
      </c>
      <c t="s" s="70" r="D71">
        <v>518</v>
      </c>
      <c t="s" s="45" r="E71">
        <v>519</v>
      </c>
      <c t="s" s="52" r="F71">
        <v>520</v>
      </c>
      <c s="52" r="G71"/>
      <c s="12" r="H71">
        <f>COUNTIF(PROJECT!F2:F100, "*GNQ*")</f>
        <v>0</v>
      </c>
      <c s="52" r="I71"/>
      <c s="52" r="J71"/>
      <c s="52" r="K71"/>
      <c s="52" r="L71"/>
      <c s="52" r="M71"/>
      <c s="52" r="N71"/>
      <c s="52" r="O71"/>
      <c s="52" r="P71"/>
      <c s="52" r="Q71"/>
    </row>
    <row r="72">
      <c t="s" s="52" r="A72">
        <v>521</v>
      </c>
      <c t="s" s="52" r="B72">
        <v>521</v>
      </c>
      <c t="s" s="67" r="C72">
        <v>522</v>
      </c>
      <c t="s" s="70" r="D72">
        <v>523</v>
      </c>
      <c t="s" s="52" r="E72">
        <v>524</v>
      </c>
      <c t="s" s="52" r="F72">
        <v>522</v>
      </c>
      <c s="52" r="G72"/>
      <c s="12" r="H72">
        <f>COUNTIF(PROJECT!F2:F100, "*ERI*")</f>
        <v>0</v>
      </c>
      <c s="52" r="I72"/>
      <c s="52" r="J72"/>
      <c s="52" r="K72"/>
      <c s="52" r="L72"/>
      <c s="52" r="M72"/>
      <c s="52" r="N72"/>
      <c s="52" r="O72"/>
      <c s="52" r="P72"/>
      <c s="52" r="Q72"/>
    </row>
    <row r="73">
      <c t="s" s="52" r="A73">
        <v>525</v>
      </c>
      <c t="s" s="52" r="B73">
        <v>525</v>
      </c>
      <c t="s" s="67" r="C73">
        <v>526</v>
      </c>
      <c t="s" s="70" r="D73">
        <v>527</v>
      </c>
      <c t="s" s="52" r="E73">
        <v>528</v>
      </c>
      <c t="s" s="52" r="F73">
        <v>529</v>
      </c>
      <c s="52" r="G73"/>
      <c s="12" r="H73">
        <f>COUNTIF(PROJECT!F2:F100, "*EST*")</f>
        <v>0</v>
      </c>
      <c s="52" r="I73"/>
      <c s="52" r="J73"/>
      <c s="52" r="K73"/>
      <c s="52" r="L73"/>
      <c s="52" r="M73"/>
      <c s="52" r="N73"/>
      <c s="52" r="O73"/>
      <c s="52" r="P73"/>
      <c s="52" r="Q73"/>
    </row>
    <row r="74">
      <c t="s" s="52" r="A74">
        <v>530</v>
      </c>
      <c t="s" s="52" r="B74">
        <v>530</v>
      </c>
      <c t="s" s="67" r="C74">
        <v>531</v>
      </c>
      <c t="s" s="70" r="D74">
        <v>532</v>
      </c>
      <c t="s" s="52" r="E74">
        <v>533</v>
      </c>
      <c t="s" s="52" r="F74">
        <v>531</v>
      </c>
      <c s="52" r="G74"/>
      <c s="12" r="H74">
        <f>COUNTIF(PROJECT!F2:F100, "*ETH*")</f>
        <v>0</v>
      </c>
      <c s="52" r="I74"/>
      <c s="52" r="J74"/>
      <c s="52" r="K74"/>
      <c s="52" r="L74"/>
      <c s="52" r="M74"/>
      <c s="52" r="N74"/>
      <c s="52" r="O74"/>
      <c s="52" r="P74"/>
      <c s="52" r="Q74"/>
    </row>
    <row r="75">
      <c t="s" s="52" r="A75">
        <v>534</v>
      </c>
      <c t="s" s="52" r="B75">
        <v>535</v>
      </c>
      <c t="s" s="67" r="C75">
        <v>536</v>
      </c>
      <c t="s" s="70" r="D75">
        <v>537</v>
      </c>
      <c t="s" s="52" r="E75">
        <v>538</v>
      </c>
      <c t="s" s="52" r="F75">
        <v>536</v>
      </c>
      <c s="52" r="G75"/>
      <c s="12" r="H75">
        <f>COUNTIF(PROJECT!F2:F100, "*FLK*")</f>
        <v>0</v>
      </c>
      <c s="52" r="I75"/>
      <c s="52" r="J75"/>
      <c s="52" r="K75"/>
      <c s="52" r="L75"/>
      <c s="52" r="M75"/>
      <c s="52" r="N75"/>
      <c s="52" r="O75"/>
      <c s="52" r="P75"/>
      <c s="52" r="Q75"/>
    </row>
    <row r="76">
      <c t="s" s="52" r="A76">
        <v>539</v>
      </c>
      <c t="s" s="52" r="B76">
        <v>540</v>
      </c>
      <c t="s" s="67" r="C76">
        <v>541</v>
      </c>
      <c t="s" s="70" r="D76">
        <v>542</v>
      </c>
      <c t="s" s="52" r="E76">
        <v>543</v>
      </c>
      <c t="s" s="52" r="F76">
        <v>541</v>
      </c>
      <c s="52" r="G76"/>
      <c s="12" r="H76">
        <f>COUNTIF(PROJECT!F2:F100, "*FRO*")</f>
        <v>0</v>
      </c>
      <c s="52" r="I76"/>
      <c s="52" r="J76"/>
      <c s="52" r="K76"/>
      <c s="52" r="L76"/>
      <c s="52" r="M76"/>
      <c s="52" r="N76"/>
      <c s="52" r="O76"/>
      <c s="52" r="P76"/>
      <c s="52" r="Q76"/>
    </row>
    <row r="77">
      <c t="s" s="52" r="A77">
        <v>544</v>
      </c>
      <c t="s" s="52" r="B77">
        <v>544</v>
      </c>
      <c t="s" s="67" r="C77">
        <v>545</v>
      </c>
      <c t="s" s="70" r="D77">
        <v>546</v>
      </c>
      <c t="s" s="52" r="E77">
        <v>547</v>
      </c>
      <c t="s" s="52" r="F77">
        <v>545</v>
      </c>
      <c s="52" r="G77"/>
      <c s="12" r="H77">
        <f>COUNTIF(PROJECT!F2:F100, "*FJI*")</f>
        <v>0</v>
      </c>
      <c s="52" r="I77"/>
      <c s="52" r="J77"/>
      <c s="52" r="K77"/>
      <c s="52" r="L77"/>
      <c s="52" r="M77"/>
      <c s="52" r="N77"/>
      <c s="52" r="O77"/>
      <c s="52" r="P77"/>
      <c s="52" r="Q77"/>
    </row>
    <row r="78">
      <c t="s" s="52" r="A78">
        <v>548</v>
      </c>
      <c t="s" s="52" r="B78">
        <v>548</v>
      </c>
      <c t="s" s="67" r="C78">
        <v>549</v>
      </c>
      <c t="s" s="70" r="D78">
        <v>550</v>
      </c>
      <c t="s" s="52" r="E78">
        <v>551</v>
      </c>
      <c t="s" s="52" r="F78">
        <v>549</v>
      </c>
      <c s="52" r="G78"/>
      <c s="12" r="H78">
        <f>COUNTIF(PROJECT!F2:F100, "*FIN*")</f>
        <v>0</v>
      </c>
      <c s="52" r="I78"/>
      <c s="52" r="J78"/>
      <c s="52" r="K78"/>
      <c s="52" r="L78"/>
      <c s="52" r="M78"/>
      <c s="52" r="N78"/>
      <c s="52" r="O78"/>
      <c s="52" r="P78"/>
      <c s="52" r="Q78"/>
    </row>
    <row r="79">
      <c t="s" s="52" r="A79">
        <v>552</v>
      </c>
      <c t="s" s="52" r="B79">
        <v>552</v>
      </c>
      <c t="s" s="67" r="C79">
        <v>553</v>
      </c>
      <c t="s" s="70" r="D79">
        <v>554</v>
      </c>
      <c t="s" s="52" r="E79">
        <v>555</v>
      </c>
      <c t="s" s="52" r="F79">
        <v>553</v>
      </c>
      <c s="52" r="G79"/>
      <c s="12" r="H79">
        <f>COUNTIF(PROJECT!F2:F100, "*FRA*")</f>
        <v>0</v>
      </c>
      <c s="52" r="I79"/>
      <c s="52" r="J79"/>
      <c s="52" r="K79"/>
      <c s="52" r="L79"/>
      <c s="52" r="M79"/>
      <c s="52" r="N79"/>
      <c s="52" r="O79"/>
      <c s="52" r="P79"/>
      <c s="52" r="Q79"/>
    </row>
    <row r="80">
      <c t="s" s="52" r="A80">
        <v>556</v>
      </c>
      <c t="s" s="52" r="B80">
        <v>556</v>
      </c>
      <c t="s" s="15" r="C80">
        <v>557</v>
      </c>
      <c t="s" s="70" r="D80">
        <v>558</v>
      </c>
      <c t="s" s="45" r="E80">
        <v>559</v>
      </c>
      <c t="s" s="52" r="F80">
        <v>560</v>
      </c>
      <c s="52" r="G80"/>
      <c s="12" r="H80">
        <f>COUNTIF(PROJECT!F2:F100, "*GUF*")</f>
        <v>0</v>
      </c>
      <c s="52" r="I80"/>
      <c s="52" r="J80"/>
      <c s="52" r="K80"/>
      <c s="52" r="L80"/>
      <c s="52" r="M80"/>
      <c s="52" r="N80"/>
      <c s="52" r="O80"/>
      <c s="52" r="P80"/>
      <c s="52" r="Q80"/>
    </row>
    <row r="81">
      <c t="s" s="52" r="A81">
        <v>561</v>
      </c>
      <c t="s" s="52" r="B81">
        <v>561</v>
      </c>
      <c t="s" s="15" r="C81">
        <v>562</v>
      </c>
      <c t="s" s="70" r="D81">
        <v>563</v>
      </c>
      <c t="s" s="45" r="E81">
        <v>564</v>
      </c>
      <c t="s" s="52" r="F81">
        <v>565</v>
      </c>
      <c s="52" r="G81"/>
      <c s="12" r="H81">
        <f>COUNTIF(PROJECT!F2:F100, "*PYF*")</f>
        <v>0</v>
      </c>
      <c s="52" r="I81"/>
      <c s="52" r="J81"/>
      <c s="52" r="K81"/>
      <c s="52" r="L81"/>
      <c s="52" r="M81"/>
      <c s="52" r="N81"/>
      <c s="52" r="O81"/>
      <c s="52" r="P81"/>
      <c s="52" r="Q81"/>
    </row>
    <row r="82">
      <c t="s" s="45" r="A82">
        <v>566</v>
      </c>
      <c t="s" s="52" r="B82">
        <v>567</v>
      </c>
      <c t="s" s="15" r="C82">
        <v>568</v>
      </c>
      <c t="s" s="70" r="D82">
        <v>569</v>
      </c>
      <c t="s" s="45" r="E82">
        <v>570</v>
      </c>
      <c t="s" s="52" r="F82">
        <v>571</v>
      </c>
      <c t="s" s="52" r="G82">
        <v>572</v>
      </c>
      <c s="12" r="H82">
        <f>COUNTIF(PROJECT!F2:F100, "*ATF*")</f>
        <v>0</v>
      </c>
      <c s="52" r="I82"/>
      <c s="52" r="J82"/>
      <c s="52" r="K82"/>
      <c s="52" r="L82"/>
      <c s="52" r="M82"/>
      <c s="52" r="N82"/>
      <c s="52" r="O82"/>
      <c s="52" r="P82"/>
      <c s="52" r="Q82"/>
    </row>
    <row r="83">
      <c t="s" s="52" r="A83">
        <v>573</v>
      </c>
      <c t="s" s="52" r="B83">
        <v>573</v>
      </c>
      <c t="s" s="67" r="C83">
        <v>574</v>
      </c>
      <c t="s" s="70" r="D83">
        <v>575</v>
      </c>
      <c t="s" s="52" r="E83">
        <v>576</v>
      </c>
      <c t="s" s="52" r="F83">
        <v>577</v>
      </c>
      <c s="52" r="G83"/>
      <c s="12" r="H83">
        <f>COUNTIF(PROJECT!F2:F100, "*GAB*")</f>
        <v>0</v>
      </c>
      <c s="52" r="I83"/>
      <c s="52" r="J83"/>
      <c s="52" r="K83"/>
      <c s="52" r="L83"/>
      <c s="52" r="M83"/>
      <c s="52" r="N83"/>
      <c s="52" r="O83"/>
      <c s="52" r="P83"/>
      <c s="52" r="Q83"/>
    </row>
    <row r="84">
      <c t="s" s="52" r="A84">
        <v>578</v>
      </c>
      <c t="s" s="52" r="B84">
        <v>578</v>
      </c>
      <c t="s" s="67" r="C84">
        <v>577</v>
      </c>
      <c t="s" s="70" r="D84">
        <v>579</v>
      </c>
      <c t="s" s="52" r="E84">
        <v>580</v>
      </c>
      <c t="s" s="52" r="F84">
        <v>581</v>
      </c>
      <c s="52" r="G84"/>
      <c s="12" r="H84">
        <f>COUNTIF(PROJECT!F2:F100, "*GMB*")</f>
        <v>0</v>
      </c>
      <c s="52" r="I84"/>
      <c s="52" r="J84"/>
      <c s="52" r="K84"/>
      <c s="52" r="L84"/>
      <c s="52" r="M84"/>
      <c s="52" r="N84"/>
      <c s="52" r="O84"/>
      <c s="52" r="P84"/>
      <c s="52" r="Q84"/>
    </row>
    <row r="85">
      <c t="s" s="45" r="A85">
        <v>578</v>
      </c>
      <c t="s" s="45" r="B85">
        <v>582</v>
      </c>
      <c t="s" s="15" r="C85">
        <v>577</v>
      </c>
      <c t="s" s="44" r="D85">
        <v>579</v>
      </c>
      <c t="s" s="45" r="E85">
        <v>580</v>
      </c>
      <c t="s" s="45" r="F85">
        <v>581</v>
      </c>
      <c s="52" r="G85"/>
      <c s="8" r="H85">
        <f>COUNTIF(PROJECT!F2:F100, "*GMB*")</f>
        <v>0</v>
      </c>
      <c s="52" r="I85"/>
      <c s="52" r="J85"/>
      <c s="52" r="K85"/>
      <c s="52" r="L85"/>
      <c s="52" r="M85"/>
      <c s="52" r="N85"/>
      <c s="52" r="O85"/>
      <c s="52" r="P85"/>
      <c s="52" r="Q85"/>
    </row>
    <row r="86">
      <c t="s" s="52" r="A86">
        <v>583</v>
      </c>
      <c t="s" s="52" r="B86">
        <v>584</v>
      </c>
      <c t="s" s="22" r="C86">
        <v>585</v>
      </c>
      <c t="s" s="70" r="D86">
        <v>586</v>
      </c>
      <c s="84" r="E86"/>
      <c t="s" s="52" r="F86">
        <v>587</v>
      </c>
      <c s="52" r="G86"/>
      <c s="8" r="H86">
        <f>COUNTIF(PROJECT!F2:F100, "*PS-GZA*")</f>
        <v>0</v>
      </c>
      <c s="52" r="I86"/>
      <c s="52" r="J86"/>
      <c s="52" r="K86"/>
      <c s="52" r="L86"/>
      <c s="52" r="M86"/>
      <c s="52" r="N86"/>
      <c s="52" r="O86"/>
      <c s="52" r="P86"/>
      <c s="52" r="Q86"/>
    </row>
    <row r="87">
      <c t="s" s="52" r="A87">
        <v>588</v>
      </c>
      <c t="s" s="52" r="B87">
        <v>588</v>
      </c>
      <c t="s" s="67" r="C87">
        <v>589</v>
      </c>
      <c t="s" s="70" r="D87">
        <v>590</v>
      </c>
      <c t="s" s="52" r="E87">
        <v>591</v>
      </c>
      <c t="s" s="52" r="F87">
        <v>592</v>
      </c>
      <c s="52" r="G87"/>
      <c s="12" r="H87">
        <f>COUNTIF(PROJECT!F2:F100, "*GEO*")</f>
        <v>0</v>
      </c>
      <c s="52" r="I87"/>
      <c s="52" r="J87"/>
      <c s="52" r="K87"/>
      <c s="52" r="L87"/>
      <c s="52" r="M87"/>
      <c s="52" r="N87"/>
      <c s="52" r="O87"/>
      <c s="52" r="P87"/>
      <c s="52" r="Q87"/>
    </row>
    <row r="88">
      <c t="s" s="52" r="A88">
        <v>593</v>
      </c>
      <c t="s" s="52" r="B88">
        <v>593</v>
      </c>
      <c t="s" s="15" r="C88">
        <v>581</v>
      </c>
      <c t="s" s="70" r="D88">
        <v>594</v>
      </c>
      <c t="s" s="45" r="E88">
        <v>595</v>
      </c>
      <c t="s" s="52" r="F88">
        <v>596</v>
      </c>
      <c s="52" r="G88"/>
      <c s="12" r="H88">
        <f>COUNTIF(PROJECT!F2:F100, "*DEU*")</f>
        <v>0</v>
      </c>
      <c s="52" r="I88"/>
      <c s="52" r="J88"/>
      <c s="52" r="K88"/>
      <c s="52" r="L88"/>
      <c s="52" r="M88"/>
      <c s="52" r="N88"/>
      <c s="52" r="O88"/>
      <c s="52" r="P88"/>
      <c s="52" r="Q88"/>
    </row>
    <row r="89">
      <c t="s" s="52" r="A89">
        <v>597</v>
      </c>
      <c t="s" s="52" r="B89">
        <v>597</v>
      </c>
      <c t="s" s="67" r="C89">
        <v>598</v>
      </c>
      <c t="s" s="70" r="D89">
        <v>599</v>
      </c>
      <c t="s" s="52" r="E89">
        <v>600</v>
      </c>
      <c t="s" s="52" r="F89">
        <v>598</v>
      </c>
      <c s="52" r="G89"/>
      <c s="12" r="H89">
        <f>COUNTIF(PROJECT!F2:F100, "*GHA*")</f>
        <v>0</v>
      </c>
      <c s="52" r="I89"/>
      <c s="52" r="J89"/>
      <c s="52" r="K89"/>
      <c s="52" r="L89"/>
      <c s="52" r="M89"/>
      <c s="52" r="N89"/>
      <c s="52" r="O89"/>
      <c s="52" r="P89"/>
      <c s="52" r="Q89"/>
    </row>
    <row r="90">
      <c t="s" s="52" r="A90">
        <v>601</v>
      </c>
      <c t="s" s="52" r="B90">
        <v>601</v>
      </c>
      <c t="s" s="67" r="C90">
        <v>602</v>
      </c>
      <c t="s" s="70" r="D90">
        <v>603</v>
      </c>
      <c t="s" s="52" r="E90">
        <v>604</v>
      </c>
      <c t="s" s="52" r="F90">
        <v>602</v>
      </c>
      <c s="52" r="G90"/>
      <c s="12" r="H90">
        <f>COUNTIF(PROJECT!F2:F100, "*GIB*")</f>
        <v>0</v>
      </c>
      <c s="52" r="I90"/>
      <c s="52" r="J90"/>
      <c s="52" r="K90"/>
      <c s="52" r="L90"/>
      <c s="52" r="M90"/>
      <c s="52" r="N90"/>
      <c s="52" r="O90"/>
      <c s="52" r="P90"/>
      <c s="52" r="Q90"/>
    </row>
    <row r="91">
      <c t="s" s="52" r="A91">
        <v>605</v>
      </c>
      <c t="s" s="52" r="B91">
        <v>606</v>
      </c>
      <c t="s" s="67" r="C91">
        <v>607</v>
      </c>
      <c s="84" r="D91"/>
      <c s="84" r="E91"/>
      <c t="s" s="45" r="F91">
        <v>571</v>
      </c>
      <c t="s" s="52" r="G91">
        <v>608</v>
      </c>
      <c s="8" r="H91"/>
      <c s="52" r="I91"/>
      <c s="52" r="J91"/>
      <c s="52" r="K91"/>
      <c s="52" r="L91"/>
      <c s="52" r="M91"/>
      <c s="52" r="N91"/>
      <c s="52" r="O91"/>
      <c s="52" r="P91"/>
      <c s="52" r="Q91"/>
    </row>
    <row r="92">
      <c t="s" s="52" r="A92">
        <v>609</v>
      </c>
      <c t="s" s="52" r="B92">
        <v>609</v>
      </c>
      <c t="s" s="67" r="C92">
        <v>610</v>
      </c>
      <c t="s" s="70" r="D92">
        <v>611</v>
      </c>
      <c t="s" s="52" r="E92">
        <v>612</v>
      </c>
      <c t="s" s="52" r="F92">
        <v>610</v>
      </c>
      <c s="52" r="G92"/>
      <c s="12" r="H92">
        <f>COUNTIF(PROJECT!F2:F100, "*GRC*")</f>
        <v>0</v>
      </c>
      <c s="52" r="I92"/>
      <c s="52" r="J92"/>
      <c s="52" r="K92"/>
      <c s="52" r="L92"/>
      <c s="52" r="M92"/>
      <c s="52" r="N92"/>
      <c s="52" r="O92"/>
      <c s="52" r="P92"/>
      <c s="52" r="Q92"/>
    </row>
    <row r="93">
      <c t="s" s="52" r="A93">
        <v>613</v>
      </c>
      <c t="s" s="52" r="B93">
        <v>613</v>
      </c>
      <c t="s" s="67" r="C93">
        <v>614</v>
      </c>
      <c t="s" s="70" r="D93">
        <v>615</v>
      </c>
      <c t="s" s="52" r="E93">
        <v>616</v>
      </c>
      <c t="s" s="52" r="F93">
        <v>614</v>
      </c>
      <c s="52" r="G93"/>
      <c s="12" r="H93">
        <f>COUNTIF(PROJECT!F2:F100, "*GRL*")</f>
        <v>0</v>
      </c>
      <c s="52" r="I93"/>
      <c s="52" r="J93"/>
      <c s="52" r="K93"/>
      <c s="52" r="L93"/>
      <c s="52" r="M93"/>
      <c s="52" r="N93"/>
      <c s="52" r="O93"/>
      <c s="52" r="P93"/>
      <c s="52" r="Q93"/>
    </row>
    <row r="94">
      <c t="s" s="52" r="A94">
        <v>617</v>
      </c>
      <c t="s" s="52" r="B94">
        <v>617</v>
      </c>
      <c t="s" s="67" r="C94">
        <v>618</v>
      </c>
      <c t="s" s="70" r="D94">
        <v>619</v>
      </c>
      <c t="s" s="52" r="E94">
        <v>620</v>
      </c>
      <c t="s" s="52" r="F94">
        <v>621</v>
      </c>
      <c s="52" r="G94"/>
      <c s="12" r="H94">
        <f>COUNTIF(PROJECT!F2:F100, "*GRD*")</f>
        <v>0</v>
      </c>
      <c s="52" r="I94"/>
      <c s="52" r="J94"/>
      <c s="52" r="K94"/>
      <c s="52" r="L94"/>
      <c s="52" r="M94"/>
      <c s="52" r="N94"/>
      <c s="52" r="O94"/>
      <c s="52" r="P94"/>
      <c s="52" r="Q94"/>
    </row>
    <row r="95">
      <c t="s" s="52" r="A95">
        <v>622</v>
      </c>
      <c t="s" s="52" r="B95">
        <v>622</v>
      </c>
      <c t="s" s="67" r="C95">
        <v>623</v>
      </c>
      <c t="s" s="70" r="D95">
        <v>624</v>
      </c>
      <c t="s" s="52" r="E95">
        <v>625</v>
      </c>
      <c t="s" s="52" r="F95">
        <v>623</v>
      </c>
      <c s="52" r="G95"/>
      <c s="12" r="H95">
        <f>COUNTIF(PROJECT!F2:F100, "*GLP*")</f>
        <v>0</v>
      </c>
      <c s="52" r="I95"/>
      <c s="52" r="J95"/>
      <c s="52" r="K95"/>
      <c s="52" r="L95"/>
      <c s="52" r="M95"/>
      <c s="52" r="N95"/>
      <c s="52" r="O95"/>
      <c s="52" r="P95"/>
      <c s="52" r="Q95"/>
    </row>
    <row r="96">
      <c t="s" s="52" r="A96">
        <v>626</v>
      </c>
      <c t="s" s="52" r="B96">
        <v>626</v>
      </c>
      <c t="s" s="67" r="C96">
        <v>520</v>
      </c>
      <c t="s" s="70" r="D96">
        <v>627</v>
      </c>
      <c t="s" s="52" r="E96">
        <v>628</v>
      </c>
      <c t="s" s="52" r="F96">
        <v>629</v>
      </c>
      <c s="52" r="G96"/>
      <c s="12" r="H96">
        <f>COUNTIF(PROJECT!F2:F100, "*GUM*")</f>
        <v>0</v>
      </c>
      <c s="52" r="I96"/>
      <c s="52" r="J96"/>
      <c s="52" r="K96"/>
      <c s="52" r="L96"/>
      <c s="52" r="M96"/>
      <c s="52" r="N96"/>
      <c s="52" r="O96"/>
      <c s="52" r="P96"/>
      <c s="52" r="Q96"/>
    </row>
    <row r="97">
      <c t="s" s="52" r="A97">
        <v>630</v>
      </c>
      <c t="s" s="52" r="B97">
        <v>630</v>
      </c>
      <c t="s" s="67" r="C97">
        <v>631</v>
      </c>
      <c t="s" s="70" r="D97">
        <v>632</v>
      </c>
      <c t="s" s="52" r="E97">
        <v>633</v>
      </c>
      <c t="s" s="52" r="F97">
        <v>631</v>
      </c>
      <c s="52" r="G97"/>
      <c s="12" r="H97">
        <f>COUNTIF(PROJECT!F2:F100, "*GTM*")</f>
        <v>0</v>
      </c>
      <c s="52" r="I97"/>
      <c s="52" r="J97"/>
      <c s="52" r="K97"/>
      <c s="52" r="L97"/>
      <c s="52" r="M97"/>
      <c s="52" r="N97"/>
      <c s="52" r="O97"/>
      <c s="52" r="P97"/>
      <c s="52" r="Q97"/>
    </row>
    <row r="98">
      <c t="s" s="52" r="A98">
        <v>634</v>
      </c>
      <c t="s" s="52" r="B98">
        <v>634</v>
      </c>
      <c t="s" s="67" r="C98">
        <v>635</v>
      </c>
      <c t="s" s="70" r="D98">
        <v>636</v>
      </c>
      <c t="s" s="52" r="E98">
        <v>637</v>
      </c>
      <c t="s" s="52" r="F98">
        <v>589</v>
      </c>
      <c s="52" r="G98"/>
      <c s="12" r="H98">
        <f>COUNTIF(PROJECT!F2:F100, "*GGY*")</f>
        <v>0</v>
      </c>
      <c s="52" r="I98"/>
      <c s="52" r="J98"/>
      <c s="52" r="K98"/>
      <c s="52" r="L98"/>
      <c s="52" r="M98"/>
      <c s="52" r="N98"/>
      <c s="52" r="O98"/>
      <c s="52" r="P98"/>
      <c s="52" r="Q98"/>
    </row>
    <row r="99">
      <c t="s" s="52" r="A99">
        <v>638</v>
      </c>
      <c t="s" s="52" r="B99">
        <v>638</v>
      </c>
      <c t="s" s="67" r="C99">
        <v>639</v>
      </c>
      <c t="s" s="70" r="D99">
        <v>640</v>
      </c>
      <c t="s" s="52" r="E99">
        <v>641</v>
      </c>
      <c t="s" s="52" r="F99">
        <v>642</v>
      </c>
      <c s="52" r="G99"/>
      <c s="12" r="H99">
        <f>COUNTIF(PROJECT!F2:F100, "*GIN*")</f>
        <v>0</v>
      </c>
      <c s="52" r="I99"/>
      <c s="52" r="J99"/>
      <c s="52" r="K99"/>
      <c s="52" r="L99"/>
      <c s="52" r="M99"/>
      <c s="52" r="N99"/>
      <c s="52" r="O99"/>
      <c s="52" r="P99"/>
      <c s="52" r="Q99"/>
    </row>
    <row r="100">
      <c t="s" s="52" r="A100">
        <v>643</v>
      </c>
      <c t="s" s="52" r="B100">
        <v>643</v>
      </c>
      <c t="s" s="67" r="C100">
        <v>644</v>
      </c>
      <c t="s" s="70" r="D100">
        <v>645</v>
      </c>
      <c t="s" s="52" r="E100">
        <v>646</v>
      </c>
      <c t="s" s="52" r="F100">
        <v>647</v>
      </c>
      <c s="52" r="G100"/>
      <c s="12" r="H100">
        <f>COUNTIF(PROJECT!F2:F100, "*GNB*")</f>
        <v>0</v>
      </c>
      <c s="52" r="I100"/>
      <c s="52" r="J100"/>
      <c s="52" r="K100"/>
      <c s="52" r="L100"/>
      <c s="52" r="M100"/>
      <c s="52" r="N100"/>
      <c s="52" r="O100"/>
      <c s="52" r="P100"/>
      <c s="52" r="Q100"/>
    </row>
    <row r="101">
      <c t="s" s="52" r="A101">
        <v>648</v>
      </c>
      <c t="s" s="52" r="B101">
        <v>648</v>
      </c>
      <c t="s" s="67" r="C101">
        <v>649</v>
      </c>
      <c t="s" s="70" r="D101">
        <v>650</v>
      </c>
      <c t="s" s="52" r="E101">
        <v>651</v>
      </c>
      <c t="s" s="52" r="F101">
        <v>649</v>
      </c>
      <c s="52" r="G101"/>
      <c s="12" r="H101">
        <f>COUNTIF(PROJECT!F2:F100, "*GUY*")</f>
        <v>0</v>
      </c>
      <c s="52" r="I101"/>
      <c s="52" r="J101"/>
      <c s="52" r="K101"/>
      <c s="52" r="L101"/>
      <c s="52" r="M101"/>
      <c s="52" r="N101"/>
      <c s="52" r="O101"/>
      <c s="52" r="P101"/>
      <c s="52" r="Q101"/>
    </row>
    <row r="102">
      <c t="s" s="52" r="A102">
        <v>652</v>
      </c>
      <c t="s" s="52" r="B102">
        <v>652</v>
      </c>
      <c t="s" s="67" r="C102">
        <v>653</v>
      </c>
      <c t="s" s="70" r="D102">
        <v>654</v>
      </c>
      <c t="s" s="52" r="E102">
        <v>655</v>
      </c>
      <c t="s" s="52" r="F102">
        <v>656</v>
      </c>
      <c s="52" r="G102"/>
      <c s="12" r="H102">
        <f>COUNTIF(PROJECT!F2:F100, "*HTI*")</f>
        <v>0</v>
      </c>
      <c s="52" r="I102"/>
      <c s="52" r="J102"/>
      <c s="52" r="K102"/>
      <c s="52" r="L102"/>
      <c s="52" r="M102"/>
      <c s="52" r="N102"/>
      <c s="52" r="O102"/>
      <c s="52" r="P102"/>
      <c s="52" r="Q102"/>
    </row>
    <row r="103">
      <c t="s" s="52" r="A103">
        <v>657</v>
      </c>
      <c t="s" s="52" r="B103">
        <v>658</v>
      </c>
      <c t="s" s="67" r="C103">
        <v>659</v>
      </c>
      <c t="s" s="70" r="D103">
        <v>660</v>
      </c>
      <c t="s" s="52" r="E103">
        <v>661</v>
      </c>
      <c t="s" s="52" r="F103">
        <v>659</v>
      </c>
      <c s="52" r="G103"/>
      <c s="12" r="H103">
        <f>COUNTIF(PROJECT!F2:F100, "*HMD*")</f>
        <v>0</v>
      </c>
      <c s="52" r="I103"/>
      <c s="52" r="J103"/>
      <c s="52" r="K103"/>
      <c s="52" r="L103"/>
      <c s="52" r="M103"/>
      <c s="52" r="N103"/>
      <c s="52" r="O103"/>
      <c s="52" r="P103"/>
      <c s="52" r="Q103"/>
    </row>
    <row r="104">
      <c t="s" s="52" r="A104">
        <v>662</v>
      </c>
      <c t="s" s="52" r="B104">
        <v>662</v>
      </c>
      <c t="s" s="67" r="C104">
        <v>663</v>
      </c>
      <c t="s" s="70" r="D104">
        <v>664</v>
      </c>
      <c t="s" s="52" r="E104">
        <v>665</v>
      </c>
      <c t="s" s="52" r="F104">
        <v>666</v>
      </c>
      <c s="52" r="G104"/>
      <c s="12" r="H104">
        <f>COUNTIF(PROJECT!F2:F100, "*HND*")</f>
        <v>0</v>
      </c>
      <c s="52" r="I104"/>
      <c s="52" r="J104"/>
      <c s="52" r="K104"/>
      <c s="52" r="L104"/>
      <c s="52" r="M104"/>
      <c s="52" r="N104"/>
      <c s="52" r="O104"/>
      <c s="52" r="P104"/>
      <c s="52" r="Q104"/>
    </row>
    <row r="105">
      <c t="s" s="52" r="A105">
        <v>667</v>
      </c>
      <c t="s" s="52" r="B105">
        <v>668</v>
      </c>
      <c t="s" s="67" r="C105">
        <v>669</v>
      </c>
      <c s="84" r="D105"/>
      <c s="84" r="E105"/>
      <c t="s" s="52" r="F105">
        <v>670</v>
      </c>
      <c t="s" s="12" r="G105">
        <v>293</v>
      </c>
      <c s="8" r="H105"/>
      <c s="52" r="I105"/>
      <c s="52" r="J105"/>
      <c s="52" r="K105"/>
      <c s="52" r="L105"/>
      <c s="52" r="M105"/>
      <c s="52" r="N105"/>
      <c s="52" r="O105"/>
      <c s="52" r="P105"/>
      <c s="52" r="Q105"/>
    </row>
    <row r="106">
      <c t="s" s="52" r="A106">
        <v>671</v>
      </c>
      <c t="s" s="52" r="B106">
        <v>671</v>
      </c>
      <c t="s" s="67" r="C106">
        <v>672</v>
      </c>
      <c t="s" s="70" r="D106">
        <v>673</v>
      </c>
      <c t="s" s="52" r="E106">
        <v>674</v>
      </c>
      <c t="s" s="52" r="F106">
        <v>672</v>
      </c>
      <c s="52" r="G106"/>
      <c s="12" r="H106">
        <f>COUNTIF(PROJECT!F2:F100, "*HUN*")</f>
        <v>0</v>
      </c>
      <c s="52" r="I106"/>
      <c s="52" r="J106"/>
      <c s="52" r="K106"/>
      <c s="52" r="L106"/>
      <c s="52" r="M106"/>
      <c s="52" r="N106"/>
      <c s="52" r="O106"/>
      <c s="52" r="P106"/>
      <c s="52" r="Q106"/>
    </row>
    <row r="107">
      <c t="s" s="52" r="A107">
        <v>675</v>
      </c>
      <c t="s" s="52" r="B107">
        <v>675</v>
      </c>
      <c t="s" s="67" r="C107">
        <v>676</v>
      </c>
      <c t="s" s="70" r="D107">
        <v>677</v>
      </c>
      <c t="s" s="52" r="E107">
        <v>678</v>
      </c>
      <c t="s" s="52" r="F107">
        <v>679</v>
      </c>
      <c s="52" r="G107"/>
      <c s="12" r="H107">
        <f>COUNTIF(PROJECT!F2:F100, "*ISL*")</f>
        <v>0</v>
      </c>
      <c s="52" r="I107"/>
      <c s="52" r="J107"/>
      <c s="52" r="K107"/>
      <c s="52" r="L107"/>
      <c s="52" r="M107"/>
      <c s="52" r="N107"/>
      <c s="52" r="O107"/>
      <c s="52" r="P107"/>
      <c s="52" r="Q107"/>
    </row>
    <row r="108">
      <c t="s" s="52" r="A108">
        <v>680</v>
      </c>
      <c t="s" s="52" r="B108">
        <v>680</v>
      </c>
      <c t="s" s="67" r="C108">
        <v>681</v>
      </c>
      <c t="s" s="70" r="D108">
        <v>682</v>
      </c>
      <c t="s" s="52" r="E108">
        <v>683</v>
      </c>
      <c t="s" s="52" r="F108">
        <v>681</v>
      </c>
      <c s="52" r="G108"/>
      <c s="12" r="H108">
        <f>COUNTIF(PROJECT!F2:F100, "*IND*")</f>
        <v>0</v>
      </c>
      <c s="52" r="I108"/>
      <c s="52" r="J108"/>
      <c s="52" r="K108"/>
      <c s="52" r="L108"/>
      <c s="52" r="M108"/>
      <c s="52" r="N108"/>
      <c s="52" r="O108"/>
      <c s="52" r="P108"/>
      <c s="52" r="Q108"/>
    </row>
    <row r="109">
      <c t="s" s="52" r="A109">
        <v>684</v>
      </c>
      <c t="s" s="52" r="B109">
        <v>685</v>
      </c>
      <c t="s" s="67" r="C109">
        <v>686</v>
      </c>
      <c t="s" s="70" r="D109">
        <v>687</v>
      </c>
      <c t="s" s="52" r="E109">
        <v>688</v>
      </c>
      <c t="s" s="52" r="F109">
        <v>686</v>
      </c>
      <c s="52" r="G109"/>
      <c s="12" r="H109">
        <f>COUNTIF(PROJECT!F2:F100, "*IDN*")</f>
        <v>0</v>
      </c>
      <c s="52" r="I109"/>
      <c s="52" r="J109"/>
      <c s="52" r="K109"/>
      <c s="52" r="L109"/>
      <c s="52" r="M109"/>
      <c s="52" r="N109"/>
      <c s="52" r="O109"/>
      <c s="52" r="P109"/>
      <c s="52" r="Q109"/>
    </row>
    <row r="110">
      <c t="s" s="45" r="A110">
        <v>689</v>
      </c>
      <c t="s" s="52" r="B110">
        <v>690</v>
      </c>
      <c t="s" s="67" r="C110">
        <v>691</v>
      </c>
      <c t="s" s="70" r="D110">
        <v>692</v>
      </c>
      <c t="s" s="52" r="E110">
        <v>693</v>
      </c>
      <c t="s" s="52" r="F110">
        <v>691</v>
      </c>
      <c s="52" r="G110"/>
      <c s="12" r="H110">
        <f>COUNTIF(PROJECT!F2:F100, "*IRN*")</f>
        <v>0</v>
      </c>
      <c s="52" r="I110"/>
      <c s="52" r="J110"/>
      <c s="52" r="K110"/>
      <c s="52" r="L110"/>
      <c s="52" r="M110"/>
      <c s="52" r="N110"/>
      <c s="52" r="O110"/>
      <c s="52" r="P110"/>
      <c s="52" r="Q110"/>
    </row>
    <row r="111">
      <c t="s" s="52" r="A111">
        <v>694</v>
      </c>
      <c t="s" s="52" r="B111">
        <v>694</v>
      </c>
      <c t="s" s="67" r="C111">
        <v>695</v>
      </c>
      <c t="s" s="70" r="D111">
        <v>696</v>
      </c>
      <c t="s" s="52" r="E111">
        <v>697</v>
      </c>
      <c t="s" s="52" r="F111">
        <v>698</v>
      </c>
      <c s="52" r="G111"/>
      <c s="12" r="H111">
        <f>COUNTIF(PROJECT!F2:F100, "*IRQ*")</f>
        <v>0</v>
      </c>
      <c s="52" r="I111"/>
      <c s="52" r="J111"/>
      <c s="52" r="K111"/>
      <c s="52" r="L111"/>
      <c s="52" r="M111"/>
      <c s="52" r="N111"/>
      <c s="52" r="O111"/>
      <c s="52" r="P111"/>
      <c s="52" r="Q111"/>
    </row>
    <row r="112">
      <c t="s" s="52" r="A112">
        <v>699</v>
      </c>
      <c t="s" s="52" r="B112">
        <v>699</v>
      </c>
      <c t="s" s="67" r="C112">
        <v>700</v>
      </c>
      <c t="s" s="70" r="D112">
        <v>701</v>
      </c>
      <c t="s" s="52" r="E112">
        <v>702</v>
      </c>
      <c t="s" s="52" r="F112">
        <v>703</v>
      </c>
      <c s="52" r="G112"/>
      <c s="12" r="H112">
        <f>COUNTIF(PROJECT!F2:F100, "*IRL*")</f>
        <v>0</v>
      </c>
      <c s="52" r="I112"/>
      <c s="52" r="J112"/>
      <c s="52" r="K112"/>
      <c s="52" r="L112"/>
      <c s="52" r="M112"/>
      <c s="52" r="N112"/>
      <c s="52" r="O112"/>
      <c s="52" r="P112"/>
      <c s="52" r="Q112"/>
    </row>
    <row r="113">
      <c t="s" s="52" r="A113">
        <v>704</v>
      </c>
      <c t="s" s="52" r="B113">
        <v>704</v>
      </c>
      <c t="s" s="67" r="C113">
        <v>705</v>
      </c>
      <c t="s" s="70" r="D113">
        <v>706</v>
      </c>
      <c t="s" s="52" r="E113">
        <v>707</v>
      </c>
      <c t="s" s="52" r="F113">
        <v>705</v>
      </c>
      <c s="52" r="G113"/>
      <c s="12" r="H113">
        <f>COUNTIF(PROJECT!F2:F100, "*IMN*")</f>
        <v>0</v>
      </c>
      <c s="52" r="I113"/>
      <c s="52" r="J113"/>
      <c s="52" r="K113"/>
      <c s="52" r="L113"/>
      <c s="52" r="M113"/>
      <c s="52" r="N113"/>
      <c s="52" r="O113"/>
      <c s="52" r="P113"/>
      <c s="52" r="Q113"/>
    </row>
    <row r="114">
      <c t="s" s="52" r="A114">
        <v>708</v>
      </c>
      <c t="s" s="52" r="B114">
        <v>708</v>
      </c>
      <c t="s" s="67" r="C114">
        <v>679</v>
      </c>
      <c t="s" s="70" r="D114">
        <v>709</v>
      </c>
      <c t="s" s="52" r="E114">
        <v>710</v>
      </c>
      <c t="s" s="52" r="F114">
        <v>711</v>
      </c>
      <c s="52" r="G114"/>
      <c s="12" r="H114">
        <f>COUNTIF(PROJECT!F2:F100, "*ISR*")</f>
        <v>0</v>
      </c>
      <c s="52" r="I114"/>
      <c s="52" r="J114"/>
      <c s="52" r="K114"/>
      <c s="52" r="L114"/>
      <c s="52" r="M114"/>
      <c s="52" r="N114"/>
      <c s="52" r="O114"/>
      <c s="52" r="P114"/>
      <c s="52" r="Q114"/>
    </row>
    <row r="115">
      <c t="s" s="52" r="A115">
        <v>712</v>
      </c>
      <c t="s" s="52" r="B115">
        <v>712</v>
      </c>
      <c t="s" s="67" r="C115">
        <v>713</v>
      </c>
      <c t="s" s="70" r="D115">
        <v>714</v>
      </c>
      <c t="s" s="52" r="E115">
        <v>715</v>
      </c>
      <c t="s" s="52" r="F115">
        <v>713</v>
      </c>
      <c s="52" r="G115"/>
      <c s="12" r="H115">
        <f>COUNTIF(PROJECT!F2:F100, "*ITA*")</f>
        <v>0</v>
      </c>
      <c s="52" r="I115"/>
      <c s="52" r="J115"/>
      <c s="52" r="K115"/>
      <c s="52" r="L115"/>
      <c s="52" r="M115"/>
      <c s="52" r="N115"/>
      <c s="52" r="O115"/>
      <c s="52" r="P115"/>
      <c s="52" r="Q115"/>
    </row>
    <row r="116">
      <c t="s" s="52" r="A116">
        <v>716</v>
      </c>
      <c t="s" s="52" r="B116">
        <v>716</v>
      </c>
      <c t="s" s="67" r="C116">
        <v>717</v>
      </c>
      <c t="s" s="70" r="D116">
        <v>718</v>
      </c>
      <c t="s" s="52" r="E116">
        <v>719</v>
      </c>
      <c t="s" s="52" r="F116">
        <v>717</v>
      </c>
      <c s="52" r="G116"/>
      <c s="12" r="H116">
        <f>COUNTIF(PROJECT!F2:F100, "*JAM*")</f>
        <v>0</v>
      </c>
      <c s="52" r="I116"/>
      <c s="52" r="J116"/>
      <c s="52" r="K116"/>
      <c s="52" r="L116"/>
      <c s="52" r="M116"/>
      <c s="52" r="N116"/>
      <c s="52" r="O116"/>
      <c s="52" r="P116"/>
      <c s="52" r="Q116"/>
    </row>
    <row r="117">
      <c t="s" s="52" r="A117">
        <v>720</v>
      </c>
      <c t="s" s="52" r="B117">
        <v>720</v>
      </c>
      <c t="s" s="67" r="C117">
        <v>721</v>
      </c>
      <c t="s" s="70" r="D117">
        <v>722</v>
      </c>
      <c t="s" s="14" r="E117">
        <v>723</v>
      </c>
      <c t="s" s="52" r="F117">
        <v>724</v>
      </c>
      <c t="s" s="52" r="G117">
        <v>725</v>
      </c>
      <c s="12" r="H117">
        <f>COUNTIF(PROJECT!F2:F100, "*SJM*")</f>
        <v>0</v>
      </c>
      <c s="52" r="I117"/>
      <c s="52" r="J117"/>
      <c s="52" r="K117"/>
      <c s="52" r="L117"/>
      <c s="52" r="M117"/>
      <c s="52" r="N117"/>
      <c s="52" r="O117"/>
      <c s="52" r="P117"/>
      <c s="52" r="Q117"/>
    </row>
    <row r="118">
      <c t="s" s="52" r="A118">
        <v>726</v>
      </c>
      <c t="s" s="52" r="B118">
        <v>726</v>
      </c>
      <c t="s" s="67" r="C118">
        <v>727</v>
      </c>
      <c t="s" s="70" r="D118">
        <v>728</v>
      </c>
      <c t="s" s="52" r="E118">
        <v>729</v>
      </c>
      <c t="s" s="52" r="F118">
        <v>730</v>
      </c>
      <c s="52" r="G118"/>
      <c s="12" r="H118">
        <f>COUNTIF(PROJECT!F2:F100, "*JPN*")</f>
        <v>0</v>
      </c>
      <c s="52" r="I118"/>
      <c s="52" r="J118"/>
      <c s="52" r="K118"/>
      <c s="52" r="L118"/>
      <c s="52" r="M118"/>
      <c s="52" r="N118"/>
      <c s="52" r="O118"/>
      <c s="52" r="P118"/>
      <c s="52" r="Q118"/>
    </row>
    <row r="119">
      <c t="s" s="52" r="A119">
        <v>731</v>
      </c>
      <c t="s" s="52" r="B119">
        <v>732</v>
      </c>
      <c t="s" s="67" r="C119">
        <v>733</v>
      </c>
      <c s="84" r="D119"/>
      <c s="84" r="E119"/>
      <c t="s" s="52" r="F119">
        <v>734</v>
      </c>
      <c t="s" s="12" r="G119">
        <v>293</v>
      </c>
      <c s="8" r="H119"/>
      <c s="52" r="I119"/>
      <c s="52" r="J119"/>
      <c s="52" r="K119"/>
      <c s="52" r="L119"/>
      <c s="52" r="M119"/>
      <c s="52" r="N119"/>
      <c s="52" r="O119"/>
      <c s="52" r="P119"/>
      <c s="52" r="Q119"/>
    </row>
    <row r="120">
      <c t="s" s="52" r="A120">
        <v>735</v>
      </c>
      <c t="s" s="52" r="B120">
        <v>735</v>
      </c>
      <c t="s" s="67" r="C120">
        <v>736</v>
      </c>
      <c t="s" s="70" r="D120">
        <v>737</v>
      </c>
      <c t="s" s="52" r="E120">
        <v>738</v>
      </c>
      <c t="s" s="52" r="F120">
        <v>736</v>
      </c>
      <c s="52" r="G120"/>
      <c s="12" r="H120">
        <f>COUNTIF(PROJECT!F2:F100, "*JEY*")</f>
        <v>0</v>
      </c>
      <c s="52" r="I120"/>
      <c s="52" r="J120"/>
      <c s="52" r="K120"/>
      <c s="52" r="L120"/>
      <c s="52" r="M120"/>
      <c s="52" r="N120"/>
      <c s="52" r="O120"/>
      <c s="52" r="P120"/>
      <c s="52" r="Q120"/>
    </row>
    <row r="121">
      <c t="s" s="52" r="A121">
        <v>739</v>
      </c>
      <c t="s" s="52" r="B121">
        <v>740</v>
      </c>
      <c t="s" s="67" r="C121">
        <v>741</v>
      </c>
      <c t="s" s="50" r="D121">
        <v>742</v>
      </c>
      <c s="84" r="E121"/>
      <c t="s" s="52" r="F121">
        <v>743</v>
      </c>
      <c t="s" s="12" r="G121">
        <v>293</v>
      </c>
      <c s="8" r="H121"/>
      <c s="52" r="I121"/>
      <c s="52" r="J121"/>
      <c s="52" r="K121"/>
      <c s="52" r="L121"/>
      <c s="52" r="M121"/>
      <c s="52" r="N121"/>
      <c s="52" r="O121"/>
      <c s="52" r="P121"/>
      <c s="52" r="Q121"/>
    </row>
    <row r="122">
      <c t="s" s="52" r="A122">
        <v>744</v>
      </c>
      <c t="s" s="52" r="B122">
        <v>744</v>
      </c>
      <c t="s" s="67" r="C122">
        <v>745</v>
      </c>
      <c t="s" s="70" r="D122">
        <v>746</v>
      </c>
      <c t="s" s="52" r="E122">
        <v>747</v>
      </c>
      <c t="s" s="52" r="F122">
        <v>745</v>
      </c>
      <c s="52" r="G122"/>
      <c s="12" r="H122">
        <f>COUNTIF(PROJECT!F2:F100, "*JOR*")</f>
        <v>0</v>
      </c>
      <c s="52" r="I122"/>
      <c s="52" r="J122"/>
      <c s="52" r="K122"/>
      <c s="52" r="L122"/>
      <c s="52" r="M122"/>
      <c s="52" r="N122"/>
      <c s="52" r="O122"/>
      <c s="52" r="P122"/>
      <c s="52" r="Q122"/>
    </row>
    <row r="123">
      <c t="s" s="52" r="A123">
        <v>748</v>
      </c>
      <c t="s" s="52" r="B123">
        <v>748</v>
      </c>
      <c t="s" s="67" r="C123">
        <v>721</v>
      </c>
      <c s="84" r="D123"/>
      <c s="84" r="E123"/>
      <c t="s" s="45" r="F123">
        <v>571</v>
      </c>
      <c t="s" s="52" r="G123">
        <v>608</v>
      </c>
      <c s="8" r="H123"/>
      <c s="52" r="I123"/>
      <c s="52" r="J123"/>
      <c s="52" r="K123"/>
      <c s="52" r="L123"/>
      <c s="52" r="M123"/>
      <c s="52" r="N123"/>
      <c s="52" r="O123"/>
      <c s="52" r="P123"/>
      <c s="52" r="Q123"/>
    </row>
    <row r="124">
      <c t="s" s="52" r="A124">
        <v>749</v>
      </c>
      <c t="s" s="52" r="B124">
        <v>749</v>
      </c>
      <c t="s" s="67" r="C124">
        <v>750</v>
      </c>
      <c t="s" s="70" r="D124">
        <v>751</v>
      </c>
      <c t="s" s="52" r="E124">
        <v>752</v>
      </c>
      <c t="s" s="52" r="F124">
        <v>750</v>
      </c>
      <c s="52" r="G124"/>
      <c s="12" r="H124">
        <f>COUNTIF(PROJECT!F2:F100, "*KAZ*")</f>
        <v>0</v>
      </c>
      <c s="52" r="I124"/>
      <c s="52" r="J124"/>
      <c s="52" r="K124"/>
      <c s="52" r="L124"/>
      <c s="52" r="M124"/>
      <c s="52" r="N124"/>
      <c s="52" r="O124"/>
      <c s="52" r="P124"/>
      <c s="52" r="Q124"/>
    </row>
    <row r="125">
      <c t="s" s="52" r="A125">
        <v>753</v>
      </c>
      <c t="s" s="52" r="B125">
        <v>753</v>
      </c>
      <c t="s" s="67" r="C125">
        <v>754</v>
      </c>
      <c t="s" s="70" r="D125">
        <v>755</v>
      </c>
      <c t="s" s="52" r="E125">
        <v>756</v>
      </c>
      <c t="s" s="52" r="F125">
        <v>754</v>
      </c>
      <c s="52" r="G125"/>
      <c s="12" r="H125">
        <f>COUNTIF(PROJECT!F2:F100, "*KEN*")</f>
        <v>0</v>
      </c>
      <c s="52" r="I125"/>
      <c s="52" r="J125"/>
      <c s="52" r="K125"/>
      <c s="52" r="L125"/>
      <c s="52" r="M125"/>
      <c s="52" r="N125"/>
      <c s="52" r="O125"/>
      <c s="52" r="P125"/>
      <c s="52" r="Q125"/>
    </row>
    <row r="126">
      <c t="s" s="45" r="A126">
        <v>757</v>
      </c>
      <c t="s" s="45" r="B126">
        <v>757</v>
      </c>
      <c t="s" s="52" r="C126">
        <v>758</v>
      </c>
      <c s="84" r="D126"/>
      <c s="84" r="E126"/>
      <c t="s" s="52" r="F126">
        <v>759</v>
      </c>
      <c t="s" s="12" r="G126">
        <v>293</v>
      </c>
      <c s="8" r="H126"/>
      <c s="52" r="I126"/>
      <c s="52" r="J126"/>
      <c s="52" r="K126"/>
      <c s="52" r="L126"/>
      <c s="52" r="M126"/>
      <c s="52" r="N126"/>
      <c s="52" r="O126"/>
      <c s="52" r="P126"/>
      <c s="52" r="Q126"/>
    </row>
    <row r="127">
      <c t="s" s="52" r="A127">
        <v>760</v>
      </c>
      <c t="s" s="52" r="B127">
        <v>760</v>
      </c>
      <c t="s" s="67" r="C127">
        <v>761</v>
      </c>
      <c t="s" s="70" r="D127">
        <v>762</v>
      </c>
      <c t="s" s="52" r="E127">
        <v>763</v>
      </c>
      <c t="s" s="52" r="F127">
        <v>764</v>
      </c>
      <c s="52" r="G127"/>
      <c s="12" r="H127">
        <f>COUNTIF(PROJECT!F2:F100, "*KIR*")</f>
        <v>0</v>
      </c>
      <c s="52" r="I127"/>
      <c s="52" r="J127"/>
      <c s="52" r="K127"/>
      <c s="52" r="L127"/>
      <c s="52" r="M127"/>
      <c s="52" r="N127"/>
      <c s="52" r="O127"/>
      <c s="52" r="P127"/>
      <c s="52" r="Q127"/>
    </row>
    <row r="128">
      <c t="s" s="45" r="A128">
        <v>765</v>
      </c>
      <c t="s" s="52" r="B128">
        <v>766</v>
      </c>
      <c t="s" s="67" r="C128">
        <v>767</v>
      </c>
      <c t="s" s="70" r="D128">
        <v>768</v>
      </c>
      <c t="s" s="52" r="E128">
        <v>769</v>
      </c>
      <c t="s" s="52" r="F128">
        <v>770</v>
      </c>
      <c s="52" r="G128"/>
      <c s="12" r="H128">
        <f>COUNTIF(PROJECT!F2:F100, "*PRK*")</f>
        <v>0</v>
      </c>
      <c s="52" r="I128"/>
      <c s="52" r="J128"/>
      <c s="52" r="K128"/>
      <c s="52" r="L128"/>
      <c s="52" r="M128"/>
      <c s="52" r="N128"/>
      <c s="52" r="O128"/>
      <c s="52" r="P128"/>
      <c s="52" r="Q128"/>
    </row>
    <row r="129">
      <c t="s" s="45" r="A129">
        <v>771</v>
      </c>
      <c t="s" s="52" r="B129">
        <v>772</v>
      </c>
      <c t="s" s="67" r="C129">
        <v>773</v>
      </c>
      <c t="s" s="70" r="D129">
        <v>774</v>
      </c>
      <c t="s" s="52" r="E129">
        <v>775</v>
      </c>
      <c t="s" s="52" r="F129">
        <v>761</v>
      </c>
      <c s="52" r="G129"/>
      <c s="12" r="H129">
        <f>COUNTIF(PROJECT!F2:F100, "*KOR*")</f>
        <v>0</v>
      </c>
      <c s="52" r="I129"/>
      <c s="52" r="J129"/>
      <c s="52" r="K129"/>
      <c s="52" r="L129"/>
      <c s="52" r="M129"/>
      <c s="52" r="N129"/>
      <c s="52" r="O129"/>
      <c s="52" r="P129"/>
      <c s="52" r="Q129"/>
    </row>
    <row r="130">
      <c t="s" s="52" r="A130">
        <v>776</v>
      </c>
      <c t="s" s="52" r="B130">
        <v>776</v>
      </c>
      <c t="s" s="67" r="C130">
        <v>777</v>
      </c>
      <c t="s" s="70" r="D130">
        <v>778</v>
      </c>
      <c t="s" s="52" r="E130">
        <v>779</v>
      </c>
      <c t="s" s="52" r="F130">
        <v>780</v>
      </c>
      <c s="52" r="G130"/>
      <c s="12" r="H130">
        <f>COUNTIF(PROJECT!F2:F100, "*KWT*")</f>
        <v>0</v>
      </c>
      <c s="52" r="I130"/>
      <c s="52" r="J130"/>
      <c s="52" r="K130"/>
      <c s="52" r="L130"/>
      <c s="52" r="M130"/>
      <c s="52" r="N130"/>
      <c s="52" r="O130"/>
      <c s="52" r="P130"/>
      <c s="52" r="Q130"/>
    </row>
    <row r="131">
      <c t="s" s="52" r="A131">
        <v>781</v>
      </c>
      <c t="s" s="52" r="B131">
        <v>781</v>
      </c>
      <c t="s" s="67" r="C131">
        <v>782</v>
      </c>
      <c t="s" s="70" r="D131">
        <v>783</v>
      </c>
      <c t="s" s="52" r="E131">
        <v>784</v>
      </c>
      <c t="s" s="52" r="F131">
        <v>782</v>
      </c>
      <c s="52" r="G131"/>
      <c s="12" r="H131">
        <f>COUNTIF(PROJECT!F2:F100, "*KGZ*")</f>
        <v>0</v>
      </c>
      <c s="52" r="I131"/>
      <c s="52" r="J131"/>
      <c s="52" r="K131"/>
      <c s="52" r="L131"/>
      <c s="52" r="M131"/>
      <c s="52" r="N131"/>
      <c s="52" r="O131"/>
      <c s="52" r="P131"/>
      <c s="52" r="Q131"/>
    </row>
    <row r="132">
      <c t="s" s="45" r="A132">
        <v>785</v>
      </c>
      <c t="s" s="52" r="B132">
        <v>786</v>
      </c>
      <c t="s" s="67" r="C132">
        <v>787</v>
      </c>
      <c t="s" s="70" r="D132">
        <v>788</v>
      </c>
      <c t="s" s="52" r="E132">
        <v>789</v>
      </c>
      <c t="s" s="52" r="F132">
        <v>787</v>
      </c>
      <c s="52" r="G132"/>
      <c s="12" r="H132">
        <f>COUNTIF(PROJECT!F2:F100, "*LAO*")</f>
        <v>0</v>
      </c>
      <c s="52" r="I132"/>
      <c s="52" r="J132"/>
      <c s="52" r="K132"/>
      <c s="52" r="L132"/>
      <c s="52" r="M132"/>
      <c s="52" r="N132"/>
      <c s="52" r="O132"/>
      <c s="52" r="P132"/>
      <c s="52" r="Q132"/>
    </row>
    <row r="133">
      <c t="s" s="52" r="A133">
        <v>790</v>
      </c>
      <c t="s" s="52" r="B133">
        <v>790</v>
      </c>
      <c t="s" s="67" r="C133">
        <v>791</v>
      </c>
      <c t="s" s="70" r="D133">
        <v>792</v>
      </c>
      <c t="s" s="52" r="E133">
        <v>793</v>
      </c>
      <c t="s" s="52" r="F133">
        <v>794</v>
      </c>
      <c s="52" r="G133"/>
      <c s="12" r="H133">
        <f>COUNTIF(PROJECT!F2:F100, "*LVA*")</f>
        <v>0</v>
      </c>
      <c s="52" r="I133"/>
      <c s="52" r="J133"/>
      <c s="52" r="K133"/>
      <c s="52" r="L133"/>
      <c s="52" r="M133"/>
      <c s="52" r="N133"/>
      <c s="52" r="O133"/>
      <c s="52" r="P133"/>
      <c s="52" r="Q133"/>
    </row>
    <row r="134">
      <c t="s" s="52" r="A134">
        <v>795</v>
      </c>
      <c t="s" s="52" r="B134">
        <v>795</v>
      </c>
      <c t="s" s="67" r="C134">
        <v>796</v>
      </c>
      <c t="s" s="70" r="D134">
        <v>797</v>
      </c>
      <c t="s" s="52" r="E134">
        <v>798</v>
      </c>
      <c t="s" s="52" r="F134">
        <v>799</v>
      </c>
      <c s="52" r="G134"/>
      <c s="12" r="H134">
        <f>COUNTIF(PROJECT!F2:F100, "*LBN*")</f>
        <v>0</v>
      </c>
      <c s="52" r="I134"/>
      <c s="52" r="J134"/>
      <c s="52" r="K134"/>
      <c s="52" r="L134"/>
      <c s="52" r="M134"/>
      <c s="52" r="N134"/>
      <c s="52" r="O134"/>
      <c s="52" r="P134"/>
      <c s="52" r="Q134"/>
    </row>
    <row r="135">
      <c t="s" s="52" r="A135">
        <v>800</v>
      </c>
      <c t="s" s="52" r="B135">
        <v>800</v>
      </c>
      <c t="s" s="67" r="C135">
        <v>801</v>
      </c>
      <c t="s" s="70" r="D135">
        <v>802</v>
      </c>
      <c t="s" s="52" r="E135">
        <v>803</v>
      </c>
      <c t="s" s="52" r="F135">
        <v>804</v>
      </c>
      <c s="52" r="G135"/>
      <c s="12" r="H135">
        <f>COUNTIF(PROJECT!F2:F100, "*LSO*")</f>
        <v>0</v>
      </c>
      <c s="52" r="I135"/>
      <c s="52" r="J135"/>
      <c s="52" r="K135"/>
      <c s="52" r="L135"/>
      <c s="52" r="M135"/>
      <c s="52" r="N135"/>
      <c s="52" r="O135"/>
      <c s="52" r="P135"/>
      <c s="52" r="Q135"/>
    </row>
    <row r="136">
      <c t="s" s="52" r="A136">
        <v>805</v>
      </c>
      <c t="s" s="52" r="B136">
        <v>805</v>
      </c>
      <c t="s" s="67" r="C136">
        <v>806</v>
      </c>
      <c t="s" s="70" r="D136">
        <v>807</v>
      </c>
      <c t="s" s="52" r="E136">
        <v>808</v>
      </c>
      <c t="s" s="52" r="F136">
        <v>809</v>
      </c>
      <c s="52" r="G136"/>
      <c s="12" r="H136">
        <f>COUNTIF(PROJECT!F2:F100, "*LBR*")</f>
        <v>0</v>
      </c>
      <c s="52" r="I136"/>
      <c s="52" r="J136"/>
      <c s="52" r="K136"/>
      <c s="52" r="L136"/>
      <c s="52" r="M136"/>
      <c s="52" r="N136"/>
      <c s="52" r="O136"/>
      <c s="52" r="P136"/>
      <c s="52" r="Q136"/>
    </row>
    <row r="137">
      <c t="s" s="52" r="A137">
        <v>810</v>
      </c>
      <c t="s" s="52" r="B137">
        <v>811</v>
      </c>
      <c t="s" s="67" r="C137">
        <v>812</v>
      </c>
      <c t="s" s="70" r="D137">
        <v>813</v>
      </c>
      <c t="s" s="52" r="E137">
        <v>814</v>
      </c>
      <c t="s" s="52" r="F137">
        <v>812</v>
      </c>
      <c s="52" r="G137"/>
      <c s="12" r="H137">
        <f>COUNTIF(PROJECT!F2:F100, "*LBY*")</f>
        <v>0</v>
      </c>
      <c s="52" r="I137"/>
      <c s="52" r="J137"/>
      <c s="52" r="K137"/>
      <c s="52" r="L137"/>
      <c s="52" r="M137"/>
      <c s="52" r="N137"/>
      <c s="52" r="O137"/>
      <c s="52" r="P137"/>
      <c s="52" r="Q137"/>
    </row>
    <row r="138">
      <c t="s" s="52" r="A138">
        <v>815</v>
      </c>
      <c t="s" s="52" r="B138">
        <v>815</v>
      </c>
      <c t="s" s="67" r="C138">
        <v>804</v>
      </c>
      <c t="s" s="70" r="D138">
        <v>816</v>
      </c>
      <c t="s" s="52" r="E138">
        <v>817</v>
      </c>
      <c t="s" s="52" r="F138">
        <v>806</v>
      </c>
      <c s="52" r="G138"/>
      <c s="12" r="H138">
        <f>COUNTIF(PROJECT!F2:F100, "*LIE*")</f>
        <v>0</v>
      </c>
      <c s="52" r="I138"/>
      <c s="52" r="J138"/>
      <c s="52" r="K138"/>
      <c s="52" r="L138"/>
      <c s="52" r="M138"/>
      <c s="52" r="N138"/>
      <c s="52" r="O138"/>
      <c s="52" r="P138"/>
      <c s="52" r="Q138"/>
    </row>
    <row r="139">
      <c t="s" s="52" r="A139">
        <v>818</v>
      </c>
      <c t="s" s="52" r="B139">
        <v>818</v>
      </c>
      <c t="s" s="67" r="C139">
        <v>819</v>
      </c>
      <c t="s" s="70" r="D139">
        <v>820</v>
      </c>
      <c t="s" s="52" r="E139">
        <v>821</v>
      </c>
      <c t="s" s="52" r="F139">
        <v>801</v>
      </c>
      <c s="52" r="G139"/>
      <c s="12" r="H139">
        <f>COUNTIF(PROJECT!F2:F100, "*LTU*")</f>
        <v>0</v>
      </c>
      <c s="52" r="I139"/>
      <c s="52" r="J139"/>
      <c s="52" r="K139"/>
      <c s="52" r="L139"/>
      <c s="52" r="M139"/>
      <c s="52" r="N139"/>
      <c s="52" r="O139"/>
      <c s="52" r="P139"/>
      <c s="52" r="Q139"/>
    </row>
    <row r="140">
      <c t="s" s="52" r="A140">
        <v>822</v>
      </c>
      <c t="s" s="52" r="B140">
        <v>822</v>
      </c>
      <c t="s" s="67" r="C140">
        <v>823</v>
      </c>
      <c t="s" s="70" r="D140">
        <v>824</v>
      </c>
      <c t="s" s="52" r="E140">
        <v>825</v>
      </c>
      <c t="s" s="52" r="F140">
        <v>823</v>
      </c>
      <c s="52" r="G140"/>
      <c s="12" r="H140">
        <f>COUNTIF(PROJECT!F2:F100, "*LUX*")</f>
        <v>0</v>
      </c>
      <c s="52" r="I140"/>
      <c s="52" r="J140"/>
      <c s="52" r="K140"/>
      <c s="52" r="L140"/>
      <c s="52" r="M140"/>
      <c s="52" r="N140"/>
      <c s="52" r="O140"/>
      <c s="52" r="P140"/>
      <c s="52" r="Q140"/>
    </row>
    <row r="141">
      <c t="s" s="52" r="A141">
        <v>826</v>
      </c>
      <c t="s" s="52" r="B141">
        <v>826</v>
      </c>
      <c t="s" s="67" r="C141">
        <v>827</v>
      </c>
      <c t="s" s="70" r="D141">
        <v>828</v>
      </c>
      <c t="s" s="52" r="E141">
        <v>829</v>
      </c>
      <c t="s" s="52" r="F141">
        <v>830</v>
      </c>
      <c s="52" r="G141"/>
      <c s="12" r="H141">
        <f>COUNTIF(PROJECT!F2:F100, "*MAC*")</f>
        <v>0</v>
      </c>
      <c s="52" r="I141"/>
      <c s="52" r="J141"/>
      <c s="52" r="K141"/>
      <c s="52" r="L141"/>
      <c s="52" r="M141"/>
      <c s="52" r="N141"/>
      <c s="52" r="O141"/>
      <c s="52" r="P141"/>
      <c s="52" r="Q141"/>
    </row>
    <row r="142">
      <c t="s" s="45" r="A142">
        <v>831</v>
      </c>
      <c t="s" s="52" r="B142">
        <v>832</v>
      </c>
      <c t="s" s="67" r="C142">
        <v>833</v>
      </c>
      <c t="s" s="70" r="D142">
        <v>834</v>
      </c>
      <c t="s" s="52" r="E142">
        <v>835</v>
      </c>
      <c t="s" s="52" r="F142">
        <v>833</v>
      </c>
      <c s="52" r="G142"/>
      <c s="12" r="H142">
        <f>COUNTIF(PROJECT!F2:F100, "*MKD*")</f>
        <v>0</v>
      </c>
      <c s="52" r="I142"/>
      <c s="52" r="J142"/>
      <c s="52" r="K142"/>
      <c s="52" r="L142"/>
      <c s="52" r="M142"/>
      <c s="52" r="N142"/>
      <c s="52" r="O142"/>
      <c s="52" r="P142"/>
      <c s="52" r="Q142"/>
    </row>
    <row r="143">
      <c t="s" s="52" r="A143">
        <v>836</v>
      </c>
      <c t="s" s="52" r="B143">
        <v>836</v>
      </c>
      <c t="s" s="67" r="C143">
        <v>837</v>
      </c>
      <c t="s" s="70" r="D143">
        <v>838</v>
      </c>
      <c t="s" s="52" r="E143">
        <v>839</v>
      </c>
      <c t="s" s="52" r="F143">
        <v>840</v>
      </c>
      <c s="52" r="G143"/>
      <c s="12" r="H143">
        <f>COUNTIF(PROJECT!F2:F100, "*MDG*")</f>
        <v>0</v>
      </c>
      <c s="52" r="I143"/>
      <c s="52" r="J143"/>
      <c s="52" r="K143"/>
      <c s="52" r="L143"/>
      <c s="52" r="M143"/>
      <c s="52" r="N143"/>
      <c s="52" r="O143"/>
      <c s="52" r="P143"/>
      <c s="52" r="Q143"/>
    </row>
    <row r="144">
      <c t="s" s="52" r="A144">
        <v>841</v>
      </c>
      <c t="s" s="52" r="B144">
        <v>841</v>
      </c>
      <c t="s" s="67" r="C144">
        <v>842</v>
      </c>
      <c t="s" s="70" r="D144">
        <v>843</v>
      </c>
      <c t="s" s="52" r="E144">
        <v>844</v>
      </c>
      <c t="s" s="52" r="F144">
        <v>845</v>
      </c>
      <c s="52" r="G144"/>
      <c s="12" r="H144">
        <f>COUNTIF(PROJECT!F2:F100, "*MWI*")</f>
        <v>0</v>
      </c>
      <c s="52" r="I144"/>
      <c s="52" r="J144"/>
      <c s="52" r="K144"/>
      <c s="52" r="L144"/>
      <c s="52" r="M144"/>
      <c s="52" r="N144"/>
      <c s="52" r="O144"/>
      <c s="52" r="P144"/>
      <c s="52" r="Q144"/>
    </row>
    <row r="145">
      <c t="s" s="52" r="A145">
        <v>846</v>
      </c>
      <c t="s" s="52" r="B145">
        <v>846</v>
      </c>
      <c t="s" s="67" r="C145">
        <v>847</v>
      </c>
      <c t="s" s="70" r="D145">
        <v>848</v>
      </c>
      <c t="s" s="52" r="E145">
        <v>849</v>
      </c>
      <c t="s" s="52" r="F145">
        <v>847</v>
      </c>
      <c s="52" r="G145"/>
      <c s="12" r="H145">
        <f>COUNTIF(PROJECT!F2:F100, "*MYS*")</f>
        <v>0</v>
      </c>
      <c s="52" r="I145"/>
      <c s="52" r="J145"/>
      <c s="52" r="K145"/>
      <c s="52" r="L145"/>
      <c s="52" r="M145"/>
      <c s="52" r="N145"/>
      <c s="52" r="O145"/>
      <c s="52" r="P145"/>
      <c s="52" r="Q145"/>
    </row>
    <row r="146">
      <c t="s" s="52" r="A146">
        <v>850</v>
      </c>
      <c t="s" s="52" r="B146">
        <v>850</v>
      </c>
      <c t="s" s="67" r="C146">
        <v>851</v>
      </c>
      <c t="s" s="70" r="D146">
        <v>852</v>
      </c>
      <c t="s" s="52" r="E146">
        <v>853</v>
      </c>
      <c t="s" s="52" r="F146">
        <v>851</v>
      </c>
      <c s="52" r="G146"/>
      <c s="12" r="H146">
        <f>COUNTIF(PROJECT!F2:F100, "*MDV*")</f>
        <v>0</v>
      </c>
      <c s="52" r="I146"/>
      <c s="52" r="J146"/>
      <c s="52" r="K146"/>
      <c s="52" r="L146"/>
      <c s="52" r="M146"/>
      <c s="52" r="N146"/>
      <c s="52" r="O146"/>
      <c s="52" r="P146"/>
      <c s="52" r="Q146"/>
    </row>
    <row r="147">
      <c t="s" s="52" r="A147">
        <v>854</v>
      </c>
      <c t="s" s="52" r="B147">
        <v>854</v>
      </c>
      <c t="s" s="67" r="C147">
        <v>855</v>
      </c>
      <c t="s" s="70" r="D147">
        <v>856</v>
      </c>
      <c t="s" s="52" r="E147">
        <v>857</v>
      </c>
      <c t="s" s="52" r="F147">
        <v>855</v>
      </c>
      <c s="52" r="G147"/>
      <c s="12" r="H147">
        <f>COUNTIF(PROJECT!F2:F100, "*MLI*")</f>
        <v>0</v>
      </c>
      <c s="52" r="I147"/>
      <c s="52" r="J147"/>
      <c s="52" r="K147"/>
      <c s="52" r="L147"/>
      <c s="52" r="M147"/>
      <c s="52" r="N147"/>
      <c s="52" r="O147"/>
      <c s="52" r="P147"/>
      <c s="52" r="Q147"/>
    </row>
    <row r="148">
      <c t="s" s="52" r="A148">
        <v>858</v>
      </c>
      <c t="s" s="52" r="B148">
        <v>858</v>
      </c>
      <c t="s" s="67" r="C148">
        <v>859</v>
      </c>
      <c t="s" s="70" r="D148">
        <v>860</v>
      </c>
      <c t="s" s="52" r="E148">
        <v>861</v>
      </c>
      <c t="s" s="52" r="F148">
        <v>859</v>
      </c>
      <c s="52" r="G148"/>
      <c s="12" r="H148">
        <f>COUNTIF(PROJECT!F2:F100, "*MLT*")</f>
        <v>0</v>
      </c>
      <c s="52" r="I148"/>
      <c s="52" r="J148"/>
      <c s="52" r="K148"/>
      <c s="52" r="L148"/>
      <c s="52" r="M148"/>
      <c s="52" r="N148"/>
      <c s="52" r="O148"/>
      <c s="52" r="P148"/>
      <c s="52" r="Q148"/>
    </row>
    <row r="149">
      <c t="s" s="52" r="A149">
        <v>862</v>
      </c>
      <c t="s" s="52" r="B149">
        <v>863</v>
      </c>
      <c t="s" s="15" r="C149">
        <v>864</v>
      </c>
      <c t="s" s="70" r="D149">
        <v>865</v>
      </c>
      <c t="s" s="45" r="E149">
        <v>866</v>
      </c>
      <c t="s" s="52" r="F149">
        <v>867</v>
      </c>
      <c s="52" r="G149"/>
      <c s="12" r="H149">
        <f>COUNTIF(PROJECT!F2:F100, "*MHL*")</f>
        <v>0</v>
      </c>
      <c s="52" r="I149"/>
      <c s="52" r="J149"/>
      <c s="52" r="K149"/>
      <c s="52" r="L149"/>
      <c s="52" r="M149"/>
      <c s="52" r="N149"/>
      <c s="52" r="O149"/>
      <c s="52" r="P149"/>
      <c s="52" r="Q149"/>
    </row>
    <row r="150">
      <c t="s" s="52" r="A150">
        <v>868</v>
      </c>
      <c t="s" s="52" r="B150">
        <v>868</v>
      </c>
      <c t="s" s="15" r="C150">
        <v>869</v>
      </c>
      <c t="s" s="70" r="D150">
        <v>870</v>
      </c>
      <c t="s" s="45" r="E150">
        <v>871</v>
      </c>
      <c t="s" s="52" r="F150">
        <v>872</v>
      </c>
      <c s="52" r="G150"/>
      <c s="12" r="H150">
        <f>COUNTIF(PROJECT!F2:F100, "*MTQ*")</f>
        <v>0</v>
      </c>
      <c s="52" r="I150"/>
      <c s="52" r="J150"/>
      <c s="52" r="K150"/>
      <c s="52" r="L150"/>
      <c s="52" r="M150"/>
      <c s="52" r="N150"/>
      <c s="52" r="O150"/>
      <c s="52" r="P150"/>
      <c s="52" r="Q150"/>
    </row>
    <row r="151">
      <c t="s" s="52" r="A151">
        <v>873</v>
      </c>
      <c t="s" s="52" r="B151">
        <v>873</v>
      </c>
      <c t="s" s="67" r="C151">
        <v>874</v>
      </c>
      <c t="s" s="70" r="D151">
        <v>875</v>
      </c>
      <c t="s" s="52" r="E151">
        <v>876</v>
      </c>
      <c t="s" s="52" r="F151">
        <v>874</v>
      </c>
      <c s="52" r="G151"/>
      <c s="12" r="H151">
        <f>COUNTIF(PROJECT!F2:F100, "*MRT*")</f>
        <v>0</v>
      </c>
      <c s="52" r="I151"/>
      <c s="52" r="J151"/>
      <c s="52" r="K151"/>
      <c s="52" r="L151"/>
      <c s="52" r="M151"/>
      <c s="52" r="N151"/>
      <c s="52" r="O151"/>
      <c s="52" r="P151"/>
      <c s="52" r="Q151"/>
    </row>
    <row r="152">
      <c t="s" s="52" r="A152">
        <v>877</v>
      </c>
      <c t="s" s="52" r="B152">
        <v>877</v>
      </c>
      <c t="s" s="15" r="C152">
        <v>878</v>
      </c>
      <c t="s" s="70" r="D152">
        <v>879</v>
      </c>
      <c t="s" s="45" r="E152">
        <v>880</v>
      </c>
      <c t="s" s="52" r="F152">
        <v>881</v>
      </c>
      <c s="52" r="G152"/>
      <c s="12" r="H152">
        <f>COUNTIF(PROJECT!F2:F100, "*MUS*")</f>
        <v>0</v>
      </c>
      <c s="52" r="I152"/>
      <c s="52" r="J152"/>
      <c s="52" r="K152"/>
      <c s="52" r="L152"/>
      <c s="52" r="M152"/>
      <c s="52" r="N152"/>
      <c s="52" r="O152"/>
      <c s="52" r="P152"/>
      <c s="52" r="Q152"/>
    </row>
    <row r="153">
      <c t="s" s="52" r="A153">
        <v>882</v>
      </c>
      <c t="s" s="52" r="B153">
        <v>882</v>
      </c>
      <c t="s" s="67" r="C153">
        <v>883</v>
      </c>
      <c t="s" s="70" r="D153">
        <v>884</v>
      </c>
      <c t="s" s="52" r="E153">
        <v>885</v>
      </c>
      <c t="s" s="52" r="F153">
        <v>886</v>
      </c>
      <c s="52" r="G153"/>
      <c s="12" r="H153">
        <f>COUNTIF(PROJECT!F2:F100, "*MYT*")</f>
        <v>0</v>
      </c>
      <c s="52" r="I153"/>
      <c s="52" r="J153"/>
      <c s="52" r="K153"/>
      <c s="52" r="L153"/>
      <c s="52" r="M153"/>
      <c s="52" r="N153"/>
      <c s="52" r="O153"/>
      <c s="52" r="P153"/>
      <c s="52" r="Q153"/>
    </row>
    <row r="154">
      <c t="s" s="52" r="A154">
        <v>887</v>
      </c>
      <c t="s" s="52" r="B154">
        <v>887</v>
      </c>
      <c t="s" s="67" r="C154">
        <v>888</v>
      </c>
      <c t="s" s="70" r="D154">
        <v>889</v>
      </c>
      <c t="s" s="45" r="E154">
        <v>890</v>
      </c>
      <c t="s" s="52" r="F154">
        <v>888</v>
      </c>
      <c s="52" r="G154"/>
      <c s="12" r="H154">
        <f>COUNTIF(PROJECT!F2:F100, "*MEX*")</f>
        <v>0</v>
      </c>
      <c s="52" r="I154"/>
      <c s="52" r="J154"/>
      <c s="52" r="K154"/>
      <c s="52" r="L154"/>
      <c s="52" r="M154"/>
      <c s="52" r="N154"/>
      <c s="52" r="O154"/>
      <c s="52" r="P154"/>
      <c s="52" r="Q154"/>
    </row>
    <row r="155">
      <c t="s" s="52" r="A155">
        <v>891</v>
      </c>
      <c t="s" s="52" r="B155">
        <v>892</v>
      </c>
      <c t="s" s="67" r="C155">
        <v>893</v>
      </c>
      <c t="s" s="70" r="D155">
        <v>894</v>
      </c>
      <c t="s" s="52" r="E155">
        <v>895</v>
      </c>
      <c t="s" s="52" r="F155">
        <v>893</v>
      </c>
      <c s="52" r="G155"/>
      <c s="12" r="H155">
        <f>COUNTIF(PROJECT!F2:F100, "*FSM*")</f>
        <v>0</v>
      </c>
      <c s="52" r="I155"/>
      <c s="52" r="J155"/>
      <c s="52" r="K155"/>
      <c s="52" r="L155"/>
      <c s="52" r="M155"/>
      <c s="52" r="N155"/>
      <c s="52" r="O155"/>
      <c s="52" r="P155"/>
      <c s="52" r="Q155"/>
    </row>
    <row r="156">
      <c t="s" s="52" r="A156">
        <v>896</v>
      </c>
      <c t="s" s="52" r="B156">
        <v>897</v>
      </c>
      <c t="s" s="67" r="C156">
        <v>872</v>
      </c>
      <c t="s" s="44" r="D156">
        <v>898</v>
      </c>
      <c s="84" r="E156"/>
      <c t="s" s="52" r="F156">
        <v>899</v>
      </c>
      <c t="s" s="12" r="G156">
        <v>293</v>
      </c>
      <c s="8" r="H156"/>
      <c s="52" r="I156"/>
      <c s="52" r="J156"/>
      <c s="52" r="K156"/>
      <c s="52" r="L156"/>
      <c s="52" r="M156"/>
      <c s="52" r="N156"/>
      <c s="52" r="O156"/>
      <c s="52" r="P156"/>
      <c s="52" r="Q156"/>
    </row>
    <row r="157">
      <c t="s" s="52" r="A157">
        <v>900</v>
      </c>
      <c t="s" s="52" r="B157">
        <v>901</v>
      </c>
      <c t="s" s="67" r="C157">
        <v>902</v>
      </c>
      <c t="s" s="70" r="D157">
        <v>903</v>
      </c>
      <c t="s" s="52" r="E157">
        <v>904</v>
      </c>
      <c t="s" s="52" r="F157">
        <v>902</v>
      </c>
      <c s="52" r="G157"/>
      <c s="12" r="H157">
        <f>COUNTIF(PROJECT!F2:F100, "*MDA*")</f>
        <v>0</v>
      </c>
      <c s="52" r="I157"/>
      <c s="52" r="J157"/>
      <c s="52" r="K157"/>
      <c s="52" r="L157"/>
      <c s="52" r="M157"/>
      <c s="52" r="N157"/>
      <c s="52" r="O157"/>
      <c s="52" r="P157"/>
      <c s="52" r="Q157"/>
    </row>
    <row r="158">
      <c t="s" s="52" r="A158">
        <v>905</v>
      </c>
      <c t="s" s="52" r="B158">
        <v>905</v>
      </c>
      <c t="s" s="15" r="C158">
        <v>906</v>
      </c>
      <c t="s" s="70" r="D158">
        <v>907</v>
      </c>
      <c t="s" s="45" r="E158">
        <v>908</v>
      </c>
      <c t="s" s="52" r="F158">
        <v>827</v>
      </c>
      <c s="52" r="G158"/>
      <c s="12" r="H158">
        <f>COUNTIF(PROJECT!F2:F100, "*MCO*")</f>
        <v>0</v>
      </c>
      <c s="52" r="I158"/>
      <c s="52" r="J158"/>
      <c s="52" r="K158"/>
      <c s="52" r="L158"/>
      <c s="52" r="M158"/>
      <c s="52" r="N158"/>
      <c s="52" r="O158"/>
      <c s="52" r="P158"/>
      <c s="52" r="Q158"/>
    </row>
    <row r="159">
      <c t="s" s="52" r="A159">
        <v>909</v>
      </c>
      <c t="s" s="52" r="B159">
        <v>909</v>
      </c>
      <c t="s" s="67" r="C159">
        <v>840</v>
      </c>
      <c t="s" s="70" r="D159">
        <v>910</v>
      </c>
      <c t="s" s="52" r="E159">
        <v>911</v>
      </c>
      <c t="s" s="52" r="F159">
        <v>906</v>
      </c>
      <c s="52" r="G159"/>
      <c s="12" r="H159">
        <f>COUNTIF(PROJECT!F2:F100, "*MNG*")</f>
        <v>0</v>
      </c>
      <c s="52" r="I159"/>
      <c s="52" r="J159"/>
      <c s="52" r="K159"/>
      <c s="52" r="L159"/>
      <c s="52" r="M159"/>
      <c s="52" r="N159"/>
      <c s="52" r="O159"/>
      <c s="52" r="P159"/>
      <c s="52" r="Q159"/>
    </row>
    <row r="160">
      <c t="s" s="52" r="A160">
        <v>912</v>
      </c>
      <c t="s" s="52" r="B160">
        <v>912</v>
      </c>
      <c t="s" s="15" r="C160">
        <v>913</v>
      </c>
      <c t="s" s="70" r="D160">
        <v>914</v>
      </c>
      <c t="s" s="45" r="E160">
        <v>915</v>
      </c>
      <c t="s" s="52" r="F160">
        <v>916</v>
      </c>
      <c s="52" r="G160"/>
      <c s="12" r="H160">
        <f>COUNTIF(PROJECT!F2:F100, "*MNE*")</f>
        <v>0</v>
      </c>
      <c s="52" r="I160"/>
      <c s="52" r="J160"/>
      <c s="52" r="K160"/>
      <c s="52" r="L160"/>
      <c s="52" r="M160"/>
      <c s="52" r="N160"/>
      <c s="52" r="O160"/>
      <c s="52" r="P160"/>
      <c s="52" r="Q160"/>
    </row>
    <row r="161">
      <c t="s" s="52" r="A161">
        <v>917</v>
      </c>
      <c t="s" s="52" r="B161">
        <v>917</v>
      </c>
      <c t="s" s="67" r="C161">
        <v>867</v>
      </c>
      <c t="s" s="70" r="D161">
        <v>918</v>
      </c>
      <c t="s" s="52" r="E161">
        <v>919</v>
      </c>
      <c t="s" s="52" r="F161">
        <v>920</v>
      </c>
      <c s="52" r="G161"/>
      <c s="12" r="H161">
        <f>COUNTIF(PROJECT!F2:F100, "*MSR*")</f>
        <v>0</v>
      </c>
      <c s="52" r="I161"/>
      <c s="52" r="J161"/>
      <c s="52" r="K161"/>
      <c s="52" r="L161"/>
      <c s="52" r="M161"/>
      <c s="52" r="N161"/>
      <c s="52" r="O161"/>
      <c s="52" r="P161"/>
      <c s="52" r="Q161"/>
    </row>
    <row r="162">
      <c t="s" s="52" r="A162">
        <v>921</v>
      </c>
      <c t="s" s="52" r="B162">
        <v>921</v>
      </c>
      <c t="s" s="15" r="C162">
        <v>830</v>
      </c>
      <c t="s" s="70" r="D162">
        <v>922</v>
      </c>
      <c t="s" s="45" r="E162">
        <v>923</v>
      </c>
      <c t="s" s="52" r="F162">
        <v>837</v>
      </c>
      <c s="52" r="G162"/>
      <c s="12" r="H162">
        <f>COUNTIF(PROJECT!F2:F100, "*MAR*")</f>
        <v>0</v>
      </c>
      <c s="52" r="I162"/>
      <c s="52" r="J162"/>
      <c s="52" r="K162"/>
      <c s="52" r="L162"/>
      <c s="52" r="M162"/>
      <c s="52" r="N162"/>
      <c s="52" r="O162"/>
      <c s="52" r="P162"/>
      <c s="52" r="Q162"/>
    </row>
    <row r="163">
      <c t="s" s="52" r="A163">
        <v>924</v>
      </c>
      <c t="s" s="52" r="B163">
        <v>924</v>
      </c>
      <c t="s" s="67" r="C163">
        <v>925</v>
      </c>
      <c t="s" s="70" r="D163">
        <v>926</v>
      </c>
      <c t="s" s="52" r="E163">
        <v>927</v>
      </c>
      <c t="s" s="52" r="F163">
        <v>925</v>
      </c>
      <c s="52" r="G163"/>
      <c s="12" r="H163">
        <f>COUNTIF(PROJECT!F2:F100, "*MOZ*")</f>
        <v>0</v>
      </c>
      <c s="52" r="I163"/>
      <c s="52" r="J163"/>
      <c s="52" r="K163"/>
      <c s="52" r="L163"/>
      <c s="52" r="M163"/>
      <c s="52" r="N163"/>
      <c s="52" r="O163"/>
      <c s="52" r="P163"/>
      <c s="52" r="Q163"/>
    </row>
    <row r="164">
      <c t="s" s="52" r="A164">
        <v>928</v>
      </c>
      <c t="s" s="52" r="B164">
        <v>928</v>
      </c>
      <c t="s" s="15" r="C164">
        <v>324</v>
      </c>
      <c t="s" s="70" r="D164">
        <v>929</v>
      </c>
      <c t="s" s="45" r="E164">
        <v>930</v>
      </c>
      <c t="s" s="52" r="F164">
        <v>931</v>
      </c>
      <c t="s" s="52" r="G164">
        <v>932</v>
      </c>
      <c s="12" r="H164">
        <f>COUNTIF(PROJECT!F2:F100, "*MMR*")</f>
        <v>0</v>
      </c>
      <c s="52" r="I164"/>
      <c s="52" r="J164"/>
      <c s="52" r="K164"/>
      <c s="52" r="L164"/>
      <c s="52" r="M164"/>
      <c s="52" r="N164"/>
      <c s="52" r="O164"/>
      <c s="52" r="P164"/>
      <c s="52" r="Q164"/>
    </row>
    <row r="165">
      <c t="s" s="52" r="A165">
        <v>933</v>
      </c>
      <c t="s" s="52" r="B165">
        <v>933</v>
      </c>
      <c t="s" s="67" r="C165">
        <v>934</v>
      </c>
      <c t="s" s="70" r="D165">
        <v>935</v>
      </c>
      <c t="s" s="52" r="E165">
        <v>936</v>
      </c>
      <c t="s" s="52" r="F165">
        <v>937</v>
      </c>
      <c s="52" r="G165"/>
      <c s="12" r="H165">
        <f>COUNTIF(PROJECT!F2:F100, "*NAM*")</f>
        <v>0</v>
      </c>
      <c s="52" r="I165"/>
      <c s="52" r="J165"/>
      <c s="52" r="K165"/>
      <c s="52" r="L165"/>
      <c s="52" r="M165"/>
      <c s="52" r="N165"/>
      <c s="52" r="O165"/>
      <c s="52" r="P165"/>
      <c s="52" r="Q165"/>
    </row>
    <row r="166">
      <c t="s" s="52" r="A166">
        <v>938</v>
      </c>
      <c t="s" s="52" r="B166">
        <v>938</v>
      </c>
      <c t="s" s="67" r="C166">
        <v>939</v>
      </c>
      <c t="s" s="70" r="D166">
        <v>940</v>
      </c>
      <c t="s" s="52" r="E166">
        <v>941</v>
      </c>
      <c t="s" s="52" r="F166">
        <v>939</v>
      </c>
      <c s="52" r="G166"/>
      <c s="12" r="H166">
        <f>COUNTIF(PROJECT!F2:F100, "*NRU*")</f>
        <v>0</v>
      </c>
      <c s="52" r="I166"/>
      <c s="52" r="J166"/>
      <c s="52" r="K166"/>
      <c s="52" r="L166"/>
      <c s="52" r="M166"/>
      <c s="52" r="N166"/>
      <c s="52" r="O166"/>
      <c s="52" r="P166"/>
      <c s="52" r="Q166"/>
    </row>
    <row r="167">
      <c t="s" s="45" r="A167">
        <v>942</v>
      </c>
      <c t="s" s="45" r="B167">
        <v>942</v>
      </c>
      <c t="s" s="52" r="C167">
        <v>337</v>
      </c>
      <c s="84" r="D167"/>
      <c s="84" r="E167"/>
      <c t="s" s="52" r="F167">
        <v>943</v>
      </c>
      <c t="s" s="12" r="G167">
        <v>293</v>
      </c>
      <c s="8" r="H167"/>
      <c s="52" r="I167"/>
      <c s="52" r="J167"/>
      <c s="52" r="K167"/>
      <c s="52" r="L167"/>
      <c s="52" r="M167"/>
      <c s="52" r="N167"/>
      <c s="52" r="O167"/>
      <c s="52" r="P167"/>
      <c s="52" r="Q167"/>
    </row>
    <row r="168">
      <c t="s" s="52" r="A168">
        <v>944</v>
      </c>
      <c t="s" s="52" r="B168">
        <v>944</v>
      </c>
      <c t="s" s="67" r="C168">
        <v>945</v>
      </c>
      <c t="s" s="70" r="D168">
        <v>946</v>
      </c>
      <c t="s" s="52" r="E168">
        <v>947</v>
      </c>
      <c t="s" s="52" r="F168">
        <v>945</v>
      </c>
      <c s="52" r="G168"/>
      <c s="12" r="H168">
        <f>COUNTIF(PROJECT!F2:F100, "*NPL*")</f>
        <v>0</v>
      </c>
      <c s="52" r="I168"/>
      <c s="52" r="J168"/>
      <c s="52" r="K168"/>
      <c s="52" r="L168"/>
      <c s="52" r="M168"/>
      <c s="52" r="N168"/>
      <c s="52" r="O168"/>
      <c s="52" r="P168"/>
      <c s="52" r="Q168"/>
    </row>
    <row r="169">
      <c t="s" s="52" r="A169">
        <v>948</v>
      </c>
      <c t="s" s="52" r="B169">
        <v>948</v>
      </c>
      <c t="s" s="67" r="C169">
        <v>949</v>
      </c>
      <c t="s" s="70" r="D169">
        <v>950</v>
      </c>
      <c t="s" s="52" r="E169">
        <v>951</v>
      </c>
      <c t="s" s="52" r="F169">
        <v>949</v>
      </c>
      <c s="52" r="G169"/>
      <c s="12" r="H169">
        <f>COUNTIF(PROJECT!F2:F100, "*NLD*")</f>
        <v>0</v>
      </c>
      <c s="52" r="I169"/>
      <c s="52" r="J169"/>
      <c s="52" r="K169"/>
      <c s="52" r="L169"/>
      <c s="52" r="M169"/>
      <c s="52" r="N169"/>
      <c s="52" r="O169"/>
      <c s="52" r="P169"/>
      <c s="52" r="Q169"/>
    </row>
    <row r="170">
      <c t="s" s="73" r="A170">
        <v>952</v>
      </c>
      <c t="s" s="73" r="B170">
        <v>953</v>
      </c>
      <c t="s" s="71" r="C170">
        <v>954</v>
      </c>
      <c t="s" s="62" r="D170">
        <v>955</v>
      </c>
      <c t="s" s="73" r="E170">
        <v>956</v>
      </c>
      <c t="s" s="73" r="F170">
        <v>237</v>
      </c>
      <c t="s" s="52" r="G170">
        <v>957</v>
      </c>
      <c s="20" r="H170">
        <f>COUNTIF(PROJECT!F2:F100, "*ANT*")</f>
        <v>0</v>
      </c>
      <c s="52" r="I170"/>
      <c s="52" r="J170"/>
      <c s="52" r="K170"/>
      <c s="52" r="L170"/>
      <c s="52" r="M170"/>
      <c s="52" r="N170"/>
      <c s="52" r="O170"/>
      <c s="52" r="P170"/>
      <c s="52" r="Q170"/>
    </row>
    <row r="171">
      <c t="s" s="52" r="A171">
        <v>958</v>
      </c>
      <c t="s" s="52" r="B171">
        <v>958</v>
      </c>
      <c t="s" s="67" r="C171">
        <v>959</v>
      </c>
      <c t="s" s="70" r="D171">
        <v>960</v>
      </c>
      <c t="s" s="52" r="E171">
        <v>961</v>
      </c>
      <c t="s" s="52" r="F171">
        <v>959</v>
      </c>
      <c s="52" r="G171"/>
      <c s="12" r="H171">
        <f>COUNTIF(PROJECT!F2:F100, "*NCL*")</f>
        <v>0</v>
      </c>
      <c s="52" r="I171"/>
      <c s="52" r="J171"/>
      <c s="52" r="K171"/>
      <c s="52" r="L171"/>
      <c s="52" r="M171"/>
      <c s="52" r="N171"/>
      <c s="52" r="O171"/>
      <c s="52" r="P171"/>
      <c s="52" r="Q171"/>
    </row>
    <row r="172">
      <c t="s" s="52" r="A172">
        <v>962</v>
      </c>
      <c t="s" s="52" r="B172">
        <v>962</v>
      </c>
      <c t="s" s="67" r="C172">
        <v>963</v>
      </c>
      <c t="s" s="70" r="D172">
        <v>964</v>
      </c>
      <c t="s" s="52" r="E172">
        <v>965</v>
      </c>
      <c t="s" s="52" r="F172">
        <v>963</v>
      </c>
      <c s="52" r="G172"/>
      <c s="12" r="H172">
        <f>COUNTIF(PROJECT!F2:F100, "*NZL*")</f>
        <v>0</v>
      </c>
      <c s="52" r="I172"/>
      <c s="52" r="J172"/>
      <c s="52" r="K172"/>
      <c s="52" r="L172"/>
      <c s="52" r="M172"/>
      <c s="52" r="N172"/>
      <c s="52" r="O172"/>
      <c s="52" r="P172"/>
      <c s="52" r="Q172"/>
    </row>
    <row r="173">
      <c t="s" s="52" r="A173">
        <v>966</v>
      </c>
      <c t="s" s="52" r="B173">
        <v>966</v>
      </c>
      <c t="s" s="15" r="C173">
        <v>967</v>
      </c>
      <c t="s" s="70" r="D173">
        <v>968</v>
      </c>
      <c t="s" s="45" r="E173">
        <v>969</v>
      </c>
      <c t="s" s="52" r="F173">
        <v>970</v>
      </c>
      <c s="52" r="G173"/>
      <c s="12" r="H173">
        <f>COUNTIF(PROJECT!F2:F100, "*NIC*")</f>
        <v>0</v>
      </c>
      <c s="52" r="I173"/>
      <c s="52" r="J173"/>
      <c s="52" r="K173"/>
      <c s="52" r="L173"/>
      <c s="52" r="M173"/>
      <c s="52" r="N173"/>
      <c s="52" r="O173"/>
      <c s="52" r="P173"/>
      <c s="52" r="Q173"/>
    </row>
    <row r="174">
      <c t="s" s="52" r="A174">
        <v>971</v>
      </c>
      <c t="s" s="52" r="B174">
        <v>971</v>
      </c>
      <c t="s" s="67" r="C174">
        <v>972</v>
      </c>
      <c t="s" s="70" r="D174">
        <v>973</v>
      </c>
      <c t="s" s="52" r="E174">
        <v>974</v>
      </c>
      <c t="s" s="52" r="F174">
        <v>975</v>
      </c>
      <c s="52" r="G174"/>
      <c s="12" r="H174">
        <f>COUNTIF(PROJECT!F2:F100, "*NER*")</f>
        <v>0</v>
      </c>
      <c s="52" r="I174"/>
      <c s="52" r="J174"/>
      <c s="52" r="K174"/>
      <c s="52" r="L174"/>
      <c s="52" r="M174"/>
      <c s="52" r="N174"/>
      <c s="52" r="O174"/>
      <c s="52" r="P174"/>
      <c s="52" r="Q174"/>
    </row>
    <row r="175">
      <c t="s" s="52" r="A175">
        <v>976</v>
      </c>
      <c t="s" s="52" r="B175">
        <v>976</v>
      </c>
      <c t="s" s="67" r="C175">
        <v>970</v>
      </c>
      <c t="s" s="70" r="D175">
        <v>977</v>
      </c>
      <c t="s" s="52" r="E175">
        <v>974</v>
      </c>
      <c t="s" s="52" r="F175">
        <v>972</v>
      </c>
      <c s="52" r="G175"/>
      <c s="12" r="H175">
        <f>COUNTIF(PROJECT!F2:F100, "*NER*")</f>
        <v>0</v>
      </c>
      <c s="52" r="I175"/>
      <c s="52" r="J175"/>
      <c s="52" r="K175"/>
      <c s="52" r="L175"/>
      <c s="52" r="M175"/>
      <c s="52" r="N175"/>
      <c s="52" r="O175"/>
      <c s="52" r="P175"/>
      <c s="52" r="Q175"/>
    </row>
    <row r="176">
      <c t="s" s="52" r="A176">
        <v>978</v>
      </c>
      <c t="s" s="52" r="B176">
        <v>978</v>
      </c>
      <c t="s" s="67" r="C176">
        <v>975</v>
      </c>
      <c t="s" s="70" r="D176">
        <v>979</v>
      </c>
      <c t="s" s="52" r="E176">
        <v>980</v>
      </c>
      <c t="s" s="52" r="F176">
        <v>967</v>
      </c>
      <c s="52" r="G176"/>
      <c s="12" r="H176">
        <f>COUNTIF(PROJECT!F2:F100, "*NIU*")</f>
        <v>0</v>
      </c>
      <c s="52" r="I176"/>
      <c s="52" r="J176"/>
      <c s="52" r="K176"/>
      <c s="52" r="L176"/>
      <c s="52" r="M176"/>
      <c s="52" r="N176"/>
      <c s="52" r="O176"/>
      <c s="52" r="P176"/>
      <c s="52" r="Q176"/>
    </row>
    <row r="177">
      <c t="s" s="52" r="A177">
        <v>981</v>
      </c>
      <c t="s" s="52" r="B177">
        <v>982</v>
      </c>
      <c t="s" s="67" r="C177">
        <v>983</v>
      </c>
      <c t="s" s="70" r="D177">
        <v>984</v>
      </c>
      <c t="s" s="52" r="E177">
        <v>985</v>
      </c>
      <c t="s" s="52" r="F177">
        <v>983</v>
      </c>
      <c s="52" r="G177"/>
      <c s="12" r="H177">
        <f>COUNTIF(PROJECT!F2:F100, "*NFK*")</f>
        <v>0</v>
      </c>
      <c s="52" r="I177"/>
      <c s="52" r="J177"/>
      <c s="52" r="K177"/>
      <c s="52" r="L177"/>
      <c s="52" r="M177"/>
      <c s="52" r="N177"/>
      <c s="52" r="O177"/>
      <c s="52" r="P177"/>
      <c s="52" r="Q177"/>
    </row>
    <row r="178">
      <c t="s" s="52" r="A178">
        <v>986</v>
      </c>
      <c t="s" s="52" r="B178">
        <v>987</v>
      </c>
      <c t="s" s="67" r="C178">
        <v>988</v>
      </c>
      <c t="s" s="70" r="D178">
        <v>989</v>
      </c>
      <c t="s" s="52" r="E178">
        <v>990</v>
      </c>
      <c t="s" s="52" r="F178">
        <v>878</v>
      </c>
      <c s="52" r="G178"/>
      <c s="12" r="H178">
        <f>COUNTIF(PROJECT!F2:F100, "*MNP*")</f>
        <v>0</v>
      </c>
      <c s="52" r="I178"/>
      <c s="52" r="J178"/>
      <c s="52" r="K178"/>
      <c s="52" r="L178"/>
      <c s="52" r="M178"/>
      <c s="52" r="N178"/>
      <c s="52" r="O178"/>
      <c s="52" r="P178"/>
      <c s="52" r="Q178"/>
    </row>
    <row r="179">
      <c t="s" s="52" r="A179">
        <v>991</v>
      </c>
      <c t="s" s="52" r="B179">
        <v>991</v>
      </c>
      <c t="s" s="67" r="C179">
        <v>992</v>
      </c>
      <c t="s" s="70" r="D179">
        <v>993</v>
      </c>
      <c t="s" s="52" r="E179">
        <v>994</v>
      </c>
      <c t="s" s="52" r="F179">
        <v>992</v>
      </c>
      <c s="52" r="G179"/>
      <c s="12" r="H179">
        <f>COUNTIF(PROJECT!F2:F100, "*NOR*")</f>
        <v>0</v>
      </c>
      <c s="52" r="I179"/>
      <c s="52" r="J179"/>
      <c s="52" r="K179"/>
      <c s="52" r="L179"/>
      <c s="52" r="M179"/>
      <c s="52" r="N179"/>
      <c s="52" r="O179"/>
      <c s="52" r="P179"/>
      <c s="52" r="Q179"/>
    </row>
    <row r="180">
      <c t="s" s="52" r="A180">
        <v>995</v>
      </c>
      <c t="s" s="52" r="B180">
        <v>995</v>
      </c>
      <c t="s" s="15" r="C180">
        <v>881</v>
      </c>
      <c t="s" s="70" r="D180">
        <v>996</v>
      </c>
      <c t="s" s="45" r="E180">
        <v>997</v>
      </c>
      <c t="s" s="52" r="F180">
        <v>998</v>
      </c>
      <c s="52" r="G180"/>
      <c s="12" r="H180">
        <f>COUNTIF(PROJECT!F2:F100, "*OMN*")</f>
        <v>0</v>
      </c>
      <c s="52" r="I180"/>
      <c s="52" r="J180"/>
      <c s="52" r="K180"/>
      <c s="52" r="L180"/>
      <c s="52" r="M180"/>
      <c s="52" r="N180"/>
      <c s="52" r="O180"/>
      <c s="52" r="P180"/>
      <c s="52" r="Q180"/>
    </row>
    <row r="181">
      <c t="s" s="52" r="A181">
        <v>999</v>
      </c>
      <c t="s" s="52" r="B181">
        <v>999</v>
      </c>
      <c t="s" s="67" r="C181">
        <v>1000</v>
      </c>
      <c t="s" s="70" r="D181">
        <v>1001</v>
      </c>
      <c t="s" s="52" r="E181">
        <v>1002</v>
      </c>
      <c t="s" s="52" r="F181">
        <v>1000</v>
      </c>
      <c s="52" r="G181"/>
      <c s="12" r="H181">
        <f>COUNTIF(PROJECT!F2:F100, "*PAK*")</f>
        <v>0</v>
      </c>
      <c s="52" r="I181"/>
      <c s="52" r="J181"/>
      <c s="52" r="K181"/>
      <c s="52" r="L181"/>
      <c s="52" r="M181"/>
      <c s="52" r="N181"/>
      <c s="52" r="O181"/>
      <c s="52" r="P181"/>
      <c s="52" r="Q181"/>
    </row>
    <row r="182">
      <c t="s" s="52" r="A182">
        <v>1003</v>
      </c>
      <c t="s" s="52" r="B182">
        <v>1003</v>
      </c>
      <c t="s" s="67" r="C182">
        <v>1004</v>
      </c>
      <c t="s" s="70" r="D182">
        <v>1005</v>
      </c>
      <c t="s" s="52" r="E182">
        <v>1006</v>
      </c>
      <c t="s" s="52" r="F182">
        <v>1007</v>
      </c>
      <c s="52" r="G182"/>
      <c s="12" r="H182">
        <f>COUNTIF(PROJECT!F2:F100, "*PLW*")</f>
        <v>0</v>
      </c>
      <c s="52" r="I182"/>
      <c s="52" r="J182"/>
      <c s="52" r="K182"/>
      <c s="52" r="L182"/>
      <c s="52" r="M182"/>
      <c s="52" r="N182"/>
      <c s="52" r="O182"/>
      <c s="52" r="P182"/>
      <c s="52" r="Q182"/>
    </row>
    <row r="183">
      <c t="s" s="52" r="A183">
        <v>1008</v>
      </c>
      <c t="s" s="52" r="B183">
        <v>1008</v>
      </c>
      <c s="84" r="C183"/>
      <c t="s" s="44" r="D183">
        <v>1009</v>
      </c>
      <c t="s" s="52" r="E183">
        <v>1010</v>
      </c>
      <c t="s" s="52" r="F183">
        <v>1004</v>
      </c>
      <c t="s" s="52" r="G183">
        <v>1011</v>
      </c>
      <c s="12" r="H183">
        <f>COUNTIF(PROJECT!F2:F100, "*PSE*")</f>
        <v>0</v>
      </c>
      <c s="52" r="I183"/>
      <c s="52" r="J183"/>
      <c s="52" r="K183"/>
      <c s="52" r="L183"/>
      <c s="52" r="M183"/>
      <c s="52" r="N183"/>
      <c s="52" r="O183"/>
      <c s="52" r="P183"/>
      <c s="52" r="Q183"/>
    </row>
    <row r="184">
      <c t="s" s="52" r="A184">
        <v>1012</v>
      </c>
      <c t="s" s="52" r="B184">
        <v>1012</v>
      </c>
      <c t="s" s="52" r="C184">
        <v>1013</v>
      </c>
      <c s="84" r="D184"/>
      <c s="84" r="E184"/>
      <c t="s" s="52" r="F184">
        <v>1014</v>
      </c>
      <c t="s" s="12" r="G184">
        <v>293</v>
      </c>
      <c s="8" r="H184"/>
      <c s="52" r="I184"/>
      <c s="52" r="J184"/>
      <c s="52" r="K184"/>
      <c s="52" r="L184"/>
      <c s="52" r="M184"/>
      <c s="52" r="N184"/>
      <c s="52" r="O184"/>
      <c s="52" r="P184"/>
      <c s="52" r="Q184"/>
    </row>
    <row r="185">
      <c t="s" s="52" r="A185">
        <v>1015</v>
      </c>
      <c t="s" s="52" r="B185">
        <v>1015</v>
      </c>
      <c t="s" s="15" r="C185">
        <v>1016</v>
      </c>
      <c t="s" s="70" r="D185">
        <v>1017</v>
      </c>
      <c t="s" s="45" r="E185">
        <v>1018</v>
      </c>
      <c t="s" s="52" r="F185">
        <v>1019</v>
      </c>
      <c s="52" r="G185"/>
      <c s="12" r="H185">
        <f>COUNTIF(PROJECT!F2:F100, "*PAN*")</f>
        <v>0</v>
      </c>
      <c s="52" r="I185"/>
      <c s="52" r="J185"/>
      <c s="52" r="K185"/>
      <c s="52" r="L185"/>
      <c s="52" r="M185"/>
      <c s="52" r="N185"/>
      <c s="52" r="O185"/>
      <c s="52" r="P185"/>
      <c s="52" r="Q185"/>
    </row>
    <row r="186">
      <c t="s" s="52" r="A186">
        <v>1020</v>
      </c>
      <c t="s" s="52" r="B186">
        <v>1020</v>
      </c>
      <c t="s" s="15" r="C186">
        <v>1021</v>
      </c>
      <c t="s" s="70" r="D186">
        <v>1022</v>
      </c>
      <c t="s" s="45" r="E186">
        <v>1023</v>
      </c>
      <c t="s" s="52" r="F186">
        <v>1024</v>
      </c>
      <c s="52" r="G186"/>
      <c s="12" r="H186">
        <f>COUNTIF(PROJECT!F2:F100, "*PNG*")</f>
        <v>0</v>
      </c>
      <c s="52" r="I186"/>
      <c s="52" r="J186"/>
      <c s="52" r="K186"/>
      <c s="52" r="L186"/>
      <c s="52" r="M186"/>
      <c s="52" r="N186"/>
      <c s="52" r="O186"/>
      <c s="52" r="P186"/>
      <c s="52" r="Q186"/>
    </row>
    <row r="187">
      <c t="s" s="52" r="A187">
        <v>1025</v>
      </c>
      <c t="s" s="52" r="B187">
        <v>1026</v>
      </c>
      <c t="s" s="67" r="C187">
        <v>565</v>
      </c>
      <c s="84" r="D187"/>
      <c s="84" r="E187"/>
      <c s="84" r="F187"/>
      <c s="52" r="G187"/>
      <c s="8" r="H187"/>
      <c s="52" r="I187"/>
      <c s="52" r="J187"/>
      <c s="52" r="K187"/>
      <c s="52" r="L187"/>
      <c s="52" r="M187"/>
      <c s="52" r="N187"/>
      <c s="52" r="O187"/>
      <c s="52" r="P187"/>
      <c s="52" r="Q187"/>
    </row>
    <row r="188">
      <c t="s" s="52" r="A188">
        <v>1027</v>
      </c>
      <c t="s" s="52" r="B188">
        <v>1027</v>
      </c>
      <c t="s" s="15" r="C188">
        <v>1019</v>
      </c>
      <c t="s" s="70" r="D188">
        <v>1028</v>
      </c>
      <c t="s" s="45" r="E188">
        <v>1029</v>
      </c>
      <c t="s" s="52" r="F188">
        <v>1030</v>
      </c>
      <c s="52" r="G188"/>
      <c s="12" r="H188">
        <f>COUNTIF(PROJECT!F2:F100, "*PRY*")</f>
        <v>0</v>
      </c>
      <c s="52" r="I188"/>
      <c s="52" r="J188"/>
      <c s="52" r="K188"/>
      <c s="52" r="L188"/>
      <c s="52" r="M188"/>
      <c s="52" r="N188"/>
      <c s="52" r="O188"/>
      <c s="52" r="P188"/>
      <c s="52" r="Q188"/>
    </row>
    <row r="189">
      <c t="s" s="52" r="A189">
        <v>1031</v>
      </c>
      <c t="s" s="52" r="B189">
        <v>1031</v>
      </c>
      <c t="s" s="67" r="C189">
        <v>1032</v>
      </c>
      <c t="s" s="70" r="D189">
        <v>1033</v>
      </c>
      <c t="s" s="52" r="E189">
        <v>1034</v>
      </c>
      <c t="s" s="52" r="F189">
        <v>1032</v>
      </c>
      <c s="52" r="G189"/>
      <c s="12" r="H189">
        <f>COUNTIF(PROJECT!F2:F100, "*PER*")</f>
        <v>0</v>
      </c>
      <c s="52" r="I189"/>
      <c s="52" r="J189"/>
      <c s="52" r="K189"/>
      <c s="52" r="L189"/>
      <c s="52" r="M189"/>
      <c s="52" r="N189"/>
      <c s="52" r="O189"/>
      <c s="52" r="P189"/>
      <c s="52" r="Q189"/>
    </row>
    <row r="190">
      <c t="s" s="45" r="A190">
        <v>1035</v>
      </c>
      <c t="s" s="52" r="B190">
        <v>1036</v>
      </c>
      <c t="s" s="15" r="C190">
        <v>1037</v>
      </c>
      <c t="s" s="70" r="D190">
        <v>1038</v>
      </c>
      <c t="s" s="45" r="E190">
        <v>1039</v>
      </c>
      <c t="s" s="52" r="F190">
        <v>1040</v>
      </c>
      <c s="52" r="G190"/>
      <c s="12" r="H190">
        <f>COUNTIF(PROJECT!F2:F100, "*PHL*")</f>
        <v>0</v>
      </c>
      <c s="52" r="I190"/>
      <c s="52" r="J190"/>
      <c s="52" r="K190"/>
      <c s="52" r="L190"/>
      <c s="52" r="M190"/>
      <c s="52" r="N190"/>
      <c s="52" r="O190"/>
      <c s="52" r="P190"/>
      <c s="52" r="Q190"/>
    </row>
    <row r="191">
      <c t="s" s="52" r="A191">
        <v>1041</v>
      </c>
      <c t="s" s="52" r="B191">
        <v>1042</v>
      </c>
      <c t="s" s="67" r="C191">
        <v>1043</v>
      </c>
      <c t="s" s="70" r="D191">
        <v>1044</v>
      </c>
      <c t="s" s="52" r="E191">
        <v>1045</v>
      </c>
      <c t="s" s="52" r="F191">
        <v>1046</v>
      </c>
      <c s="52" r="G191"/>
      <c s="12" r="H191">
        <f>COUNTIF(PROJECT!F2:F100, "*PCN*")</f>
        <v>0</v>
      </c>
      <c s="52" r="I191"/>
      <c s="52" r="J191"/>
      <c s="52" r="K191"/>
      <c s="52" r="L191"/>
      <c s="52" r="M191"/>
      <c s="52" r="N191"/>
      <c s="52" r="O191"/>
      <c s="52" r="P191"/>
      <c s="52" r="Q191"/>
    </row>
    <row r="192">
      <c t="s" s="52" r="A192">
        <v>1047</v>
      </c>
      <c t="s" s="52" r="B192">
        <v>1047</v>
      </c>
      <c t="s" s="67" r="C192">
        <v>1048</v>
      </c>
      <c t="s" s="70" r="D192">
        <v>1049</v>
      </c>
      <c t="s" s="52" r="E192">
        <v>1050</v>
      </c>
      <c t="s" s="52" r="F192">
        <v>1048</v>
      </c>
      <c s="52" r="G192"/>
      <c s="12" r="H192">
        <f>COUNTIF(PROJECT!F2:F100, "*POL*")</f>
        <v>0</v>
      </c>
      <c s="52" r="I192"/>
      <c s="52" r="J192"/>
      <c s="52" r="K192"/>
      <c s="52" r="L192"/>
      <c s="52" r="M192"/>
      <c s="52" r="N192"/>
      <c s="52" r="O192"/>
      <c s="52" r="P192"/>
      <c s="52" r="Q192"/>
    </row>
    <row r="193">
      <c t="s" s="52" r="A193">
        <v>1051</v>
      </c>
      <c t="s" s="52" r="B193">
        <v>1051</v>
      </c>
      <c t="s" s="15" r="C193">
        <v>1052</v>
      </c>
      <c t="s" s="70" r="D193">
        <v>1053</v>
      </c>
      <c t="s" s="45" r="E193">
        <v>1054</v>
      </c>
      <c t="s" s="52" r="F193">
        <v>1055</v>
      </c>
      <c s="52" r="G193"/>
      <c s="12" r="H193">
        <f>COUNTIF(PROJECT!F2:F100, "*PRT*")</f>
        <v>0</v>
      </c>
      <c s="52" r="I193"/>
      <c s="52" r="J193"/>
      <c s="52" r="K193"/>
      <c s="52" r="L193"/>
      <c s="52" r="M193"/>
      <c s="52" r="N193"/>
      <c s="52" r="O193"/>
      <c s="52" r="P193"/>
      <c s="52" r="Q193"/>
    </row>
    <row r="194">
      <c t="s" s="52" r="A194">
        <v>1056</v>
      </c>
      <c t="s" s="52" r="B194">
        <v>1056</v>
      </c>
      <c t="s" s="15" r="C194">
        <v>1057</v>
      </c>
      <c t="s" s="70" r="D194">
        <v>1058</v>
      </c>
      <c t="s" s="45" r="E194">
        <v>1059</v>
      </c>
      <c t="s" s="52" r="F194">
        <v>1060</v>
      </c>
      <c s="52" r="G194"/>
      <c s="12" r="H194">
        <f>COUNTIF(PROJECT!F2:F100, "*PRI*")</f>
        <v>0</v>
      </c>
      <c s="52" r="I194"/>
      <c s="52" r="J194"/>
      <c s="52" r="K194"/>
      <c s="52" r="L194"/>
      <c s="52" r="M194"/>
      <c s="52" r="N194"/>
      <c s="52" r="O194"/>
      <c s="52" r="P194"/>
      <c s="52" r="Q194"/>
    </row>
    <row r="195">
      <c t="s" s="52" r="A195">
        <v>1061</v>
      </c>
      <c t="s" s="52" r="B195">
        <v>1061</v>
      </c>
      <c t="s" s="67" r="C195">
        <v>1062</v>
      </c>
      <c t="s" s="70" r="D195">
        <v>1063</v>
      </c>
      <c t="s" s="52" r="E195">
        <v>1064</v>
      </c>
      <c t="s" s="52" r="F195">
        <v>1062</v>
      </c>
      <c s="52" r="G195"/>
      <c s="12" r="H195">
        <f>COUNTIF(PROJECT!F2:F100, "*QAT*")</f>
        <v>0</v>
      </c>
      <c s="52" r="I195"/>
      <c s="52" r="J195"/>
      <c s="52" r="K195"/>
      <c s="52" r="L195"/>
      <c s="52" r="M195"/>
      <c s="52" r="N195"/>
      <c s="52" r="O195"/>
      <c s="52" r="P195"/>
      <c s="52" r="Q195"/>
    </row>
    <row r="196">
      <c t="s" s="52" r="A196">
        <v>1065</v>
      </c>
      <c t="s" s="52" r="B196">
        <v>1065</v>
      </c>
      <c t="s" s="67" r="C196">
        <v>1066</v>
      </c>
      <c t="s" s="70" r="D196">
        <v>1067</v>
      </c>
      <c t="s" s="52" r="E196">
        <v>1068</v>
      </c>
      <c t="s" s="52" r="F196">
        <v>1066</v>
      </c>
      <c s="52" r="G196"/>
      <c s="12" r="H196">
        <f>COUNTIF(PROJECT!F2:F100, "*REU*")</f>
        <v>0</v>
      </c>
      <c s="52" r="I196"/>
      <c s="52" r="J196"/>
      <c s="52" r="K196"/>
      <c s="52" r="L196"/>
      <c s="52" r="M196"/>
      <c s="52" r="N196"/>
      <c s="52" r="O196"/>
      <c s="52" r="P196"/>
      <c s="52" r="Q196"/>
    </row>
    <row r="197">
      <c t="s" s="52" r="A197">
        <v>1069</v>
      </c>
      <c t="s" s="52" r="B197">
        <v>1069</v>
      </c>
      <c t="s" s="67" r="C197">
        <v>1070</v>
      </c>
      <c t="s" s="70" r="D197">
        <v>1071</v>
      </c>
      <c t="s" s="52" r="E197">
        <v>1072</v>
      </c>
      <c t="s" s="52" r="F197">
        <v>1070</v>
      </c>
      <c s="52" r="G197"/>
      <c s="12" r="H197">
        <f>COUNTIF(PROJECT!F2:F100, "*ROU*")</f>
        <v>0</v>
      </c>
      <c s="52" r="I197"/>
      <c s="52" r="J197"/>
      <c s="52" r="K197"/>
      <c s="52" r="L197"/>
      <c s="52" r="M197"/>
      <c s="52" r="N197"/>
      <c s="52" r="O197"/>
      <c s="52" r="P197"/>
      <c s="52" r="Q197"/>
    </row>
    <row r="198">
      <c t="s" s="45" r="A198">
        <v>1073</v>
      </c>
      <c t="s" s="52" r="B198">
        <v>1074</v>
      </c>
      <c t="s" s="15" r="C198">
        <v>1075</v>
      </c>
      <c t="s" s="70" r="D198">
        <v>1076</v>
      </c>
      <c t="s" s="45" r="E198">
        <v>1077</v>
      </c>
      <c t="s" s="52" r="F198">
        <v>1078</v>
      </c>
      <c s="52" r="G198"/>
      <c s="12" r="H198">
        <f>COUNTIF(PROJECT!F2:F100, "*RUS*")</f>
        <v>0</v>
      </c>
      <c s="52" r="I198"/>
      <c s="52" r="J198"/>
      <c s="52" r="K198"/>
      <c s="52" r="L198"/>
      <c s="52" r="M198"/>
      <c s="52" r="N198"/>
      <c s="52" r="O198"/>
      <c s="52" r="P198"/>
      <c s="52" r="Q198"/>
    </row>
    <row r="199">
      <c t="s" s="52" r="A199">
        <v>1079</v>
      </c>
      <c t="s" s="52" r="B199">
        <v>1079</v>
      </c>
      <c t="s" s="67" r="C199">
        <v>1080</v>
      </c>
      <c t="s" s="70" r="D199">
        <v>1081</v>
      </c>
      <c t="s" s="52" r="E199">
        <v>1082</v>
      </c>
      <c t="s" s="52" r="F199">
        <v>1080</v>
      </c>
      <c s="52" r="G199"/>
      <c s="12" r="H199">
        <f>COUNTIF(PROJECT!F2:F100, "*RWA*")</f>
        <v>0</v>
      </c>
      <c s="52" r="I199"/>
      <c s="52" r="J199"/>
      <c s="52" r="K199"/>
      <c s="52" r="L199"/>
      <c s="52" r="M199"/>
      <c s="52" r="N199"/>
      <c s="52" r="O199"/>
      <c s="52" r="P199"/>
      <c s="52" r="Q199"/>
    </row>
    <row r="200">
      <c t="s" s="52" r="A200">
        <v>1083</v>
      </c>
      <c t="s" s="52" r="B200">
        <v>1083</v>
      </c>
      <c t="s" s="67" r="C200">
        <v>1084</v>
      </c>
      <c t="s" s="70" r="D200">
        <v>1085</v>
      </c>
      <c t="s" s="52" r="E200">
        <v>1086</v>
      </c>
      <c t="s" s="52" r="F200">
        <v>331</v>
      </c>
      <c s="52" r="G200"/>
      <c s="12" r="H200">
        <f>COUNTIF(PROJECT!F2:F100, "*BLM*")</f>
        <v>0</v>
      </c>
      <c s="52" r="I200"/>
      <c s="52" r="J200"/>
      <c s="52" r="K200"/>
      <c s="52" r="L200"/>
      <c s="52" r="M200"/>
      <c s="52" r="N200"/>
      <c s="52" r="O200"/>
      <c s="52" r="P200"/>
      <c s="52" r="Q200"/>
    </row>
    <row r="201">
      <c t="s" s="45" r="A201">
        <v>1087</v>
      </c>
      <c t="s" s="45" r="B201">
        <v>1087</v>
      </c>
      <c t="s" s="15" r="C201">
        <v>1088</v>
      </c>
      <c t="s" s="44" r="D201">
        <v>1089</v>
      </c>
      <c t="s" s="45" r="E201">
        <v>1090</v>
      </c>
      <c t="s" s="45" r="F201">
        <v>883</v>
      </c>
      <c s="45" r="G201"/>
      <c s="22" r="H201">
        <f>COUNTIF(PROJECT!F2:F100, "*MAF*")</f>
        <v>0</v>
      </c>
      <c s="45" r="I201"/>
      <c s="45" r="J201"/>
      <c s="45" r="K201"/>
      <c s="45" r="L201"/>
      <c s="45" r="M201"/>
      <c s="45" r="N201"/>
      <c s="45" r="O201"/>
      <c s="45" r="P201"/>
      <c s="45" r="Q201"/>
    </row>
    <row r="202">
      <c t="s" s="52" r="A202">
        <v>1091</v>
      </c>
      <c t="s" s="52" r="B202">
        <v>1091</v>
      </c>
      <c t="s" s="67" r="C202">
        <v>1092</v>
      </c>
      <c t="s" s="70" r="D202">
        <v>1093</v>
      </c>
      <c t="s" s="52" r="E202">
        <v>1094</v>
      </c>
      <c t="s" s="52" r="F202">
        <v>1092</v>
      </c>
      <c s="52" r="G202"/>
      <c s="12" r="H202">
        <f>COUNTIF(PROJECT!F2:F100, "*WSM*")</f>
        <v>0</v>
      </c>
      <c s="52" r="I202"/>
      <c s="52" r="J202"/>
      <c s="52" r="K202"/>
      <c s="52" r="L202"/>
      <c s="52" r="M202"/>
      <c s="52" r="N202"/>
      <c s="52" r="O202"/>
      <c s="52" r="P202"/>
      <c s="52" r="Q202"/>
    </row>
    <row r="203">
      <c t="s" s="52" r="A203">
        <v>1095</v>
      </c>
      <c t="s" s="52" r="B203">
        <v>1095</v>
      </c>
      <c t="s" s="67" r="C203">
        <v>1096</v>
      </c>
      <c t="s" s="70" r="D203">
        <v>1097</v>
      </c>
      <c t="s" s="52" r="E203">
        <v>1098</v>
      </c>
      <c t="s" s="52" r="F203">
        <v>1096</v>
      </c>
      <c s="52" r="G203"/>
      <c s="12" r="H203">
        <f>COUNTIF(PROJECT!F2:F100, "*SMR*")</f>
        <v>0</v>
      </c>
      <c s="52" r="I203"/>
      <c s="52" r="J203"/>
      <c s="52" r="K203"/>
      <c s="52" r="L203"/>
      <c s="52" r="M203"/>
      <c s="52" r="N203"/>
      <c s="52" r="O203"/>
      <c s="52" r="P203"/>
      <c s="52" r="Q203"/>
    </row>
    <row r="204">
      <c t="s" s="52" r="A204">
        <v>1099</v>
      </c>
      <c t="s" s="52" r="B204">
        <v>1100</v>
      </c>
      <c t="s" s="67" r="C204">
        <v>1101</v>
      </c>
      <c t="s" s="70" r="D204">
        <v>1102</v>
      </c>
      <c t="s" s="52" r="E204">
        <v>1103</v>
      </c>
      <c t="s" s="52" r="F204">
        <v>1104</v>
      </c>
      <c s="52" r="G204"/>
      <c s="12" r="H204">
        <f>COUNTIF(PROJECT!F2:F100, "*STP*")</f>
        <v>0</v>
      </c>
      <c s="52" r="I204"/>
      <c s="52" r="J204"/>
      <c s="52" r="K204"/>
      <c s="52" r="L204"/>
      <c s="52" r="M204"/>
      <c s="52" r="N204"/>
      <c s="52" r="O204"/>
      <c s="52" r="P204"/>
      <c s="52" r="Q204"/>
    </row>
    <row r="205">
      <c t="s" s="52" r="A205">
        <v>1105</v>
      </c>
      <c t="s" s="52" r="B205">
        <v>1105</v>
      </c>
      <c t="s" s="67" r="C205">
        <v>1106</v>
      </c>
      <c t="s" s="70" r="D205">
        <v>1107</v>
      </c>
      <c t="s" s="52" r="E205">
        <v>1108</v>
      </c>
      <c t="s" s="52" r="F205">
        <v>1106</v>
      </c>
      <c s="52" r="G205"/>
      <c s="12" r="H205">
        <f>COUNTIF(PROJECT!F2:F100, "*SAU*")</f>
        <v>0</v>
      </c>
      <c s="52" r="I205"/>
      <c s="52" r="J205"/>
      <c s="52" r="K205"/>
      <c s="52" r="L205"/>
      <c s="52" r="M205"/>
      <c s="52" r="N205"/>
      <c s="52" r="O205"/>
      <c s="52" r="P205"/>
      <c s="52" r="Q205"/>
    </row>
    <row r="206">
      <c t="s" s="52" r="A206">
        <v>1109</v>
      </c>
      <c t="s" s="52" r="B206">
        <v>1109</v>
      </c>
      <c t="s" s="15" r="C206">
        <v>1110</v>
      </c>
      <c t="s" s="70" r="D206">
        <v>1111</v>
      </c>
      <c t="s" s="45" r="E206">
        <v>1112</v>
      </c>
      <c t="s" s="52" r="F206">
        <v>1113</v>
      </c>
      <c s="52" r="G206"/>
      <c s="12" r="H206">
        <f>COUNTIF(PROJECT!F2:F100, "*SEN*")</f>
        <v>0</v>
      </c>
      <c s="52" r="I206"/>
      <c s="52" r="J206"/>
      <c s="52" r="K206"/>
      <c s="52" r="L206"/>
      <c s="52" r="M206"/>
      <c s="52" r="N206"/>
      <c s="52" r="O206"/>
      <c s="52" r="P206"/>
      <c s="52" r="Q206"/>
    </row>
    <row r="207">
      <c t="s" s="52" r="A207">
        <v>1114</v>
      </c>
      <c t="s" s="52" r="B207">
        <v>1114</v>
      </c>
      <c t="s" s="67" r="C207">
        <v>1115</v>
      </c>
      <c t="s" s="70" r="D207">
        <v>1116</v>
      </c>
      <c t="s" s="52" r="E207">
        <v>1117</v>
      </c>
      <c t="s" s="52" r="F207">
        <v>1075</v>
      </c>
      <c s="52" r="G207"/>
      <c s="12" r="H207">
        <f>COUNTIF(PROJECT!F2:F100, "*SRB*")</f>
        <v>0</v>
      </c>
      <c s="52" r="I207"/>
      <c s="52" r="J207"/>
      <c s="52" r="K207"/>
      <c s="52" r="L207"/>
      <c s="52" r="M207"/>
      <c s="52" r="N207"/>
      <c s="52" r="O207"/>
      <c s="52" r="P207"/>
      <c s="52" r="Q207"/>
    </row>
    <row r="208">
      <c t="s" s="52" r="A208">
        <v>1118</v>
      </c>
      <c t="s" s="52" r="B208">
        <v>1118</v>
      </c>
      <c t="s" s="15" r="C208">
        <v>1119</v>
      </c>
      <c t="s" s="70" r="D208">
        <v>1120</v>
      </c>
      <c t="s" s="45" r="E208">
        <v>1121</v>
      </c>
      <c t="s" s="52" r="F208">
        <v>1122</v>
      </c>
      <c s="52" r="G208"/>
      <c s="12" r="H208">
        <f>COUNTIF(PROJECT!F2:F100, "*SYC*")</f>
        <v>0</v>
      </c>
      <c s="52" r="I208"/>
      <c s="52" r="J208"/>
      <c s="52" r="K208"/>
      <c s="52" r="L208"/>
      <c s="52" r="M208"/>
      <c s="52" r="N208"/>
      <c s="52" r="O208"/>
      <c s="52" r="P208"/>
      <c s="52" r="Q208"/>
    </row>
    <row r="209">
      <c t="s" s="52" r="A209">
        <v>1123</v>
      </c>
      <c t="s" s="52" r="B209">
        <v>1123</v>
      </c>
      <c t="s" s="67" r="C209">
        <v>1124</v>
      </c>
      <c t="s" s="70" r="D209">
        <v>1125</v>
      </c>
      <c t="s" s="52" r="E209">
        <v>1126</v>
      </c>
      <c t="s" s="52" r="F209">
        <v>1124</v>
      </c>
      <c s="52" r="G209"/>
      <c s="12" r="H209">
        <f>COUNTIF(PROJECT!F2:F100, "*SLE*")</f>
        <v>0</v>
      </c>
      <c s="52" r="I209"/>
      <c s="52" r="J209"/>
      <c s="52" r="K209"/>
      <c s="52" r="L209"/>
      <c s="52" r="M209"/>
      <c s="52" r="N209"/>
      <c s="52" r="O209"/>
      <c s="52" r="P209"/>
      <c s="52" r="Q209"/>
    </row>
    <row r="210">
      <c t="s" s="52" r="A210">
        <v>1127</v>
      </c>
      <c t="s" s="52" r="B210">
        <v>1127</v>
      </c>
      <c t="s" s="15" r="C210">
        <v>1113</v>
      </c>
      <c t="s" s="70" r="D210">
        <v>1128</v>
      </c>
      <c t="s" s="45" r="E210">
        <v>1129</v>
      </c>
      <c t="s" s="52" r="F210">
        <v>1110</v>
      </c>
      <c s="52" r="G210"/>
      <c s="12" r="H210">
        <f>COUNTIF(PROJECT!F2:F100, "*SGP*")</f>
        <v>0</v>
      </c>
      <c s="52" r="I210"/>
      <c s="52" r="J210"/>
      <c s="52" r="K210"/>
      <c s="52" r="L210"/>
      <c s="52" r="M210"/>
      <c s="52" r="N210"/>
      <c s="52" r="O210"/>
      <c s="52" r="P210"/>
      <c s="52" r="Q210"/>
    </row>
    <row r="211">
      <c t="s" s="52" r="A211">
        <v>1130</v>
      </c>
      <c t="s" s="52" r="B211">
        <v>1130</v>
      </c>
      <c t="s" s="15" r="C211">
        <v>1131</v>
      </c>
      <c t="s" s="70" r="D211">
        <v>1132</v>
      </c>
      <c t="s" s="52" r="E211">
        <v>1133</v>
      </c>
      <c t="s" s="52" r="F211">
        <v>1134</v>
      </c>
      <c s="52" r="G211"/>
      <c s="12" r="H211">
        <f>COUNTIF(PROJECT!F2:F100, "*SXM*")</f>
        <v>0</v>
      </c>
      <c s="52" r="I211"/>
      <c s="52" r="J211"/>
      <c s="52" r="K211"/>
      <c s="52" r="L211"/>
      <c s="52" r="M211"/>
      <c s="52" r="N211"/>
      <c s="52" r="O211"/>
      <c s="52" r="P211"/>
      <c s="52" r="Q211"/>
    </row>
    <row r="212">
      <c t="s" s="52" r="A212">
        <v>1135</v>
      </c>
      <c t="s" s="52" r="B212">
        <v>1135</v>
      </c>
      <c t="s" s="15" r="C212">
        <v>1136</v>
      </c>
      <c t="s" s="70" r="D212">
        <v>1137</v>
      </c>
      <c t="s" s="45" r="E212">
        <v>1138</v>
      </c>
      <c t="s" s="52" r="F212">
        <v>1139</v>
      </c>
      <c s="52" r="G212"/>
      <c s="12" r="H212">
        <f>COUNTIF(PROJECT!F2:F100, "*SVK*")</f>
        <v>0</v>
      </c>
      <c s="52" r="I212"/>
      <c s="52" r="J212"/>
      <c s="52" r="K212"/>
      <c s="52" r="L212"/>
      <c s="52" r="M212"/>
      <c s="52" r="N212"/>
      <c s="52" r="O212"/>
      <c s="52" r="P212"/>
      <c s="52" r="Q212"/>
    </row>
    <row r="213">
      <c t="s" s="52" r="A213">
        <v>1140</v>
      </c>
      <c t="s" s="52" r="B213">
        <v>1140</v>
      </c>
      <c t="s" s="15" r="C213">
        <v>1141</v>
      </c>
      <c t="s" s="70" r="D213">
        <v>1142</v>
      </c>
      <c t="s" s="45" r="E213">
        <v>1143</v>
      </c>
      <c t="s" s="52" r="F213">
        <v>1141</v>
      </c>
      <c s="52" r="G213"/>
      <c s="12" r="H213">
        <f>COUNTIF(PROJECT!F2:F100, "*SVN*")</f>
        <v>0</v>
      </c>
      <c s="52" r="I213"/>
      <c s="52" r="J213"/>
      <c s="52" r="K213"/>
      <c s="52" r="L213"/>
      <c s="52" r="M213"/>
      <c s="52" r="N213"/>
      <c s="52" r="O213"/>
      <c s="52" r="P213"/>
      <c s="52" r="Q213"/>
    </row>
    <row r="214">
      <c t="s" s="52" r="A214">
        <v>1144</v>
      </c>
      <c t="s" s="52" r="B214">
        <v>1145</v>
      </c>
      <c t="s" s="15" r="C214">
        <v>1146</v>
      </c>
      <c t="s" s="70" r="D214">
        <v>1147</v>
      </c>
      <c t="s" s="45" r="E214">
        <v>1148</v>
      </c>
      <c t="s" s="52" r="F214">
        <v>1149</v>
      </c>
      <c s="52" r="G214"/>
      <c s="12" r="H214">
        <f>COUNTIF(PROJECT!F2:F100, "*SLB*")</f>
        <v>0</v>
      </c>
      <c s="52" r="I214"/>
      <c s="52" r="J214"/>
      <c s="52" r="K214"/>
      <c s="52" r="L214"/>
      <c s="52" r="M214"/>
      <c s="52" r="N214"/>
      <c s="52" r="O214"/>
      <c s="52" r="P214"/>
      <c s="52" r="Q214"/>
    </row>
    <row r="215">
      <c t="s" s="52" r="A215">
        <v>1150</v>
      </c>
      <c t="s" s="52" r="B215">
        <v>1150</v>
      </c>
      <c t="s" s="67" r="C215">
        <v>1151</v>
      </c>
      <c t="s" s="70" r="D215">
        <v>1152</v>
      </c>
      <c t="s" s="52" r="E215">
        <v>1153</v>
      </c>
      <c t="s" s="52" r="F215">
        <v>1151</v>
      </c>
      <c s="52" r="G215"/>
      <c s="12" r="H215">
        <f>COUNTIF(PROJECT!F2:F100, "*SOM*")</f>
        <v>0</v>
      </c>
      <c s="52" r="I215"/>
      <c s="52" r="J215"/>
      <c s="52" r="K215"/>
      <c s="52" r="L215"/>
      <c s="52" r="M215"/>
      <c s="52" r="N215"/>
      <c s="52" r="O215"/>
      <c s="52" r="P215"/>
      <c s="52" r="Q215"/>
    </row>
    <row r="216">
      <c t="s" s="52" r="A216">
        <v>1154</v>
      </c>
      <c t="s" s="52" r="B216">
        <v>1154</v>
      </c>
      <c t="s" s="15" r="C216">
        <v>1155</v>
      </c>
      <c t="s" s="70" r="D216">
        <v>1156</v>
      </c>
      <c t="s" s="45" r="E216">
        <v>1157</v>
      </c>
      <c t="s" s="52" r="F216">
        <v>1158</v>
      </c>
      <c s="52" r="G216"/>
      <c s="12" r="H216">
        <f>COUNTIF(PROJECT!F2:F100, "*ZAF*")</f>
        <v>0</v>
      </c>
      <c s="52" r="I216"/>
      <c s="52" r="J216"/>
      <c s="52" r="K216"/>
      <c s="52" r="L216"/>
      <c s="52" r="M216"/>
      <c s="52" r="N216"/>
      <c s="52" r="O216"/>
      <c s="52" r="P216"/>
      <c s="52" r="Q216"/>
    </row>
    <row r="217">
      <c t="s" s="52" r="A217">
        <v>1159</v>
      </c>
      <c t="s" s="52" r="B217">
        <v>1160</v>
      </c>
      <c t="s" s="67" r="C217">
        <v>1134</v>
      </c>
      <c t="s" s="70" r="D217">
        <v>1161</v>
      </c>
      <c t="s" s="52" r="E217">
        <v>1162</v>
      </c>
      <c t="s" s="52" r="F217">
        <v>1163</v>
      </c>
      <c s="52" r="G217"/>
      <c s="12" r="H217">
        <f>COUNTIF(PROJECT!F2:F100, "*SGS*")</f>
        <v>0</v>
      </c>
      <c s="52" r="I217"/>
      <c s="52" r="J217"/>
      <c s="52" r="K217"/>
      <c s="52" r="L217"/>
      <c s="52" r="M217"/>
      <c s="52" r="N217"/>
      <c s="52" r="O217"/>
      <c s="52" r="P217"/>
      <c s="52" r="Q217"/>
    </row>
    <row r="218">
      <c t="s" s="52" r="A218">
        <v>1164</v>
      </c>
      <c t="s" s="52" r="B218">
        <v>1164</v>
      </c>
      <c t="s" s="15" r="C218">
        <v>1165</v>
      </c>
      <c t="s" s="70" r="D218">
        <v>1166</v>
      </c>
      <c t="s" s="52" r="E218">
        <v>1167</v>
      </c>
      <c t="s" s="52" r="F218">
        <v>1168</v>
      </c>
      <c s="52" r="G218"/>
      <c s="12" r="H218">
        <f>COUNTIF(PROJECT!F2:F100, "*SSD*")</f>
        <v>0</v>
      </c>
      <c s="52" r="I218"/>
      <c s="52" r="J218"/>
      <c s="52" r="K218"/>
      <c s="52" r="L218"/>
      <c s="52" r="M218"/>
      <c s="52" r="N218"/>
      <c s="52" r="O218"/>
      <c s="52" r="P218"/>
      <c s="52" r="Q218"/>
    </row>
    <row r="219">
      <c t="s" s="52" r="A219">
        <v>1169</v>
      </c>
      <c t="s" s="52" r="B219">
        <v>1169</v>
      </c>
      <c t="s" s="15" r="C219">
        <v>1170</v>
      </c>
      <c t="s" s="70" r="D219">
        <v>1171</v>
      </c>
      <c t="s" s="45" r="E219">
        <v>1172</v>
      </c>
      <c t="s" s="52" r="F219">
        <v>512</v>
      </c>
      <c s="52" r="G219"/>
      <c s="12" r="H219">
        <f>COUNTIF(PROJECT!F2:F100, "*ESP*")</f>
        <v>0</v>
      </c>
      <c s="52" r="I219"/>
      <c s="52" r="J219"/>
      <c s="52" r="K219"/>
      <c s="52" r="L219"/>
      <c s="52" r="M219"/>
      <c s="52" r="N219"/>
      <c s="52" r="O219"/>
      <c s="52" r="P219"/>
      <c s="52" r="Q219"/>
    </row>
    <row r="220">
      <c t="s" s="52" r="A220">
        <v>1173</v>
      </c>
      <c t="s" s="52" r="B220">
        <v>1173</v>
      </c>
      <c t="s" s="67" r="C220">
        <v>1024</v>
      </c>
      <c s="84" r="D220"/>
      <c s="84" r="E220"/>
      <c t="s" s="52" r="F220">
        <v>1174</v>
      </c>
      <c s="52" r="G220"/>
      <c s="8" r="H220"/>
      <c s="52" r="I220"/>
      <c s="52" r="J220"/>
      <c s="52" r="K220"/>
      <c s="52" r="L220"/>
      <c s="52" r="M220"/>
      <c s="52" r="N220"/>
      <c s="52" r="O220"/>
      <c s="52" r="P220"/>
      <c s="52" r="Q220"/>
    </row>
    <row r="221">
      <c t="s" s="52" r="A221">
        <v>1175</v>
      </c>
      <c t="s" s="52" r="B221">
        <v>1175</v>
      </c>
      <c t="s" s="15" r="C221">
        <v>1176</v>
      </c>
      <c t="s" s="70" r="D221">
        <v>1177</v>
      </c>
      <c t="s" s="45" r="E221">
        <v>1178</v>
      </c>
      <c t="s" s="52" r="F221">
        <v>1179</v>
      </c>
      <c s="52" r="G221"/>
      <c s="12" r="H221">
        <f>COUNTIF(PROJECT!F2:F100, "*LKA*")</f>
        <v>0</v>
      </c>
      <c s="52" r="I221"/>
      <c s="52" r="J221"/>
      <c s="52" r="K221"/>
      <c s="52" r="L221"/>
      <c s="52" r="M221"/>
      <c s="52" r="N221"/>
      <c s="52" r="O221"/>
      <c s="52" r="P221"/>
      <c s="52" r="Q221"/>
    </row>
    <row r="222">
      <c t="s" s="45" r="A222">
        <v>1180</v>
      </c>
      <c t="s" s="45" r="B222">
        <v>1181</v>
      </c>
      <c t="s" s="15" r="C222">
        <v>1182</v>
      </c>
      <c t="s" s="44" r="D222">
        <v>1183</v>
      </c>
      <c t="s" s="45" r="E222">
        <v>1184</v>
      </c>
      <c t="s" s="45" r="F222">
        <v>1182</v>
      </c>
      <c s="45" r="G222"/>
      <c s="22" r="H222">
        <f>COUNTIF(PROJECT!F2:F100, "*SHN*")</f>
        <v>0</v>
      </c>
      <c s="45" r="I222"/>
      <c s="45" r="J222"/>
      <c s="45" r="K222"/>
      <c s="45" r="L222"/>
      <c s="45" r="M222"/>
      <c s="45" r="N222"/>
      <c s="45" r="O222"/>
      <c s="45" r="P222"/>
      <c s="45" r="Q222"/>
    </row>
    <row r="223">
      <c t="s" s="45" r="A223">
        <v>1185</v>
      </c>
      <c t="s" s="45" r="B223">
        <v>1186</v>
      </c>
      <c t="s" s="15" r="C223">
        <v>1122</v>
      </c>
      <c t="s" s="44" r="D223">
        <v>1187</v>
      </c>
      <c t="s" s="45" r="E223">
        <v>1188</v>
      </c>
      <c t="s" s="45" r="F223">
        <v>767</v>
      </c>
      <c s="45" r="G223"/>
      <c s="22" r="H223">
        <f>COUNTIF(PROJECT!F2:F100, "*KNA*")</f>
        <v>0</v>
      </c>
      <c s="45" r="I223"/>
      <c s="45" r="J223"/>
      <c s="45" r="K223"/>
      <c s="45" r="L223"/>
      <c s="45" r="M223"/>
      <c s="45" r="N223"/>
      <c s="45" r="O223"/>
      <c s="45" r="P223"/>
      <c s="45" r="Q223"/>
    </row>
    <row r="224">
      <c t="s" s="45" r="A224">
        <v>1189</v>
      </c>
      <c t="s" s="45" r="B224">
        <v>1190</v>
      </c>
      <c t="s" s="15" r="C224">
        <v>1104</v>
      </c>
      <c t="s" s="44" r="D224">
        <v>1191</v>
      </c>
      <c t="s" s="45" r="E224">
        <v>1192</v>
      </c>
      <c t="s" s="45" r="F224">
        <v>1193</v>
      </c>
      <c s="45" r="G224"/>
      <c s="22" r="H224">
        <f>COUNTIF(PROJECT!F2:F100, "*LCA*")</f>
        <v>0</v>
      </c>
      <c s="45" r="I224"/>
      <c s="45" r="J224"/>
      <c s="45" r="K224"/>
      <c s="45" r="L224"/>
      <c s="45" r="M224"/>
      <c s="45" r="N224"/>
      <c s="45" r="O224"/>
      <c s="45" r="P224"/>
      <c s="45" r="Q224"/>
    </row>
    <row r="225">
      <c t="s" s="45" r="A225">
        <v>1194</v>
      </c>
      <c t="s" s="45" r="B225">
        <v>1195</v>
      </c>
      <c t="s" s="15" r="C225">
        <v>1149</v>
      </c>
      <c t="s" s="44" r="D225">
        <v>1196</v>
      </c>
      <c t="s" s="45" r="E225">
        <v>1197</v>
      </c>
      <c t="s" s="45" r="F225">
        <v>1016</v>
      </c>
      <c s="45" r="G225"/>
      <c s="22" r="H225">
        <f>COUNTIF(PROJECT!F2:F100, "*SPM*")</f>
        <v>0</v>
      </c>
      <c s="45" r="I225"/>
      <c s="45" r="J225"/>
      <c s="45" r="K225"/>
      <c s="45" r="L225"/>
      <c s="45" r="M225"/>
      <c s="45" r="N225"/>
      <c s="45" r="O225"/>
      <c s="45" r="P225"/>
      <c s="45" r="Q225"/>
    </row>
    <row r="226">
      <c t="s" s="45" r="A226">
        <v>1198</v>
      </c>
      <c t="s" s="45" r="B226">
        <v>1199</v>
      </c>
      <c t="s" s="15" r="C226">
        <v>1200</v>
      </c>
      <c t="s" s="44" r="D226">
        <v>1201</v>
      </c>
      <c t="s" s="45" r="E226">
        <v>1202</v>
      </c>
      <c t="s" s="45" r="F226">
        <v>1200</v>
      </c>
      <c s="45" r="G226"/>
      <c s="22" r="H226">
        <f>COUNTIF(PROJECT!F2:F100, "*VCT*")</f>
        <v>0</v>
      </c>
      <c s="45" r="I226"/>
      <c s="45" r="J226"/>
      <c s="45" r="K226"/>
      <c s="45" r="L226"/>
      <c s="45" r="M226"/>
      <c s="45" r="N226"/>
      <c s="45" r="O226"/>
      <c s="45" r="P226"/>
      <c s="45" r="Q226"/>
    </row>
    <row r="227">
      <c t="s" s="52" r="A227">
        <v>1203</v>
      </c>
      <c t="s" s="52" r="B227">
        <v>1203</v>
      </c>
      <c t="s" s="67" r="C227">
        <v>1204</v>
      </c>
      <c t="s" s="70" r="D227">
        <v>1205</v>
      </c>
      <c t="s" s="52" r="E227">
        <v>1206</v>
      </c>
      <c t="s" s="52" r="F227">
        <v>1207</v>
      </c>
      <c s="52" r="G227"/>
      <c s="12" r="H227">
        <f>COUNTIF(PROJECT!F2:F100, "*SDN*")</f>
        <v>0</v>
      </c>
      <c s="52" r="I227"/>
      <c s="52" r="J227"/>
      <c s="52" r="K227"/>
      <c s="52" r="L227"/>
      <c s="52" r="M227"/>
      <c s="52" r="N227"/>
      <c s="52" r="O227"/>
      <c s="52" r="P227"/>
      <c s="52" r="Q227"/>
    </row>
    <row r="228">
      <c t="s" s="52" r="A228">
        <v>1208</v>
      </c>
      <c t="s" s="52" r="B228">
        <v>1208</v>
      </c>
      <c t="s" s="15" r="C228">
        <v>1209</v>
      </c>
      <c t="s" s="70" r="D228">
        <v>1210</v>
      </c>
      <c t="s" s="45" r="E228">
        <v>1211</v>
      </c>
      <c t="s" s="52" r="F228">
        <v>1115</v>
      </c>
      <c s="52" r="G228"/>
      <c s="12" r="H228">
        <f>COUNTIF(PROJECT!F2:F100, "*SUR*")</f>
        <v>0</v>
      </c>
      <c s="52" r="I228"/>
      <c s="52" r="J228"/>
      <c s="52" r="K228"/>
      <c s="52" r="L228"/>
      <c s="52" r="M228"/>
      <c s="52" r="N228"/>
      <c s="52" r="O228"/>
      <c s="52" r="P228"/>
      <c s="52" r="Q228"/>
    </row>
    <row r="229">
      <c t="s" s="45" r="A229">
        <v>1212</v>
      </c>
      <c t="s" s="45" r="B229">
        <v>1213</v>
      </c>
      <c t="s" s="15" r="C229">
        <v>515</v>
      </c>
      <c t="s" s="70" r="D229">
        <v>722</v>
      </c>
      <c t="s" s="45" r="E229">
        <v>723</v>
      </c>
      <c t="s" s="52" r="F229">
        <v>724</v>
      </c>
      <c t="s" s="52" r="G229">
        <v>1214</v>
      </c>
      <c s="12" r="H229">
        <f>COUNTIF(PROJECT!F2:F100, "*SJM*")</f>
        <v>0</v>
      </c>
      <c s="52" r="I229"/>
      <c s="52" r="J229"/>
      <c s="52" r="K229"/>
      <c s="52" r="L229"/>
      <c s="52" r="M229"/>
      <c s="52" r="N229"/>
      <c s="52" r="O229"/>
      <c s="52" r="P229"/>
      <c s="52" r="Q229"/>
    </row>
    <row r="230">
      <c t="s" s="52" r="A230">
        <v>1215</v>
      </c>
      <c t="s" s="52" r="B230">
        <v>1215</v>
      </c>
      <c t="s" s="67" r="C230">
        <v>1216</v>
      </c>
      <c t="s" s="70" r="D230">
        <v>1217</v>
      </c>
      <c t="s" s="52" r="E230">
        <v>1218</v>
      </c>
      <c t="s" s="52" r="F230">
        <v>1219</v>
      </c>
      <c s="52" r="G230"/>
      <c s="12" r="H230">
        <f>COUNTIF(PROJECT!F2:F100, "*SWZ*")</f>
        <v>0</v>
      </c>
      <c s="52" r="I230"/>
      <c s="52" r="J230"/>
      <c s="52" r="K230"/>
      <c s="52" r="L230"/>
      <c s="52" r="M230"/>
      <c s="52" r="N230"/>
      <c s="52" r="O230"/>
      <c s="52" r="P230"/>
      <c s="52" r="Q230"/>
    </row>
    <row r="231">
      <c t="s" s="52" r="A231">
        <v>1220</v>
      </c>
      <c t="s" s="52" r="B231">
        <v>1220</v>
      </c>
      <c t="s" s="67" r="C231">
        <v>1221</v>
      </c>
      <c t="s" s="70" r="D231">
        <v>1222</v>
      </c>
      <c t="s" s="52" r="E231">
        <v>1223</v>
      </c>
      <c t="s" s="52" r="F231">
        <v>1119</v>
      </c>
      <c s="52" r="G231"/>
      <c s="12" r="H231">
        <f>COUNTIF(PROJECT!F2:F100, "*SWE*")</f>
        <v>0</v>
      </c>
      <c s="52" r="I231"/>
      <c s="52" r="J231"/>
      <c s="52" r="K231"/>
      <c s="52" r="L231"/>
      <c s="52" r="M231"/>
      <c s="52" r="N231"/>
      <c s="52" r="O231"/>
      <c s="52" r="P231"/>
      <c s="52" r="Q231"/>
    </row>
    <row r="232">
      <c t="s" s="45" r="A232">
        <v>1224</v>
      </c>
      <c t="s" s="52" r="B232">
        <v>1224</v>
      </c>
      <c t="s" s="15" r="C232">
        <v>1219</v>
      </c>
      <c t="s" s="70" r="D232">
        <v>1225</v>
      </c>
      <c t="s" s="45" r="E232">
        <v>1226</v>
      </c>
      <c t="s" s="52" r="F232">
        <v>417</v>
      </c>
      <c s="52" r="G232"/>
      <c s="12" r="H232">
        <f>COUNTIF(PROJECT!F2:F100, "*CHE*")</f>
        <v>0</v>
      </c>
      <c s="52" r="I232"/>
      <c s="52" r="J232"/>
      <c s="52" r="K232"/>
      <c s="52" r="L232"/>
      <c s="52" r="M232"/>
      <c s="52" r="N232"/>
      <c s="52" r="O232"/>
      <c s="52" r="P232"/>
      <c s="52" r="Q232"/>
    </row>
    <row r="233">
      <c t="s" s="45" r="A233">
        <v>1227</v>
      </c>
      <c t="s" s="52" r="B233">
        <v>1228</v>
      </c>
      <c t="s" s="67" r="C233">
        <v>1229</v>
      </c>
      <c t="s" s="70" r="D233">
        <v>1230</v>
      </c>
      <c t="s" s="52" r="E233">
        <v>1231</v>
      </c>
      <c t="s" s="52" r="F233">
        <v>1229</v>
      </c>
      <c s="52" r="G233"/>
      <c s="12" r="H233">
        <f>COUNTIF(PROJECT!F2:F100, "*SYR*")</f>
        <v>0</v>
      </c>
      <c s="52" r="I233"/>
      <c s="52" r="J233"/>
      <c s="52" r="K233"/>
      <c s="52" r="L233"/>
      <c s="52" r="M233"/>
      <c s="52" r="N233"/>
      <c s="52" r="O233"/>
      <c s="52" r="P233"/>
      <c s="52" r="Q233"/>
    </row>
    <row r="234">
      <c t="s" s="45" r="A234">
        <v>1232</v>
      </c>
      <c t="s" s="52" r="B234">
        <v>1233</v>
      </c>
      <c t="s" s="67" r="C234">
        <v>1234</v>
      </c>
      <c t="s" s="70" r="D234">
        <v>1235</v>
      </c>
      <c t="s" s="52" r="E234">
        <v>1236</v>
      </c>
      <c t="s" s="52" r="F234">
        <v>1234</v>
      </c>
      <c s="52" r="G234"/>
      <c s="12" r="H234">
        <f>COUNTIF(PROJECT!F2:F100, "*TWN*")</f>
        <v>0</v>
      </c>
      <c s="52" r="I234"/>
      <c s="52" r="J234"/>
      <c s="52" r="K234"/>
      <c s="52" r="L234"/>
      <c s="52" r="M234"/>
      <c s="52" r="N234"/>
      <c s="52" r="O234"/>
      <c s="52" r="P234"/>
      <c s="52" r="Q234"/>
    </row>
    <row r="235">
      <c t="s" s="45" r="A235">
        <v>1237</v>
      </c>
      <c t="s" s="52" r="B235">
        <v>1237</v>
      </c>
      <c t="s" s="67" r="C235">
        <v>1238</v>
      </c>
      <c t="s" s="70" r="D235">
        <v>1239</v>
      </c>
      <c t="s" s="52" r="E235">
        <v>1240</v>
      </c>
      <c t="s" s="52" r="F235">
        <v>1241</v>
      </c>
      <c s="52" r="G235"/>
      <c s="12" r="H235">
        <f>COUNTIF(PROJECT!F2:F100, "*TJK*")</f>
        <v>0</v>
      </c>
      <c s="52" r="I235"/>
      <c s="52" r="J235"/>
      <c s="52" r="K235"/>
      <c s="52" r="L235"/>
      <c s="52" r="M235"/>
      <c s="52" r="N235"/>
      <c s="52" r="O235"/>
      <c s="52" r="P235"/>
      <c s="52" r="Q235"/>
    </row>
    <row r="236">
      <c t="s" s="45" r="A236">
        <v>1242</v>
      </c>
      <c t="s" s="52" r="B236">
        <v>1243</v>
      </c>
      <c t="s" s="67" r="C236">
        <v>1244</v>
      </c>
      <c t="s" s="70" r="D236">
        <v>1245</v>
      </c>
      <c t="s" s="52" r="E236">
        <v>1246</v>
      </c>
      <c t="s" s="52" r="F236">
        <v>1244</v>
      </c>
      <c s="52" r="G236"/>
      <c s="12" r="H236">
        <f>COUNTIF(PROJECT!F2:F100, "*TZA*")</f>
        <v>0</v>
      </c>
      <c s="52" r="I236"/>
      <c s="52" r="J236"/>
      <c s="52" r="K236"/>
      <c s="52" r="L236"/>
      <c s="52" r="M236"/>
      <c s="52" r="N236"/>
      <c s="52" r="O236"/>
      <c s="52" r="P236"/>
      <c s="52" r="Q236"/>
    </row>
    <row r="237">
      <c t="s" s="52" r="A237">
        <v>1247</v>
      </c>
      <c t="s" s="52" r="B237">
        <v>1247</v>
      </c>
      <c t="s" s="67" r="C237">
        <v>1248</v>
      </c>
      <c t="s" s="70" r="D237">
        <v>1249</v>
      </c>
      <c t="s" s="52" r="E237">
        <v>1250</v>
      </c>
      <c t="s" s="52" r="F237">
        <v>1248</v>
      </c>
      <c s="52" r="G237"/>
      <c s="12" r="H237">
        <f>COUNTIF(PROJECT!F2:F100, "*THA*")</f>
        <v>0</v>
      </c>
      <c s="52" r="I237"/>
      <c s="52" r="J237"/>
      <c s="52" r="K237"/>
      <c s="52" r="L237"/>
      <c s="52" r="M237"/>
      <c s="52" r="N237"/>
      <c s="52" r="O237"/>
      <c s="52" r="P237"/>
      <c s="52" r="Q237"/>
    </row>
    <row r="238">
      <c t="s" s="52" r="A238">
        <v>1251</v>
      </c>
      <c t="s" s="52" r="B238">
        <v>1252</v>
      </c>
      <c t="s" s="67" r="C238">
        <v>374</v>
      </c>
      <c t="s" s="70" r="D238">
        <v>1253</v>
      </c>
      <c t="s" s="52" r="E238">
        <v>1254</v>
      </c>
      <c t="s" s="52" r="F238">
        <v>1255</v>
      </c>
      <c s="52" r="G238"/>
      <c s="12" r="H238">
        <f>COUNTIF(PROJECT!F2:F100, "*BHS*")</f>
        <v>0</v>
      </c>
      <c s="52" r="I238"/>
      <c s="52" r="J238"/>
      <c s="52" r="K238"/>
      <c s="52" r="L238"/>
      <c s="52" r="M238"/>
      <c s="52" r="N238"/>
      <c s="52" r="O238"/>
      <c s="52" r="P238"/>
      <c s="52" r="Q238"/>
    </row>
    <row r="239">
      <c t="s" s="52" r="A239">
        <v>1256</v>
      </c>
      <c t="s" s="52" r="B239">
        <v>1257</v>
      </c>
      <c t="s" s="67" r="C239">
        <v>1258</v>
      </c>
      <c t="s" s="70" r="D239">
        <v>1259</v>
      </c>
      <c t="s" s="52" r="E239">
        <v>1260</v>
      </c>
      <c t="s" s="52" r="F239">
        <v>1261</v>
      </c>
      <c s="52" r="G239"/>
      <c s="12" r="H239">
        <f>COUNTIF(PROJECT!F2:F100, "*TLS*")</f>
        <v>0</v>
      </c>
      <c s="52" r="I239"/>
      <c s="52" r="J239"/>
      <c s="52" r="K239"/>
      <c s="52" r="L239"/>
      <c s="52" r="M239"/>
      <c s="52" r="N239"/>
      <c s="52" r="O239"/>
      <c s="52" r="P239"/>
      <c s="52" r="Q239"/>
    </row>
    <row r="240">
      <c t="s" s="52" r="A240">
        <v>1262</v>
      </c>
      <c t="s" s="52" r="B240">
        <v>1262</v>
      </c>
      <c t="s" s="67" r="C240">
        <v>1263</v>
      </c>
      <c t="s" s="70" r="D240">
        <v>1264</v>
      </c>
      <c t="s" s="52" r="E240">
        <v>1265</v>
      </c>
      <c t="s" s="52" r="F240">
        <v>1266</v>
      </c>
      <c s="52" r="G240"/>
      <c s="12" r="H240">
        <f>COUNTIF(PROJECT!F2:F100, "*TGO*")</f>
        <v>0</v>
      </c>
      <c s="52" r="I240"/>
      <c s="52" r="J240"/>
      <c s="52" r="K240"/>
      <c s="52" r="L240"/>
      <c s="52" r="M240"/>
      <c s="52" r="N240"/>
      <c s="52" r="O240"/>
      <c s="52" r="P240"/>
      <c s="52" r="Q240"/>
    </row>
    <row r="241">
      <c t="s" s="52" r="A241">
        <v>1267</v>
      </c>
      <c t="s" s="52" r="B241">
        <v>1267</v>
      </c>
      <c t="s" s="67" r="C241">
        <v>1261</v>
      </c>
      <c t="s" s="70" r="D241">
        <v>1268</v>
      </c>
      <c t="s" s="52" r="E241">
        <v>1269</v>
      </c>
      <c t="s" s="52" r="F241">
        <v>1270</v>
      </c>
      <c s="52" r="G241"/>
      <c s="12" r="H241">
        <f>COUNTIF(PROJECT!F2:F100, "*TKL*")</f>
        <v>0</v>
      </c>
      <c s="52" r="I241"/>
      <c s="52" r="J241"/>
      <c s="52" r="K241"/>
      <c s="52" r="L241"/>
      <c s="52" r="M241"/>
      <c s="52" r="N241"/>
      <c s="52" r="O241"/>
      <c s="52" r="P241"/>
      <c s="52" r="Q241"/>
    </row>
    <row r="242">
      <c t="s" s="52" r="A242">
        <v>1271</v>
      </c>
      <c t="s" s="52" r="B242">
        <v>1271</v>
      </c>
      <c t="s" s="67" r="C242">
        <v>1272</v>
      </c>
      <c t="s" s="70" r="D242">
        <v>1273</v>
      </c>
      <c t="s" s="52" r="E242">
        <v>1274</v>
      </c>
      <c t="s" s="52" r="F242">
        <v>1263</v>
      </c>
      <c s="52" r="G242"/>
      <c s="12" r="H242">
        <f>COUNTIF(PROJECT!F2:F100, "*TON*")</f>
        <v>0</v>
      </c>
      <c s="52" r="I242"/>
      <c s="52" r="J242"/>
      <c s="52" r="K242"/>
      <c s="52" r="L242"/>
      <c s="52" r="M242"/>
      <c s="52" r="N242"/>
      <c s="52" r="O242"/>
      <c s="52" r="P242"/>
      <c s="52" r="Q242"/>
    </row>
    <row r="243">
      <c t="s" s="52" r="A243">
        <v>1275</v>
      </c>
      <c t="s" s="52" r="B243">
        <v>21</v>
      </c>
      <c t="s" s="67" r="C243">
        <v>410</v>
      </c>
      <c t="s" s="70" r="D243">
        <v>1276</v>
      </c>
      <c t="s" s="52" r="E243">
        <v>1277</v>
      </c>
      <c t="s" s="52" r="F243">
        <v>1258</v>
      </c>
      <c s="52" r="G243"/>
      <c s="12" r="H243">
        <f>COUNTIF(PROJECT!F2:F100, "*TTO*")</f>
        <v>0</v>
      </c>
      <c s="52" r="I243"/>
      <c s="52" r="J243"/>
      <c s="52" r="K243"/>
      <c s="52" r="L243"/>
      <c s="52" r="M243"/>
      <c s="52" r="N243"/>
      <c s="52" r="O243"/>
      <c s="52" r="P243"/>
      <c s="52" r="Q243"/>
    </row>
    <row r="244">
      <c t="s" s="52" r="A244">
        <v>1278</v>
      </c>
      <c t="s" s="52" r="B244">
        <v>1278</v>
      </c>
      <c t="s" s="67" r="C244">
        <v>1279</v>
      </c>
      <c t="s" s="70" r="D244">
        <v>1280</v>
      </c>
      <c t="s" s="52" r="E244">
        <v>1281</v>
      </c>
      <c t="s" s="52" r="F244">
        <v>1272</v>
      </c>
      <c s="52" r="G244"/>
      <c s="12" r="H244">
        <f>COUNTIF(PROJECT!F2:F100, "*TUN*")</f>
        <v>0</v>
      </c>
      <c s="52" r="I244"/>
      <c s="52" r="J244"/>
      <c s="52" r="K244"/>
      <c s="52" r="L244"/>
      <c s="52" r="M244"/>
      <c s="52" r="N244"/>
      <c s="52" r="O244"/>
      <c s="52" r="P244"/>
      <c s="52" r="Q244"/>
    </row>
    <row r="245">
      <c t="s" s="52" r="A245">
        <v>1282</v>
      </c>
      <c t="s" s="52" r="B245">
        <v>1282</v>
      </c>
      <c t="s" s="67" r="C245">
        <v>1283</v>
      </c>
      <c t="s" s="70" r="D245">
        <v>1284</v>
      </c>
      <c t="s" s="52" r="E245">
        <v>1285</v>
      </c>
      <c t="s" s="52" r="F245">
        <v>1286</v>
      </c>
      <c s="52" r="G245"/>
      <c s="12" r="H245">
        <f>COUNTIF(PROJECT!F2:F100, "*TUR*")</f>
        <v>0</v>
      </c>
      <c s="52" r="I245"/>
      <c s="52" r="J245"/>
      <c s="52" r="K245"/>
      <c s="52" r="L245"/>
      <c s="52" r="M245"/>
      <c s="52" r="N245"/>
      <c s="52" r="O245"/>
      <c s="52" r="P245"/>
      <c s="52" r="Q245"/>
    </row>
    <row r="246">
      <c t="s" s="52" r="A246">
        <v>1287</v>
      </c>
      <c t="s" s="52" r="B246">
        <v>1287</v>
      </c>
      <c t="s" s="67" r="C246">
        <v>1288</v>
      </c>
      <c t="s" s="70" r="D246">
        <v>1289</v>
      </c>
      <c t="s" s="52" r="E246">
        <v>1290</v>
      </c>
      <c t="s" s="52" r="F246">
        <v>1291</v>
      </c>
      <c s="52" r="G246"/>
      <c s="12" r="H246">
        <f>COUNTIF(PROJECT!F2:F100, "*TKM*")</f>
        <v>0</v>
      </c>
      <c s="52" r="I246"/>
      <c s="52" r="J246"/>
      <c s="52" r="K246"/>
      <c s="52" r="L246"/>
      <c s="52" r="M246"/>
      <c s="52" r="N246"/>
      <c s="52" r="O246"/>
      <c s="52" r="P246"/>
      <c s="52" r="Q246"/>
    </row>
    <row r="247">
      <c t="s" s="52" r="A247">
        <v>1292</v>
      </c>
      <c t="s" s="52" r="B247">
        <v>1293</v>
      </c>
      <c t="s" s="67" r="C247">
        <v>1270</v>
      </c>
      <c t="s" s="70" r="D247">
        <v>1294</v>
      </c>
      <c t="s" s="52" r="E247">
        <v>1295</v>
      </c>
      <c t="s" s="52" r="F247">
        <v>1296</v>
      </c>
      <c s="52" r="G247"/>
      <c s="12" r="H247">
        <f>COUNTIF(PROJECT!F2:F100, "*TCA*")</f>
        <v>0</v>
      </c>
      <c s="52" r="I247"/>
      <c s="52" r="J247"/>
      <c s="52" r="K247"/>
      <c s="52" r="L247"/>
      <c s="52" r="M247"/>
      <c s="52" r="N247"/>
      <c s="52" r="O247"/>
      <c s="52" r="P247"/>
      <c s="52" r="Q247"/>
    </row>
    <row r="248">
      <c t="s" s="52" r="A248">
        <v>1297</v>
      </c>
      <c t="s" s="52" r="B248">
        <v>1297</v>
      </c>
      <c t="s" s="67" r="C248">
        <v>1298</v>
      </c>
      <c t="s" s="70" r="D248">
        <v>1299</v>
      </c>
      <c t="s" s="52" r="E248">
        <v>1300</v>
      </c>
      <c t="s" s="52" r="F248">
        <v>1298</v>
      </c>
      <c s="52" r="G248"/>
      <c s="12" r="H248">
        <f>COUNTIF(PROJECT!F2:F100, "*TUV*")</f>
        <v>0</v>
      </c>
      <c s="52" r="I248"/>
      <c s="52" r="J248"/>
      <c s="52" r="K248"/>
      <c s="52" r="L248"/>
      <c s="52" r="M248"/>
      <c s="52" r="N248"/>
      <c s="52" r="O248"/>
      <c s="52" r="P248"/>
      <c s="52" r="Q248"/>
    </row>
    <row r="249">
      <c t="s" s="52" r="A249">
        <v>1301</v>
      </c>
      <c t="s" s="52" r="B249">
        <v>1301</v>
      </c>
      <c t="s" s="67" r="C249">
        <v>1302</v>
      </c>
      <c t="s" s="70" r="D249">
        <v>1303</v>
      </c>
      <c t="s" s="52" r="E249">
        <v>1304</v>
      </c>
      <c t="s" s="52" r="F249">
        <v>1302</v>
      </c>
      <c s="52" r="G249"/>
      <c s="12" r="H249">
        <f>COUNTIF(PROJECT!F2:F100, "*UGA*")</f>
        <v>0</v>
      </c>
      <c s="52" r="I249"/>
      <c s="52" r="J249"/>
      <c s="52" r="K249"/>
      <c s="52" r="L249"/>
      <c s="52" r="M249"/>
      <c s="52" r="N249"/>
      <c s="52" r="O249"/>
      <c s="52" r="P249"/>
      <c s="52" r="Q249"/>
    </row>
    <row r="250">
      <c t="s" s="52" r="A250">
        <v>1305</v>
      </c>
      <c t="s" s="52" r="B250">
        <v>1305</v>
      </c>
      <c t="s" s="67" r="C250">
        <v>1306</v>
      </c>
      <c t="s" s="70" r="D250">
        <v>1307</v>
      </c>
      <c t="s" s="52" r="E250">
        <v>1308</v>
      </c>
      <c t="s" s="52" r="F250">
        <v>1309</v>
      </c>
      <c s="52" r="G250"/>
      <c s="12" r="H250">
        <f>COUNTIF(PROJECT!F2:F100, "*UKR*")</f>
        <v>0</v>
      </c>
      <c s="52" r="I250"/>
      <c s="52" r="J250"/>
      <c s="52" r="K250"/>
      <c s="52" r="L250"/>
      <c s="52" r="M250"/>
      <c s="52" r="N250"/>
      <c s="52" r="O250"/>
      <c s="52" r="P250"/>
      <c s="52" r="Q250"/>
    </row>
    <row r="251">
      <c t="s" s="52" r="A251">
        <v>1310</v>
      </c>
      <c t="s" s="52" r="B251">
        <v>1310</v>
      </c>
      <c t="s" s="67" r="C251">
        <v>1311</v>
      </c>
      <c t="s" s="70" r="D251">
        <v>1312</v>
      </c>
      <c t="s" s="52" r="E251">
        <v>1313</v>
      </c>
      <c t="s" s="52" r="F251">
        <v>1311</v>
      </c>
      <c s="52" r="G251"/>
      <c s="12" r="H251">
        <f>COUNTIF(PROJECT!F2:F100, "*ARE*")</f>
        <v>0</v>
      </c>
      <c s="52" r="I251"/>
      <c s="52" r="J251"/>
      <c s="52" r="K251"/>
      <c s="52" r="L251"/>
      <c s="52" r="M251"/>
      <c s="52" r="N251"/>
      <c s="52" r="O251"/>
      <c s="52" r="P251"/>
      <c s="52" r="Q251"/>
    </row>
    <row r="252">
      <c t="s" s="52" r="A252">
        <v>1314</v>
      </c>
      <c t="s" s="52" r="B252">
        <v>1314</v>
      </c>
      <c t="s" s="67" r="C252">
        <v>1315</v>
      </c>
      <c t="s" s="70" r="D252">
        <v>1316</v>
      </c>
      <c t="s" s="52" r="E252">
        <v>1317</v>
      </c>
      <c t="s" s="52" r="F252">
        <v>574</v>
      </c>
      <c s="52" r="G252"/>
      <c s="12" r="H252">
        <f>COUNTIF(PROJECT!F2:F100, "*GBR*")</f>
        <v>0</v>
      </c>
      <c s="52" r="I252"/>
      <c s="52" r="J252"/>
      <c s="52" r="K252"/>
      <c s="52" r="L252"/>
      <c s="52" r="M252"/>
      <c s="52" r="N252"/>
      <c s="52" r="O252"/>
      <c s="52" r="P252"/>
      <c s="52" r="Q252"/>
    </row>
    <row r="253">
      <c t="s" s="52" r="A253">
        <v>1318</v>
      </c>
      <c t="s" s="52" r="B253">
        <v>1318</v>
      </c>
      <c t="s" s="67" r="C253">
        <v>1319</v>
      </c>
      <c t="s" s="70" r="D253">
        <v>1320</v>
      </c>
      <c t="s" s="52" r="E253">
        <v>1321</v>
      </c>
      <c t="s" s="52" r="F253">
        <v>1319</v>
      </c>
      <c s="52" r="G253"/>
      <c s="12" r="H253">
        <f>COUNTIF(PROJECT!F2:F100, "*USA*")</f>
        <v>0</v>
      </c>
      <c s="52" r="I253"/>
      <c s="52" r="J253"/>
      <c s="52" r="K253"/>
      <c s="52" r="L253"/>
      <c s="52" r="M253"/>
      <c s="52" r="N253"/>
      <c s="52" r="O253"/>
      <c s="52" r="P253"/>
      <c s="52" r="Q253"/>
    </row>
    <row r="254">
      <c t="s" s="52" r="A254">
        <v>293</v>
      </c>
      <c t="s" s="52" r="B254">
        <v>293</v>
      </c>
      <c t="s" s="67" r="C254">
        <v>1322</v>
      </c>
      <c t="s" s="70" r="D254">
        <v>1323</v>
      </c>
      <c t="s" s="52" r="E254">
        <v>1324</v>
      </c>
      <c t="s" s="52" r="F254">
        <v>1322</v>
      </c>
      <c t="s" s="12" r="G254">
        <v>293</v>
      </c>
      <c s="12" r="H254">
        <f>COUNTIF(PROJECT!F2:F100, "*UMI*")</f>
        <v>0</v>
      </c>
      <c s="52" r="I254"/>
      <c s="52" r="J254"/>
      <c s="52" r="K254"/>
      <c s="52" r="L254"/>
      <c s="52" r="M254"/>
      <c s="52" r="N254"/>
      <c s="52" r="O254"/>
      <c s="52" r="P254"/>
      <c s="52" r="Q254"/>
    </row>
    <row r="255">
      <c t="s" s="52" r="A255">
        <v>1325</v>
      </c>
      <c t="s" s="52" r="B255">
        <v>1325</v>
      </c>
      <c t="s" s="67" r="C255">
        <v>1326</v>
      </c>
      <c t="s" s="70" r="D255">
        <v>1327</v>
      </c>
      <c t="s" s="52" r="E255">
        <v>1328</v>
      </c>
      <c t="s" s="52" r="F255">
        <v>1326</v>
      </c>
      <c s="52" r="G255"/>
      <c s="12" r="H255">
        <f>COUNTIF(PROJECT!F2:F100, "*URY*")</f>
        <v>0</v>
      </c>
      <c s="52" r="I255"/>
      <c s="52" r="J255"/>
      <c s="52" r="K255"/>
      <c s="52" r="L255"/>
      <c s="52" r="M255"/>
      <c s="52" r="N255"/>
      <c s="52" r="O255"/>
      <c s="52" r="P255"/>
      <c s="52" r="Q255"/>
    </row>
    <row r="256">
      <c t="s" s="52" r="A256">
        <v>1329</v>
      </c>
      <c t="s" s="52" r="B256">
        <v>1329</v>
      </c>
      <c t="s" s="67" r="C256">
        <v>1330</v>
      </c>
      <c t="s" s="70" r="D256">
        <v>1331</v>
      </c>
      <c t="s" s="52" r="E256">
        <v>1332</v>
      </c>
      <c t="s" s="52" r="F256">
        <v>1330</v>
      </c>
      <c s="52" r="G256"/>
      <c s="12" r="H256">
        <f>COUNTIF(PROJECT!F2:F100, "*UZB*")</f>
        <v>0</v>
      </c>
      <c s="52" r="I256"/>
      <c s="52" r="J256"/>
      <c s="52" r="K256"/>
      <c s="52" r="L256"/>
      <c s="52" r="M256"/>
      <c s="52" r="N256"/>
      <c s="52" r="O256"/>
      <c s="52" r="P256"/>
      <c s="52" r="Q256"/>
    </row>
    <row r="257">
      <c t="s" s="52" r="A257">
        <v>1333</v>
      </c>
      <c t="s" s="52" r="B257">
        <v>1333</v>
      </c>
      <c t="s" s="67" r="C257">
        <v>1334</v>
      </c>
      <c t="s" s="70" r="D257">
        <v>1335</v>
      </c>
      <c t="s" s="52" r="E257">
        <v>1336</v>
      </c>
      <c t="s" s="52" r="F257">
        <v>1337</v>
      </c>
      <c s="52" r="G257"/>
      <c s="12" r="H257">
        <f>COUNTIF(PROJECT!F2:F100, "*VUT*")</f>
        <v>0</v>
      </c>
      <c s="52" r="I257"/>
      <c s="52" r="J257"/>
      <c s="52" r="K257"/>
      <c s="52" r="L257"/>
      <c s="52" r="M257"/>
      <c s="52" r="N257"/>
      <c s="52" r="O257"/>
      <c s="52" r="P257"/>
      <c s="52" r="Q257"/>
    </row>
    <row r="258">
      <c t="s" s="52" r="A258">
        <v>1338</v>
      </c>
      <c t="s" s="52" r="B258">
        <v>1339</v>
      </c>
      <c t="s" s="67" r="C258">
        <v>1340</v>
      </c>
      <c t="s" s="70" r="D258">
        <v>1341</v>
      </c>
      <c t="s" s="52" r="E258">
        <v>1342</v>
      </c>
      <c t="s" s="52" r="F258">
        <v>1343</v>
      </c>
      <c s="52" r="G258"/>
      <c s="12" r="H258">
        <f>COUNTIF(PROJECT!F2:F100, "*VAT*")</f>
        <v>0</v>
      </c>
      <c s="52" r="I258"/>
      <c s="52" r="J258"/>
      <c s="52" r="K258"/>
      <c s="52" r="L258"/>
      <c s="52" r="M258"/>
      <c s="52" r="N258"/>
      <c s="52" r="O258"/>
      <c s="52" r="P258"/>
      <c s="52" r="Q258"/>
    </row>
    <row r="259">
      <c t="s" s="45" r="A259">
        <v>1344</v>
      </c>
      <c t="s" s="52" r="B259">
        <v>1345</v>
      </c>
      <c t="s" s="67" r="C259">
        <v>1346</v>
      </c>
      <c t="s" s="70" r="D259">
        <v>1347</v>
      </c>
      <c t="s" s="52" r="E259">
        <v>1348</v>
      </c>
      <c t="s" s="52" r="F259">
        <v>1346</v>
      </c>
      <c s="52" r="G259"/>
      <c s="12" r="H259">
        <f>COUNTIF(PROJECT!F2:F100, "*VEN*")</f>
        <v>0</v>
      </c>
      <c s="52" r="I259"/>
      <c s="52" r="J259"/>
      <c s="52" r="K259"/>
      <c s="52" r="L259"/>
      <c s="52" r="M259"/>
      <c s="52" r="N259"/>
      <c s="52" r="O259"/>
      <c s="52" r="P259"/>
      <c s="52" r="Q259"/>
    </row>
    <row r="260">
      <c t="s" s="52" r="A260">
        <v>1349</v>
      </c>
      <c t="s" s="52" r="B260">
        <v>1350</v>
      </c>
      <c t="s" s="67" r="C260">
        <v>1351</v>
      </c>
      <c t="s" s="70" r="D260">
        <v>1352</v>
      </c>
      <c t="s" s="52" r="E260">
        <v>1353</v>
      </c>
      <c t="s" s="52" r="F260">
        <v>1354</v>
      </c>
      <c s="52" r="G260"/>
      <c s="12" r="H260">
        <f>COUNTIF(PROJECT!F2:F100, "*VNM*")</f>
        <v>0</v>
      </c>
      <c s="52" r="I260"/>
      <c s="52" r="J260"/>
      <c s="52" r="K260"/>
      <c s="52" r="L260"/>
      <c s="52" r="M260"/>
      <c s="52" r="N260"/>
      <c s="52" r="O260"/>
      <c s="52" r="P260"/>
      <c s="52" r="Q260"/>
    </row>
    <row r="261">
      <c t="s" s="45" r="A261">
        <v>1355</v>
      </c>
      <c t="s" s="45" r="B261">
        <v>1355</v>
      </c>
      <c t="s" s="67" r="C261">
        <v>1356</v>
      </c>
      <c t="s" s="70" r="D261">
        <v>1357</v>
      </c>
      <c t="s" s="52" r="E261">
        <v>1358</v>
      </c>
      <c t="s" s="52" r="F261">
        <v>1359</v>
      </c>
      <c s="52" r="G261"/>
      <c s="12" r="H261">
        <f>COUNTIF(PROJECT!F2:F100, "*VBG*")</f>
        <v>0</v>
      </c>
      <c s="52" r="I261"/>
      <c s="52" r="J261"/>
      <c s="52" r="K261"/>
      <c s="52" r="L261"/>
      <c s="52" r="M261"/>
      <c s="52" r="N261"/>
      <c s="52" r="O261"/>
      <c s="52" r="P261"/>
      <c s="52" r="Q261"/>
    </row>
    <row r="262">
      <c t="s" s="45" r="A262">
        <v>1360</v>
      </c>
      <c t="s" s="45" r="B262">
        <v>1360</v>
      </c>
      <c t="s" s="67" r="C262">
        <v>1361</v>
      </c>
      <c t="s" s="70" r="D262">
        <v>1362</v>
      </c>
      <c t="s" s="52" r="E262">
        <v>1363</v>
      </c>
      <c t="s" s="52" r="F262">
        <v>1356</v>
      </c>
      <c s="52" r="G262"/>
      <c s="12" r="H262">
        <f>COUNTIF(PROJECT!F2:F100, "*VIR*")</f>
        <v>0</v>
      </c>
      <c s="52" r="I262"/>
      <c s="52" r="J262"/>
      <c s="52" r="K262"/>
      <c s="52" r="L262"/>
      <c s="52" r="M262"/>
      <c s="52" r="N262"/>
      <c s="52" r="O262"/>
      <c s="52" r="P262"/>
      <c s="52" r="Q262"/>
    </row>
    <row r="263">
      <c t="s" s="52" r="A263">
        <v>1364</v>
      </c>
      <c t="s" s="52" r="B263">
        <v>1365</v>
      </c>
      <c t="s" s="67" r="C263">
        <v>1366</v>
      </c>
      <c t="s" s="44" r="D263">
        <v>1367</v>
      </c>
      <c s="84" r="E263"/>
      <c t="s" s="52" r="F263">
        <v>1368</v>
      </c>
      <c t="s" s="12" r="G263">
        <v>293</v>
      </c>
      <c s="8" r="H263"/>
      <c s="52" r="I263"/>
      <c s="52" r="J263"/>
      <c s="52" r="K263"/>
      <c s="52" r="L263"/>
      <c s="52" r="M263"/>
      <c s="52" r="N263"/>
      <c s="52" r="O263"/>
      <c s="52" r="P263"/>
      <c s="52" r="Q263"/>
    </row>
    <row r="264">
      <c t="s" s="52" r="A264">
        <v>1369</v>
      </c>
      <c t="s" s="52" r="B264">
        <v>1370</v>
      </c>
      <c t="s" s="67" r="C264">
        <v>1371</v>
      </c>
      <c t="s" s="70" r="D264">
        <v>1372</v>
      </c>
      <c t="s" s="52" r="E264">
        <v>1373</v>
      </c>
      <c t="s" s="52" r="F264">
        <v>1371</v>
      </c>
      <c s="52" r="G264"/>
      <c s="12" r="H264">
        <f>COUNTIF(PROJECT!F2:F100, "*WLF*")</f>
        <v>0</v>
      </c>
      <c s="52" r="I264"/>
      <c s="52" r="J264"/>
      <c s="52" r="K264"/>
      <c s="52" r="L264"/>
      <c s="52" r="M264"/>
      <c s="52" r="N264"/>
      <c s="52" r="O264"/>
      <c s="52" r="P264"/>
      <c s="52" r="Q264"/>
    </row>
    <row r="265">
      <c t="s" s="52" r="A265">
        <v>1374</v>
      </c>
      <c t="s" s="52" r="B265">
        <v>1374</v>
      </c>
      <c t="s" s="67" r="C265">
        <v>1375</v>
      </c>
      <c t="s" s="70" r="D265">
        <v>1009</v>
      </c>
      <c s="84" r="E265"/>
      <c s="52" r="F265"/>
      <c s="52" r="G265"/>
      <c s="8" r="H265">
        <f>COUNTIF(PROJECT!F2:F100,"*PSE*")</f>
        <v>0</v>
      </c>
      <c s="52" r="I265"/>
      <c s="52" r="J265"/>
      <c s="52" r="K265"/>
      <c s="52" r="L265"/>
      <c s="52" r="M265"/>
      <c s="52" r="N265"/>
      <c s="52" r="O265"/>
      <c s="52" r="P265"/>
      <c s="52" r="Q265"/>
    </row>
    <row r="266">
      <c t="s" s="52" r="A266">
        <v>1376</v>
      </c>
      <c t="s" s="52" r="B266">
        <v>1376</v>
      </c>
      <c t="s" s="15" r="C266">
        <v>1377</v>
      </c>
      <c t="s" s="70" r="D266">
        <v>1378</v>
      </c>
      <c t="s" s="45" r="E266">
        <v>1379</v>
      </c>
      <c t="s" s="52" r="F266">
        <v>1380</v>
      </c>
      <c s="52" r="G266"/>
      <c s="12" r="H266">
        <f>COUNTIF(PROJECT!F2:F100, "*ESH*")</f>
        <v>0</v>
      </c>
      <c s="52" r="I266"/>
      <c s="52" r="J266"/>
      <c s="52" r="K266"/>
      <c s="52" r="L266"/>
      <c s="52" r="M266"/>
      <c s="52" r="N266"/>
      <c s="52" r="O266"/>
      <c s="52" r="P266"/>
      <c s="52" r="Q266"/>
    </row>
    <row r="267">
      <c t="s" s="52" r="A267">
        <v>1381</v>
      </c>
      <c t="s" s="52" r="B267">
        <v>1381</v>
      </c>
      <c t="s" s="67" r="C267">
        <v>1382</v>
      </c>
      <c t="s" s="70" r="D267">
        <v>1383</v>
      </c>
      <c t="s" s="52" r="E267">
        <v>1384</v>
      </c>
      <c t="s" s="52" r="F267">
        <v>1385</v>
      </c>
      <c s="52" r="G267"/>
      <c s="12" r="H267">
        <f>COUNTIF(PROJECT!F2:F100, "*YEM*")</f>
        <v>0</v>
      </c>
      <c s="52" r="I267"/>
      <c s="52" r="J267"/>
      <c s="52" r="K267"/>
      <c s="52" r="L267"/>
      <c s="52" r="M267"/>
      <c s="52" r="N267"/>
      <c s="52" r="O267"/>
      <c s="52" r="P267"/>
      <c s="52" r="Q267"/>
    </row>
    <row r="268">
      <c t="s" s="52" r="A268">
        <v>1386</v>
      </c>
      <c t="s" s="52" r="B268">
        <v>1386</v>
      </c>
      <c t="s" s="67" r="C268">
        <v>1158</v>
      </c>
      <c t="s" s="70" r="D268">
        <v>1387</v>
      </c>
      <c t="s" s="52" r="E268">
        <v>1388</v>
      </c>
      <c t="s" s="52" r="F268">
        <v>1389</v>
      </c>
      <c s="52" r="G268"/>
      <c s="12" r="H268">
        <f>COUNTIF(PROJECT!F2:F100, "*ZMB*")</f>
        <v>0</v>
      </c>
      <c s="52" r="I268"/>
      <c s="52" r="J268"/>
      <c s="52" r="K268"/>
      <c s="52" r="L268"/>
      <c s="52" r="M268"/>
      <c s="52" r="N268"/>
      <c s="52" r="O268"/>
      <c s="52" r="P268"/>
      <c s="52" r="Q268"/>
    </row>
    <row r="269">
      <c t="s" s="52" r="A269">
        <v>1390</v>
      </c>
      <c t="s" s="52" r="B269">
        <v>1390</v>
      </c>
      <c t="s" s="67" r="C269">
        <v>1391</v>
      </c>
      <c t="s" s="70" r="D269">
        <v>1392</v>
      </c>
      <c t="s" s="52" r="E269">
        <v>1393</v>
      </c>
      <c t="s" s="52" r="F269">
        <v>1394</v>
      </c>
      <c s="52" r="G269"/>
      <c s="12" r="H269">
        <f>COUNTIF(PROJECT!F2:F100, "*ZWE*")</f>
        <v>0</v>
      </c>
      <c s="52" r="I269"/>
      <c s="52" r="J269"/>
      <c s="52" r="K269"/>
      <c s="52" r="L269"/>
      <c s="52" r="M269"/>
      <c s="52" r="N269"/>
      <c s="52" r="O269"/>
      <c s="52" r="P269"/>
      <c s="52" r="Q269"/>
    </row>
    <row r="270">
      <c s="52" r="A270"/>
      <c s="52" r="B270"/>
      <c s="67" r="C270"/>
      <c s="70" r="D270"/>
      <c s="52" r="E270"/>
      <c s="52" r="F270"/>
      <c s="52" r="G270"/>
      <c s="12" r="H270"/>
      <c s="52" r="I270"/>
      <c s="52" r="J270"/>
      <c s="52" r="K270"/>
      <c s="52" r="L270"/>
      <c s="52" r="M270"/>
      <c s="52" r="N270"/>
      <c s="52" r="O270"/>
      <c s="52" r="P270"/>
      <c s="52" r="Q270"/>
    </row>
    <row r="271">
      <c s="45" r="A271"/>
      <c s="52" r="B271"/>
      <c s="52" r="C271"/>
      <c s="70" r="D271"/>
      <c s="52" r="E271"/>
      <c s="52" r="F271"/>
      <c s="52" r="G271"/>
      <c s="23" r="H271"/>
      <c s="52" r="I271"/>
      <c s="52" r="J271"/>
      <c s="52" r="K271"/>
      <c s="52" r="L271"/>
      <c s="52" r="M271"/>
      <c s="52" r="N271"/>
      <c s="52" r="O271"/>
      <c s="52" r="P271"/>
      <c s="52" r="Q271"/>
    </row>
    <row r="272">
      <c s="45" r="A272"/>
      <c s="52" r="B272"/>
      <c s="52" r="C272"/>
      <c s="70" r="D272"/>
      <c s="52" r="E272"/>
      <c s="52" r="F272"/>
      <c s="52" r="G272"/>
      <c s="23" r="H272"/>
      <c s="52" r="I272"/>
      <c s="52" r="J272"/>
      <c s="52" r="K272"/>
      <c s="52" r="L272"/>
      <c s="52" r="M272"/>
      <c s="52" r="N272"/>
      <c s="52" r="O272"/>
      <c s="52" r="P272"/>
      <c s="52" r="Q272"/>
    </row>
    <row r="273">
      <c s="45" r="A273"/>
      <c s="52" r="B273"/>
      <c s="52" r="C273"/>
      <c s="70" r="D273"/>
      <c s="52" r="E273"/>
      <c s="52" r="F273"/>
      <c s="52" r="G273"/>
      <c s="23" r="H273"/>
      <c s="52" r="I273"/>
      <c s="52" r="J273"/>
      <c s="52" r="K273"/>
      <c s="52" r="L273"/>
      <c s="52" r="M273"/>
      <c s="52" r="N273"/>
      <c s="52" r="O273"/>
      <c s="52" r="P273"/>
      <c s="52" r="Q273"/>
    </row>
    <row r="274">
      <c s="45" r="A274"/>
      <c s="52" r="B274"/>
      <c s="52" r="C274"/>
      <c s="70" r="D274"/>
      <c s="52" r="E274"/>
      <c s="52" r="F274"/>
      <c s="52" r="G274"/>
      <c s="23" r="H274"/>
      <c s="52" r="I274"/>
      <c s="52" r="J274"/>
      <c s="52" r="K274"/>
      <c s="52" r="L274"/>
      <c s="52" r="M274"/>
      <c s="52" r="N274"/>
      <c s="52" r="O274"/>
      <c s="52" r="P274"/>
      <c s="52" r="Q274"/>
    </row>
    <row r="275">
      <c s="45" r="A275"/>
      <c s="52" r="B275"/>
      <c s="52" r="C275"/>
      <c s="70" r="D275"/>
      <c s="52" r="E275"/>
      <c s="52" r="F275"/>
      <c s="52" r="G275"/>
      <c s="23" r="H275"/>
      <c s="52" r="I275"/>
      <c s="52" r="J275"/>
      <c s="52" r="K275"/>
      <c s="52" r="L275"/>
      <c s="52" r="M275"/>
      <c s="52" r="N275"/>
      <c s="52" r="O275"/>
      <c s="52" r="P275"/>
      <c s="52" r="Q275"/>
    </row>
  </sheetData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cols>
    <col min="4" customWidth="1" max="4" width="32.43"/>
    <col min="5" customWidth="1" max="5" width="47.29"/>
    <col min="6" customWidth="1" max="6" width="3.43"/>
    <col min="7" customWidth="1" max="7" width="3.86"/>
  </cols>
  <sheetData>
    <row r="1">
      <c t="s" s="29" r="A1">
        <v>1395</v>
      </c>
      <c t="s" s="29" r="B1">
        <v>1396</v>
      </c>
      <c t="s" s="29" r="C1">
        <v>1397</v>
      </c>
      <c t="s" s="25" r="D1">
        <v>1398</v>
      </c>
      <c t="s" s="25" r="E1">
        <v>1399</v>
      </c>
      <c s="25" r="F1"/>
      <c s="25" r="G1"/>
      <c t="s" s="25" r="H1">
        <v>1400</v>
      </c>
      <c t="s" s="25" r="I1">
        <v>1401</v>
      </c>
      <c t="s" s="25" r="J1">
        <v>1402</v>
      </c>
      <c t="s" s="25" r="K1">
        <v>1403</v>
      </c>
      <c s="12" r="L1"/>
      <c s="12" r="M1"/>
      <c s="12" r="N1"/>
      <c s="12" r="O1"/>
      <c s="12" r="P1"/>
      <c s="12" r="Q1"/>
      <c s="12" r="R1"/>
      <c s="12" r="S1"/>
      <c s="12" r="T1"/>
    </row>
    <row r="2">
      <c t="s" s="12" r="A2">
        <v>1404</v>
      </c>
      <c s="12" r="B2">
        <f>H2</f>
        <v>0</v>
      </c>
      <c s="12" r="C2">
        <f>J2</f>
        <v>0</v>
      </c>
      <c t="s" s="12" r="D2">
        <v>1404</v>
      </c>
      <c t="s" s="12" r="E2">
        <v>1405</v>
      </c>
      <c s="12" r="F2">
        <v>1</v>
      </c>
      <c s="12" r="G2">
        <v>1</v>
      </c>
      <c s="12" r="H2">
        <f>COUNTIF(EXPERTISE!E4:E50,"*Capacity-Building*")</f>
        <v>0</v>
      </c>
      <c s="12" r="I2">
        <f>COUNTIF(EXPERTISE!F4:F50,"*Client Relations, Network, and Partnership Development*")</f>
        <v>0</v>
      </c>
      <c s="12" r="J2">
        <f>COUNTIF(PROJECT!T2:T100,"*Capacity-Building*")</f>
        <v>0</v>
      </c>
      <c s="12" r="K2">
        <f>COUNTIF(PROJECT!U2:U100,"*Client Relations, Network, and Partnership Development*")</f>
        <v>0</v>
      </c>
      <c s="12" r="L2"/>
      <c s="12" r="M2"/>
      <c s="12" r="N2"/>
      <c s="12" r="O2"/>
      <c s="12" r="P2"/>
      <c s="12" r="Q2"/>
      <c s="12" r="R2"/>
      <c s="12" r="S2"/>
      <c s="12" r="T2"/>
    </row>
    <row r="3">
      <c t="s" s="12" r="A3">
        <v>1406</v>
      </c>
      <c s="12" r="B3">
        <f>H4</f>
        <v>0</v>
      </c>
      <c s="12" r="C3">
        <f>J4</f>
        <v>0</v>
      </c>
      <c t="s" s="12" r="D3">
        <v>1404</v>
      </c>
      <c t="s" s="12" r="E3">
        <v>1407</v>
      </c>
      <c s="12" r="F3">
        <v>0</v>
      </c>
      <c s="12" r="G3">
        <v>1</v>
      </c>
      <c t="s" s="12" r="H3">
        <v>1408</v>
      </c>
      <c s="12" r="I3">
        <f>COUNTIF(EXPERTISE!F4:F50,"*Skills-Sharings*")</f>
        <v>0</v>
      </c>
      <c t="s" s="12" r="J3">
        <v>1408</v>
      </c>
      <c s="12" r="K3">
        <f>COUNTIF(PROJECT!U2:U100,"*Skills-Sharings*")</f>
        <v>0</v>
      </c>
      <c s="12" r="L3"/>
      <c s="12" r="M3"/>
      <c s="12" r="N3"/>
      <c s="12" r="O3"/>
      <c s="12" r="P3"/>
      <c s="12" r="Q3"/>
      <c s="12" r="R3"/>
      <c s="12" r="S3"/>
      <c s="12" r="T3"/>
    </row>
    <row r="4">
      <c t="s" s="12" r="A4">
        <v>1409</v>
      </c>
      <c s="12" r="B4">
        <f>H9</f>
        <v>0</v>
      </c>
      <c s="12" r="C4">
        <f>J9</f>
        <v>0</v>
      </c>
      <c t="s" s="12" r="D4">
        <v>1406</v>
      </c>
      <c t="s" s="12" r="E4">
        <v>1410</v>
      </c>
      <c s="12" r="F4">
        <v>1</v>
      </c>
      <c s="12" r="G4">
        <v>1</v>
      </c>
      <c s="12" r="H4">
        <f>COUNTIF(EXPERTISE!E4:E50,"*Corporate Social Responsibility*")</f>
        <v>0</v>
      </c>
      <c s="12" r="I4">
        <f>COUNTIF(EXPERTISE!F4:F50,"*Civic Engagement*")</f>
        <v>0</v>
      </c>
      <c s="12" r="J4">
        <f>COUNTIF(PROJECT!T2:T100,"*Corporate Social Responsibility*")</f>
        <v>0</v>
      </c>
      <c s="12" r="K4">
        <f>COUNTIF(PROJECT!U2:U100,"*Civic Engagement*")</f>
        <v>0</v>
      </c>
      <c s="12" r="L4"/>
      <c s="12" r="M4"/>
      <c s="12" r="N4"/>
      <c s="12" r="O4"/>
      <c s="12" r="P4"/>
      <c s="12" r="Q4"/>
      <c s="12" r="R4"/>
      <c s="12" r="S4"/>
      <c s="12" r="T4"/>
    </row>
    <row r="5">
      <c t="s" s="12" r="A5">
        <v>1411</v>
      </c>
      <c s="12" r="B5">
        <f>H20</f>
        <v>0</v>
      </c>
      <c s="12" r="C5">
        <f>J20</f>
        <v>0</v>
      </c>
      <c t="s" s="12" r="D5">
        <v>1406</v>
      </c>
      <c t="s" s="12" r="E5">
        <v>1412</v>
      </c>
      <c s="12" r="F5">
        <v>0</v>
      </c>
      <c s="12" r="G5">
        <v>1</v>
      </c>
      <c t="s" s="12" r="H5">
        <v>1408</v>
      </c>
      <c s="12" r="I5">
        <f>COUNTIF(EXPERTISE!F4:F50,"*Conflict Prevention and Post-Conflict Reconstruction*")</f>
        <v>0</v>
      </c>
      <c t="s" s="12" r="J5">
        <v>1408</v>
      </c>
      <c s="12" r="K5">
        <f>COUNTIF(PROJECT!U2:U100,"*Conflict Prevention and Post-Conflict Reconstruction*")</f>
        <v>0</v>
      </c>
      <c s="12" r="L5"/>
      <c s="12" r="M5"/>
      <c s="12" r="N5"/>
      <c s="12" r="O5"/>
      <c s="12" r="P5"/>
      <c s="12" r="Q5"/>
      <c s="12" r="R5"/>
      <c s="12" r="S5"/>
      <c s="12" r="T5"/>
    </row>
    <row r="6">
      <c t="s" s="12" r="A6">
        <v>1413</v>
      </c>
      <c s="12" r="B6">
        <f>H30</f>
        <v>0</v>
      </c>
      <c s="12" r="C6">
        <f>J30</f>
        <v>0</v>
      </c>
      <c t="s" s="12" r="D6">
        <v>1406</v>
      </c>
      <c t="s" s="12" r="E6">
        <v>1414</v>
      </c>
      <c s="12" r="F6">
        <v>0</v>
      </c>
      <c s="12" r="G6">
        <v>1</v>
      </c>
      <c t="s" s="12" r="H6">
        <v>1408</v>
      </c>
      <c s="12" r="I6">
        <f>COUNTIF(EXPERTISE!F4:F50,"*Gender Equity Initiatives -regional*")</f>
        <v>0</v>
      </c>
      <c t="s" s="12" r="J6">
        <v>1408</v>
      </c>
      <c s="12" r="K6">
        <f>COUNTIF(PROJECT!U2:U100,"*Gender Equity Initiatives -regional*")</f>
        <v>0</v>
      </c>
      <c s="12" r="L6"/>
      <c s="12" r="M6"/>
      <c s="12" r="N6"/>
      <c s="12" r="O6"/>
      <c s="12" r="P6"/>
      <c s="12" r="Q6"/>
      <c s="12" r="R6"/>
      <c s="12" r="S6"/>
      <c s="12" r="T6"/>
    </row>
    <row r="7">
      <c t="s" s="12" r="A7">
        <v>1415</v>
      </c>
      <c s="12" r="B7">
        <f>H39</f>
        <v>0</v>
      </c>
      <c s="12" r="C7">
        <f>J39</f>
        <v>0</v>
      </c>
      <c t="s" s="12" r="D7">
        <v>1406</v>
      </c>
      <c t="s" s="12" r="E7">
        <v>1416</v>
      </c>
      <c s="12" r="F7">
        <v>0</v>
      </c>
      <c s="12" r="G7">
        <v>1</v>
      </c>
      <c t="s" s="12" r="H7">
        <v>1408</v>
      </c>
      <c s="12" r="I7">
        <f>COUNTIF(EXPERTISE!F4:F50,"*Social Development*")</f>
        <v>0</v>
      </c>
      <c t="s" s="12" r="J7">
        <v>1408</v>
      </c>
      <c s="12" r="K7">
        <f>COUNTIF(PROJECT!U2:U100,"*Social Development*")</f>
        <v>0</v>
      </c>
      <c s="12" r="L7"/>
      <c s="12" r="M7"/>
      <c s="12" r="N7"/>
      <c s="12" r="O7"/>
      <c s="12" r="P7"/>
      <c s="12" r="Q7"/>
      <c s="12" r="R7"/>
      <c s="12" r="S7"/>
      <c s="12" r="T7"/>
    </row>
    <row r="8">
      <c t="s" s="12" r="A8">
        <v>1417</v>
      </c>
      <c s="12" r="B8">
        <f>H63</f>
        <v>0</v>
      </c>
      <c s="12" r="C8">
        <f>J63</f>
        <v>0</v>
      </c>
      <c t="s" s="12" r="D8">
        <v>1406</v>
      </c>
      <c t="s" s="12" r="E8">
        <v>1418</v>
      </c>
      <c s="12" r="F8">
        <v>0</v>
      </c>
      <c s="12" r="G8">
        <v>1</v>
      </c>
      <c t="s" s="12" r="H8">
        <v>1408</v>
      </c>
      <c s="12" r="I8">
        <f>COUNTIF(EXPERTISE!F4:F50,"*Stakeholder Participation*")</f>
        <v>0</v>
      </c>
      <c t="s" s="12" r="J8">
        <v>1408</v>
      </c>
      <c s="12" r="K8">
        <f>COUNTIF(PROJECT!U2:U100,"*Stakeholder Participation*")</f>
        <v>0</v>
      </c>
      <c s="12" r="L8"/>
      <c s="12" r="M8"/>
      <c s="12" r="N8"/>
      <c s="12" r="O8"/>
      <c s="12" r="P8"/>
      <c s="12" r="Q8"/>
      <c s="12" r="R8"/>
      <c s="12" r="S8"/>
      <c s="12" r="T8"/>
    </row>
    <row r="9">
      <c t="s" s="12" r="A9">
        <v>1419</v>
      </c>
      <c s="12" r="B9">
        <f>H75</f>
        <v>0</v>
      </c>
      <c s="12" r="C9">
        <f>J75</f>
        <v>0</v>
      </c>
      <c t="s" s="12" r="D9">
        <v>1409</v>
      </c>
      <c t="s" s="12" r="E9">
        <v>1420</v>
      </c>
      <c s="12" r="F9">
        <v>1</v>
      </c>
      <c s="12" r="G9">
        <v>1</v>
      </c>
      <c s="12" r="H9">
        <f>COUNTIF(EXPERTISE!E4:E50,"*Economic Growth*")</f>
        <v>0</v>
      </c>
      <c s="12" r="I9">
        <f>COUNTIF(EXPERTISE!F4:F50,"*Analysis of Economic Growth*")</f>
        <v>0</v>
      </c>
      <c s="12" r="J9">
        <f>COUNTIF(PROJECT!T2:T100,"*Economic Growth*")</f>
        <v>0</v>
      </c>
      <c s="12" r="K9">
        <f>COUNTIF(PROJECT!U2:U100,"*Analysis of Economic Growth*")</f>
        <v>0</v>
      </c>
      <c s="12" r="L9"/>
      <c s="12" r="M9"/>
      <c s="12" r="N9"/>
      <c s="12" r="O9"/>
      <c s="12" r="P9"/>
      <c s="12" r="Q9"/>
      <c s="12" r="R9"/>
      <c s="12" r="S9"/>
      <c s="12" r="T9"/>
    </row>
    <row r="10">
      <c t="s" s="12" r="A10">
        <v>1421</v>
      </c>
      <c r="B10">
        <f>H81</f>
        <v>0</v>
      </c>
      <c r="C10">
        <f>J81</f>
        <v>0</v>
      </c>
      <c t="s" s="12" r="D10">
        <v>1409</v>
      </c>
      <c t="s" s="12" r="E10">
        <v>1422</v>
      </c>
      <c s="12" r="F10">
        <v>0</v>
      </c>
      <c s="12" r="G10">
        <v>1</v>
      </c>
      <c t="s" s="12" r="H10">
        <v>1408</v>
      </c>
      <c s="12" r="I10">
        <f>COUNTIF(EXPERTISE!F4:F50,"*Economic Statistics, Modeling and Forecasting*")</f>
        <v>0</v>
      </c>
      <c t="s" s="12" r="J10">
        <v>1408</v>
      </c>
      <c s="12" r="K10">
        <f>COUNTIF(PROJECT!U2:U100,"*Economic Statistics, Modeling and Forecasting*")</f>
        <v>0</v>
      </c>
      <c s="12" r="L10"/>
      <c s="12" r="M10"/>
      <c s="12" r="N10"/>
      <c s="12" r="O10"/>
      <c s="12" r="P10"/>
      <c s="12" r="Q10"/>
      <c s="12" r="R10"/>
      <c s="12" r="S10"/>
      <c s="12" r="T10"/>
    </row>
    <row r="11">
      <c t="s" s="12" r="A11">
        <v>1423</v>
      </c>
      <c r="B11">
        <f>H84</f>
        <v>0</v>
      </c>
      <c r="C11">
        <f>J84</f>
        <v>0</v>
      </c>
      <c t="s" s="12" r="D11">
        <v>1409</v>
      </c>
      <c t="s" s="12" r="E11">
        <v>1424</v>
      </c>
      <c s="12" r="F11">
        <v>0</v>
      </c>
      <c s="12" r="G11">
        <v>1</v>
      </c>
      <c t="s" s="12" r="H11">
        <v>1408</v>
      </c>
      <c s="12" r="I11">
        <f>COUNTIF(EXPERTISE!F4:F50,"*Fostering Physical Infrastructure Development*")</f>
        <v>0</v>
      </c>
      <c t="s" s="12" r="J11">
        <v>1408</v>
      </c>
      <c s="12" r="K11">
        <f>COUNTIF(PROJECT!U2:U100,"*Fostering Physical Infrastructure Development*")</f>
        <v>0</v>
      </c>
      <c s="12" r="L11"/>
      <c s="12" r="M11"/>
      <c s="12" r="N11"/>
      <c s="12" r="O11"/>
      <c s="12" r="P11"/>
      <c s="12" r="Q11"/>
      <c s="12" r="R11"/>
      <c s="12" r="S11"/>
      <c s="12" r="T11"/>
    </row>
    <row r="12">
      <c t="s" s="12" r="A12">
        <v>1425</v>
      </c>
      <c r="B12">
        <f>H104</f>
        <v>0</v>
      </c>
      <c r="C12">
        <f>J104</f>
        <v>0</v>
      </c>
      <c t="s" s="12" r="D12">
        <v>1409</v>
      </c>
      <c t="s" s="12" r="E12">
        <v>1426</v>
      </c>
      <c s="12" r="F12">
        <v>0</v>
      </c>
      <c s="12" r="G12">
        <v>1</v>
      </c>
      <c t="s" s="12" r="H12">
        <v>1408</v>
      </c>
      <c s="12" r="I12">
        <f>COUNTIF(EXPERTISE!F4:F50,"*Information and Communication Technology*")</f>
        <v>0</v>
      </c>
      <c t="s" s="12" r="J12">
        <v>1408</v>
      </c>
      <c s="12" r="K12">
        <f>COUNTIF(PROJECT!U2:U100,"*Information and Communication Technology*")</f>
        <v>0</v>
      </c>
      <c s="12" r="L12"/>
      <c s="12" r="M12"/>
      <c s="12" r="N12"/>
      <c s="12" r="O12"/>
      <c s="12" r="P12"/>
      <c s="12" r="Q12"/>
      <c s="12" r="R12"/>
      <c s="12" r="S12"/>
      <c s="12" r="T12"/>
    </row>
    <row r="13">
      <c t="s" s="12" r="A13">
        <v>1427</v>
      </c>
      <c r="B13">
        <f>H116</f>
        <v>0</v>
      </c>
      <c r="C13">
        <f>J116</f>
        <v>0</v>
      </c>
      <c t="s" s="12" r="D13">
        <v>1409</v>
      </c>
      <c t="s" s="22" r="E13">
        <v>1428</v>
      </c>
      <c s="12" r="F13">
        <v>0</v>
      </c>
      <c s="12" r="G13">
        <v>1</v>
      </c>
      <c t="s" s="12" r="H13">
        <v>1408</v>
      </c>
      <c s="12" r="I13">
        <f>COUNTIF(EXPERTISE!F4:F50,"*Infrastructure Services for Private-Sector Development*")</f>
        <v>0</v>
      </c>
      <c t="s" s="12" r="J13">
        <v>1408</v>
      </c>
      <c s="12" r="K13">
        <f>COUNTIF(PROJECT!U2:U100,"*Infrastructure Services for Private Sector-Development*")</f>
        <v>0</v>
      </c>
      <c s="12" r="L13"/>
      <c s="12" r="M13"/>
      <c s="12" r="N13"/>
      <c s="12" r="O13"/>
      <c s="12" r="P13"/>
      <c s="12" r="Q13"/>
      <c s="12" r="R13"/>
      <c s="12" r="S13"/>
      <c s="12" r="T13"/>
    </row>
    <row r="14">
      <c t="s" s="12" r="D14">
        <v>1409</v>
      </c>
      <c t="s" s="12" r="E14">
        <v>1429</v>
      </c>
      <c s="12" r="F14">
        <v>0</v>
      </c>
      <c s="12" r="G14">
        <v>1</v>
      </c>
      <c t="s" s="12" r="H14">
        <v>1408</v>
      </c>
      <c s="12" r="I14">
        <f>COUNTIF(EXPERTISE!F4:F50,"*Micro, Small and Medium Enterprise Support*")</f>
        <v>0</v>
      </c>
      <c t="s" s="12" r="J14">
        <v>1408</v>
      </c>
      <c s="12" r="K14">
        <f>COUNTIF(PROJECT!U2:U100,"*Micro, Small and Medium Enterprise Support*")</f>
        <v>0</v>
      </c>
      <c s="12" r="L14"/>
      <c s="12" r="M14"/>
      <c s="12" r="N14"/>
      <c s="12" r="O14"/>
      <c s="12" r="P14"/>
      <c s="12" r="Q14"/>
      <c s="12" r="R14"/>
      <c s="12" r="S14"/>
      <c s="12" r="T14"/>
    </row>
    <row r="15">
      <c t="s" s="12" r="D15">
        <v>1409</v>
      </c>
      <c t="s" s="12" r="E15">
        <v>1430</v>
      </c>
      <c s="12" r="F15">
        <v>0</v>
      </c>
      <c s="12" r="G15">
        <v>1</v>
      </c>
      <c t="s" s="12" r="H15">
        <v>1408</v>
      </c>
      <c s="12" r="I15">
        <f>COUNTIF(EXPERTISE!F4:F50,"*Other Economic Management*")</f>
        <v>0</v>
      </c>
      <c t="s" s="12" r="J15">
        <v>1408</v>
      </c>
      <c s="12" r="K15">
        <f>COUNTIF(PROJECT!U2:U100,"*Other Economic Management*")</f>
        <v>0</v>
      </c>
      <c s="12" r="L15"/>
      <c s="12" r="M15"/>
      <c s="12" r="N15"/>
      <c s="12" r="O15"/>
      <c s="12" r="P15"/>
      <c s="12" r="Q15"/>
      <c s="12" r="R15"/>
      <c s="12" r="S15"/>
      <c s="12" r="T15"/>
    </row>
    <row r="16">
      <c t="s" s="12" r="D16">
        <v>1409</v>
      </c>
      <c t="s" s="22" r="E16">
        <v>1431</v>
      </c>
      <c s="12" r="F16">
        <v>0</v>
      </c>
      <c s="12" r="G16">
        <v>1</v>
      </c>
      <c t="s" s="12" r="H16">
        <v>1408</v>
      </c>
      <c s="22" r="I16">
        <f>COUNTIF(EXPERTISE!F4:F50,"*Private Sector Development*")</f>
        <v>0</v>
      </c>
      <c t="s" s="12" r="J16">
        <v>1408</v>
      </c>
      <c s="22" r="K16">
        <f>COUNTIF(PROJECT!U2:U100,"*Private Sector Development*")</f>
        <v>0</v>
      </c>
      <c s="12" r="L16"/>
      <c s="12" r="M16"/>
      <c s="12" r="N16"/>
      <c s="12" r="O16"/>
      <c s="12" r="P16"/>
      <c s="12" r="Q16"/>
      <c s="12" r="R16"/>
      <c s="12" r="S16"/>
      <c s="12" r="T16"/>
    </row>
    <row r="17">
      <c t="s" s="12" r="D17">
        <v>1409</v>
      </c>
      <c t="s" s="12" r="E17">
        <v>1432</v>
      </c>
      <c s="12" r="F17">
        <v>0</v>
      </c>
      <c s="12" r="G17">
        <v>1</v>
      </c>
      <c t="s" s="12" r="H17">
        <v>1408</v>
      </c>
      <c s="12" r="I17">
        <f>COUNTIF(EXPERTISE!F4:F50,"*Promoting Economic Efficiency and Enabling Markets*")</f>
        <v>0</v>
      </c>
      <c t="s" s="12" r="J17">
        <v>1408</v>
      </c>
      <c s="12" r="K17">
        <f>COUNTIF(PROJECT!U2:U100,"*Promoting Economic Efficiency and Enabling Markets*")</f>
        <v>0</v>
      </c>
      <c s="12" r="L17"/>
      <c s="12" r="M17"/>
      <c s="12" r="N17"/>
      <c s="12" r="O17"/>
      <c s="12" r="P17"/>
      <c s="12" r="Q17"/>
      <c s="12" r="R17"/>
      <c s="12" r="S17"/>
      <c s="12" r="T17"/>
    </row>
    <row r="18">
      <c t="s" s="12" r="D18">
        <v>1409</v>
      </c>
      <c t="s" s="12" r="E18">
        <v>1433</v>
      </c>
      <c s="12" r="F18">
        <v>0</v>
      </c>
      <c s="12" r="G18">
        <v>1</v>
      </c>
      <c t="s" s="12" r="H18">
        <v>1408</v>
      </c>
      <c s="12" r="I18">
        <f>COUNTIF(EXPERTISE!F4:F50,"*Promoting Macroeconomic Stability*")</f>
        <v>0</v>
      </c>
      <c t="s" s="12" r="J18">
        <v>1408</v>
      </c>
      <c s="12" r="K18">
        <f>COUNTIF(PROJECT!U2:U100,"*Promoting Macroeconomic Stability*")</f>
        <v>0</v>
      </c>
      <c s="12" r="L18"/>
      <c s="12" r="M18"/>
      <c s="12" r="N18"/>
      <c s="12" r="O18"/>
      <c s="12" r="P18"/>
      <c s="12" r="Q18"/>
      <c s="12" r="R18"/>
      <c s="12" r="S18"/>
      <c s="12" r="T18"/>
    </row>
    <row r="19">
      <c t="s" s="12" r="D19">
        <v>1409</v>
      </c>
      <c t="s" s="12" r="E19">
        <v>1434</v>
      </c>
      <c s="12" r="F19">
        <v>0</v>
      </c>
      <c s="12" r="G19">
        <v>1</v>
      </c>
      <c t="s" s="12" r="H19">
        <v>1408</v>
      </c>
      <c s="12" r="I19">
        <f>COUNTIF(EXPERTISE!F4:F50,"*State-Owned Enterprise Restructuring and Privatization*")</f>
        <v>0</v>
      </c>
      <c t="s" s="12" r="J19">
        <v>1408</v>
      </c>
      <c s="12" r="K19">
        <f>COUNTIF(PROJECT!U2:U100,"*State-Owned Enterprise Restructuring and Privatization*")</f>
        <v>0</v>
      </c>
      <c s="12" r="L19"/>
      <c s="12" r="M19"/>
      <c s="12" r="N19"/>
      <c s="12" r="O19"/>
      <c s="12" r="P19"/>
      <c s="12" r="Q19"/>
      <c s="12" r="R19"/>
      <c s="12" r="S19"/>
      <c s="12" r="T19"/>
    </row>
    <row r="20">
      <c t="s" s="12" r="D20">
        <v>1411</v>
      </c>
      <c t="s" s="12" r="E20">
        <v>1435</v>
      </c>
      <c s="12" r="F20">
        <v>1</v>
      </c>
      <c s="12" r="G20">
        <v>1</v>
      </c>
      <c s="12" r="H20">
        <f>COUNTIF(EXPERTISE!E4:E50,"*Environment and Natural Resources*")</f>
        <v>0</v>
      </c>
      <c s="12" r="I20">
        <f>COUNTIF(EXPERTISE!F4:F50,"*Biodiversity*")</f>
        <v>0</v>
      </c>
      <c s="12" r="J20">
        <f>COUNTIF(PROJECT!T2:T100,"*Environment and Natural Resources*")</f>
        <v>0</v>
      </c>
      <c s="12" r="K20">
        <f>COUNTIF(PROJECT!U2:U100,"*Biodiversity*")</f>
        <v>0</v>
      </c>
      <c s="12" r="L20"/>
      <c s="12" r="M20"/>
      <c s="12" r="N20"/>
      <c s="12" r="O20"/>
      <c s="12" r="P20"/>
      <c s="12" r="Q20"/>
      <c s="12" r="R20"/>
      <c s="12" r="S20"/>
      <c s="12" r="T20"/>
    </row>
    <row r="21">
      <c t="s" s="12" r="D21">
        <v>1411</v>
      </c>
      <c t="s" s="12" r="E21">
        <v>1436</v>
      </c>
      <c s="12" r="F21">
        <v>0</v>
      </c>
      <c s="12" r="G21">
        <v>1</v>
      </c>
      <c t="s" s="12" r="H21">
        <v>1408</v>
      </c>
      <c s="12" r="I21">
        <f>COUNTIF(EXPERTISE!F4:F50,"*Climate Change*")</f>
        <v>0</v>
      </c>
      <c t="s" s="12" r="J21">
        <v>1408</v>
      </c>
      <c s="12" r="K21">
        <f>COUNTIF(PROJECT!U2:U100,"*Climate Change*")</f>
        <v>0</v>
      </c>
      <c s="12" r="L21"/>
      <c s="12" r="M21"/>
      <c s="12" r="N21"/>
      <c s="12" r="O21"/>
      <c s="12" r="P21"/>
      <c s="12" r="Q21"/>
      <c s="12" r="R21"/>
      <c s="12" r="S21"/>
      <c s="12" r="T21"/>
    </row>
    <row r="22">
      <c t="s" s="12" r="D22">
        <v>1411</v>
      </c>
      <c t="s" s="12" r="E22">
        <v>1437</v>
      </c>
      <c s="12" r="F22">
        <v>0</v>
      </c>
      <c s="12" r="G22">
        <v>1</v>
      </c>
      <c t="s" s="12" r="H22">
        <v>1408</v>
      </c>
      <c s="12" r="I22">
        <f>COUNTIF(EXPERTISE!F4:F50,"*Environmental Policies and Legislation*")</f>
        <v>0</v>
      </c>
      <c t="s" s="12" r="J22">
        <v>1408</v>
      </c>
      <c s="12" r="K22">
        <f>COUNTIF(PROJECT!U2:U100,"*Environmental Policies and Legislation*")</f>
        <v>0</v>
      </c>
      <c s="12" r="L22"/>
      <c s="12" r="M22"/>
      <c s="12" r="N22"/>
      <c s="12" r="O22"/>
      <c s="12" r="P22"/>
      <c s="12" r="Q22"/>
      <c s="12" r="R22"/>
      <c s="12" r="S22"/>
      <c s="12" r="T22"/>
    </row>
    <row r="23">
      <c t="s" s="12" r="D23">
        <v>1411</v>
      </c>
      <c t="s" s="12" r="E23">
        <v>1438</v>
      </c>
      <c s="12" r="F23">
        <v>0</v>
      </c>
      <c s="12" r="G23">
        <v>1</v>
      </c>
      <c t="s" s="12" r="H23">
        <v>1408</v>
      </c>
      <c s="12" r="I23">
        <f>COUNTIF(EXPERTISE!F4:F50,"*Global and Regional Trans-Boundary Environmental Concerns and Issues*")</f>
        <v>0</v>
      </c>
      <c t="s" s="12" r="J23">
        <v>1408</v>
      </c>
      <c s="12" r="K23">
        <f>COUNTIF(PROJECT!U2:U100,"*Global and Regional Trans-Boundary Environmental Concerns and Issues*")</f>
        <v>0</v>
      </c>
      <c s="12" r="L23"/>
      <c s="12" r="M23"/>
      <c s="12" r="N23"/>
      <c s="12" r="O23"/>
      <c s="12" r="P23"/>
      <c s="12" r="Q23"/>
      <c s="12" r="R23"/>
      <c s="12" r="S23"/>
      <c s="12" r="T23"/>
    </row>
    <row r="24">
      <c t="s" s="12" r="D24">
        <v>1411</v>
      </c>
      <c t="s" s="12" r="E24">
        <v>1439</v>
      </c>
      <c s="12" r="F24">
        <v>0</v>
      </c>
      <c s="12" r="G24">
        <v>1</v>
      </c>
      <c t="s" s="12" r="H24">
        <v>1408</v>
      </c>
      <c s="12" r="I24">
        <f>COUNTIF(EXPERTISE!F4:F50,"*Land Administration and Management*")</f>
        <v>0</v>
      </c>
      <c t="s" s="12" r="J24">
        <v>1408</v>
      </c>
      <c s="12" r="K24">
        <f>COUNTIF(PROJECT!U2:U100,"*Land Administration and Management*")</f>
        <v>0</v>
      </c>
      <c s="12" r="L24"/>
      <c s="12" r="M24"/>
      <c s="12" r="N24"/>
      <c s="12" r="O24"/>
      <c s="12" r="P24"/>
      <c s="12" r="Q24"/>
      <c s="12" r="R24"/>
      <c s="12" r="S24"/>
      <c s="12" r="T24"/>
    </row>
    <row r="25">
      <c t="s" s="12" r="D25">
        <v>1411</v>
      </c>
      <c t="s" s="12" r="E25">
        <v>1440</v>
      </c>
      <c s="12" r="F25">
        <v>0</v>
      </c>
      <c s="12" r="G25">
        <v>1</v>
      </c>
      <c t="s" s="12" r="H25">
        <v>1408</v>
      </c>
      <c s="12" r="I25">
        <f>COUNTIF(EXPERTISE!F4:F50,"*Natural Resources Conservation*")</f>
        <v>0</v>
      </c>
      <c t="s" s="12" r="J25">
        <v>1408</v>
      </c>
      <c s="12" r="K25">
        <f>COUNTIF(PROJECT!U2:U100,"*Natural Resources Conservation*")</f>
        <v>0</v>
      </c>
      <c s="12" r="L25"/>
      <c s="12" r="M25"/>
      <c s="12" r="N25"/>
      <c s="12" r="O25"/>
      <c s="12" r="P25"/>
      <c s="12" r="Q25"/>
      <c s="12" r="R25"/>
      <c s="12" r="S25"/>
      <c s="12" r="T25"/>
    </row>
    <row r="26">
      <c t="s" s="12" r="D26">
        <v>1411</v>
      </c>
      <c t="s" s="12" r="E26">
        <v>1441</v>
      </c>
      <c s="12" r="F26">
        <v>0</v>
      </c>
      <c s="12" r="G26">
        <v>1</v>
      </c>
      <c t="s" s="12" r="H26">
        <v>1408</v>
      </c>
      <c s="12" r="I26">
        <f>COUNTIF(EXPERTISE!F4:F50,"*Other Environment and Natural Resources Management*")</f>
        <v>0</v>
      </c>
      <c t="s" s="12" r="J26">
        <v>1408</v>
      </c>
      <c s="12" r="K26">
        <f>COUNTIF(PROJECT!U2:U100,"*Other Environment and Natural Resources Management*")</f>
        <v>0</v>
      </c>
      <c s="12" r="L26"/>
      <c s="12" r="M26"/>
      <c s="12" r="N26"/>
      <c s="12" r="O26"/>
      <c s="12" r="P26"/>
      <c s="12" r="Q26"/>
      <c s="12" r="R26"/>
      <c s="12" r="S26"/>
      <c s="12" r="T26"/>
    </row>
    <row r="27">
      <c t="s" s="12" r="D27">
        <v>1411</v>
      </c>
      <c t="s" s="12" r="E27">
        <v>1442</v>
      </c>
      <c s="12" r="F27">
        <v>0</v>
      </c>
      <c s="12" r="G27">
        <v>1</v>
      </c>
      <c t="s" s="12" r="H27">
        <v>1408</v>
      </c>
      <c s="12" r="I27">
        <f>COUNTIF(EXPERTISE!F4:F50,"*Pollution Management and Environmental Health*")</f>
        <v>0</v>
      </c>
      <c t="s" s="12" r="J27">
        <v>1408</v>
      </c>
      <c s="12" r="K27">
        <f>COUNTIF(PROJECT!U2:U100,"*Pollution Management and Environmental Health*")</f>
        <v>0</v>
      </c>
      <c s="12" r="L27"/>
      <c s="12" r="M27"/>
      <c s="12" r="N27"/>
      <c s="12" r="O27"/>
      <c s="12" r="P27"/>
      <c s="12" r="Q27"/>
      <c s="12" r="R27"/>
      <c s="12" r="S27"/>
      <c s="12" r="T27"/>
    </row>
    <row r="28">
      <c t="s" s="12" r="D28">
        <v>1411</v>
      </c>
      <c t="s" s="12" r="E28">
        <v>1443</v>
      </c>
      <c s="12" r="F28">
        <v>0</v>
      </c>
      <c s="12" r="G28">
        <v>1</v>
      </c>
      <c t="s" s="12" r="H28">
        <v>1408</v>
      </c>
      <c s="12" r="I28">
        <f>COUNTIF(EXPERTISE!F4:F50,"*Urban Environmental Improvement*")</f>
        <v>0</v>
      </c>
      <c t="s" s="12" r="J28">
        <v>1408</v>
      </c>
      <c s="12" r="K28">
        <f>COUNTIF(PROJECT!U2:U100,"*Urban Environmental Improvement*")</f>
        <v>0</v>
      </c>
      <c s="12" r="L28"/>
      <c s="12" r="M28"/>
      <c s="12" r="N28"/>
      <c s="12" r="O28"/>
      <c s="12" r="P28"/>
      <c s="12" r="Q28"/>
      <c s="12" r="R28"/>
      <c s="12" r="S28"/>
      <c s="12" r="T28"/>
    </row>
    <row r="29">
      <c t="s" s="12" r="D29">
        <v>1411</v>
      </c>
      <c t="s" s="12" r="E29">
        <v>1444</v>
      </c>
      <c s="12" r="F29">
        <v>0</v>
      </c>
      <c s="12" r="G29">
        <v>1</v>
      </c>
      <c t="s" s="12" r="H29">
        <v>1408</v>
      </c>
      <c s="12" r="I29">
        <f>COUNTIF(EXPERTISE!F4:F50,"*Water Resource Management*")</f>
        <v>0</v>
      </c>
      <c t="s" s="12" r="J29">
        <v>1408</v>
      </c>
      <c s="12" r="K29">
        <f>COUNTIF(PROJECT!U2:U100,"*Water Resource Management*")</f>
        <v>0</v>
      </c>
      <c s="12" r="L29"/>
      <c s="12" r="M29"/>
      <c s="12" r="N29"/>
      <c s="12" r="O29"/>
      <c s="12" r="P29"/>
      <c s="12" r="Q29"/>
      <c s="12" r="R29"/>
      <c s="12" r="S29"/>
      <c s="12" r="T29"/>
    </row>
    <row r="30">
      <c t="s" s="12" r="D30">
        <v>1413</v>
      </c>
      <c t="s" s="12" r="E30">
        <v>1445</v>
      </c>
      <c s="12" r="F30">
        <v>1</v>
      </c>
      <c s="12" r="G30">
        <v>1</v>
      </c>
      <c s="12" r="H30">
        <f>COUNTIF(EXPERTISE!E4:E50,"*Financial Management*")</f>
        <v>0</v>
      </c>
      <c s="12" r="I30">
        <f>COUNTIF(EXPERTISE!F4:F50,"*Anti-Money Laundering and Combating the Financing of Terrorism*")</f>
        <v>0</v>
      </c>
      <c s="12" r="J30">
        <f>COUNTIF(PROJECT!T2:T100,"*Financial Management*")</f>
        <v>0</v>
      </c>
      <c s="12" r="K30">
        <f>COUNTIF(PROJECT!U2:U100,"*Anti-Money Laundering and Combating the Financing of Terrorism*")</f>
        <v>0</v>
      </c>
      <c s="12" r="L30"/>
      <c s="12" r="M30"/>
      <c s="12" r="N30"/>
      <c s="12" r="O30"/>
      <c s="12" r="P30"/>
      <c s="12" r="Q30"/>
      <c s="12" r="R30"/>
      <c s="12" r="S30"/>
      <c s="12" r="T30"/>
    </row>
    <row r="31">
      <c t="s" s="12" r="D31">
        <v>1413</v>
      </c>
      <c t="s" s="12" r="E31">
        <v>1446</v>
      </c>
      <c s="12" r="F31">
        <v>0</v>
      </c>
      <c s="12" r="G31">
        <v>1</v>
      </c>
      <c t="s" s="12" r="H31">
        <v>1408</v>
      </c>
      <c s="12" r="I31">
        <f>COUNTIF(EXPERTISE!F4:F50,"*Corporate Governance*")</f>
        <v>0</v>
      </c>
      <c t="s" s="12" r="J31">
        <v>1408</v>
      </c>
      <c s="12" r="K31">
        <f>COUNTIF(PROJECT!U2:U100,"*Corporate Governance*")</f>
        <v>0</v>
      </c>
      <c s="12" r="L31"/>
      <c s="12" r="M31"/>
      <c s="12" r="N31"/>
      <c s="12" r="O31"/>
      <c s="12" r="P31"/>
      <c s="12" r="Q31"/>
      <c s="12" r="R31"/>
      <c s="12" r="S31"/>
      <c s="12" r="T31"/>
    </row>
    <row r="32">
      <c t="s" s="12" r="D32">
        <v>1413</v>
      </c>
      <c t="s" s="12" r="E32">
        <v>1447</v>
      </c>
      <c s="12" r="F32">
        <v>0</v>
      </c>
      <c s="12" r="G32">
        <v>1</v>
      </c>
      <c t="s" s="12" r="H32">
        <v>1408</v>
      </c>
      <c s="12" r="I32">
        <f>COUNTIF(EXPERTISE!F4:F50,"*Debt Management and Fiscal Sustainability*")</f>
        <v>0</v>
      </c>
      <c t="s" s="12" r="J32">
        <v>1408</v>
      </c>
      <c s="12" r="K32">
        <f>COUNTIF(PROJECT!U2:U100,"*Debt Management and Fiscal Sustainability*")</f>
        <v>0</v>
      </c>
      <c s="12" r="L32"/>
      <c s="12" r="M32"/>
      <c s="12" r="N32"/>
      <c s="12" r="O32"/>
      <c s="12" r="P32"/>
      <c s="12" r="Q32"/>
      <c s="12" r="R32"/>
      <c s="12" r="S32"/>
      <c s="12" r="T32"/>
    </row>
    <row r="33">
      <c t="s" s="12" r="D33">
        <v>1413</v>
      </c>
      <c t="s" s="12" r="E33">
        <v>1448</v>
      </c>
      <c s="12" r="F33">
        <v>0</v>
      </c>
      <c s="12" r="G33">
        <v>1</v>
      </c>
      <c t="s" s="12" r="H33">
        <v>1408</v>
      </c>
      <c s="12" r="I33">
        <f>COUNTIF(EXPERTISE!F4:F50,"*e-Services*")</f>
        <v>0</v>
      </c>
      <c t="s" s="12" r="J33">
        <v>1408</v>
      </c>
      <c s="12" r="K33">
        <f>COUNTIF(PROJECT!U2:U100,"*e-Services*")</f>
        <v>0</v>
      </c>
      <c s="12" r="L33"/>
      <c s="12" r="M33"/>
      <c s="12" r="N33"/>
      <c s="12" r="O33"/>
      <c s="12" r="P33"/>
      <c s="12" r="Q33"/>
      <c s="12" r="R33"/>
      <c s="12" r="S33"/>
      <c s="12" r="T33"/>
    </row>
    <row r="34">
      <c t="s" s="12" r="D34">
        <v>1413</v>
      </c>
      <c t="s" s="12" r="E34">
        <v>1449</v>
      </c>
      <c s="12" r="F34">
        <v>0</v>
      </c>
      <c s="12" r="G34">
        <v>1</v>
      </c>
      <c t="s" s="12" r="H34">
        <v>1408</v>
      </c>
      <c s="12" r="I34">
        <f>COUNTIF(EXPERTISE!F4:F50,"*Financial Consumer Protection and Financial Literacy*")</f>
        <v>0</v>
      </c>
      <c t="s" s="12" r="J34">
        <v>1408</v>
      </c>
      <c s="12" r="K34">
        <f>COUNTIF(PROJECT!U2:U100,"*Financial Consumer Protection and Financial Literacy*")</f>
        <v>0</v>
      </c>
      <c s="12" r="L34"/>
      <c s="12" r="M34"/>
      <c s="12" r="N34"/>
      <c s="12" r="O34"/>
      <c s="12" r="P34"/>
      <c s="12" r="Q34"/>
      <c s="12" r="R34"/>
      <c s="12" r="S34"/>
      <c s="12" r="T34"/>
    </row>
    <row r="35">
      <c t="s" s="12" r="D35">
        <v>1413</v>
      </c>
      <c t="s" s="12" r="E35">
        <v>1450</v>
      </c>
      <c s="12" r="F35">
        <v>0</v>
      </c>
      <c s="12" r="G35">
        <v>1</v>
      </c>
      <c t="s" s="12" r="H35">
        <v>1408</v>
      </c>
      <c s="12" r="I35">
        <f>COUNTIF(EXPERTISE!F4:F50,"*Macroeconomic Management*")</f>
        <v>0</v>
      </c>
      <c t="s" s="12" r="J35">
        <v>1408</v>
      </c>
      <c s="12" r="K35">
        <f>COUNTIF(PROJECT!U2:U100,"*Macroeconomic Management*")</f>
        <v>0</v>
      </c>
      <c s="12" r="L35"/>
      <c s="12" r="M35"/>
      <c s="12" r="N35"/>
      <c s="12" r="O35"/>
      <c s="12" r="P35"/>
      <c s="12" r="Q35"/>
      <c s="12" r="R35"/>
      <c s="12" r="S35"/>
      <c s="12" r="T35"/>
    </row>
    <row r="36">
      <c t="s" s="12" r="D36">
        <v>1413</v>
      </c>
      <c t="s" s="22" r="E36">
        <v>1451</v>
      </c>
      <c s="12" r="F36">
        <v>0</v>
      </c>
      <c s="12" r="G36">
        <v>1</v>
      </c>
      <c t="s" s="12" r="H36">
        <v>1408</v>
      </c>
      <c s="12" r="I36">
        <f>COUNTIF(EXPERTISE!F4:F50,"*Other Financial and Private-Sector Development*")</f>
        <v>0</v>
      </c>
      <c t="s" s="12" r="J36">
        <v>1408</v>
      </c>
      <c s="12" r="K36">
        <f>COUNTIF(PROJECT!U2:U100,"*Other Financial and Private-Sector Development*")</f>
        <v>0</v>
      </c>
      <c s="12" r="L36"/>
      <c s="12" r="M36"/>
      <c s="12" r="N36"/>
      <c s="12" r="O36"/>
      <c s="12" r="P36"/>
      <c s="12" r="Q36"/>
      <c s="12" r="R36"/>
      <c s="12" r="S36"/>
      <c s="12" r="T36"/>
    </row>
    <row r="37">
      <c t="s" s="12" r="D37">
        <v>1413</v>
      </c>
      <c t="s" s="12" r="E37">
        <v>1452</v>
      </c>
      <c s="12" r="F37">
        <v>0</v>
      </c>
      <c s="12" r="G37">
        <v>1</v>
      </c>
      <c t="s" s="12" r="H37">
        <v>1408</v>
      </c>
      <c s="12" r="I37">
        <f>COUNTIF(EXPERTISE!F4:F50,"*Other Financial Sector Development*")</f>
        <v>0</v>
      </c>
      <c t="s" s="12" r="J37">
        <v>1408</v>
      </c>
      <c s="12" r="K37">
        <f>COUNTIF(PROJECT!U2:U100,"*Other Financial Sector Development*")</f>
        <v>0</v>
      </c>
      <c s="12" r="L37"/>
      <c s="12" r="M37"/>
      <c s="12" r="N37"/>
      <c s="12" r="O37"/>
      <c s="12" r="P37"/>
      <c s="12" r="Q37"/>
      <c s="12" r="R37"/>
      <c s="12" r="S37"/>
      <c s="12" r="T37"/>
    </row>
    <row r="38">
      <c t="s" s="12" r="D38">
        <v>1413</v>
      </c>
      <c t="s" s="12" r="E38">
        <v>1453</v>
      </c>
      <c s="12" r="F38">
        <v>0</v>
      </c>
      <c s="12" r="G38">
        <v>1</v>
      </c>
      <c t="s" s="12" r="H38">
        <v>1408</v>
      </c>
      <c s="12" r="I38">
        <f>COUNTIF(EXPERTISE!F4:F50,"*Regulation and Competition Policy*")</f>
        <v>0</v>
      </c>
      <c t="s" s="12" r="J38">
        <v>1408</v>
      </c>
      <c s="12" r="K38">
        <f>COUNTIF(PROJECT!U2:U100,"*Regulation and Competition Policy*")</f>
        <v>0</v>
      </c>
      <c s="12" r="L38"/>
      <c s="12" r="M38"/>
      <c s="12" r="N38"/>
      <c s="12" r="O38"/>
      <c s="12" r="P38"/>
      <c s="12" r="Q38"/>
      <c s="12" r="R38"/>
      <c s="12" r="S38"/>
      <c s="12" r="T38"/>
    </row>
    <row r="39">
      <c t="s" s="12" r="D39">
        <v>1415</v>
      </c>
      <c t="s" s="12" r="E39">
        <v>1454</v>
      </c>
      <c s="12" r="F39">
        <v>1</v>
      </c>
      <c s="12" r="G39">
        <v>1</v>
      </c>
      <c s="12" r="H39">
        <f>COUNTIF(EXPERTISE!E4:E50,"*Governance*")</f>
        <v>0</v>
      </c>
      <c s="12" r="I39">
        <f>COUNTIF(EXPERTISE!F4:F50,"*Access to Law and Justice*")</f>
        <v>0</v>
      </c>
      <c s="12" r="J39">
        <f>COUNTIF(PROJECT!T2:T100,"*Governance*")</f>
        <v>0</v>
      </c>
      <c s="12" r="K39">
        <f>COUNTIF(PROJECT!U2:U100,"*Access to Law and Justice*")</f>
        <v>0</v>
      </c>
      <c s="12" r="L39"/>
      <c s="12" r="M39"/>
      <c s="12" r="N39"/>
      <c s="12" r="O39"/>
      <c s="12" r="P39"/>
      <c s="12" r="Q39"/>
      <c s="12" r="R39"/>
      <c s="12" r="S39"/>
      <c s="12" r="T39"/>
    </row>
    <row r="40">
      <c t="s" s="12" r="D40">
        <v>1415</v>
      </c>
      <c t="s" s="22" r="E40">
        <v>1455</v>
      </c>
      <c s="12" r="F40">
        <v>0</v>
      </c>
      <c s="12" r="G40">
        <v>1</v>
      </c>
      <c t="s" s="12" r="H40">
        <v>1408</v>
      </c>
      <c s="12" r="I40">
        <f>COUNTIF(EXPERTISE!F4:F50,"*Accountability/Transparency*")</f>
        <v>0</v>
      </c>
      <c t="s" s="12" r="J40">
        <v>1408</v>
      </c>
      <c s="12" r="K40">
        <f>COUNTIF(PROJECT!U2:U100,"*Accountability/Transparency*")</f>
        <v>0</v>
      </c>
      <c s="12" r="L40"/>
      <c s="12" r="M40"/>
      <c s="12" r="N40"/>
      <c s="12" r="O40"/>
      <c s="12" r="P40"/>
      <c s="12" r="Q40"/>
      <c s="12" r="R40"/>
      <c s="12" r="S40"/>
      <c s="12" r="T40"/>
    </row>
    <row r="41">
      <c t="s" s="12" r="D41">
        <v>1415</v>
      </c>
      <c t="s" s="12" r="E41">
        <v>1456</v>
      </c>
      <c s="12" r="F41">
        <v>0</v>
      </c>
      <c s="12" r="G41">
        <v>1</v>
      </c>
      <c t="s" s="12" r="H41">
        <v>1408</v>
      </c>
      <c s="12" r="I41">
        <f>COUNTIF(EXPERTISE!F4:F50,"*Administrative and Civil Service Reform*")</f>
        <v>0</v>
      </c>
      <c t="s" s="12" r="J41">
        <v>1408</v>
      </c>
      <c s="12" r="K41">
        <f>COUNTIF(PROJECT!U2:U100,"*Administrative and Civil Service Reform*")</f>
        <v>0</v>
      </c>
      <c s="12" r="L41"/>
      <c s="12" r="M41"/>
      <c s="12" r="N41"/>
      <c s="12" r="O41"/>
      <c s="12" r="P41"/>
      <c s="12" r="Q41"/>
      <c s="12" r="R41"/>
      <c s="12" r="S41"/>
      <c s="12" r="T41"/>
    </row>
    <row r="42">
      <c t="s" s="12" r="D42">
        <v>1415</v>
      </c>
      <c t="s" s="22" r="E42">
        <v>1457</v>
      </c>
      <c s="12" r="F42">
        <v>0</v>
      </c>
      <c s="12" r="G42">
        <v>1</v>
      </c>
      <c t="s" s="12" r="H42">
        <v>1408</v>
      </c>
      <c s="22" r="I42">
        <f>COUNTIF(EXPERTISE!F4:F50,"*Anti-Corruption*")</f>
        <v>0</v>
      </c>
      <c t="s" s="12" r="J42">
        <v>1408</v>
      </c>
      <c s="22" r="K42">
        <f>COUNTIF(PROJECT!U2:U100,"*Anti-Corruption*")</f>
        <v>0</v>
      </c>
      <c s="12" r="L42"/>
      <c s="12" r="M42"/>
      <c s="12" r="N42"/>
      <c s="12" r="O42"/>
      <c s="12" r="P42"/>
      <c s="12" r="Q42"/>
      <c s="12" r="R42"/>
      <c s="12" r="S42"/>
      <c s="12" r="T42"/>
    </row>
    <row r="43">
      <c t="s" s="12" r="D43">
        <v>1415</v>
      </c>
      <c t="s" s="12" r="E43">
        <v>1458</v>
      </c>
      <c s="12" r="F43">
        <v>0</v>
      </c>
      <c s="12" r="G43">
        <v>1</v>
      </c>
      <c t="s" s="12" r="H43">
        <v>1408</v>
      </c>
      <c s="12" r="I43">
        <f>COUNTIF(EXPERTISE!F4:F50,"*Civil Society Participation*")</f>
        <v>0</v>
      </c>
      <c t="s" s="12" r="J43">
        <v>1408</v>
      </c>
      <c s="12" r="K43">
        <f>COUNTIF(PROJECT!U2:U100,"*Civil Society Participation*")</f>
        <v>0</v>
      </c>
      <c s="12" r="L43"/>
      <c s="12" r="M43"/>
      <c s="12" r="N43"/>
      <c s="12" r="O43"/>
      <c s="12" r="P43"/>
      <c s="12" r="Q43"/>
      <c s="12" r="R43"/>
      <c s="12" r="S43"/>
      <c s="12" r="T43"/>
    </row>
    <row r="44">
      <c t="s" s="12" r="D44">
        <v>1415</v>
      </c>
      <c t="s" s="12" r="E44">
        <v>1459</v>
      </c>
      <c s="12" r="F44">
        <v>0</v>
      </c>
      <c s="12" r="G44">
        <v>1</v>
      </c>
      <c t="s" s="12" r="H44">
        <v>1408</v>
      </c>
      <c s="12" r="I44">
        <f>COUNTIF(EXPERTISE!F4:F50,"*Decentralization*")</f>
        <v>0</v>
      </c>
      <c t="s" s="12" r="J44">
        <v>1408</v>
      </c>
      <c s="12" r="K44">
        <f>COUNTIF(PROJECT!U2:U100,"*Decentralization*")</f>
        <v>0</v>
      </c>
      <c s="12" r="L44"/>
      <c s="12" r="M44"/>
      <c s="12" r="N44"/>
      <c s="12" r="O44"/>
      <c s="12" r="P44"/>
      <c s="12" r="Q44"/>
      <c s="12" r="R44"/>
      <c s="12" r="S44"/>
      <c s="12" r="T44"/>
    </row>
    <row r="45">
      <c t="s" s="12" r="D45">
        <v>1415</v>
      </c>
      <c t="s" s="12" r="E45">
        <v>1460</v>
      </c>
      <c s="12" r="F45">
        <v>0</v>
      </c>
      <c s="12" r="G45">
        <v>1</v>
      </c>
      <c t="s" s="12" r="H45">
        <v>1408</v>
      </c>
      <c s="12" r="I45">
        <f>COUNTIF(EXPERTISE!F4:F50,"*e-Government*")</f>
        <v>0</v>
      </c>
      <c t="s" s="12" r="J45">
        <v>1408</v>
      </c>
      <c s="12" r="K45">
        <f>COUNTIF(PROJECT!U2:U100,"*e-Government*")</f>
        <v>0</v>
      </c>
      <c s="12" r="L45"/>
      <c s="12" r="M45"/>
      <c s="12" r="N45"/>
      <c s="12" r="O45"/>
      <c s="12" r="P45"/>
      <c s="12" r="Q45"/>
      <c s="12" r="R45"/>
      <c s="12" r="S45"/>
      <c s="12" r="T45"/>
    </row>
    <row r="46">
      <c t="s" s="12" r="D46">
        <v>1415</v>
      </c>
      <c t="s" s="12" r="E46">
        <v>1461</v>
      </c>
      <c s="12" r="F46">
        <v>0</v>
      </c>
      <c s="12" r="G46">
        <v>1</v>
      </c>
      <c t="s" s="12" r="H46">
        <v>1408</v>
      </c>
      <c s="12" r="I46">
        <f>COUNTIF(EXPERTISE!F4:F50,"*Financial and Economic Governance*")</f>
        <v>0</v>
      </c>
      <c t="s" s="12" r="J46">
        <v>1408</v>
      </c>
      <c s="12" r="K46">
        <f>COUNTIF(PROJECT!U2:U100,"*Financial and Economic Governance*")</f>
        <v>0</v>
      </c>
      <c s="12" r="L46"/>
      <c s="12" r="M46"/>
      <c s="12" r="N46"/>
      <c s="12" r="O46"/>
      <c s="12" r="P46"/>
      <c s="12" r="Q46"/>
      <c s="12" r="R46"/>
      <c s="12" r="S46"/>
      <c s="12" r="T46"/>
    </row>
    <row r="47">
      <c t="s" s="12" r="D47">
        <v>1415</v>
      </c>
      <c t="s" s="12" r="E47">
        <v>1462</v>
      </c>
      <c s="12" r="F47">
        <v>0</v>
      </c>
      <c s="12" r="G47">
        <v>1</v>
      </c>
      <c t="s" s="12" r="H47">
        <v>1408</v>
      </c>
      <c s="12" r="I47">
        <f>COUNTIF(EXPERTISE!F4:F50,"*Human Rights*")</f>
        <v>0</v>
      </c>
      <c t="s" s="12" r="J47">
        <v>1408</v>
      </c>
      <c s="12" r="K47">
        <f>COUNTIF(PROJECT!U2:U100,"*Human Rights*")</f>
        <v>0</v>
      </c>
      <c s="12" r="L47"/>
      <c s="12" r="M47"/>
      <c s="12" r="N47"/>
      <c s="12" r="O47"/>
      <c s="12" r="P47"/>
      <c s="12" r="Q47"/>
      <c s="12" r="R47"/>
      <c s="12" r="S47"/>
      <c s="12" r="T47"/>
    </row>
    <row r="48">
      <c t="s" s="12" r="D48">
        <v>1415</v>
      </c>
      <c t="s" s="12" r="E48">
        <v>1463</v>
      </c>
      <c s="12" r="F48">
        <v>0</v>
      </c>
      <c s="12" r="G48">
        <v>1</v>
      </c>
      <c t="s" s="12" r="H48">
        <v>1408</v>
      </c>
      <c s="12" r="I48">
        <f>COUNTIF(EXPERTISE!F4:F50,"*Judicial and Other Dispute Resolution Mechanisms*")</f>
        <v>0</v>
      </c>
      <c t="s" s="12" r="J48">
        <v>1408</v>
      </c>
      <c s="12" r="K48">
        <f>COUNTIF(PROJECT!U2:U100,"*Judicial and Other Dispute Resolution Mechanisms*")</f>
        <v>0</v>
      </c>
      <c s="12" r="L48"/>
      <c s="12" r="M48"/>
      <c s="12" r="N48"/>
      <c s="12" r="O48"/>
      <c s="12" r="P48"/>
      <c s="12" r="Q48"/>
      <c s="12" r="R48"/>
      <c s="12" r="S48"/>
      <c s="12" r="T48"/>
    </row>
    <row r="49">
      <c t="s" s="12" r="D49">
        <v>1415</v>
      </c>
      <c t="s" s="12" r="E49">
        <v>1464</v>
      </c>
      <c s="12" r="F49">
        <v>0</v>
      </c>
      <c s="12" r="G49">
        <v>1</v>
      </c>
      <c t="s" s="12" r="H49">
        <v>1408</v>
      </c>
      <c s="12" r="I49">
        <f>COUNTIF(EXPERTISE!F4:F50,"*Legal Institutions for a Market Economy*")</f>
        <v>0</v>
      </c>
      <c t="s" s="12" r="J49">
        <v>1408</v>
      </c>
      <c s="12" r="K49">
        <f>COUNTIF(PROJECT!U2:U100,"*Legal Institutions for a Market Economy*")</f>
        <v>0</v>
      </c>
      <c s="12" r="L49"/>
      <c s="12" r="M49"/>
      <c s="12" r="N49"/>
      <c s="12" r="O49"/>
      <c s="12" r="P49"/>
      <c s="12" r="Q49"/>
      <c s="12" r="R49"/>
      <c s="12" r="S49"/>
      <c s="12" r="T49"/>
    </row>
    <row r="50">
      <c t="s" s="12" r="D50">
        <v>1415</v>
      </c>
      <c t="s" s="12" r="E50">
        <v>1465</v>
      </c>
      <c s="12" r="F50">
        <v>0</v>
      </c>
      <c s="12" r="G50">
        <v>1</v>
      </c>
      <c t="s" s="12" r="H50">
        <v>1408</v>
      </c>
      <c s="12" r="I50">
        <f>COUNTIF(EXPERTISE!F4:F50,"*Legal Reform*")</f>
        <v>0</v>
      </c>
      <c t="s" s="12" r="J50">
        <v>1408</v>
      </c>
      <c s="12" r="K50">
        <f>COUNTIF(PROJECT!U2:U100,"*Legal Reform*")</f>
        <v>0</v>
      </c>
      <c s="12" r="L50"/>
      <c s="12" r="M50"/>
      <c s="12" r="N50"/>
      <c s="12" r="O50"/>
      <c s="12" r="P50"/>
      <c s="12" r="Q50"/>
      <c s="12" r="R50"/>
      <c s="12" r="S50"/>
      <c s="12" r="T50"/>
    </row>
    <row r="51">
      <c t="s" s="12" r="D51">
        <v>1415</v>
      </c>
      <c t="s" s="12" r="E51">
        <v>1466</v>
      </c>
      <c s="12" r="F51">
        <v>0</v>
      </c>
      <c s="12" r="G51">
        <v>1</v>
      </c>
      <c t="s" s="12" r="H51">
        <v>1408</v>
      </c>
      <c s="12" r="I51">
        <f>COUNTIF(EXPERTISE!F4:F50,"*Legal Services*")</f>
        <v>0</v>
      </c>
      <c t="s" s="12" r="J51">
        <v>1408</v>
      </c>
      <c s="12" r="K51">
        <f>COUNTIF(PROJECT!U2:U100,"*Legal Services*")</f>
        <v>0</v>
      </c>
      <c s="12" r="L51"/>
      <c s="12" r="M51"/>
      <c s="12" r="N51"/>
      <c s="12" r="O51"/>
      <c s="12" r="P51"/>
      <c s="12" r="Q51"/>
      <c s="12" r="R51"/>
      <c s="12" r="S51"/>
      <c s="12" r="T51"/>
    </row>
    <row r="52">
      <c t="s" s="12" r="D52">
        <v>1415</v>
      </c>
      <c t="s" s="12" r="E52">
        <v>1467</v>
      </c>
      <c s="12" r="F52">
        <v>0</v>
      </c>
      <c s="12" r="G52">
        <v>1</v>
      </c>
      <c t="s" s="12" r="H52">
        <v>1408</v>
      </c>
      <c s="12" r="I52">
        <f>COUNTIF(EXPERTISE!F4:F50,"*Managing for Development Results*")</f>
        <v>0</v>
      </c>
      <c t="s" s="12" r="J52">
        <v>1408</v>
      </c>
      <c s="12" r="K52">
        <f>COUNTIF(PROJECT!U2:U100,"*Managing for Development Results*")</f>
        <v>0</v>
      </c>
      <c s="12" r="L52"/>
      <c s="12" r="M52"/>
      <c s="12" r="N52"/>
      <c s="12" r="O52"/>
      <c s="12" r="P52"/>
      <c s="12" r="Q52"/>
      <c s="12" r="R52"/>
      <c s="12" r="S52"/>
      <c s="12" r="T52"/>
    </row>
    <row r="53">
      <c t="s" s="12" r="D53">
        <v>1415</v>
      </c>
      <c t="s" s="12" r="E53">
        <v>1468</v>
      </c>
      <c s="12" r="F53">
        <v>0</v>
      </c>
      <c s="12" r="G53">
        <v>1</v>
      </c>
      <c t="s" s="12" r="H53">
        <v>1408</v>
      </c>
      <c s="12" r="I53">
        <f>COUNTIF(EXPERTISE!F4:F50,"*Other Rule of Law*")</f>
        <v>0</v>
      </c>
      <c t="s" s="12" r="J53">
        <v>1408</v>
      </c>
      <c s="12" r="K53">
        <f>COUNTIF(PROJECT!U2:U100,"*Other Rule of Law*")</f>
        <v>0</v>
      </c>
      <c s="12" r="L53"/>
      <c s="12" r="M53"/>
      <c s="12" r="N53"/>
      <c s="12" r="O53"/>
      <c s="12" r="P53"/>
      <c s="12" r="Q53"/>
      <c s="12" r="R53"/>
      <c s="12" r="S53"/>
      <c s="12" r="T53"/>
    </row>
    <row r="54">
      <c t="s" s="12" r="D54">
        <v>1415</v>
      </c>
      <c t="s" s="12" r="E54">
        <v>1469</v>
      </c>
      <c s="12" r="F54">
        <v>0</v>
      </c>
      <c s="12" r="G54">
        <v>1</v>
      </c>
      <c t="s" s="12" r="H54">
        <v>1408</v>
      </c>
      <c s="12" r="I54">
        <f>COUNTIF(EXPERTISE!F4:F50,"*Personal and Property Rights*")</f>
        <v>0</v>
      </c>
      <c t="s" s="12" r="J54">
        <v>1408</v>
      </c>
      <c s="12" r="K54">
        <f>COUNTIF(PROJECT!U2:U100,"*Personal and Property Rights*")</f>
        <v>0</v>
      </c>
      <c s="12" r="L54"/>
      <c s="12" r="M54"/>
      <c s="12" r="N54"/>
      <c s="12" r="O54"/>
      <c s="12" r="P54"/>
      <c s="12" r="Q54"/>
      <c s="12" r="R54"/>
      <c s="12" r="S54"/>
      <c s="12" r="T54"/>
    </row>
    <row r="55">
      <c t="s" s="12" r="D55">
        <v>1415</v>
      </c>
      <c t="s" s="12" r="E55">
        <v>1470</v>
      </c>
      <c s="12" r="F55">
        <v>0</v>
      </c>
      <c s="12" r="G55">
        <v>1</v>
      </c>
      <c t="s" s="12" r="H55">
        <v>1408</v>
      </c>
      <c s="12" r="I55">
        <f>COUNTIF(EXPERTISE!F4:F50,"*Policy/Institutional/Legal/Regulatory Reforms*")</f>
        <v>0</v>
      </c>
      <c t="s" s="12" r="J55">
        <v>1408</v>
      </c>
      <c s="12" r="K55">
        <f>COUNTIF(PROJECT!U2:U100,"*Policy/Institutional/Legal/Regulatory Reforms*")</f>
        <v>0</v>
      </c>
      <c s="12" r="L55"/>
      <c s="12" r="M55"/>
      <c s="12" r="N55"/>
      <c s="12" r="O55"/>
      <c s="12" r="P55"/>
      <c s="12" r="Q55"/>
      <c s="12" r="R55"/>
      <c s="12" r="S55"/>
      <c s="12" r="T55"/>
    </row>
    <row r="56">
      <c t="s" s="12" r="D56">
        <v>1415</v>
      </c>
      <c t="s" s="12" r="E56">
        <v>1471</v>
      </c>
      <c s="12" r="F56">
        <v>0</v>
      </c>
      <c s="12" r="G56">
        <v>1</v>
      </c>
      <c t="s" s="12" r="H56">
        <v>1408</v>
      </c>
      <c s="12" r="I56">
        <f>COUNTIF(EXPERTISE!F4:F50,"*Private Sector Investment*")</f>
        <v>0</v>
      </c>
      <c t="s" s="12" r="J56">
        <v>1408</v>
      </c>
      <c s="12" r="K56">
        <f>COUNTIF(PROJECT!U2:U100,"*Private Sector Investment*")</f>
        <v>0</v>
      </c>
      <c s="12" r="L56"/>
      <c s="12" r="M56"/>
      <c s="12" r="N56"/>
      <c s="12" r="O56"/>
      <c s="12" r="P56"/>
      <c s="12" r="Q56"/>
      <c s="12" r="R56"/>
      <c s="12" r="S56"/>
      <c s="12" r="T56"/>
    </row>
    <row r="57">
      <c t="s" s="12" r="D57">
        <v>1415</v>
      </c>
      <c t="s" s="22" r="E57">
        <v>1472</v>
      </c>
      <c s="12" r="F57">
        <v>0</v>
      </c>
      <c s="12" r="G57">
        <v>1</v>
      </c>
      <c t="s" s="12" r="H57">
        <v>1408</v>
      </c>
      <c s="22" r="I57">
        <f>COUNTIF(EXPERTISE!F4:F50,"*Privatization -general*")</f>
        <v>0</v>
      </c>
      <c t="s" s="12" r="J57">
        <v>1408</v>
      </c>
      <c s="22" r="K57">
        <f>COUNTIF(PROJECT!U2:U100,"*Privatization -general*")</f>
        <v>0</v>
      </c>
      <c s="12" r="L57"/>
      <c s="12" r="M57"/>
      <c s="12" r="N57"/>
      <c s="12" r="O57"/>
      <c s="12" r="P57"/>
      <c s="12" r="Q57"/>
      <c s="12" r="R57"/>
      <c s="12" r="S57"/>
      <c s="12" r="T57"/>
    </row>
    <row r="58">
      <c t="s" s="12" r="D58">
        <v>1415</v>
      </c>
      <c t="s" s="12" r="E58">
        <v>1473</v>
      </c>
      <c s="12" r="F58">
        <v>0</v>
      </c>
      <c s="12" r="G58">
        <v>1</v>
      </c>
      <c t="s" s="12" r="H58">
        <v>1408</v>
      </c>
      <c s="12" r="I58">
        <f>COUNTIF(EXPERTISE!F4:F50,"*Public Expenditure, Financial Management and Procurement*")</f>
        <v>0</v>
      </c>
      <c t="s" s="12" r="J58">
        <v>1408</v>
      </c>
      <c s="12" r="K58">
        <f>COUNTIF(PROJECT!U2:U100,"*Public Expenditure, Financial Management and Procurement*")</f>
        <v>0</v>
      </c>
      <c s="12" r="L58"/>
      <c s="12" r="M58"/>
      <c s="12" r="N58"/>
      <c s="12" r="O58"/>
      <c s="12" r="P58"/>
      <c s="12" r="Q58"/>
      <c s="12" r="R58"/>
      <c s="12" r="S58"/>
      <c s="12" r="T58"/>
    </row>
    <row r="59">
      <c t="s" s="12" r="D59">
        <v>1415</v>
      </c>
      <c t="s" s="12" r="E59">
        <v>1474</v>
      </c>
      <c s="12" r="F59">
        <v>0</v>
      </c>
      <c s="12" r="G59">
        <v>1</v>
      </c>
      <c t="s" s="12" r="H59">
        <v>1408</v>
      </c>
      <c s="12" r="I59">
        <f>COUNTIF(EXPERTISE!F4:F50,"*Public Governance*")</f>
        <v>0</v>
      </c>
      <c t="s" s="12" r="J59">
        <v>1408</v>
      </c>
      <c s="12" r="K59">
        <f>COUNTIF(PROJECT!U2:U100,"*Public Governance*")</f>
        <v>0</v>
      </c>
      <c s="12" r="L59"/>
      <c s="12" r="M59"/>
      <c s="12" r="N59"/>
      <c s="12" r="O59"/>
      <c s="12" r="P59"/>
      <c s="12" r="Q59"/>
      <c s="12" r="R59"/>
      <c s="12" r="S59"/>
      <c s="12" r="T59"/>
    </row>
    <row r="60">
      <c t="s" s="12" r="D60">
        <v>1415</v>
      </c>
      <c t="s" s="12" r="E60">
        <v>1475</v>
      </c>
      <c s="12" r="F60">
        <v>0</v>
      </c>
      <c s="12" r="G60">
        <v>1</v>
      </c>
      <c t="s" s="12" r="H60">
        <v>1408</v>
      </c>
      <c s="12" r="I60">
        <f>COUNTIF(EXPERTISE!F4:F50,"*Public Sector Governance*")</f>
        <v>0</v>
      </c>
      <c t="s" s="12" r="J60">
        <v>1408</v>
      </c>
      <c s="12" r="K60">
        <f>COUNTIF(PROJECT!U2:U100,"*Public Sector Governance*")</f>
        <v>0</v>
      </c>
      <c s="12" r="L60"/>
      <c s="12" r="M60"/>
      <c s="12" r="N60"/>
      <c s="12" r="O60"/>
      <c s="12" r="P60"/>
      <c s="12" r="Q60"/>
      <c s="12" r="R60"/>
      <c s="12" r="S60"/>
      <c s="12" r="T60"/>
    </row>
    <row r="61">
      <c t="s" s="12" r="D61">
        <v>1415</v>
      </c>
      <c t="s" s="12" r="E61">
        <v>1476</v>
      </c>
      <c s="12" r="F61">
        <v>0</v>
      </c>
      <c s="12" r="G61">
        <v>1</v>
      </c>
      <c t="s" s="12" r="H61">
        <v>1408</v>
      </c>
      <c s="12" r="I61">
        <f>COUNTIF(EXPERTISE!F4:F50,"*Public-Private Partnerships*")</f>
        <v>0</v>
      </c>
      <c t="s" s="12" r="J61">
        <v>1408</v>
      </c>
      <c s="12" r="K61">
        <f>COUNTIF(PROJECT!U2:U100,"*Public-Private Partnerships*")</f>
        <v>0</v>
      </c>
      <c s="12" r="L61"/>
      <c s="12" r="M61"/>
      <c s="12" r="N61"/>
      <c s="12" r="O61"/>
      <c s="12" r="P61"/>
      <c s="12" r="Q61"/>
      <c s="12" r="R61"/>
      <c s="12" r="S61"/>
      <c s="12" r="T61"/>
    </row>
    <row r="62">
      <c t="s" s="12" r="D62">
        <v>1415</v>
      </c>
      <c t="s" s="12" r="E62">
        <v>1477</v>
      </c>
      <c s="12" r="F62">
        <v>0</v>
      </c>
      <c s="12" r="G62">
        <v>1</v>
      </c>
      <c t="s" s="12" r="H62">
        <v>1408</v>
      </c>
      <c s="12" r="I62">
        <f>COUNTIF(EXPERTISE!F4:F50,"*Tax Policy and Administration*")</f>
        <v>0</v>
      </c>
      <c t="s" s="12" r="J62">
        <v>1408</v>
      </c>
      <c s="12" r="K62">
        <f>COUNTIF(PROJECT!U2:U100,"*Tax Policy and Administration*")</f>
        <v>0</v>
      </c>
      <c s="12" r="L62"/>
      <c s="12" r="M62"/>
      <c s="12" r="N62"/>
      <c s="12" r="O62"/>
      <c s="12" r="P62"/>
      <c s="12" r="Q62"/>
      <c s="12" r="R62"/>
      <c s="12" r="S62"/>
      <c s="12" r="T62"/>
    </row>
    <row r="63">
      <c t="s" s="12" r="D63">
        <v>1417</v>
      </c>
      <c t="s" s="12" r="E63">
        <v>1478</v>
      </c>
      <c s="12" r="F63">
        <v>1</v>
      </c>
      <c s="12" r="G63">
        <v>1</v>
      </c>
      <c s="12" r="H63">
        <f>COUNTIF(EXPERTISE!E4:E50,"*Health and Human Welfare*")</f>
        <v>0</v>
      </c>
      <c s="12" r="I63">
        <f>COUNTIF(EXPERTISE!F4:F50,"*Child Health*")</f>
        <v>0</v>
      </c>
      <c s="12" r="J63">
        <f>COUNTIF(PROJECT!T2:T100,"*Health and Human Welfare*")</f>
        <v>0</v>
      </c>
      <c s="12" r="K63">
        <f>COUNTIF(PROJECT!U2:U100,"*Child Health*")</f>
        <v>0</v>
      </c>
      <c s="12" r="L63"/>
      <c s="12" r="M63"/>
      <c s="12" r="N63"/>
      <c s="12" r="O63"/>
      <c s="12" r="P63"/>
      <c s="12" r="Q63"/>
      <c s="12" r="R63"/>
      <c s="12" r="S63"/>
      <c s="12" r="T63"/>
    </row>
    <row r="64">
      <c t="s" s="12" r="D64">
        <v>1417</v>
      </c>
      <c t="s" s="12" r="E64">
        <v>1479</v>
      </c>
      <c s="12" r="F64">
        <v>0</v>
      </c>
      <c s="12" r="G64">
        <v>1</v>
      </c>
      <c t="s" s="12" r="H64">
        <v>1408</v>
      </c>
      <c s="12" r="I64">
        <f>COUNTIF(EXPERTISE!F4:F50,"*Education for All*")</f>
        <v>0</v>
      </c>
      <c t="s" s="12" r="J64">
        <v>1408</v>
      </c>
      <c s="12" r="K64">
        <f>COUNTIF(PROJECT!U2:U100,"*Education for All*")</f>
        <v>0</v>
      </c>
      <c s="12" r="L64"/>
      <c s="12" r="M64"/>
      <c s="12" r="N64"/>
      <c s="12" r="O64"/>
      <c s="12" r="P64"/>
      <c s="12" r="Q64"/>
      <c s="12" r="R64"/>
      <c s="12" r="S64"/>
      <c s="12" r="T64"/>
    </row>
    <row r="65">
      <c t="s" s="12" r="D65">
        <v>1417</v>
      </c>
      <c t="s" s="12" r="E65">
        <v>1480</v>
      </c>
      <c s="12" r="F65">
        <v>0</v>
      </c>
      <c s="12" r="G65">
        <v>1</v>
      </c>
      <c t="s" s="12" r="H65">
        <v>1408</v>
      </c>
      <c s="12" r="I65">
        <f>COUNTIF(EXPERTISE!F4:F50,"*Education for the Knowledge Economy*")</f>
        <v>0</v>
      </c>
      <c t="s" s="12" r="J65">
        <v>1408</v>
      </c>
      <c s="12" r="K65">
        <f>COUNTIF(PROJECT!U2:U100,"*Education for the Knowledge Economy*")</f>
        <v>0</v>
      </c>
      <c s="12" r="L65"/>
      <c s="12" r="M65"/>
      <c s="12" r="N65"/>
      <c s="12" r="O65"/>
      <c s="12" r="P65"/>
      <c s="12" r="Q65"/>
      <c s="12" r="R65"/>
      <c s="12" r="S65"/>
      <c s="12" r="T65"/>
    </row>
    <row r="66">
      <c t="s" s="12" r="D66">
        <v>1417</v>
      </c>
      <c t="s" s="12" r="E66">
        <v>1481</v>
      </c>
      <c s="12" r="F66">
        <v>0</v>
      </c>
      <c s="12" r="G66">
        <v>1</v>
      </c>
      <c t="s" s="12" r="H66">
        <v>1408</v>
      </c>
      <c s="12" r="I66">
        <f>COUNTIF(EXPERTISE!F4:F50,"*Health System Performance*")</f>
        <v>0</v>
      </c>
      <c t="s" s="12" r="J66">
        <v>1408</v>
      </c>
      <c s="12" r="K66">
        <f>COUNTIF(PROJECT!U2:U100,"*Health System Performance*")</f>
        <v>0</v>
      </c>
      <c s="12" r="L66"/>
      <c s="12" r="M66"/>
      <c s="12" r="N66"/>
      <c s="12" r="O66"/>
      <c s="12" r="P66"/>
      <c s="12" r="Q66"/>
      <c s="12" r="R66"/>
      <c s="12" r="S66"/>
      <c s="12" r="T66"/>
    </row>
    <row r="67">
      <c t="s" s="12" r="D67">
        <v>1417</v>
      </c>
      <c t="s" s="12" r="E67">
        <v>1482</v>
      </c>
      <c s="12" r="F67">
        <v>0</v>
      </c>
      <c s="12" r="G67">
        <v>1</v>
      </c>
      <c t="s" s="12" r="H67">
        <v>1408</v>
      </c>
      <c s="12" r="I67">
        <f>COUNTIF(EXPERTISE!F4:F50,"*HIV/AIDS*")</f>
        <v>0</v>
      </c>
      <c t="s" s="12" r="J67">
        <v>1408</v>
      </c>
      <c s="12" r="K67">
        <f>COUNTIF(PROJECT!U2:U100,"*HIV/AIDS*")</f>
        <v>0</v>
      </c>
      <c s="12" r="L67"/>
      <c s="12" r="M67"/>
      <c s="12" r="N67"/>
      <c s="12" r="O67"/>
      <c s="12" r="P67"/>
      <c s="12" r="Q67"/>
      <c s="12" r="R67"/>
      <c s="12" r="S67"/>
      <c s="12" r="T67"/>
    </row>
    <row r="68">
      <c t="s" s="12" r="D68">
        <v>1417</v>
      </c>
      <c t="s" s="12" r="E68">
        <v>1483</v>
      </c>
      <c s="12" r="F68">
        <v>0</v>
      </c>
      <c s="12" r="G68">
        <v>1</v>
      </c>
      <c t="s" s="12" r="H68">
        <v>1408</v>
      </c>
      <c s="12" r="I68">
        <f>COUNTIF(EXPERTISE!F4:F50,"*Injuries and Non-Communicable Diseases*")</f>
        <v>0</v>
      </c>
      <c t="s" s="12" r="J68">
        <v>1408</v>
      </c>
      <c s="12" r="K68">
        <f>COUNTIF(PROJECT!U2:U100,"*Injuries and Non-Communicable Diseases*")</f>
        <v>0</v>
      </c>
      <c s="12" r="L68"/>
      <c s="12" r="M68"/>
      <c s="12" r="N68"/>
      <c s="12" r="O68"/>
      <c s="12" r="P68"/>
      <c s="12" r="Q68"/>
      <c s="12" r="R68"/>
      <c s="12" r="S68"/>
      <c s="12" r="T68"/>
    </row>
    <row r="69">
      <c t="s" s="12" r="D69">
        <v>1417</v>
      </c>
      <c t="s" s="12" r="E69">
        <v>1484</v>
      </c>
      <c s="12" r="F69">
        <v>0</v>
      </c>
      <c s="12" r="G69">
        <v>1</v>
      </c>
      <c t="s" s="12" r="H69">
        <v>1408</v>
      </c>
      <c s="12" r="I69">
        <f>COUNTIF(EXPERTISE!F4:F50,"*Malaria*")</f>
        <v>0</v>
      </c>
      <c t="s" s="12" r="J69">
        <v>1408</v>
      </c>
      <c s="12" r="K69">
        <f>COUNTIF(PROJECT!U2:U100,"*Malaria*")</f>
        <v>0</v>
      </c>
      <c s="12" r="L69"/>
      <c s="12" r="M69"/>
      <c s="12" r="N69"/>
      <c s="12" r="O69"/>
      <c s="12" r="P69"/>
      <c s="12" r="Q69"/>
      <c s="12" r="R69"/>
      <c s="12" r="S69"/>
      <c s="12" r="T69"/>
    </row>
    <row r="70">
      <c t="s" s="12" r="D70">
        <v>1417</v>
      </c>
      <c t="s" s="12" r="E70">
        <v>1485</v>
      </c>
      <c s="12" r="F70">
        <v>0</v>
      </c>
      <c s="12" r="G70">
        <v>1</v>
      </c>
      <c t="s" s="12" r="H70">
        <v>1408</v>
      </c>
      <c s="12" r="I70">
        <f>COUNTIF(EXPERTISE!F4:F50,"*Nutrition and Food Security*")</f>
        <v>0</v>
      </c>
      <c t="s" s="12" r="J70">
        <v>1408</v>
      </c>
      <c s="12" r="K70">
        <f>COUNTIF(PROJECT!U2:U100,"*Nutrition and Food Security*")</f>
        <v>0</v>
      </c>
      <c s="12" r="L70"/>
      <c s="12" r="M70"/>
      <c s="12" r="N70"/>
      <c s="12" r="O70"/>
      <c s="12" r="P70"/>
      <c s="12" r="Q70"/>
      <c s="12" r="R70"/>
      <c s="12" r="S70"/>
      <c s="12" r="T70"/>
    </row>
    <row r="71">
      <c t="s" s="12" r="D71">
        <v>1417</v>
      </c>
      <c t="s" s="12" r="E71">
        <v>1486</v>
      </c>
      <c s="12" r="F71">
        <v>0</v>
      </c>
      <c s="12" r="G71">
        <v>1</v>
      </c>
      <c t="s" s="12" r="H71">
        <v>1408</v>
      </c>
      <c s="12" r="I71">
        <f>COUNTIF(EXPERTISE!F4:F50,"*Other Communicable Diseases*")</f>
        <v>0</v>
      </c>
      <c t="s" s="12" r="J71">
        <v>1408</v>
      </c>
      <c s="12" r="K71">
        <f>COUNTIF(PROJECT!U2:U100,"*Other Communicable Diseases*")</f>
        <v>0</v>
      </c>
      <c s="12" r="L71"/>
      <c s="12" r="M71"/>
      <c s="12" r="N71"/>
      <c s="12" r="O71"/>
      <c s="12" r="P71"/>
      <c s="12" r="Q71"/>
      <c s="12" r="R71"/>
      <c s="12" r="S71"/>
      <c s="12" r="T71"/>
    </row>
    <row r="72">
      <c t="s" s="12" r="D72">
        <v>1417</v>
      </c>
      <c t="s" s="12" r="E72">
        <v>1487</v>
      </c>
      <c s="12" r="F72">
        <v>0</v>
      </c>
      <c s="12" r="G72">
        <v>1</v>
      </c>
      <c t="s" s="12" r="H72">
        <v>1408</v>
      </c>
      <c s="12" r="I72">
        <f>COUNTIF(EXPERTISE!F4:F50,"*Other Human Development*")</f>
        <v>0</v>
      </c>
      <c t="s" s="12" r="J72">
        <v>1408</v>
      </c>
      <c s="12" r="K72">
        <f>COUNTIF(PROJECT!U2:U100,"*Other Human Development*")</f>
        <v>0</v>
      </c>
      <c s="12" r="L72"/>
      <c s="12" r="M72"/>
      <c s="12" r="N72"/>
      <c s="12" r="O72"/>
      <c s="12" r="P72"/>
      <c s="12" r="Q72"/>
      <c s="12" r="R72"/>
      <c s="12" r="S72"/>
      <c s="12" r="T72"/>
    </row>
    <row r="73">
      <c t="s" s="12" r="D73">
        <v>1417</v>
      </c>
      <c t="s" s="12" r="E73">
        <v>1488</v>
      </c>
      <c s="12" r="F73">
        <v>0</v>
      </c>
      <c s="12" r="G73">
        <v>1</v>
      </c>
      <c t="s" s="12" r="H73">
        <v>1408</v>
      </c>
      <c s="12" r="I73">
        <f>COUNTIF(EXPERTISE!F4:F50,"*Population and Reproductive Health*")</f>
        <v>0</v>
      </c>
      <c t="s" s="12" r="J73">
        <v>1408</v>
      </c>
      <c s="12" r="K73">
        <f>COUNTIF(PROJECT!U2:U100,"*Population and Reproductive Health*")</f>
        <v>0</v>
      </c>
      <c s="12" r="L73"/>
      <c s="12" r="M73"/>
      <c s="12" r="N73"/>
      <c s="12" r="O73"/>
      <c s="12" r="P73"/>
      <c s="12" r="Q73"/>
      <c s="12" r="R73"/>
      <c s="12" r="S73"/>
      <c s="12" r="T73"/>
    </row>
    <row r="74">
      <c t="s" s="12" r="D74">
        <v>1417</v>
      </c>
      <c t="s" s="12" r="E74">
        <v>1489</v>
      </c>
      <c s="12" r="F74">
        <v>0</v>
      </c>
      <c s="12" r="G74">
        <v>1</v>
      </c>
      <c t="s" s="12" r="H74">
        <v>1408</v>
      </c>
      <c s="12" r="I74">
        <f>COUNTIF(EXPERTISE!F4:F50,"*Tuberculosis*")</f>
        <v>0</v>
      </c>
      <c t="s" s="12" r="J74">
        <v>1408</v>
      </c>
      <c s="12" r="K74">
        <f>COUNTIF(PROJECT!U2:U100,"*Tuberculosis*")</f>
        <v>0</v>
      </c>
      <c s="12" r="L74"/>
      <c s="12" r="M74"/>
      <c s="12" r="N74"/>
      <c s="12" r="O74"/>
      <c s="12" r="P74"/>
      <c s="12" r="Q74"/>
      <c s="12" r="R74"/>
      <c s="12" r="S74"/>
      <c s="12" r="T74"/>
    </row>
    <row r="75">
      <c t="s" s="12" r="D75">
        <v>1419</v>
      </c>
      <c t="s" s="12" r="E75">
        <v>1490</v>
      </c>
      <c s="12" r="F75">
        <v>1</v>
      </c>
      <c s="12" r="G75">
        <v>1</v>
      </c>
      <c s="12" r="H75">
        <f>COUNTIF(EXPERTISE!E4:E50,"*Rural Development*")</f>
        <v>0</v>
      </c>
      <c s="12" r="I75">
        <f>COUNTIF(EXPERTISE!F4:F50,"*Global Food Crisis Response*")</f>
        <v>0</v>
      </c>
      <c s="12" r="J75">
        <f>COUNTIF(PROJECT!T2:T100,"*Rural Development*")</f>
        <v>0</v>
      </c>
      <c s="12" r="K75">
        <f>COUNTIF(PROJECT!U2:U100,"*Global Food Crisis Response*")</f>
        <v>0</v>
      </c>
      <c s="12" r="L75"/>
      <c s="12" r="M75"/>
      <c s="12" r="N75"/>
      <c s="12" r="O75"/>
      <c s="12" r="P75"/>
      <c s="12" r="Q75"/>
      <c s="12" r="R75"/>
      <c s="12" r="S75"/>
      <c s="12" r="T75"/>
    </row>
    <row r="76">
      <c t="s" s="12" r="D76">
        <v>1419</v>
      </c>
      <c t="s" s="12" r="E76">
        <v>1491</v>
      </c>
      <c s="12" r="F76">
        <v>0</v>
      </c>
      <c s="12" r="G76">
        <v>1</v>
      </c>
      <c t="s" s="12" r="H76">
        <v>1408</v>
      </c>
      <c s="12" r="I76">
        <f>COUNTIF(EXPERTISE!F4:F50,"*Other Rural Development*")</f>
        <v>0</v>
      </c>
      <c t="s" s="12" r="J76">
        <v>1408</v>
      </c>
      <c s="12" r="K76">
        <f>COUNTIF(PROJECT!U2:U100,"*Other Rural Development*")</f>
        <v>0</v>
      </c>
      <c s="12" r="L76"/>
      <c s="12" r="M76"/>
      <c s="12" r="N76"/>
      <c s="12" r="O76"/>
      <c s="12" r="P76"/>
      <c s="12" r="Q76"/>
      <c s="12" r="R76"/>
      <c s="12" r="S76"/>
      <c s="12" r="T76"/>
    </row>
    <row r="77">
      <c t="s" s="12" r="D77">
        <v>1419</v>
      </c>
      <c t="s" s="12" r="E77">
        <v>1492</v>
      </c>
      <c s="12" r="F77">
        <v>0</v>
      </c>
      <c s="12" r="G77">
        <v>1</v>
      </c>
      <c t="s" s="12" r="H77">
        <v>1408</v>
      </c>
      <c s="12" r="I77">
        <f>COUNTIF(EXPERTISE!F4:F50,"*Rural Markets*")</f>
        <v>0</v>
      </c>
      <c t="s" s="12" r="J77">
        <v>1408</v>
      </c>
      <c s="12" r="K77">
        <f>COUNTIF(PROJECT!U2:U100,"*Rural Markets*")</f>
        <v>0</v>
      </c>
      <c s="12" r="L77"/>
      <c s="12" r="M77"/>
      <c s="12" r="N77"/>
      <c s="12" r="O77"/>
      <c s="12" r="P77"/>
      <c s="12" r="Q77"/>
      <c s="12" r="R77"/>
      <c s="12" r="S77"/>
      <c s="12" r="T77"/>
    </row>
    <row r="78">
      <c t="s" s="12" r="D78">
        <v>1419</v>
      </c>
      <c t="s" s="12" r="E78">
        <v>1493</v>
      </c>
      <c s="12" r="F78">
        <v>0</v>
      </c>
      <c s="12" r="G78">
        <v>1</v>
      </c>
      <c t="s" s="12" r="H78">
        <v>1408</v>
      </c>
      <c s="12" r="I78">
        <f>COUNTIF(EXPERTISE!F4:F50,"*Rural Non-Farm Income Generation*")</f>
        <v>0</v>
      </c>
      <c t="s" s="12" r="J78">
        <v>1408</v>
      </c>
      <c s="12" r="K78">
        <f>COUNTIF(PROJECT!U2:U100,"*Rural Non-Farm Income Generation*")</f>
        <v>0</v>
      </c>
      <c s="12" r="L78"/>
      <c s="12" r="M78"/>
      <c s="12" r="N78"/>
      <c s="12" r="O78"/>
      <c s="12" r="P78"/>
      <c s="12" r="Q78"/>
      <c s="12" r="R78"/>
      <c s="12" r="S78"/>
      <c s="12" r="T78"/>
    </row>
    <row r="79">
      <c t="s" s="12" r="D79">
        <v>1419</v>
      </c>
      <c t="s" s="12" r="E79">
        <v>1494</v>
      </c>
      <c s="12" r="F79">
        <v>0</v>
      </c>
      <c s="12" r="G79">
        <v>1</v>
      </c>
      <c t="s" s="12" r="H79">
        <v>1408</v>
      </c>
      <c s="12" r="I79">
        <f>COUNTIF(EXPERTISE!F4:F50,"*Rural Policies and Institutions*")</f>
        <v>0</v>
      </c>
      <c t="s" s="12" r="J79">
        <v>1408</v>
      </c>
      <c s="12" r="K79">
        <f>COUNTIF(PROJECT!U2:U100,"*Rural Policies and Institutions*")</f>
        <v>0</v>
      </c>
      <c s="12" r="L79"/>
      <c s="12" r="M79"/>
      <c s="12" r="N79"/>
      <c s="12" r="O79"/>
      <c s="12" r="P79"/>
      <c s="12" r="Q79"/>
      <c s="12" r="R79"/>
      <c s="12" r="S79"/>
      <c s="12" r="T79"/>
    </row>
    <row r="80">
      <c t="s" s="12" r="D80">
        <v>1419</v>
      </c>
      <c t="s" s="12" r="E80">
        <v>1495</v>
      </c>
      <c s="12" r="F80">
        <v>0</v>
      </c>
      <c s="12" r="G80">
        <v>1</v>
      </c>
      <c t="s" s="12" r="H80">
        <v>1408</v>
      </c>
      <c s="12" r="I80">
        <f>COUNTIF(EXPERTISE!F4:F50,"*Rural Services and Infrastructure*")</f>
        <v>0</v>
      </c>
      <c t="s" s="12" r="J80">
        <v>1408</v>
      </c>
      <c s="12" r="K80">
        <f>COUNTIF(PROJECT!U2:U100,"*Rural Services and Infrastructure*")</f>
        <v>0</v>
      </c>
      <c s="12" r="L80"/>
      <c s="12" r="M80"/>
      <c s="12" r="N80"/>
      <c s="12" r="O80"/>
      <c s="12" r="P80"/>
      <c s="12" r="Q80"/>
      <c s="12" r="R80"/>
      <c s="12" r="S80"/>
      <c s="12" r="T80"/>
    </row>
    <row r="81">
      <c t="s" s="12" r="D81">
        <v>1421</v>
      </c>
      <c t="s" s="12" r="E81">
        <v>1496</v>
      </c>
      <c s="12" r="F81">
        <v>1</v>
      </c>
      <c s="12" r="G81">
        <v>1</v>
      </c>
      <c s="12" r="H81">
        <f>COUNTIF(EXPERTISE!E4:E50,"*Social Investment*")</f>
        <v>0</v>
      </c>
      <c s="12" r="I81">
        <f>COUNTIF(EXPERTISE!F4:F50,"*Communication Infrastructure*")</f>
        <v>0</v>
      </c>
      <c s="12" r="J81">
        <f>COUNTIF(PROJECT!T2:T100,"*Social Investment*")</f>
        <v>0</v>
      </c>
      <c s="12" r="K81">
        <f>COUNTIF(PROJECT!U2:U100,"*Communication Infrastructure*")</f>
        <v>0</v>
      </c>
      <c s="12" r="L81"/>
      <c s="12" r="M81"/>
      <c s="12" r="N81"/>
      <c s="12" r="O81"/>
      <c s="12" r="P81"/>
      <c s="12" r="Q81"/>
      <c s="12" r="R81"/>
      <c s="12" r="S81"/>
      <c s="12" r="T81"/>
    </row>
    <row r="82">
      <c t="s" s="12" r="D82">
        <v>1421</v>
      </c>
      <c t="s" s="12" r="E82">
        <v>1497</v>
      </c>
      <c s="12" r="F82">
        <v>0</v>
      </c>
      <c s="12" r="G82">
        <v>1</v>
      </c>
      <c t="s" s="12" r="H82">
        <v>1408</v>
      </c>
      <c s="12" r="I82">
        <f>COUNTIF(EXPERTISE!F4:F50,"*Improving Labor Markets*")</f>
        <v>0</v>
      </c>
      <c t="s" s="12" r="J82">
        <v>1408</v>
      </c>
      <c s="12" r="K82">
        <f>COUNTIF(PROJECT!U2:U100,"*Improving Labor Markets*")</f>
        <v>0</v>
      </c>
      <c s="12" r="L82"/>
      <c s="12" r="M82"/>
      <c s="12" r="N82"/>
      <c s="12" r="O82"/>
      <c s="12" r="P82"/>
      <c s="12" r="Q82"/>
      <c s="12" r="R82"/>
      <c s="12" r="S82"/>
      <c s="12" r="T82"/>
    </row>
    <row r="83">
      <c t="s" s="12" r="D83">
        <v>1421</v>
      </c>
      <c t="s" s="12" r="E83">
        <v>1498</v>
      </c>
      <c s="12" r="F83">
        <v>0</v>
      </c>
      <c s="12" r="G83">
        <v>1</v>
      </c>
      <c t="s" s="12" r="H83">
        <v>1408</v>
      </c>
      <c s="12" r="I83">
        <f>COUNTIF(EXPERTISE!F4:F50,"*Local Business Investment*")</f>
        <v>0</v>
      </c>
      <c t="s" s="12" r="J83">
        <v>1408</v>
      </c>
      <c s="12" r="K83">
        <f>COUNTIF(PROJECT!U2:U100,"*Local Business Investment*")</f>
        <v>0</v>
      </c>
      <c s="12" r="L83"/>
      <c s="12" r="M83"/>
      <c s="12" r="N83"/>
      <c s="12" r="O83"/>
      <c s="12" r="P83"/>
      <c s="12" r="Q83"/>
      <c s="12" r="R83"/>
      <c s="12" r="S83"/>
      <c s="12" r="T83"/>
    </row>
    <row r="84">
      <c t="s" s="12" r="D84">
        <v>1423</v>
      </c>
      <c t="s" s="12" r="E84">
        <v>1499</v>
      </c>
      <c s="12" r="F84">
        <v>0</v>
      </c>
      <c s="12" r="G84">
        <v>1</v>
      </c>
      <c s="12" r="H84">
        <f>COUNTIF(EXPERTISE!E7:E53,"*Social Protection*")</f>
        <v>0</v>
      </c>
      <c s="12" r="I84">
        <f>COUNTIF(EXPERTISE!F4:F50,"*Cultural Heritage*")</f>
        <v>0</v>
      </c>
      <c s="12" r="J84">
        <f>COUNTIF(PROJECT!T2:T100,"*Social Protection*")</f>
        <v>0</v>
      </c>
      <c s="12" r="K84">
        <f>COUNTIF(PROJECT!U2:U100,"*Cultural Heritage*")</f>
        <v>0</v>
      </c>
      <c s="12" r="L84"/>
      <c s="12" r="M84"/>
      <c s="12" r="N84"/>
      <c s="12" r="O84"/>
      <c s="12" r="P84"/>
      <c s="12" r="Q84"/>
      <c s="12" r="R84"/>
      <c s="12" r="S84"/>
      <c s="12" r="T84"/>
    </row>
    <row r="85">
      <c t="s" s="12" r="D85">
        <v>1423</v>
      </c>
      <c t="s" s="22" r="E85">
        <v>1500</v>
      </c>
      <c s="12" r="F85">
        <v>0</v>
      </c>
      <c s="12" r="G85">
        <v>1</v>
      </c>
      <c t="s" s="12" r="H85">
        <v>1408</v>
      </c>
      <c s="22" r="I85">
        <f>COUNTIF(EXPERTISE!F4:F50,"*Gender -general*")</f>
        <v>0</v>
      </c>
      <c t="s" s="12" r="J85">
        <v>1408</v>
      </c>
      <c s="22" r="K85">
        <f>COUNTIF(PROJECT!U2:U100,"*Gender -general*")</f>
        <v>0</v>
      </c>
      <c s="12" r="L85"/>
      <c s="12" r="M85"/>
      <c s="12" r="N85"/>
      <c s="12" r="O85"/>
      <c s="12" r="P85"/>
      <c s="12" r="Q85"/>
      <c s="12" r="R85"/>
      <c s="12" r="S85"/>
      <c s="12" r="T85"/>
    </row>
    <row r="86">
      <c t="s" s="12" r="D86">
        <v>1423</v>
      </c>
      <c t="s" s="12" r="E86">
        <v>1501</v>
      </c>
      <c s="12" r="F86">
        <v>0</v>
      </c>
      <c s="12" r="G86">
        <v>1</v>
      </c>
      <c t="s" s="12" r="H86">
        <v>1408</v>
      </c>
      <c s="12" r="I86">
        <f>COUNTIF(EXPERTISE!F4:F50,"*Gender Equity in Capabilities*")</f>
        <v>0</v>
      </c>
      <c t="s" s="12" r="J86">
        <v>1408</v>
      </c>
      <c s="12" r="K86">
        <f>COUNTIF(PROJECT!U2:U100,"*Gender Equity in Capabilities*")</f>
        <v>0</v>
      </c>
      <c s="12" r="L86"/>
      <c s="12" r="M86"/>
      <c s="12" r="N86"/>
      <c s="12" r="O86"/>
      <c s="12" r="P86"/>
      <c s="12" r="Q86"/>
      <c s="12" r="R86"/>
      <c s="12" r="S86"/>
      <c s="12" r="T86"/>
    </row>
    <row r="87">
      <c t="s" s="12" r="D87">
        <v>1423</v>
      </c>
      <c t="s" s="12" r="E87">
        <v>1502</v>
      </c>
      <c s="12" r="F87">
        <v>0</v>
      </c>
      <c s="12" r="G87">
        <v>1</v>
      </c>
      <c t="s" s="12" r="H87">
        <v>1408</v>
      </c>
      <c s="12" r="I87">
        <f>COUNTIF(EXPERTISE!F4:F50,"*Gender Equity in Empowerment and Rights*")</f>
        <v>0</v>
      </c>
      <c t="s" s="12" r="J87">
        <v>1408</v>
      </c>
      <c s="12" r="K87">
        <f>COUNTIF(PROJECT!U2:U100,"*Gender Equity in Empowerment and Rights*")</f>
        <v>0</v>
      </c>
      <c s="12" r="L87"/>
      <c s="12" r="M87"/>
      <c s="12" r="N87"/>
      <c s="12" r="O87"/>
      <c s="12" r="P87"/>
      <c s="12" r="Q87"/>
      <c s="12" r="R87"/>
      <c s="12" r="S87"/>
      <c s="12" r="T87"/>
    </row>
    <row r="88">
      <c t="s" s="12" r="D88">
        <v>1423</v>
      </c>
      <c t="s" s="12" r="E88">
        <v>1503</v>
      </c>
      <c s="12" r="F88">
        <v>0</v>
      </c>
      <c s="12" r="G88">
        <v>1</v>
      </c>
      <c t="s" s="12" r="H88">
        <v>1408</v>
      </c>
      <c s="12" r="I88">
        <f>COUNTIF(EXPERTISE!F4:F50,"*Gender Equity in Opportunities*")</f>
        <v>0</v>
      </c>
      <c t="s" s="12" r="J88">
        <v>1408</v>
      </c>
      <c s="12" r="K88">
        <f>COUNTIF(PROJECT!U2:U100,"*Gender Equity in Opportunities*")</f>
        <v>0</v>
      </c>
      <c s="12" r="L88"/>
      <c s="12" r="M88"/>
      <c s="12" r="N88"/>
      <c s="12" r="O88"/>
      <c s="12" r="P88"/>
      <c s="12" r="Q88"/>
      <c s="12" r="R88"/>
      <c s="12" r="S88"/>
      <c s="12" r="T88"/>
    </row>
    <row r="89">
      <c t="s" s="12" r="D89">
        <v>1423</v>
      </c>
      <c t="s" s="12" r="E89">
        <v>1504</v>
      </c>
      <c s="12" r="F89">
        <v>0</v>
      </c>
      <c s="12" r="G89">
        <v>1</v>
      </c>
      <c t="s" s="12" r="H89">
        <v>1408</v>
      </c>
      <c s="12" r="I89">
        <f>COUNTIF(EXPERTISE!F4:F50,"*Indigenous Peoples*")</f>
        <v>0</v>
      </c>
      <c t="s" s="12" r="J89">
        <v>1408</v>
      </c>
      <c s="12" r="K89">
        <f>COUNTIF(PROJECT!U2:U100,"*Indigenous Peoples*")</f>
        <v>0</v>
      </c>
      <c s="12" r="L89"/>
      <c s="12" r="M89"/>
      <c s="12" r="N89"/>
      <c s="12" r="O89"/>
      <c s="12" r="P89"/>
      <c s="12" r="Q89"/>
      <c s="12" r="R89"/>
      <c s="12" r="S89"/>
      <c s="12" r="T89"/>
    </row>
    <row r="90">
      <c t="s" s="12" r="D90">
        <v>1423</v>
      </c>
      <c t="s" s="12" r="E90">
        <v>1505</v>
      </c>
      <c s="12" r="F90">
        <v>0</v>
      </c>
      <c s="12" r="G90">
        <v>1</v>
      </c>
      <c t="s" s="12" r="H90">
        <v>1408</v>
      </c>
      <c s="12" r="I90">
        <f>COUNTIF(EXPERTISE!F4:F50,"*Involuntary Resettlement*")</f>
        <v>0</v>
      </c>
      <c t="s" s="12" r="J90">
        <v>1408</v>
      </c>
      <c s="12" r="K90">
        <f>COUNTIF(PROJECT!U2:U100,"*Involuntary Resettlement*")</f>
        <v>0</v>
      </c>
      <c s="12" r="L90"/>
      <c s="12" r="M90"/>
      <c s="12" r="N90"/>
      <c s="12" r="O90"/>
      <c s="12" r="P90"/>
      <c s="12" r="Q90"/>
      <c s="12" r="R90"/>
      <c s="12" r="S90"/>
      <c s="12" r="T90"/>
    </row>
    <row r="91">
      <c t="s" s="12" r="D91">
        <v>1423</v>
      </c>
      <c t="s" s="12" r="E91">
        <v>1506</v>
      </c>
      <c s="12" r="F91">
        <v>0</v>
      </c>
      <c s="12" r="G91">
        <v>1</v>
      </c>
      <c t="s" s="12" r="H91">
        <v>1408</v>
      </c>
      <c s="12" r="I91">
        <f>COUNTIF(EXPERTISE!F4:F50,"*Natural Disaster Management*")</f>
        <v>0</v>
      </c>
      <c t="s" s="12" r="J91">
        <v>1408</v>
      </c>
      <c s="12" r="K91">
        <f>COUNTIF(PROJECT!U2:U100,"*Natural Disaster Management*")</f>
        <v>0</v>
      </c>
      <c s="12" r="L91"/>
      <c s="12" r="M91"/>
      <c s="12" r="N91"/>
      <c s="12" r="O91"/>
      <c s="12" r="P91"/>
      <c s="12" r="Q91"/>
      <c s="12" r="R91"/>
      <c s="12" r="S91"/>
      <c s="12" r="T91"/>
    </row>
    <row r="92">
      <c t="s" s="12" r="D92">
        <v>1423</v>
      </c>
      <c t="s" s="12" r="E92">
        <v>1507</v>
      </c>
      <c s="12" r="F92">
        <v>0</v>
      </c>
      <c s="12" r="G92">
        <v>1</v>
      </c>
      <c t="s" s="12" r="H92">
        <v>1408</v>
      </c>
      <c s="12" r="I92">
        <f>COUNTIF(EXPERTISE!F4:F50,"*Poverty Analysis*")</f>
        <v>0</v>
      </c>
      <c t="s" s="12" r="J92">
        <v>1408</v>
      </c>
      <c s="12" r="K92">
        <f>COUNTIF(PROJECT!U2:U100,"*Poverty Analysis*")</f>
        <v>0</v>
      </c>
      <c s="12" r="L92"/>
      <c s="12" r="M92"/>
      <c s="12" r="N92"/>
      <c s="12" r="O92"/>
      <c s="12" r="P92"/>
      <c s="12" r="Q92"/>
      <c s="12" r="R92"/>
      <c s="12" r="S92"/>
      <c s="12" r="T92"/>
    </row>
    <row r="93">
      <c t="s" s="12" r="D93">
        <v>1423</v>
      </c>
      <c t="s" s="12" r="E93">
        <v>1508</v>
      </c>
      <c s="12" r="F93">
        <v>0</v>
      </c>
      <c s="12" r="G93">
        <v>1</v>
      </c>
      <c t="s" s="12" r="H93">
        <v>1408</v>
      </c>
      <c s="12" r="I93">
        <f>COUNTIF(EXPERTISE!F4:F50,"*Poverty Monitoring*")</f>
        <v>0</v>
      </c>
      <c t="s" s="12" r="J93">
        <v>1408</v>
      </c>
      <c s="12" r="K93">
        <f>COUNTIF(PROJECT!U2:U100,"*Poverty Monitoring*")</f>
        <v>0</v>
      </c>
      <c s="12" r="L93"/>
      <c s="12" r="M93"/>
      <c s="12" r="N93"/>
      <c s="12" r="O93"/>
      <c s="12" r="P93"/>
      <c s="12" r="Q93"/>
      <c s="12" r="R93"/>
      <c s="12" r="S93"/>
      <c s="12" r="T93"/>
    </row>
    <row r="94">
      <c t="s" s="12" r="D94">
        <v>1423</v>
      </c>
      <c t="s" s="12" r="E94">
        <v>1509</v>
      </c>
      <c s="12" r="F94">
        <v>0</v>
      </c>
      <c s="12" r="G94">
        <v>1</v>
      </c>
      <c t="s" s="12" r="H94">
        <v>1408</v>
      </c>
      <c s="12" r="I94">
        <f>COUNTIF(EXPERTISE!F4:F50,"*Poverty Reduction Strategy*")</f>
        <v>0</v>
      </c>
      <c t="s" s="12" r="J94">
        <v>1408</v>
      </c>
      <c s="12" r="K94">
        <f>COUNTIF(PROJECT!U2:U100,"*Poverty Reduction Strategy*")</f>
        <v>0</v>
      </c>
      <c s="12" r="L94"/>
      <c s="12" r="M94"/>
      <c s="12" r="N94"/>
      <c s="12" r="O94"/>
      <c s="12" r="P94"/>
      <c s="12" r="Q94"/>
      <c s="12" r="R94"/>
      <c s="12" r="S94"/>
      <c s="12" r="T94"/>
    </row>
    <row r="95">
      <c t="s" s="12" r="D95">
        <v>1423</v>
      </c>
      <c t="s" s="12" r="E95">
        <v>1510</v>
      </c>
      <c s="12" r="F95">
        <v>0</v>
      </c>
      <c s="12" r="G95">
        <v>1</v>
      </c>
      <c t="s" s="12" r="H95">
        <v>1408</v>
      </c>
      <c s="12" r="I95">
        <f>COUNTIF(EXPERTISE!F4:F50,"*Risk Assessment*")</f>
        <v>0</v>
      </c>
      <c t="s" s="12" r="J95">
        <v>1408</v>
      </c>
      <c s="12" r="K95">
        <f>COUNTIF(PROJECT!U2:U100,"*Risk Assessment*")</f>
        <v>0</v>
      </c>
      <c s="12" r="L95"/>
      <c s="12" r="M95"/>
      <c s="12" r="N95"/>
      <c s="12" r="O95"/>
      <c s="12" r="P95"/>
      <c s="12" r="Q95"/>
      <c s="12" r="R95"/>
      <c s="12" r="S95"/>
      <c s="12" r="T95"/>
    </row>
    <row r="96">
      <c t="s" s="12" r="D96">
        <v>1423</v>
      </c>
      <c t="s" s="12" r="E96">
        <v>1511</v>
      </c>
      <c s="12" r="F96">
        <v>0</v>
      </c>
      <c s="12" r="G96">
        <v>1</v>
      </c>
      <c t="s" s="12" r="H96">
        <v>1408</v>
      </c>
      <c s="12" r="I96">
        <f>COUNTIF(EXPERTISE!F4:F50,"*Social Analysis and Monitoring*")</f>
        <v>0</v>
      </c>
      <c t="s" s="12" r="J96">
        <v>1408</v>
      </c>
      <c s="12" r="K96">
        <f>COUNTIF(PROJECT!U2:U100,"*Social Analysis and Monitoring*")</f>
        <v>0</v>
      </c>
      <c s="12" r="L96"/>
      <c s="12" r="M96"/>
      <c s="12" r="N96"/>
      <c s="12" r="O96"/>
      <c s="12" r="P96"/>
      <c s="12" r="Q96"/>
      <c s="12" r="R96"/>
      <c s="12" r="S96"/>
      <c s="12" r="T96"/>
    </row>
    <row r="97">
      <c t="s" s="12" r="D97">
        <v>1423</v>
      </c>
      <c t="s" s="12" r="E97">
        <v>1512</v>
      </c>
      <c s="12" r="F97">
        <v>0</v>
      </c>
      <c s="12" r="G97">
        <v>1</v>
      </c>
      <c t="s" s="12" r="H97">
        <v>1408</v>
      </c>
      <c s="12" r="I97">
        <f>COUNTIF(EXPERTISE!F4:F50,"*Social Inclusion*")</f>
        <v>0</v>
      </c>
      <c t="s" s="12" r="J97">
        <v>1408</v>
      </c>
      <c s="12" r="K97">
        <f>COUNTIF(PROJECT!U2:U100,"*Social Inclusion*")</f>
        <v>0</v>
      </c>
      <c s="12" r="L97"/>
      <c s="12" r="M97"/>
      <c s="12" r="N97"/>
      <c s="12" r="O97"/>
      <c s="12" r="P97"/>
      <c s="12" r="Q97"/>
      <c s="12" r="R97"/>
      <c s="12" r="S97"/>
      <c s="12" r="T97"/>
    </row>
    <row r="98">
      <c t="s" s="12" r="D98">
        <v>1423</v>
      </c>
      <c t="s" s="12" r="E98">
        <v>1513</v>
      </c>
      <c s="12" r="F98">
        <v>0</v>
      </c>
      <c s="12" r="G98">
        <v>1</v>
      </c>
      <c t="s" s="12" r="H98">
        <v>1408</v>
      </c>
      <c s="12" r="I98">
        <f>COUNTIF(EXPERTISE!F4:F50,"*Social Protection and Risk Management*")</f>
        <v>0</v>
      </c>
      <c t="s" s="12" r="J98">
        <v>1408</v>
      </c>
      <c s="12" r="K98">
        <f>COUNTIF(PROJECT!U2:U100,"*Social Protection and Risk Management*")</f>
        <v>0</v>
      </c>
      <c s="12" r="L98"/>
      <c s="12" r="M98"/>
      <c s="12" r="N98"/>
      <c s="12" r="O98"/>
      <c s="12" r="P98"/>
      <c s="12" r="Q98"/>
      <c s="12" r="R98"/>
      <c s="12" r="S98"/>
      <c s="12" r="T98"/>
    </row>
    <row r="99">
      <c t="s" s="12" r="D99">
        <v>1423</v>
      </c>
      <c t="s" s="12" r="E99">
        <v>1514</v>
      </c>
      <c s="12" r="F99">
        <v>0</v>
      </c>
      <c s="12" r="G99">
        <v>1</v>
      </c>
      <c t="s" s="12" r="H99">
        <v>1408</v>
      </c>
      <c s="12" r="I99">
        <f>COUNTIF(EXPERTISE!F4:F50,"*Social Risk Mitigation*")</f>
        <v>0</v>
      </c>
      <c t="s" s="12" r="J99">
        <v>1408</v>
      </c>
      <c s="12" r="K99">
        <f>COUNTIF(PROJECT!U2:U100,"*Social Risk Mitigation*")</f>
        <v>0</v>
      </c>
      <c s="12" r="L99"/>
      <c s="12" r="M99"/>
      <c s="12" r="N99"/>
      <c s="12" r="O99"/>
      <c s="12" r="P99"/>
      <c s="12" r="Q99"/>
      <c s="12" r="R99"/>
      <c s="12" r="S99"/>
      <c s="12" r="T99"/>
    </row>
    <row r="100">
      <c t="s" s="12" r="D100">
        <v>1423</v>
      </c>
      <c t="s" s="12" r="E100">
        <v>1515</v>
      </c>
      <c s="12" r="F100">
        <v>0</v>
      </c>
      <c s="12" r="G100">
        <v>1</v>
      </c>
      <c t="s" s="12" r="H100">
        <v>1408</v>
      </c>
      <c s="12" r="I100">
        <f>COUNTIF(EXPERTISE!F4:F50,"*Social Safety Nets*")</f>
        <v>0</v>
      </c>
      <c t="s" s="12" r="J100">
        <v>1408</v>
      </c>
      <c s="12" r="K100">
        <f>COUNTIF(PROJECT!U2:U100,"*Social Safety Nets*")</f>
        <v>0</v>
      </c>
      <c s="12" r="L100"/>
      <c s="12" r="M100"/>
      <c s="12" r="N100"/>
      <c s="12" r="O100"/>
      <c s="12" r="P100"/>
      <c s="12" r="Q100"/>
      <c s="12" r="R100"/>
      <c s="12" r="S100"/>
      <c s="12" r="T100"/>
    </row>
    <row r="101">
      <c t="s" s="12" r="D101">
        <v>1423</v>
      </c>
      <c t="s" s="12" r="E101">
        <v>1516</v>
      </c>
      <c s="12" r="F101">
        <v>0</v>
      </c>
      <c s="12" r="G101">
        <v>1</v>
      </c>
      <c t="s" s="12" r="H101">
        <v>1408</v>
      </c>
      <c s="12" r="I101">
        <f>COUNTIF(EXPERTISE!F4:F50,"*Vulnerability Assessment*")</f>
        <v>0</v>
      </c>
      <c t="s" s="12" r="J101">
        <v>1408</v>
      </c>
      <c s="12" r="K101">
        <f>COUNTIF(PROJECT!U2:U100,"*Vulnerability Assessment*")</f>
        <v>0</v>
      </c>
      <c s="12" r="L101"/>
      <c s="12" r="M101"/>
      <c s="12" r="N101"/>
      <c s="12" r="O101"/>
      <c s="12" r="P101"/>
      <c s="12" r="Q101"/>
      <c s="12" r="R101"/>
      <c s="12" r="S101"/>
      <c s="12" r="T101"/>
    </row>
    <row r="102">
      <c t="s" s="12" r="D102">
        <v>1423</v>
      </c>
      <c t="s" s="12" r="E102">
        <v>1517</v>
      </c>
      <c s="12" r="F102">
        <v>0</v>
      </c>
      <c s="12" r="G102">
        <v>1</v>
      </c>
      <c t="s" s="12" r="H102">
        <v>1408</v>
      </c>
      <c s="12" r="I102">
        <f>COUNTIF(EXPERTISE!F4:F50,"*Vulnerability Monitoring*")</f>
        <v>0</v>
      </c>
      <c t="s" s="12" r="J102">
        <v>1408</v>
      </c>
      <c s="12" r="K102">
        <f>COUNTIF(PROJECT!U2:U100,"*Vulnerability Monitoring*")</f>
        <v>0</v>
      </c>
      <c s="12" r="L102"/>
      <c s="12" r="M102"/>
      <c s="12" r="N102"/>
      <c s="12" r="O102"/>
      <c s="12" r="P102"/>
      <c s="12" r="Q102"/>
      <c s="12" r="R102"/>
      <c s="12" r="S102"/>
      <c s="12" r="T102"/>
    </row>
    <row r="103">
      <c t="s" s="12" r="D103">
        <v>1423</v>
      </c>
      <c t="s" s="12" r="E103">
        <v>1518</v>
      </c>
      <c s="12" r="F103">
        <v>0</v>
      </c>
      <c s="12" r="G103">
        <v>1</v>
      </c>
      <c t="s" s="12" r="H103">
        <v>1408</v>
      </c>
      <c s="12" r="I103">
        <f>COUNTIF(EXPERTISE!F4:F50,"*Vulnerable Groups*")</f>
        <v>0</v>
      </c>
      <c t="s" s="12" r="J103">
        <v>1408</v>
      </c>
      <c s="12" r="K103">
        <f>COUNTIF(PROJECT!U2:U100,"*Vulnerable Groups*")</f>
        <v>0</v>
      </c>
      <c s="12" r="L103"/>
      <c s="12" r="M103"/>
      <c s="12" r="N103"/>
      <c s="12" r="O103"/>
      <c s="12" r="P103"/>
      <c s="12" r="Q103"/>
      <c s="12" r="R103"/>
      <c s="12" r="S103"/>
      <c s="12" r="T103"/>
    </row>
    <row r="104">
      <c t="s" s="12" r="D104">
        <v>1425</v>
      </c>
      <c t="s" s="12" r="E104">
        <v>1519</v>
      </c>
      <c s="12" r="F104">
        <v>1</v>
      </c>
      <c s="12" r="G104">
        <v>1</v>
      </c>
      <c s="12" r="H104">
        <f>COUNTIF(EXPERTISE!E4:E50,"*Trade and Integration*")</f>
        <v>0</v>
      </c>
      <c s="12" r="I104">
        <f>COUNTIF(EXPERTISE!F4:F50,"*Cross-Border Infrastructure*")</f>
        <v>0</v>
      </c>
      <c s="12" r="J104">
        <f>COUNTIF(PROJECT!T2:T100,"*Trade and Integration*")</f>
        <v>0</v>
      </c>
      <c s="12" r="K104">
        <f>COUNTIF(PROJECT!U2:U100,"*Cross-Border Infrastructure*")</f>
        <v>0</v>
      </c>
      <c s="12" r="L104"/>
      <c s="12" r="M104"/>
      <c s="12" r="N104"/>
      <c s="12" r="O104"/>
      <c s="12" r="P104"/>
      <c s="12" r="Q104"/>
      <c s="12" r="R104"/>
      <c s="12" r="S104"/>
      <c s="12" r="T104"/>
    </row>
    <row r="105">
      <c t="s" s="12" r="D105">
        <v>1425</v>
      </c>
      <c t="s" s="12" r="E105">
        <v>1520</v>
      </c>
      <c s="12" r="F105">
        <v>0</v>
      </c>
      <c s="12" r="G105">
        <v>1</v>
      </c>
      <c t="s" s="12" r="H105">
        <v>1408</v>
      </c>
      <c s="12" r="I105">
        <f>COUNTIF(EXPERTISE!F4:F50,"*Export Development and Competitiveness*")</f>
        <v>0</v>
      </c>
      <c t="s" s="12" r="J105">
        <v>1408</v>
      </c>
      <c s="12" r="K105">
        <f>COUNTIF(PROJECT!U2:U100,"*Export Development and Competitiveness*")</f>
        <v>0</v>
      </c>
      <c s="12" r="L105"/>
      <c s="12" r="M105"/>
      <c s="12" r="N105"/>
      <c s="12" r="O105"/>
      <c s="12" r="P105"/>
      <c s="12" r="Q105"/>
      <c s="12" r="R105"/>
      <c s="12" r="S105"/>
      <c s="12" r="T105"/>
    </row>
    <row r="106">
      <c t="s" s="12" r="D106">
        <v>1425</v>
      </c>
      <c t="s" s="12" r="E106">
        <v>1521</v>
      </c>
      <c s="12" r="F106">
        <v>0</v>
      </c>
      <c s="12" r="G106">
        <v>1</v>
      </c>
      <c t="s" s="12" r="H106">
        <v>1408</v>
      </c>
      <c s="12" r="I106">
        <f>COUNTIF(EXPERTISE!F4:F50,"*International Financial Architecture*")</f>
        <v>0</v>
      </c>
      <c t="s" s="12" r="J106">
        <v>1408</v>
      </c>
      <c s="12" r="K106">
        <f>COUNTIF(PROJECT!U2:U100,"*International Financial Architecture*")</f>
        <v>0</v>
      </c>
      <c s="12" r="L106"/>
      <c s="12" r="M106"/>
      <c s="12" r="N106"/>
      <c s="12" r="O106"/>
      <c s="12" r="P106"/>
      <c s="12" r="Q106"/>
      <c s="12" r="R106"/>
      <c s="12" r="S106"/>
      <c s="12" r="T106"/>
    </row>
    <row r="107">
      <c t="s" s="12" r="D107">
        <v>1425</v>
      </c>
      <c t="s" s="12" r="E107">
        <v>1522</v>
      </c>
      <c s="12" r="F107">
        <v>0</v>
      </c>
      <c s="12" r="G107">
        <v>1</v>
      </c>
      <c t="s" s="12" r="H107">
        <v>1408</v>
      </c>
      <c s="12" r="I107">
        <f>COUNTIF(EXPERTISE!F4:F50,"*International Financial Institutional Trade Networks and Systems*")</f>
        <v>0</v>
      </c>
      <c t="s" s="12" r="J107">
        <v>1408</v>
      </c>
      <c s="12" r="K107">
        <f>COUNTIF(PROJECT!U2:U100,"*International Financial Institutional Trade Networks and Systems*")</f>
        <v>0</v>
      </c>
      <c s="12" r="L107"/>
      <c s="12" r="M107"/>
      <c s="12" r="N107"/>
      <c s="12" r="O107"/>
      <c s="12" r="P107"/>
      <c s="12" r="Q107"/>
      <c s="12" r="R107"/>
      <c s="12" r="S107"/>
      <c s="12" r="T107"/>
    </row>
    <row r="108">
      <c t="s" s="12" r="D108">
        <v>1425</v>
      </c>
      <c t="s" s="12" r="E108">
        <v>1523</v>
      </c>
      <c s="12" r="F108">
        <v>0</v>
      </c>
      <c s="12" r="G108">
        <v>1</v>
      </c>
      <c t="s" s="12" r="H108">
        <v>1408</v>
      </c>
      <c s="12" r="I108">
        <f>COUNTIF(EXPERTISE!F4:F50,"*International Financial Standards and Systems*")</f>
        <v>0</v>
      </c>
      <c t="s" s="12" r="J108">
        <v>1408</v>
      </c>
      <c s="12" r="K108">
        <f>COUNTIF(PROJECT!U2:U100,"*International Financial Standards and Systems*")</f>
        <v>0</v>
      </c>
      <c s="12" r="L108"/>
      <c s="12" r="M108"/>
      <c s="12" r="N108"/>
      <c s="12" r="O108"/>
      <c s="12" r="P108"/>
      <c s="12" r="Q108"/>
      <c s="12" r="R108"/>
      <c s="12" r="S108"/>
      <c s="12" r="T108"/>
    </row>
    <row r="109">
      <c t="s" s="12" r="D109">
        <v>1425</v>
      </c>
      <c t="s" s="12" r="E109">
        <v>1524</v>
      </c>
      <c s="12" r="F109">
        <v>0</v>
      </c>
      <c s="12" r="G109">
        <v>1</v>
      </c>
      <c t="s" s="12" r="H109">
        <v>1408</v>
      </c>
      <c s="12" r="I109">
        <f>COUNTIF(EXPERTISE!F4:F50,"*Money and Finance*")</f>
        <v>0</v>
      </c>
      <c t="s" s="12" r="J109">
        <v>1408</v>
      </c>
      <c s="12" r="K109">
        <f>COUNTIF(PROJECT!U2:U100,"*Money and Finance*")</f>
        <v>0</v>
      </c>
      <c s="12" r="L109"/>
      <c s="12" r="M109"/>
      <c s="12" r="N109"/>
      <c s="12" r="O109"/>
      <c s="12" r="P109"/>
      <c s="12" r="Q109"/>
      <c s="12" r="R109"/>
      <c s="12" r="S109"/>
      <c s="12" r="T109"/>
    </row>
    <row r="110">
      <c t="s" s="12" r="D110">
        <v>1425</v>
      </c>
      <c t="s" s="12" r="E110">
        <v>1525</v>
      </c>
      <c s="12" r="F110">
        <v>0</v>
      </c>
      <c s="12" r="G110">
        <v>1</v>
      </c>
      <c t="s" s="12" r="H110">
        <v>1408</v>
      </c>
      <c s="12" r="I110">
        <f>COUNTIF(EXPERTISE!F4:F50,"*Other Trade and Integration*")</f>
        <v>0</v>
      </c>
      <c t="s" s="12" r="J110">
        <v>1408</v>
      </c>
      <c s="12" r="K110">
        <f>COUNTIF(PROJECT!U2:U100,"*Other Trade and Integration*")</f>
        <v>0</v>
      </c>
      <c s="12" r="L110"/>
      <c s="12" r="M110"/>
      <c s="12" r="N110"/>
      <c s="12" r="O110"/>
      <c s="12" r="P110"/>
      <c s="12" r="Q110"/>
      <c s="12" r="R110"/>
      <c s="12" r="S110"/>
      <c s="12" r="T110"/>
    </row>
    <row r="111">
      <c t="s" s="12" r="D111">
        <v>1425</v>
      </c>
      <c t="s" s="12" r="E111">
        <v>1526</v>
      </c>
      <c s="12" r="F111">
        <v>0</v>
      </c>
      <c s="12" r="G111">
        <v>1</v>
      </c>
      <c t="s" s="12" r="H111">
        <v>1408</v>
      </c>
      <c s="12" r="I111">
        <f>COUNTIF(EXPERTISE!F4:F50,"*Regional Integration*")</f>
        <v>0</v>
      </c>
      <c t="s" s="12" r="J111">
        <v>1408</v>
      </c>
      <c s="12" r="K111">
        <f>COUNTIF(PROJECT!U2:U100,"*Regional Integration*")</f>
        <v>0</v>
      </c>
      <c s="12" r="L111"/>
      <c s="12" r="M111"/>
      <c s="12" r="N111"/>
      <c s="12" r="O111"/>
      <c s="12" r="P111"/>
      <c s="12" r="Q111"/>
      <c s="12" r="R111"/>
      <c s="12" r="S111"/>
      <c s="12" r="T111"/>
    </row>
    <row r="112">
      <c t="s" s="12" r="D112">
        <v>1425</v>
      </c>
      <c t="s" s="12" r="E112">
        <v>1527</v>
      </c>
      <c s="12" r="F112">
        <v>0</v>
      </c>
      <c s="12" r="G112">
        <v>1</v>
      </c>
      <c t="s" s="12" r="H112">
        <v>1408</v>
      </c>
      <c s="12" r="I112">
        <f>COUNTIF(EXPERTISE!F4:F50,"*Regional Public Goods*")</f>
        <v>0</v>
      </c>
      <c t="s" s="12" r="J112">
        <v>1408</v>
      </c>
      <c s="12" r="K112">
        <f>COUNTIF(PROJECT!U2:U100,"*Regional Public Goods*")</f>
        <v>0</v>
      </c>
      <c s="12" r="L112"/>
      <c s="12" r="M112"/>
      <c s="12" r="N112"/>
      <c s="12" r="O112"/>
      <c s="12" r="P112"/>
      <c s="12" r="Q112"/>
      <c s="12" r="R112"/>
      <c s="12" r="S112"/>
      <c s="12" r="T112"/>
    </row>
    <row r="113">
      <c t="s" s="12" r="D113">
        <v>1425</v>
      </c>
      <c t="s" s="12" r="E113">
        <v>1528</v>
      </c>
      <c s="12" r="F113">
        <v>0</v>
      </c>
      <c s="12" r="G113">
        <v>1</v>
      </c>
      <c t="s" s="12" r="H113">
        <v>1408</v>
      </c>
      <c s="12" r="I113">
        <f>COUNTIF(EXPERTISE!F4:F50,"*Technology Diffusion*")</f>
        <v>0</v>
      </c>
      <c t="s" s="12" r="J113">
        <v>1408</v>
      </c>
      <c s="12" r="K113">
        <f>COUNTIF(PROJECT!U2:U100,"*Technology Diffusion*")</f>
        <v>0</v>
      </c>
      <c s="12" r="L113"/>
      <c s="12" r="M113"/>
      <c s="12" r="N113"/>
      <c s="12" r="O113"/>
      <c s="12" r="P113"/>
      <c s="12" r="Q113"/>
      <c s="12" r="R113"/>
      <c s="12" r="S113"/>
      <c s="12" r="T113"/>
    </row>
    <row r="114">
      <c t="s" s="12" r="D114">
        <v>1425</v>
      </c>
      <c t="s" s="12" r="E114">
        <v>1529</v>
      </c>
      <c s="12" r="F114">
        <v>0</v>
      </c>
      <c s="12" r="G114">
        <v>1</v>
      </c>
      <c t="s" s="12" r="H114">
        <v>1408</v>
      </c>
      <c s="12" r="I114">
        <f>COUNTIF(EXPERTISE!F4:F50,"*Trade and Investments*")</f>
        <v>0</v>
      </c>
      <c t="s" s="12" r="J114">
        <v>1408</v>
      </c>
      <c s="12" r="K114">
        <f>COUNTIF(PROJECT!U2:U100,"*Trade and Investments*")</f>
        <v>0</v>
      </c>
      <c s="12" r="L114"/>
      <c s="12" r="M114"/>
      <c s="12" r="N114"/>
      <c s="12" r="O114"/>
      <c s="12" r="P114"/>
      <c s="12" r="Q114"/>
      <c s="12" r="R114"/>
      <c s="12" r="S114"/>
      <c s="12" r="T114"/>
    </row>
    <row r="115">
      <c t="s" s="12" r="D115">
        <v>1425</v>
      </c>
      <c t="s" s="12" r="E115">
        <v>1530</v>
      </c>
      <c s="12" r="F115">
        <v>0</v>
      </c>
      <c s="12" r="G115">
        <v>1</v>
      </c>
      <c t="s" s="12" r="H115">
        <v>1408</v>
      </c>
      <c s="12" r="I115">
        <f>COUNTIF(EXPERTISE!F4:F50,"*Trade Facilitation and Market Access*")</f>
        <v>0</v>
      </c>
      <c t="s" s="12" r="J115">
        <v>1408</v>
      </c>
      <c s="12" r="K115">
        <f>COUNTIF(PROJECT!U2:U100,"*Trade Facilitation and Market Access*")</f>
        <v>0</v>
      </c>
      <c s="12" r="L115"/>
      <c s="12" r="M115"/>
      <c s="12" r="N115"/>
      <c s="12" r="O115"/>
      <c s="12" r="P115"/>
      <c s="12" r="Q115"/>
      <c s="12" r="R115"/>
      <c s="12" r="S115"/>
      <c s="12" r="T115"/>
    </row>
    <row r="116">
      <c t="s" s="12" r="D116">
        <v>1427</v>
      </c>
      <c t="s" s="12" r="E116">
        <v>1531</v>
      </c>
      <c s="12" r="F116">
        <v>1</v>
      </c>
      <c s="12" r="G116">
        <v>1</v>
      </c>
      <c s="12" r="H116">
        <f>COUNTIF(EXPERTISE!E4:E50,"*Urban Development*")</f>
        <v>0</v>
      </c>
      <c s="12" r="I116">
        <f>COUNTIF(EXPERTISE!F4:F50,"*City-Wide Infrastructure*")</f>
        <v>0</v>
      </c>
      <c s="12" r="J116">
        <f>COUNTIF(PROJECT!T2:T100,"*Urban Development*")</f>
        <v>0</v>
      </c>
      <c s="12" r="K116">
        <f>COUNTIF(PROJECT!U2:U100,"*City-Wide Infrastructure*")</f>
        <v>0</v>
      </c>
      <c s="12" r="L116"/>
      <c s="12" r="M116"/>
      <c s="12" r="N116"/>
      <c s="12" r="O116"/>
      <c s="12" r="P116"/>
      <c s="12" r="Q116"/>
      <c s="12" r="R116"/>
      <c s="12" r="S116"/>
      <c s="12" r="T116"/>
    </row>
    <row r="117">
      <c t="s" s="12" r="D117">
        <v>1427</v>
      </c>
      <c t="s" s="12" r="E117">
        <v>1532</v>
      </c>
      <c s="12" r="F117">
        <v>0</v>
      </c>
      <c s="12" r="G117">
        <v>1</v>
      </c>
      <c t="s" s="12" r="H117">
        <v>1408</v>
      </c>
      <c s="12" r="I117">
        <f>COUNTIF(EXPERTISE!F4:F50,"*Housing Construction for the Poor*")</f>
        <v>0</v>
      </c>
      <c t="s" s="12" r="J117">
        <v>1408</v>
      </c>
      <c s="12" r="K117">
        <f>COUNTIF(PROJECT!U2:U100,"*Housing Construction for the Poor*")</f>
        <v>0</v>
      </c>
      <c s="12" r="L117"/>
      <c s="12" r="M117"/>
      <c s="12" r="N117"/>
      <c s="12" r="O117"/>
      <c s="12" r="P117"/>
      <c s="12" r="Q117"/>
      <c s="12" r="R117"/>
      <c s="12" r="S117"/>
      <c s="12" r="T117"/>
    </row>
    <row r="118">
      <c t="s" s="12" r="D118">
        <v>1427</v>
      </c>
      <c t="s" s="12" r="E118">
        <v>1533</v>
      </c>
      <c s="12" r="F118">
        <v>0</v>
      </c>
      <c s="12" r="G118">
        <v>1</v>
      </c>
      <c t="s" s="12" r="H118">
        <v>1408</v>
      </c>
      <c s="12" r="I118">
        <f>COUNTIF(EXPERTISE!F4:F50,"*Housing Policy for the Poor*")</f>
        <v>0</v>
      </c>
      <c t="s" s="12" r="J118">
        <v>1408</v>
      </c>
      <c s="12" r="K118">
        <f>COUNTIF(PROJECT!U2:U100,"*Housing Policy for the Poor*")</f>
        <v>0</v>
      </c>
      <c s="12" r="L118"/>
      <c s="12" r="M118"/>
      <c s="12" r="N118"/>
      <c s="12" r="O118"/>
      <c s="12" r="P118"/>
      <c s="12" r="Q118"/>
      <c s="12" r="R118"/>
      <c s="12" r="S118"/>
      <c s="12" r="T118"/>
    </row>
    <row r="119">
      <c t="s" s="12" r="D119">
        <v>1427</v>
      </c>
      <c t="s" s="12" r="E119">
        <v>1534</v>
      </c>
      <c s="12" r="F119">
        <v>0</v>
      </c>
      <c s="12" r="G119">
        <v>1</v>
      </c>
      <c t="s" s="12" r="H119">
        <v>1408</v>
      </c>
      <c s="12" r="I119">
        <f>COUNTIF(EXPERTISE!F4:F50,"*Municipal Finance*")</f>
        <v>0</v>
      </c>
      <c t="s" s="12" r="J119">
        <v>1408</v>
      </c>
      <c s="12" r="K119">
        <f>COUNTIF(PROJECT!U2:U100,"*Municipal Finance*")</f>
        <v>0</v>
      </c>
      <c s="12" r="L119"/>
      <c s="12" r="M119"/>
      <c s="12" r="N119"/>
      <c s="12" r="O119"/>
      <c s="12" r="P119"/>
      <c s="12" r="Q119"/>
      <c s="12" r="R119"/>
      <c s="12" r="S119"/>
      <c s="12" r="T119"/>
    </row>
    <row r="120">
      <c t="s" s="12" r="D120">
        <v>1427</v>
      </c>
      <c t="s" s="12" r="E120">
        <v>1535</v>
      </c>
      <c s="12" r="F120">
        <v>0</v>
      </c>
      <c s="12" r="G120">
        <v>1</v>
      </c>
      <c t="s" s="12" r="H120">
        <v>1408</v>
      </c>
      <c s="12" r="I120">
        <f>COUNTIF(EXPERTISE!F4:F50,"*Municipal Governance and Institution Building*")</f>
        <v>0</v>
      </c>
      <c t="s" s="12" r="J120">
        <v>1408</v>
      </c>
      <c s="12" r="K120">
        <f>COUNTIF(PROJECT!U2:U100,"*Municipal Governance and Institution Building*")</f>
        <v>0</v>
      </c>
      <c s="12" r="L120"/>
      <c s="12" r="M120"/>
      <c s="12" r="N120"/>
      <c s="12" r="O120"/>
      <c s="12" r="P120"/>
      <c s="12" r="Q120"/>
      <c s="12" r="R120"/>
      <c s="12" r="S120"/>
      <c s="12" r="T120"/>
    </row>
    <row r="121">
      <c t="s" s="12" r="D121">
        <v>1427</v>
      </c>
      <c t="s" s="12" r="E121">
        <v>1536</v>
      </c>
      <c s="12" r="F121">
        <v>0</v>
      </c>
      <c s="12" r="G121">
        <v>1</v>
      </c>
      <c t="s" s="12" r="H121">
        <v>1408</v>
      </c>
      <c s="12" r="I121">
        <f>COUNTIF(EXPERTISE!F4:F50,"*Service Delivery*")</f>
        <v>0</v>
      </c>
      <c t="s" s="12" r="J121">
        <v>1408</v>
      </c>
      <c s="12" r="K121">
        <f>COUNTIF(PROJECT!U2:U100,"*Service Delivery*")</f>
        <v>0</v>
      </c>
      <c s="12" r="L121"/>
      <c s="12" r="M121"/>
      <c s="12" r="N121"/>
      <c s="12" r="O121"/>
      <c s="12" r="P121"/>
      <c s="12" r="Q121"/>
      <c s="12" r="R121"/>
      <c s="12" r="S121"/>
      <c s="12" r="T121"/>
    </row>
    <row r="122">
      <c t="s" s="12" r="D122">
        <v>1427</v>
      </c>
      <c t="s" s="12" r="E122">
        <v>1537</v>
      </c>
      <c s="12" r="F122">
        <v>0</v>
      </c>
      <c s="12" r="G122">
        <v>1</v>
      </c>
      <c t="s" s="12" r="H122">
        <v>1408</v>
      </c>
      <c s="12" r="I122">
        <f>COUNTIF(EXPERTISE!F4:F50,"*Urban Development -regional*")</f>
        <v>0</v>
      </c>
      <c t="s" s="12" r="J122">
        <v>1408</v>
      </c>
      <c s="12" r="K122">
        <f>COUNTIF(PROJECT!U2:U100,"*Urban Development -regional*")</f>
        <v>0</v>
      </c>
      <c s="12" r="L122"/>
      <c s="12" r="M122"/>
      <c s="12" r="N122"/>
      <c s="12" r="O122"/>
      <c s="12" r="P122"/>
      <c s="12" r="Q122"/>
      <c s="12" r="R122"/>
      <c s="12" r="S122"/>
      <c s="12" r="T122"/>
    </row>
    <row r="123">
      <c t="s" s="12" r="D123">
        <v>1427</v>
      </c>
      <c t="s" s="12" r="E123">
        <v>1538</v>
      </c>
      <c s="12" r="F123">
        <v>0</v>
      </c>
      <c s="12" r="G123">
        <v>1</v>
      </c>
      <c t="s" s="12" r="H123">
        <v>1408</v>
      </c>
      <c s="12" r="I123">
        <f>COUNTIF(EXPERTISE!F4:F50,"*Urban Economic Development*")</f>
        <v>0</v>
      </c>
      <c t="s" s="12" r="J123">
        <v>1408</v>
      </c>
      <c s="12" r="K123">
        <f>COUNTIF(PROJECT!U2:U100,"*Urban Economic Development*")</f>
        <v>0</v>
      </c>
      <c s="12" r="L123"/>
      <c s="12" r="M123"/>
      <c s="12" r="N123"/>
      <c s="12" r="O123"/>
      <c s="12" r="P123"/>
      <c s="12" r="Q123"/>
      <c s="12" r="R123"/>
      <c s="12" r="S123"/>
      <c s="12" r="T123"/>
    </row>
    <row r="124">
      <c t="s" s="12" r="D124">
        <v>1427</v>
      </c>
      <c t="s" s="12" r="E124">
        <v>1539</v>
      </c>
      <c s="12" r="F124">
        <v>0</v>
      </c>
      <c s="12" r="G124">
        <v>1</v>
      </c>
      <c t="s" s="12" r="H124">
        <v>1408</v>
      </c>
      <c s="12" r="I124">
        <f>COUNTIF(EXPERTISE!F4:F50,"*Urban Planning*")</f>
        <v>0</v>
      </c>
      <c t="s" s="12" r="J124">
        <v>1408</v>
      </c>
      <c s="12" r="K124">
        <f>COUNTIF(PROJECT!U2:U100,"*Urban Planning*")</f>
        <v>0</v>
      </c>
      <c s="12" r="L124"/>
      <c s="12" r="M124"/>
      <c s="12" r="N124"/>
      <c s="12" r="O124"/>
      <c s="12" r="P124"/>
      <c s="12" r="Q124"/>
      <c s="12" r="R124"/>
      <c s="12" r="S124"/>
      <c s="12" r="T124"/>
    </row>
    <row r="125">
      <c t="s" s="12" r="D125">
        <v>1427</v>
      </c>
      <c t="s" s="12" r="E125">
        <v>1540</v>
      </c>
      <c s="12" r="F125">
        <v>0</v>
      </c>
      <c s="12" r="G125">
        <v>1</v>
      </c>
      <c t="s" s="12" r="H125">
        <v>1408</v>
      </c>
      <c s="12" r="I125">
        <f>COUNTIF(EXPERTISE!F4:F50,"*Urban Services*")</f>
        <v>0</v>
      </c>
      <c t="s" s="12" r="J125">
        <v>1408</v>
      </c>
      <c s="12" r="K125">
        <f>COUNTIF(PROJECT!U2:U100,"*Urban Services*")</f>
        <v>0</v>
      </c>
      <c s="12" r="L125"/>
      <c s="12" r="M125"/>
      <c s="12" r="N125"/>
      <c s="12" r="O125"/>
      <c s="12" r="P125"/>
      <c s="12" r="Q125"/>
      <c s="12" r="R125"/>
      <c s="12" r="S125"/>
      <c s="12" r="T125"/>
    </row>
    <row r="126">
      <c s="12" r="D126"/>
      <c s="12" r="E126"/>
      <c s="12" r="F126"/>
      <c s="12" r="G126"/>
      <c s="12" r="H126"/>
      <c s="12" r="I126"/>
      <c s="12" r="J126"/>
      <c s="12" r="K126"/>
      <c s="12" r="L126"/>
      <c s="12" r="M126"/>
      <c s="12" r="N126"/>
      <c s="12" r="O126"/>
      <c s="12" r="P126"/>
      <c s="12" r="Q126"/>
      <c s="12" r="R126"/>
      <c s="12" r="S126"/>
      <c s="12" r="T126"/>
    </row>
    <row r="127">
      <c s="12" r="D127"/>
      <c s="12" r="E127"/>
      <c s="12" r="F127"/>
      <c s="12" r="G127"/>
      <c s="12" r="H127"/>
      <c s="12" r="I127"/>
      <c s="12" r="J127"/>
      <c s="12" r="K127"/>
      <c s="12" r="L127"/>
      <c s="12" r="M127"/>
      <c s="12" r="N127"/>
      <c s="12" r="O127"/>
      <c s="12" r="P127"/>
      <c s="12" r="Q127"/>
      <c s="12" r="R127"/>
      <c s="12" r="S127"/>
      <c s="12" r="T127"/>
    </row>
    <row r="128">
      <c s="12" r="D128"/>
      <c s="12" r="E128"/>
      <c s="12" r="F128"/>
      <c s="12" r="G128"/>
      <c s="12" r="H128"/>
      <c s="12" r="I128"/>
      <c s="12" r="J128"/>
      <c s="12" r="K128"/>
      <c s="12" r="L128"/>
      <c s="12" r="M128"/>
      <c s="12" r="N128"/>
      <c s="12" r="O128"/>
      <c s="12" r="P128"/>
      <c s="12" r="Q128"/>
      <c s="12" r="R128"/>
      <c s="12" r="S128"/>
      <c s="12" r="T128"/>
    </row>
    <row r="129">
      <c s="12" r="D129"/>
      <c s="12" r="E129"/>
      <c s="12" r="F129"/>
      <c s="12" r="G129"/>
      <c s="12" r="H129"/>
      <c s="12" r="I129"/>
      <c s="12" r="J129"/>
      <c s="12" r="K129"/>
      <c s="12" r="L129"/>
      <c s="12" r="M129"/>
      <c s="12" r="N129"/>
      <c s="12" r="O129"/>
      <c s="12" r="P129"/>
      <c s="12" r="Q129"/>
      <c s="12" r="R129"/>
      <c s="12" r="S129"/>
      <c s="12" r="T129"/>
    </row>
    <row r="130">
      <c s="12" r="D130"/>
      <c s="12" r="E130"/>
      <c s="12" r="F130"/>
      <c s="12" r="G130"/>
      <c s="12" r="H130"/>
      <c s="12" r="I130"/>
      <c s="12" r="J130"/>
      <c s="12" r="K130"/>
      <c s="12" r="L130"/>
      <c s="12" r="M130"/>
      <c s="12" r="N130"/>
      <c s="12" r="O130"/>
      <c s="12" r="P130"/>
      <c s="12" r="Q130"/>
      <c s="12" r="R130"/>
      <c s="12" r="S130"/>
      <c s="12" r="T130"/>
    </row>
    <row r="131">
      <c s="12" r="D131"/>
      <c s="12" r="E131"/>
      <c s="12" r="F131"/>
      <c s="12" r="G131"/>
      <c s="12" r="H131"/>
      <c s="12" r="I131"/>
      <c s="12" r="J131"/>
      <c s="12" r="K131"/>
      <c s="12" r="L131"/>
      <c s="12" r="M131"/>
      <c s="12" r="N131"/>
      <c s="12" r="O131"/>
      <c s="12" r="P131"/>
      <c s="12" r="Q131"/>
      <c s="12" r="R131"/>
      <c s="12" r="S131"/>
      <c s="12" r="T131"/>
    </row>
    <row r="132">
      <c s="12" r="D132"/>
      <c s="12" r="E132"/>
      <c s="12" r="F132"/>
      <c s="12" r="G132"/>
      <c s="12" r="H132"/>
      <c s="12" r="I132"/>
      <c s="12" r="J132"/>
      <c s="12" r="K132"/>
      <c s="12" r="L132"/>
      <c s="12" r="M132"/>
      <c s="12" r="N132"/>
      <c s="12" r="O132"/>
      <c s="12" r="P132"/>
      <c s="12" r="Q132"/>
      <c s="12" r="R132"/>
      <c s="12" r="S132"/>
      <c s="12" r="T132"/>
    </row>
    <row r="133">
      <c s="12" r="D133"/>
      <c s="12" r="E133"/>
      <c s="12" r="F133"/>
      <c s="12" r="G133"/>
      <c s="12" r="H133"/>
      <c s="12" r="I133"/>
      <c s="12" r="J133"/>
      <c s="12" r="K133"/>
      <c s="12" r="L133"/>
      <c s="12" r="M133"/>
      <c s="12" r="N133"/>
      <c s="12" r="O133"/>
      <c s="12" r="P133"/>
      <c s="12" r="Q133"/>
      <c s="12" r="R133"/>
      <c s="12" r="S133"/>
      <c s="12" r="T133"/>
    </row>
    <row r="134">
      <c s="12" r="D134"/>
      <c s="12" r="E134"/>
      <c s="12" r="F134"/>
      <c s="12" r="G134"/>
      <c s="12" r="H134"/>
      <c s="12" r="I134"/>
      <c s="12" r="J134"/>
      <c s="12" r="K134"/>
      <c s="12" r="L134"/>
      <c s="12" r="M134"/>
      <c s="12" r="N134"/>
      <c s="12" r="O134"/>
      <c s="12" r="P134"/>
      <c s="12" r="Q134"/>
      <c s="12" r="R134"/>
      <c s="12" r="S134"/>
      <c s="12" r="T134"/>
    </row>
    <row r="135">
      <c s="12" r="D135"/>
      <c s="12" r="E135"/>
      <c s="12" r="F135"/>
      <c s="12" r="G135"/>
      <c s="12" r="H135"/>
      <c s="12" r="I135"/>
      <c s="12" r="J135"/>
      <c s="12" r="K135"/>
      <c s="12" r="L135"/>
      <c s="12" r="M135"/>
      <c s="12" r="N135"/>
      <c s="12" r="O135"/>
      <c s="12" r="P135"/>
      <c s="12" r="Q135"/>
      <c s="12" r="R135"/>
      <c s="12" r="S135"/>
      <c s="12" r="T135"/>
    </row>
    <row r="136">
      <c s="12" r="D136"/>
      <c s="12" r="E136"/>
      <c s="12" r="F136"/>
      <c s="12" r="G136"/>
      <c s="12" r="H136"/>
      <c s="12" r="I136"/>
      <c s="12" r="J136"/>
      <c s="12" r="K136"/>
      <c s="12" r="L136"/>
      <c s="12" r="M136"/>
      <c s="12" r="N136"/>
      <c s="12" r="O136"/>
      <c s="12" r="P136"/>
      <c s="12" r="Q136"/>
      <c s="12" r="R136"/>
      <c s="12" r="S136"/>
      <c s="12" r="T136"/>
    </row>
    <row r="137">
      <c s="12" r="D137"/>
      <c s="12" r="E137"/>
      <c s="12" r="F137"/>
      <c s="12" r="G137"/>
      <c s="12" r="H137"/>
      <c s="12" r="I137"/>
      <c s="12" r="J137"/>
      <c s="12" r="K137"/>
      <c s="12" r="L137"/>
      <c s="12" r="M137"/>
      <c s="12" r="N137"/>
      <c s="12" r="O137"/>
      <c s="12" r="P137"/>
      <c s="12" r="Q137"/>
      <c s="12" r="R137"/>
      <c s="12" r="S137"/>
      <c s="12" r="T137"/>
    </row>
    <row r="138">
      <c s="12" r="D138"/>
      <c s="12" r="E138"/>
      <c s="12" r="F138"/>
      <c s="12" r="G138"/>
      <c s="12" r="H138"/>
      <c s="12" r="I138"/>
      <c s="12" r="J138"/>
      <c s="12" r="K138"/>
      <c s="12" r="L138"/>
      <c s="12" r="M138"/>
      <c s="12" r="N138"/>
      <c s="12" r="O138"/>
      <c s="12" r="P138"/>
      <c s="12" r="Q138"/>
      <c s="12" r="R138"/>
      <c s="12" r="S138"/>
      <c s="12" r="T138"/>
    </row>
    <row r="139">
      <c s="12" r="D139"/>
      <c s="12" r="E139"/>
      <c s="12" r="F139"/>
      <c s="12" r="G139"/>
      <c s="12" r="H139"/>
      <c s="12" r="I139"/>
      <c s="12" r="J139"/>
      <c s="12" r="K139"/>
      <c s="12" r="L139"/>
      <c s="12" r="M139"/>
      <c s="12" r="N139"/>
      <c s="12" r="O139"/>
      <c s="12" r="P139"/>
      <c s="12" r="Q139"/>
      <c s="12" r="R139"/>
      <c s="12" r="S139"/>
      <c s="12" r="T139"/>
    </row>
    <row r="140">
      <c s="12" r="D140"/>
      <c s="12" r="E140"/>
      <c s="12" r="F140"/>
      <c s="12" r="G140"/>
      <c s="12" r="H140"/>
      <c s="12" r="I140"/>
      <c s="12" r="J140"/>
      <c s="12" r="K140"/>
      <c s="12" r="L140"/>
      <c s="12" r="M140"/>
      <c s="12" r="N140"/>
      <c s="12" r="O140"/>
      <c s="12" r="P140"/>
      <c s="12" r="Q140"/>
      <c s="12" r="R140"/>
      <c s="12" r="S140"/>
      <c s="12" r="T140"/>
    </row>
    <row r="141">
      <c s="12" r="D141"/>
      <c s="12" r="E141"/>
      <c s="12" r="F141"/>
      <c s="12" r="G141"/>
      <c s="12" r="H141"/>
      <c s="12" r="I141"/>
      <c s="12" r="J141"/>
      <c s="12" r="K141"/>
      <c s="12" r="L141"/>
      <c s="12" r="M141"/>
      <c s="12" r="N141"/>
      <c s="12" r="O141"/>
      <c s="12" r="P141"/>
      <c s="12" r="Q141"/>
      <c s="12" r="R141"/>
      <c s="12" r="S141"/>
      <c s="12" r="T141"/>
    </row>
    <row r="142">
      <c s="12" r="D142"/>
      <c s="12" r="E142"/>
      <c s="12" r="F142"/>
      <c s="12" r="G142"/>
      <c s="12" r="H142"/>
      <c s="12" r="I142"/>
      <c s="12" r="J142"/>
      <c s="12" r="K142"/>
      <c s="12" r="L142"/>
      <c s="12" r="M142"/>
      <c s="12" r="N142"/>
      <c s="12" r="O142"/>
      <c s="12" r="P142"/>
      <c s="12" r="Q142"/>
      <c s="12" r="R142"/>
      <c s="12" r="S142"/>
      <c s="12" r="T142"/>
    </row>
    <row r="143">
      <c s="12" r="D143"/>
      <c s="12" r="E143"/>
      <c s="12" r="F143"/>
      <c s="12" r="G143"/>
      <c s="12" r="H143"/>
      <c s="12" r="I143"/>
      <c s="12" r="J143"/>
      <c s="12" r="K143"/>
      <c s="12" r="L143"/>
      <c s="12" r="M143"/>
      <c s="12" r="N143"/>
      <c s="12" r="O143"/>
      <c s="12" r="P143"/>
      <c s="12" r="Q143"/>
      <c s="12" r="R143"/>
      <c s="12" r="S143"/>
      <c s="12" r="T143"/>
    </row>
    <row r="144">
      <c s="12" r="D144"/>
      <c s="12" r="E144"/>
      <c s="12" r="F144"/>
      <c s="12" r="G144"/>
      <c s="12" r="H144"/>
      <c s="12" r="I144"/>
      <c s="12" r="J144"/>
      <c s="12" r="K144"/>
      <c s="12" r="L144"/>
      <c s="12" r="M144"/>
      <c s="12" r="N144"/>
      <c s="12" r="O144"/>
      <c s="12" r="P144"/>
      <c s="12" r="Q144"/>
      <c s="12" r="R144"/>
      <c s="12" r="S144"/>
      <c s="12" r="T144"/>
    </row>
    <row r="145">
      <c s="12" r="D145"/>
      <c s="12" r="E145"/>
      <c s="12" r="F145"/>
      <c s="12" r="G145"/>
      <c s="12" r="H145"/>
      <c s="12" r="I145"/>
      <c s="12" r="J145"/>
      <c s="12" r="K145"/>
      <c s="12" r="L145"/>
      <c s="12" r="M145"/>
      <c s="12" r="N145"/>
      <c s="12" r="O145"/>
      <c s="12" r="P145"/>
      <c s="12" r="Q145"/>
      <c s="12" r="R145"/>
      <c s="12" r="S145"/>
      <c s="12" r="T145"/>
    </row>
    <row r="146">
      <c s="12" r="D146"/>
      <c s="12" r="E146"/>
      <c s="12" r="F146"/>
      <c s="12" r="G146"/>
      <c s="12" r="H146"/>
      <c s="12" r="I146"/>
      <c s="12" r="J146"/>
      <c s="12" r="K146"/>
      <c s="12" r="L146"/>
      <c s="12" r="M146"/>
      <c s="12" r="N146"/>
      <c s="12" r="O146"/>
      <c s="12" r="P146"/>
      <c s="12" r="Q146"/>
      <c s="12" r="R146"/>
      <c s="12" r="S146"/>
      <c s="12" r="T146"/>
    </row>
    <row r="147">
      <c s="12" r="D147"/>
      <c s="12" r="E147"/>
      <c s="12" r="F147"/>
      <c s="12" r="G147"/>
      <c s="12" r="H147"/>
      <c s="12" r="I147"/>
      <c s="12" r="J147"/>
      <c s="12" r="K147"/>
      <c s="12" r="L147"/>
      <c s="12" r="M147"/>
      <c s="12" r="N147"/>
      <c s="12" r="O147"/>
      <c s="12" r="P147"/>
      <c s="12" r="Q147"/>
      <c s="12" r="R147"/>
      <c s="12" r="S147"/>
      <c s="12" r="T147"/>
    </row>
    <row r="148">
      <c s="12" r="D148"/>
      <c s="12" r="E148"/>
      <c s="12" r="F148"/>
      <c s="12" r="G148"/>
      <c s="12" r="H148"/>
      <c s="12" r="I148"/>
      <c s="12" r="J148"/>
      <c s="12" r="K148"/>
      <c s="12" r="L148"/>
      <c s="12" r="M148"/>
      <c s="12" r="N148"/>
      <c s="12" r="O148"/>
      <c s="12" r="P148"/>
      <c s="12" r="Q148"/>
      <c s="12" r="R148"/>
      <c s="12" r="S148"/>
      <c s="12" r="T148"/>
    </row>
    <row r="149">
      <c s="12" r="D149"/>
      <c s="12" r="E149"/>
      <c s="12" r="F149"/>
      <c s="12" r="G149"/>
      <c s="12" r="H149"/>
      <c s="12" r="I149"/>
      <c s="12" r="J149"/>
      <c s="12" r="K149"/>
      <c s="12" r="L149"/>
      <c s="12" r="M149"/>
      <c s="12" r="N149"/>
      <c s="12" r="O149"/>
      <c s="12" r="P149"/>
      <c s="12" r="Q149"/>
      <c s="12" r="R149"/>
      <c s="12" r="S149"/>
      <c s="12" r="T149"/>
    </row>
    <row r="150">
      <c s="12" r="D150"/>
      <c s="12" r="E150"/>
      <c s="12" r="F150"/>
      <c s="12" r="G150"/>
      <c s="12" r="H150"/>
      <c s="12" r="I150"/>
      <c s="12" r="J150"/>
      <c s="12" r="K150"/>
      <c s="12" r="L150"/>
      <c s="12" r="M150"/>
      <c s="12" r="N150"/>
      <c s="12" r="O150"/>
      <c s="12" r="P150"/>
      <c s="12" r="Q150"/>
      <c s="12" r="R150"/>
      <c s="12" r="S150"/>
      <c s="12" r="T150"/>
    </row>
    <row r="151">
      <c s="12" r="D151"/>
      <c s="12" r="E151"/>
      <c s="12" r="F151"/>
      <c s="12" r="G151"/>
      <c s="12" r="H151"/>
      <c s="12" r="I151"/>
      <c s="12" r="J151"/>
      <c s="12" r="K151"/>
      <c s="12" r="L151"/>
      <c s="12" r="M151"/>
      <c s="12" r="N151"/>
      <c s="12" r="O151"/>
      <c s="12" r="P151"/>
      <c s="12" r="Q151"/>
      <c s="12" r="R151"/>
      <c s="12" r="S151"/>
      <c s="12" r="T151"/>
    </row>
    <row r="152">
      <c s="12" r="D152"/>
      <c s="12" r="E152"/>
      <c s="12" r="F152"/>
      <c s="12" r="G152"/>
      <c s="12" r="H152"/>
      <c s="12" r="I152"/>
      <c s="12" r="J152"/>
      <c s="12" r="K152"/>
      <c s="12" r="L152"/>
      <c s="12" r="M152"/>
      <c s="12" r="N152"/>
      <c s="12" r="O152"/>
      <c s="12" r="P152"/>
      <c s="12" r="Q152"/>
      <c s="12" r="R152"/>
      <c s="12" r="S152"/>
      <c s="12" r="T152"/>
    </row>
    <row r="153">
      <c s="12" r="D153"/>
      <c s="12" r="E153"/>
      <c s="12" r="F153"/>
      <c s="12" r="G153"/>
      <c s="12" r="H153"/>
      <c s="12" r="I153"/>
      <c s="12" r="J153"/>
      <c s="12" r="K153"/>
      <c s="12" r="L153"/>
      <c s="12" r="M153"/>
      <c s="12" r="N153"/>
      <c s="12" r="O153"/>
      <c s="12" r="P153"/>
      <c s="12" r="Q153"/>
      <c s="12" r="R153"/>
      <c s="12" r="S153"/>
      <c s="12" r="T153"/>
    </row>
    <row r="154">
      <c s="12" r="D154"/>
      <c s="12" r="E154"/>
      <c s="12" r="F154"/>
      <c s="12" r="G154"/>
      <c s="12" r="H154"/>
      <c s="12" r="I154"/>
      <c s="12" r="J154"/>
      <c s="12" r="K154"/>
      <c s="12" r="L154"/>
      <c s="12" r="M154"/>
      <c s="12" r="N154"/>
      <c s="12" r="O154"/>
      <c s="12" r="P154"/>
      <c s="12" r="Q154"/>
      <c s="12" r="R154"/>
      <c s="12" r="S154"/>
      <c s="12" r="T154"/>
    </row>
    <row r="155">
      <c s="12" r="D155"/>
      <c s="12" r="E155"/>
      <c s="12" r="F155"/>
      <c s="12" r="G155"/>
      <c s="12" r="H155"/>
      <c s="12" r="I155"/>
      <c s="12" r="J155"/>
      <c s="12" r="K155"/>
      <c s="12" r="L155"/>
      <c s="12" r="M155"/>
      <c s="12" r="N155"/>
      <c s="12" r="O155"/>
      <c s="12" r="P155"/>
      <c s="12" r="Q155"/>
      <c s="12" r="R155"/>
      <c s="12" r="S155"/>
      <c s="12" r="T155"/>
    </row>
    <row r="156">
      <c s="12" r="D156"/>
      <c s="12" r="E156"/>
      <c s="12" r="F156"/>
      <c s="12" r="G156"/>
      <c s="12" r="H156"/>
      <c s="12" r="I156"/>
      <c s="12" r="J156"/>
      <c s="12" r="K156"/>
      <c s="12" r="L156"/>
      <c s="12" r="M156"/>
      <c s="12" r="N156"/>
      <c s="12" r="O156"/>
      <c s="12" r="P156"/>
      <c s="12" r="Q156"/>
      <c s="12" r="R156"/>
      <c s="12" r="S156"/>
      <c s="12" r="T156"/>
    </row>
    <row r="157">
      <c s="12" r="D157"/>
      <c s="12" r="E157"/>
      <c s="12" r="F157"/>
      <c s="12" r="G157"/>
      <c s="12" r="H157"/>
      <c s="12" r="I157"/>
      <c s="12" r="J157"/>
      <c s="12" r="K157"/>
      <c s="12" r="L157"/>
      <c s="12" r="M157"/>
      <c s="12" r="N157"/>
      <c s="12" r="O157"/>
      <c s="12" r="P157"/>
      <c s="12" r="Q157"/>
      <c s="12" r="R157"/>
      <c s="12" r="S157"/>
      <c s="12" r="T157"/>
    </row>
    <row r="158">
      <c s="12" r="D158"/>
      <c s="12" r="E158"/>
      <c s="12" r="F158"/>
      <c s="12" r="G158"/>
      <c s="12" r="H158"/>
      <c s="12" r="I158"/>
      <c s="12" r="J158"/>
      <c s="12" r="K158"/>
      <c s="12" r="L158"/>
      <c s="12" r="M158"/>
      <c s="12" r="N158"/>
      <c s="12" r="O158"/>
      <c s="12" r="P158"/>
      <c s="12" r="Q158"/>
      <c s="12" r="R158"/>
      <c s="12" r="S158"/>
      <c s="12" r="T158"/>
    </row>
    <row r="159">
      <c s="12" r="D159"/>
      <c s="12" r="E159"/>
      <c s="12" r="F159"/>
      <c s="12" r="G159"/>
      <c s="12" r="H159"/>
      <c s="12" r="I159"/>
      <c s="12" r="J159"/>
      <c s="12" r="K159"/>
      <c s="12" r="L159"/>
      <c s="12" r="M159"/>
      <c s="12" r="N159"/>
      <c s="12" r="O159"/>
      <c s="12" r="P159"/>
      <c s="12" r="Q159"/>
      <c s="12" r="R159"/>
      <c s="12" r="S159"/>
      <c s="12" r="T159"/>
    </row>
    <row r="160">
      <c s="12" r="D160"/>
      <c s="12" r="E160"/>
      <c s="12" r="F160"/>
      <c s="12" r="G160"/>
      <c s="12" r="H160"/>
      <c s="12" r="I160"/>
      <c s="12" r="J160"/>
      <c s="12" r="K160"/>
      <c s="12" r="L160"/>
      <c s="12" r="M160"/>
      <c s="12" r="N160"/>
      <c s="12" r="O160"/>
      <c s="12" r="P160"/>
      <c s="12" r="Q160"/>
      <c s="12" r="R160"/>
      <c s="12" r="S160"/>
      <c s="12" r="T160"/>
    </row>
    <row r="161">
      <c s="12" r="D161"/>
      <c s="12" r="E161"/>
      <c s="12" r="F161"/>
      <c s="12" r="G161"/>
      <c s="12" r="H161"/>
      <c s="12" r="I161"/>
      <c s="12" r="J161"/>
      <c s="12" r="K161"/>
      <c s="12" r="L161"/>
      <c s="12" r="M161"/>
      <c s="12" r="N161"/>
      <c s="12" r="O161"/>
      <c s="12" r="P161"/>
      <c s="12" r="Q161"/>
      <c s="12" r="R161"/>
      <c s="12" r="S161"/>
      <c s="12" r="T161"/>
    </row>
    <row r="162">
      <c s="12" r="D162"/>
      <c s="12" r="E162"/>
      <c s="12" r="F162"/>
      <c s="12" r="G162"/>
      <c s="12" r="H162"/>
      <c s="12" r="I162"/>
      <c s="12" r="J162"/>
      <c s="12" r="K162"/>
      <c s="12" r="L162"/>
      <c s="12" r="M162"/>
      <c s="12" r="N162"/>
      <c s="12" r="O162"/>
      <c s="12" r="P162"/>
      <c s="12" r="Q162"/>
      <c s="12" r="R162"/>
      <c s="12" r="S162"/>
      <c s="12" r="T162"/>
    </row>
    <row r="163">
      <c s="12" r="D163"/>
      <c s="12" r="E163"/>
      <c s="12" r="F163"/>
      <c s="12" r="G163"/>
      <c s="12" r="H163"/>
      <c s="12" r="I163"/>
      <c s="12" r="J163"/>
      <c s="12" r="K163"/>
      <c s="12" r="L163"/>
      <c s="12" r="M163"/>
      <c s="12" r="N163"/>
      <c s="12" r="O163"/>
      <c s="12" r="P163"/>
      <c s="12" r="Q163"/>
      <c s="12" r="R163"/>
      <c s="12" r="S163"/>
      <c s="12" r="T163"/>
    </row>
    <row r="164">
      <c s="12" r="D164"/>
      <c s="12" r="E164"/>
      <c s="12" r="F164"/>
      <c s="12" r="G164"/>
      <c s="12" r="H164"/>
      <c s="12" r="I164"/>
      <c s="12" r="J164"/>
      <c s="12" r="K164"/>
      <c s="12" r="L164"/>
      <c s="12" r="M164"/>
      <c s="12" r="N164"/>
      <c s="12" r="O164"/>
      <c s="12" r="P164"/>
      <c s="12" r="Q164"/>
      <c s="12" r="R164"/>
      <c s="12" r="S164"/>
      <c s="12" r="T164"/>
    </row>
    <row r="165">
      <c s="12" r="D165"/>
      <c s="12" r="E165"/>
      <c s="12" r="F165"/>
      <c s="12" r="G165"/>
      <c s="12" r="H165"/>
      <c s="12" r="I165"/>
      <c s="12" r="J165"/>
      <c s="12" r="K165"/>
      <c s="12" r="L165"/>
      <c s="12" r="M165"/>
      <c s="12" r="N165"/>
      <c s="12" r="O165"/>
      <c s="12" r="P165"/>
      <c s="12" r="Q165"/>
      <c s="12" r="R165"/>
      <c s="12" r="S165"/>
      <c s="12" r="T165"/>
    </row>
    <row r="166">
      <c s="12" r="D166"/>
      <c s="12" r="E166"/>
      <c s="12" r="F166"/>
      <c s="12" r="G166"/>
      <c s="12" r="H166"/>
      <c s="12" r="I166"/>
      <c s="12" r="J166"/>
      <c s="12" r="K166"/>
      <c s="12" r="L166"/>
      <c s="12" r="M166"/>
      <c s="12" r="N166"/>
      <c s="12" r="O166"/>
      <c s="12" r="P166"/>
      <c s="12" r="Q166"/>
      <c s="12" r="R166"/>
      <c s="12" r="S166"/>
      <c s="12" r="T166"/>
    </row>
    <row r="167">
      <c s="12" r="D167"/>
      <c s="12" r="E167"/>
      <c s="12" r="F167"/>
      <c s="12" r="G167"/>
      <c s="12" r="H167"/>
      <c s="12" r="I167"/>
      <c s="12" r="J167"/>
      <c s="12" r="K167"/>
      <c s="12" r="L167"/>
      <c s="12" r="M167"/>
      <c s="12" r="N167"/>
      <c s="12" r="O167"/>
      <c s="12" r="P167"/>
      <c s="12" r="Q167"/>
      <c s="12" r="R167"/>
      <c s="12" r="S167"/>
      <c s="12" r="T167"/>
    </row>
    <row r="168">
      <c s="12" r="D168"/>
      <c s="12" r="E168"/>
      <c s="12" r="F168"/>
      <c s="12" r="G168"/>
      <c s="12" r="H168"/>
      <c s="12" r="I168"/>
      <c s="12" r="J168"/>
      <c s="12" r="K168"/>
      <c s="12" r="L168"/>
      <c s="12" r="M168"/>
      <c s="12" r="N168"/>
      <c s="12" r="O168"/>
      <c s="12" r="P168"/>
      <c s="12" r="Q168"/>
      <c s="12" r="R168"/>
      <c s="12" r="S168"/>
      <c s="12" r="T168"/>
    </row>
    <row r="169">
      <c s="12" r="D169"/>
      <c s="12" r="E169"/>
      <c s="12" r="F169"/>
      <c s="12" r="G169"/>
      <c s="12" r="H169"/>
      <c s="12" r="I169"/>
      <c s="12" r="J169"/>
      <c s="12" r="K169"/>
      <c s="12" r="L169"/>
      <c s="12" r="M169"/>
      <c s="12" r="N169"/>
      <c s="12" r="O169"/>
      <c s="12" r="P169"/>
      <c s="12" r="Q169"/>
      <c s="12" r="R169"/>
      <c s="12" r="S169"/>
      <c s="12" r="T169"/>
    </row>
    <row r="170">
      <c s="12" r="D170"/>
      <c s="12" r="E170"/>
      <c s="12" r="F170"/>
      <c s="12" r="G170"/>
      <c s="12" r="H170"/>
      <c s="12" r="I170"/>
      <c s="12" r="J170"/>
      <c s="12" r="K170"/>
      <c s="12" r="L170"/>
      <c s="12" r="M170"/>
      <c s="12" r="N170"/>
      <c s="12" r="O170"/>
      <c s="12" r="P170"/>
      <c s="12" r="Q170"/>
      <c s="12" r="R170"/>
      <c s="12" r="S170"/>
      <c s="12" r="T170"/>
    </row>
    <row r="171">
      <c s="12" r="D171"/>
      <c s="12" r="E171"/>
      <c s="12" r="F171"/>
      <c s="12" r="G171"/>
      <c s="12" r="H171"/>
      <c s="12" r="I171"/>
      <c s="12" r="J171"/>
      <c s="12" r="K171"/>
      <c s="12" r="L171"/>
      <c s="12" r="M171"/>
      <c s="12" r="N171"/>
      <c s="12" r="O171"/>
      <c s="12" r="P171"/>
      <c s="12" r="Q171"/>
      <c s="12" r="R171"/>
      <c s="12" r="S171"/>
      <c s="12" r="T171"/>
    </row>
    <row r="172">
      <c s="12" r="D172"/>
      <c s="12" r="E172"/>
      <c s="12" r="F172"/>
      <c s="12" r="G172"/>
      <c s="12" r="H172"/>
      <c s="12" r="I172"/>
      <c s="12" r="J172"/>
      <c s="12" r="K172"/>
      <c s="12" r="L172"/>
      <c s="12" r="M172"/>
      <c s="12" r="N172"/>
      <c s="12" r="O172"/>
      <c s="12" r="P172"/>
      <c s="12" r="Q172"/>
      <c s="12" r="R172"/>
      <c s="12" r="S172"/>
      <c s="12" r="T172"/>
    </row>
    <row r="173">
      <c s="12" r="D173"/>
      <c s="12" r="E173"/>
      <c s="12" r="F173"/>
      <c s="12" r="G173"/>
      <c s="12" r="H173"/>
      <c s="12" r="I173"/>
      <c s="12" r="J173"/>
      <c s="12" r="K173"/>
      <c s="12" r="L173"/>
      <c s="12" r="M173"/>
      <c s="12" r="N173"/>
      <c s="12" r="O173"/>
      <c s="12" r="P173"/>
      <c s="12" r="Q173"/>
      <c s="12" r="R173"/>
      <c s="12" r="S173"/>
      <c s="12" r="T173"/>
    </row>
    <row r="174">
      <c s="12" r="D174"/>
      <c s="12" r="E174"/>
      <c s="12" r="F174"/>
      <c s="12" r="G174"/>
      <c s="12" r="H174"/>
      <c s="12" r="I174"/>
      <c s="12" r="J174"/>
      <c s="12" r="K174"/>
      <c s="12" r="L174"/>
      <c s="12" r="M174"/>
      <c s="12" r="N174"/>
      <c s="12" r="O174"/>
      <c s="12" r="P174"/>
      <c s="12" r="Q174"/>
      <c s="12" r="R174"/>
      <c s="12" r="S174"/>
      <c s="12" r="T174"/>
    </row>
    <row r="175">
      <c s="12" r="D175"/>
      <c s="12" r="E175"/>
      <c s="12" r="F175"/>
      <c s="12" r="G175"/>
      <c s="12" r="H175"/>
      <c s="12" r="I175"/>
      <c s="12" r="J175"/>
      <c s="12" r="K175"/>
      <c s="12" r="L175"/>
      <c s="12" r="M175"/>
      <c s="12" r="N175"/>
      <c s="12" r="O175"/>
      <c s="12" r="P175"/>
      <c s="12" r="Q175"/>
      <c s="12" r="R175"/>
      <c s="12" r="S175"/>
      <c s="12" r="T175"/>
    </row>
    <row r="176">
      <c s="12" r="D176"/>
      <c s="12" r="E176"/>
      <c s="12" r="F176"/>
      <c s="12" r="G176"/>
      <c s="12" r="H176"/>
      <c s="12" r="I176"/>
      <c s="12" r="J176"/>
      <c s="12" r="K176"/>
      <c s="12" r="L176"/>
      <c s="12" r="M176"/>
      <c s="12" r="N176"/>
      <c s="12" r="O176"/>
      <c s="12" r="P176"/>
      <c s="12" r="Q176"/>
      <c s="12" r="R176"/>
      <c s="12" r="S176"/>
      <c s="12" r="T176"/>
    </row>
    <row r="177">
      <c s="12" r="D177"/>
      <c s="12" r="E177"/>
      <c s="12" r="F177"/>
      <c s="12" r="G177"/>
      <c s="12" r="H177"/>
      <c s="12" r="I177"/>
      <c s="12" r="J177"/>
      <c s="12" r="K177"/>
      <c s="12" r="L177"/>
      <c s="12" r="M177"/>
      <c s="12" r="N177"/>
      <c s="12" r="O177"/>
      <c s="12" r="P177"/>
      <c s="12" r="Q177"/>
      <c s="12" r="R177"/>
      <c s="12" r="S177"/>
      <c s="12" r="T177"/>
    </row>
    <row r="178">
      <c s="12" r="D178"/>
      <c s="12" r="E178"/>
      <c s="12" r="F178"/>
      <c s="12" r="G178"/>
      <c s="12" r="H178"/>
      <c s="12" r="I178"/>
      <c s="12" r="J178"/>
      <c s="12" r="K178"/>
      <c s="12" r="L178"/>
      <c s="12" r="M178"/>
      <c s="12" r="N178"/>
      <c s="12" r="O178"/>
      <c s="12" r="P178"/>
      <c s="12" r="Q178"/>
      <c s="12" r="R178"/>
      <c s="12" r="S178"/>
      <c s="12" r="T178"/>
    </row>
    <row r="179">
      <c s="12" r="D179"/>
      <c s="12" r="E179"/>
      <c s="12" r="F179"/>
      <c s="12" r="G179"/>
      <c s="12" r="H179"/>
      <c s="12" r="I179"/>
      <c s="12" r="J179"/>
      <c s="12" r="K179"/>
      <c s="12" r="L179"/>
      <c s="12" r="M179"/>
      <c s="12" r="N179"/>
      <c s="12" r="O179"/>
      <c s="12" r="P179"/>
      <c s="12" r="Q179"/>
      <c s="12" r="R179"/>
      <c s="12" r="S179"/>
      <c s="12" r="T179"/>
    </row>
    <row r="180">
      <c s="12" r="D180"/>
      <c s="12" r="E180"/>
      <c s="12" r="F180"/>
      <c s="12" r="G180"/>
      <c s="12" r="H180"/>
      <c s="12" r="I180"/>
      <c s="12" r="J180"/>
      <c s="12" r="K180"/>
      <c s="12" r="L180"/>
      <c s="12" r="M180"/>
      <c s="12" r="N180"/>
      <c s="12" r="O180"/>
      <c s="12" r="P180"/>
      <c s="12" r="Q180"/>
      <c s="12" r="R180"/>
      <c s="12" r="S180"/>
      <c s="12" r="T180"/>
    </row>
    <row r="181">
      <c s="12" r="D181"/>
      <c s="12" r="E181"/>
      <c s="12" r="F181"/>
      <c s="12" r="G181"/>
      <c s="12" r="H181"/>
      <c s="12" r="I181"/>
      <c s="12" r="J181"/>
      <c s="12" r="K181"/>
      <c s="12" r="L181"/>
      <c s="12" r="M181"/>
      <c s="12" r="N181"/>
      <c s="12" r="O181"/>
      <c s="12" r="P181"/>
      <c s="12" r="Q181"/>
      <c s="12" r="R181"/>
      <c s="12" r="S181"/>
      <c s="12" r="T181"/>
    </row>
    <row r="182">
      <c s="12" r="D182"/>
      <c s="12" r="E182"/>
      <c s="12" r="F182"/>
      <c s="12" r="G182"/>
      <c s="12" r="H182"/>
      <c s="12" r="I182"/>
      <c s="12" r="J182"/>
      <c s="12" r="K182"/>
      <c s="12" r="L182"/>
      <c s="12" r="M182"/>
      <c s="12" r="N182"/>
      <c s="12" r="O182"/>
      <c s="12" r="P182"/>
      <c s="12" r="Q182"/>
      <c s="12" r="R182"/>
      <c s="12" r="S182"/>
      <c s="12" r="T182"/>
    </row>
    <row r="183">
      <c s="12" r="D183"/>
      <c s="12" r="E183"/>
      <c s="12" r="F183"/>
      <c s="12" r="G183"/>
      <c s="12" r="H183"/>
      <c s="12" r="I183"/>
      <c s="12" r="J183"/>
      <c s="12" r="K183"/>
      <c s="12" r="L183"/>
      <c s="12" r="M183"/>
      <c s="12" r="N183"/>
      <c s="12" r="O183"/>
      <c s="12" r="P183"/>
      <c s="12" r="Q183"/>
      <c s="12" r="R183"/>
      <c s="12" r="S183"/>
      <c s="12" r="T183"/>
    </row>
    <row r="184">
      <c s="12" r="D184"/>
      <c s="12" r="E184"/>
      <c s="12" r="F184"/>
      <c s="12" r="G184"/>
      <c s="12" r="H184"/>
      <c s="12" r="I184"/>
      <c s="12" r="J184"/>
      <c s="12" r="K184"/>
      <c s="12" r="L184"/>
      <c s="12" r="M184"/>
      <c s="12" r="N184"/>
      <c s="12" r="O184"/>
      <c s="12" r="P184"/>
      <c s="12" r="Q184"/>
      <c s="12" r="R184"/>
      <c s="12" r="S184"/>
      <c s="12" r="T184"/>
    </row>
    <row r="185">
      <c s="12" r="D185"/>
      <c s="12" r="E185"/>
      <c s="12" r="F185"/>
      <c s="12" r="G185"/>
      <c s="12" r="H185"/>
      <c s="12" r="I185"/>
      <c s="12" r="J185"/>
      <c s="12" r="K185"/>
      <c s="12" r="L185"/>
      <c s="12" r="M185"/>
      <c s="12" r="N185"/>
      <c s="12" r="O185"/>
      <c s="12" r="P185"/>
      <c s="12" r="Q185"/>
      <c s="12" r="R185"/>
      <c s="12" r="S185"/>
      <c s="12" r="T185"/>
    </row>
    <row r="186">
      <c s="12" r="D186"/>
      <c s="12" r="E186"/>
      <c s="12" r="F186"/>
      <c s="12" r="G186"/>
      <c s="12" r="H186"/>
      <c s="12" r="I186"/>
      <c s="12" r="J186"/>
      <c s="12" r="K186"/>
      <c s="12" r="L186"/>
      <c s="12" r="M186"/>
      <c s="12" r="N186"/>
      <c s="12" r="O186"/>
      <c s="12" r="P186"/>
      <c s="12" r="Q186"/>
      <c s="12" r="R186"/>
      <c s="12" r="S186"/>
      <c s="12" r="T186"/>
    </row>
    <row r="187">
      <c s="12" r="D187"/>
      <c s="12" r="E187"/>
      <c s="12" r="F187"/>
      <c s="12" r="G187"/>
      <c s="12" r="H187"/>
      <c s="12" r="I187"/>
      <c s="12" r="J187"/>
      <c s="12" r="K187"/>
      <c s="12" r="L187"/>
      <c s="12" r="M187"/>
      <c s="12" r="N187"/>
      <c s="12" r="O187"/>
      <c s="12" r="P187"/>
      <c s="12" r="Q187"/>
      <c s="12" r="R187"/>
      <c s="12" r="S187"/>
      <c s="12" r="T187"/>
    </row>
    <row r="188">
      <c s="12" r="D188"/>
      <c s="12" r="E188"/>
      <c s="12" r="F188"/>
      <c s="12" r="G188"/>
      <c s="12" r="H188"/>
      <c s="12" r="I188"/>
      <c s="12" r="J188"/>
      <c s="12" r="K188"/>
      <c s="12" r="L188"/>
      <c s="12" r="M188"/>
      <c s="12" r="N188"/>
      <c s="12" r="O188"/>
      <c s="12" r="P188"/>
      <c s="12" r="Q188"/>
      <c s="12" r="R188"/>
      <c s="12" r="S188"/>
      <c s="12" r="T188"/>
    </row>
    <row r="189">
      <c s="12" r="D189"/>
      <c s="12" r="E189"/>
      <c s="12" r="F189"/>
      <c s="12" r="G189"/>
      <c s="12" r="H189"/>
      <c s="12" r="I189"/>
      <c s="12" r="J189"/>
      <c s="12" r="K189"/>
      <c s="12" r="L189"/>
      <c s="12" r="M189"/>
      <c s="12" r="N189"/>
      <c s="12" r="O189"/>
      <c s="12" r="P189"/>
      <c s="12" r="Q189"/>
      <c s="12" r="R189"/>
      <c s="12" r="S189"/>
      <c s="12" r="T189"/>
    </row>
    <row r="190">
      <c s="12" r="D190"/>
      <c s="12" r="E190"/>
      <c s="12" r="F190"/>
      <c s="12" r="G190"/>
      <c s="12" r="H190"/>
      <c s="12" r="I190"/>
      <c s="12" r="J190"/>
      <c s="12" r="K190"/>
      <c s="12" r="L190"/>
      <c s="12" r="M190"/>
      <c s="12" r="N190"/>
      <c s="12" r="O190"/>
      <c s="12" r="P190"/>
      <c s="12" r="Q190"/>
      <c s="12" r="R190"/>
      <c s="12" r="S190"/>
      <c s="12" r="T190"/>
    </row>
    <row r="191">
      <c s="12" r="D191"/>
      <c s="12" r="E191"/>
      <c s="12" r="F191"/>
      <c s="12" r="G191"/>
      <c s="12" r="H191"/>
      <c s="12" r="I191"/>
      <c s="12" r="J191"/>
      <c s="12" r="K191"/>
      <c s="12" r="L191"/>
      <c s="12" r="M191"/>
      <c s="12" r="N191"/>
      <c s="12" r="O191"/>
      <c s="12" r="P191"/>
      <c s="12" r="Q191"/>
      <c s="12" r="R191"/>
      <c s="12" r="S191"/>
      <c s="12" r="T191"/>
    </row>
    <row r="192">
      <c s="12" r="D192"/>
      <c s="12" r="E192"/>
      <c s="12" r="F192"/>
      <c s="12" r="G192"/>
      <c s="12" r="H192"/>
      <c s="12" r="I192"/>
      <c s="12" r="J192"/>
      <c s="12" r="K192"/>
      <c s="12" r="L192"/>
      <c s="12" r="M192"/>
      <c s="12" r="N192"/>
      <c s="12" r="O192"/>
      <c s="12" r="P192"/>
      <c s="12" r="Q192"/>
      <c s="12" r="R192"/>
      <c s="12" r="S192"/>
      <c s="12" r="T192"/>
    </row>
    <row r="193">
      <c s="12" r="D193"/>
      <c s="12" r="E193"/>
      <c s="12" r="F193"/>
      <c s="12" r="G193"/>
      <c s="12" r="H193"/>
      <c s="12" r="I193"/>
      <c s="12" r="J193"/>
      <c s="12" r="K193"/>
      <c s="12" r="L193"/>
      <c s="12" r="M193"/>
      <c s="12" r="N193"/>
      <c s="12" r="O193"/>
      <c s="12" r="P193"/>
      <c s="12" r="Q193"/>
      <c s="12" r="R193"/>
      <c s="12" r="S193"/>
      <c s="12" r="T193"/>
    </row>
    <row r="194">
      <c s="12" r="D194"/>
      <c s="12" r="E194"/>
      <c s="12" r="F194"/>
      <c s="12" r="G194"/>
      <c s="12" r="H194"/>
      <c s="12" r="I194"/>
      <c s="12" r="J194"/>
      <c s="12" r="K194"/>
      <c s="12" r="L194"/>
      <c s="12" r="M194"/>
      <c s="12" r="N194"/>
      <c s="12" r="O194"/>
      <c s="12" r="P194"/>
      <c s="12" r="Q194"/>
      <c s="12" r="R194"/>
      <c s="12" r="S194"/>
      <c s="12" r="T194"/>
    </row>
    <row r="195">
      <c s="12" r="D195"/>
      <c s="12" r="E195"/>
      <c s="12" r="F195"/>
      <c s="12" r="G195"/>
      <c s="12" r="H195"/>
      <c s="12" r="I195"/>
      <c s="12" r="J195"/>
      <c s="12" r="K195"/>
      <c s="12" r="L195"/>
      <c s="12" r="M195"/>
      <c s="12" r="N195"/>
      <c s="12" r="O195"/>
      <c s="12" r="P195"/>
      <c s="12" r="Q195"/>
      <c s="12" r="R195"/>
      <c s="12" r="S195"/>
      <c s="12" r="T195"/>
    </row>
    <row r="196">
      <c s="12" r="D196"/>
      <c s="12" r="E196"/>
      <c s="12" r="F196"/>
      <c s="12" r="G196"/>
      <c s="12" r="H196"/>
      <c s="12" r="I196"/>
      <c s="12" r="J196"/>
      <c s="12" r="K196"/>
      <c s="12" r="L196"/>
      <c s="12" r="M196"/>
      <c s="12" r="N196"/>
      <c s="12" r="O196"/>
      <c s="12" r="P196"/>
      <c s="12" r="Q196"/>
      <c s="12" r="R196"/>
      <c s="12" r="S196"/>
      <c s="12" r="T196"/>
    </row>
    <row r="197">
      <c s="12" r="D197"/>
      <c s="12" r="E197"/>
      <c s="12" r="F197"/>
      <c s="12" r="G197"/>
      <c s="12" r="H197"/>
      <c s="12" r="I197"/>
      <c s="12" r="J197"/>
      <c s="12" r="K197"/>
      <c s="12" r="L197"/>
      <c s="12" r="M197"/>
      <c s="12" r="N197"/>
      <c s="12" r="O197"/>
      <c s="12" r="P197"/>
      <c s="12" r="Q197"/>
      <c s="12" r="R197"/>
      <c s="12" r="S197"/>
      <c s="12" r="T197"/>
    </row>
    <row r="198">
      <c s="12" r="D198"/>
      <c s="12" r="E198"/>
      <c s="12" r="F198"/>
      <c s="12" r="G198"/>
      <c s="12" r="H198"/>
      <c s="12" r="I198"/>
      <c s="12" r="J198"/>
      <c s="12" r="K198"/>
      <c s="12" r="L198"/>
      <c s="12" r="M198"/>
      <c s="12" r="N198"/>
      <c s="12" r="O198"/>
      <c s="12" r="P198"/>
      <c s="12" r="Q198"/>
      <c s="12" r="R198"/>
      <c s="12" r="S198"/>
      <c s="12" r="T198"/>
    </row>
    <row r="199">
      <c s="12" r="D199"/>
      <c s="12" r="E199"/>
      <c s="12" r="F199"/>
      <c s="12" r="G199"/>
      <c s="12" r="H199"/>
      <c s="12" r="I199"/>
      <c s="12" r="J199"/>
      <c s="12" r="K199"/>
      <c s="12" r="L199"/>
      <c s="12" r="M199"/>
      <c s="12" r="N199"/>
      <c s="12" r="O199"/>
      <c s="12" r="P199"/>
      <c s="12" r="Q199"/>
      <c s="12" r="R199"/>
      <c s="12" r="S199"/>
      <c s="12" r="T199"/>
    </row>
    <row r="200">
      <c s="12" r="D200"/>
      <c s="12" r="E200"/>
      <c s="12" r="F200"/>
      <c s="12" r="G200"/>
      <c s="12" r="H200"/>
      <c s="12" r="I200"/>
      <c s="12" r="J200"/>
      <c s="12" r="K200"/>
      <c s="12" r="L200"/>
      <c s="12" r="M200"/>
      <c s="12" r="N200"/>
      <c s="12" r="O200"/>
      <c s="12" r="P200"/>
      <c s="12" r="Q200"/>
      <c s="12" r="R200"/>
      <c s="12" r="S200"/>
      <c s="12" r="T200"/>
    </row>
    <row r="201">
      <c s="12" r="D201"/>
      <c s="12" r="E201"/>
      <c s="12" r="F201"/>
      <c s="12" r="G201"/>
      <c s="12" r="H201"/>
      <c s="12" r="I201"/>
      <c s="12" r="J201"/>
      <c s="12" r="K201"/>
      <c s="12" r="L201"/>
      <c s="12" r="M201"/>
      <c s="12" r="N201"/>
      <c s="12" r="O201"/>
      <c s="12" r="P201"/>
      <c s="12" r="Q201"/>
      <c s="12" r="R201"/>
      <c s="12" r="S201"/>
      <c s="12" r="T201"/>
    </row>
    <row r="202">
      <c s="12" r="D202"/>
      <c s="12" r="E202"/>
      <c s="12" r="F202"/>
      <c s="12" r="G202"/>
      <c s="12" r="H202"/>
      <c s="12" r="I202"/>
      <c s="12" r="J202"/>
      <c s="12" r="K202"/>
      <c s="12" r="L202"/>
      <c s="12" r="M202"/>
      <c s="12" r="N202"/>
      <c s="12" r="O202"/>
      <c s="12" r="P202"/>
      <c s="12" r="Q202"/>
      <c s="12" r="R202"/>
      <c s="12" r="S202"/>
      <c s="12" r="T202"/>
    </row>
    <row r="203">
      <c s="12" r="D203"/>
      <c s="12" r="E203"/>
      <c s="12" r="F203"/>
      <c s="12" r="G203"/>
      <c s="12" r="H203"/>
      <c s="12" r="I203"/>
      <c s="12" r="J203"/>
      <c s="12" r="K203"/>
      <c s="12" r="L203"/>
      <c s="12" r="M203"/>
      <c s="12" r="N203"/>
      <c s="12" r="O203"/>
      <c s="12" r="P203"/>
      <c s="12" r="Q203"/>
      <c s="12" r="R203"/>
      <c s="12" r="S203"/>
      <c s="12" r="T203"/>
    </row>
    <row r="204">
      <c s="12" r="D204"/>
      <c s="12" r="E204"/>
      <c s="12" r="F204"/>
      <c s="12" r="G204"/>
      <c s="12" r="H204"/>
      <c s="12" r="I204"/>
      <c s="12" r="J204"/>
      <c s="12" r="K204"/>
      <c s="12" r="L204"/>
      <c s="12" r="M204"/>
      <c s="12" r="N204"/>
      <c s="12" r="O204"/>
      <c s="12" r="P204"/>
      <c s="12" r="Q204"/>
      <c s="12" r="R204"/>
      <c s="12" r="S204"/>
      <c s="12" r="T204"/>
    </row>
    <row r="205">
      <c s="12" r="D205"/>
      <c s="12" r="E205"/>
      <c s="12" r="F205"/>
      <c s="12" r="G205"/>
      <c s="12" r="H205"/>
      <c s="12" r="I205"/>
      <c s="12" r="J205"/>
      <c s="12" r="K205"/>
      <c s="12" r="L205"/>
      <c s="12" r="M205"/>
      <c s="12" r="N205"/>
      <c s="12" r="O205"/>
      <c s="12" r="P205"/>
      <c s="12" r="Q205"/>
      <c s="12" r="R205"/>
      <c s="12" r="S205"/>
      <c s="12" r="T205"/>
    </row>
    <row r="206">
      <c s="12" r="D206"/>
      <c s="12" r="E206"/>
      <c s="12" r="F206"/>
      <c s="12" r="G206"/>
      <c s="12" r="H206"/>
      <c s="12" r="I206"/>
      <c s="12" r="J206"/>
      <c s="12" r="K206"/>
      <c s="12" r="L206"/>
      <c s="12" r="M206"/>
      <c s="12" r="N206"/>
      <c s="12" r="O206"/>
      <c s="12" r="P206"/>
      <c s="12" r="Q206"/>
      <c s="12" r="R206"/>
      <c s="12" r="S206"/>
      <c s="12" r="T206"/>
    </row>
    <row r="207">
      <c s="12" r="D207"/>
      <c s="12" r="E207"/>
      <c s="12" r="F207"/>
      <c s="12" r="G207"/>
      <c s="12" r="H207"/>
      <c s="12" r="I207"/>
      <c s="12" r="J207"/>
      <c s="12" r="K207"/>
      <c s="12" r="L207"/>
      <c s="12" r="M207"/>
      <c s="12" r="N207"/>
      <c s="12" r="O207"/>
      <c s="12" r="P207"/>
      <c s="12" r="Q207"/>
      <c s="12" r="R207"/>
      <c s="12" r="S207"/>
      <c s="12" r="T207"/>
    </row>
    <row r="208">
      <c s="12" r="D208"/>
      <c s="12" r="E208"/>
      <c s="12" r="F208"/>
      <c s="12" r="G208"/>
      <c s="12" r="H208"/>
      <c s="12" r="I208"/>
      <c s="12" r="J208"/>
      <c s="12" r="K208"/>
      <c s="12" r="L208"/>
      <c s="12" r="M208"/>
      <c s="12" r="N208"/>
      <c s="12" r="O208"/>
      <c s="12" r="P208"/>
      <c s="12" r="Q208"/>
      <c s="12" r="R208"/>
      <c s="12" r="S208"/>
      <c s="12" r="T208"/>
    </row>
    <row r="209">
      <c s="12" r="D209"/>
      <c s="12" r="E209"/>
      <c s="12" r="F209"/>
      <c s="12" r="G209"/>
      <c s="12" r="H209"/>
      <c s="12" r="I209"/>
      <c s="12" r="J209"/>
      <c s="12" r="K209"/>
      <c s="12" r="L209"/>
      <c s="12" r="M209"/>
      <c s="12" r="N209"/>
      <c s="12" r="O209"/>
      <c s="12" r="P209"/>
      <c s="12" r="Q209"/>
      <c s="12" r="R209"/>
      <c s="12" r="S209"/>
      <c s="12" r="T209"/>
    </row>
    <row r="210">
      <c s="12" r="D210"/>
      <c s="12" r="E210"/>
      <c s="12" r="F210"/>
      <c s="12" r="G210"/>
      <c s="12" r="H210"/>
      <c s="12" r="I210"/>
      <c s="12" r="J210"/>
      <c s="12" r="K210"/>
      <c s="12" r="L210"/>
      <c s="12" r="M210"/>
      <c s="12" r="N210"/>
      <c s="12" r="O210"/>
      <c s="12" r="P210"/>
      <c s="12" r="Q210"/>
      <c s="12" r="R210"/>
      <c s="12" r="S210"/>
      <c s="12" r="T210"/>
    </row>
    <row r="211">
      <c s="12" r="D211"/>
      <c s="12" r="E211"/>
      <c s="12" r="F211"/>
      <c s="12" r="G211"/>
      <c s="12" r="H211"/>
      <c s="12" r="I211"/>
      <c s="12" r="J211"/>
      <c s="12" r="K211"/>
      <c s="12" r="L211"/>
      <c s="12" r="M211"/>
      <c s="12" r="N211"/>
      <c s="12" r="O211"/>
      <c s="12" r="P211"/>
      <c s="12" r="Q211"/>
      <c s="12" r="R211"/>
      <c s="12" r="S211"/>
      <c s="12" r="T211"/>
    </row>
    <row r="212">
      <c s="12" r="D212"/>
      <c s="12" r="E212"/>
      <c s="12" r="F212"/>
      <c s="12" r="G212"/>
      <c s="12" r="H212"/>
      <c s="12" r="I212"/>
      <c s="12" r="J212"/>
      <c s="12" r="K212"/>
      <c s="12" r="L212"/>
      <c s="12" r="M212"/>
      <c s="12" r="N212"/>
      <c s="12" r="O212"/>
      <c s="12" r="P212"/>
      <c s="12" r="Q212"/>
      <c s="12" r="R212"/>
      <c s="12" r="S212"/>
      <c s="12" r="T212"/>
    </row>
    <row r="213">
      <c s="12" r="D213"/>
      <c s="12" r="E213"/>
      <c s="12" r="F213"/>
      <c s="12" r="G213"/>
      <c s="12" r="H213"/>
      <c s="12" r="I213"/>
      <c s="12" r="J213"/>
      <c s="12" r="K213"/>
      <c s="12" r="L213"/>
      <c s="12" r="M213"/>
      <c s="12" r="N213"/>
      <c s="12" r="O213"/>
      <c s="12" r="P213"/>
      <c s="12" r="Q213"/>
      <c s="12" r="R213"/>
      <c s="12" r="S213"/>
      <c s="12" r="T213"/>
    </row>
    <row r="214">
      <c s="12" r="D214"/>
      <c s="12" r="E214"/>
      <c s="12" r="F214"/>
      <c s="12" r="G214"/>
      <c s="12" r="H214"/>
      <c s="12" r="I214"/>
      <c s="12" r="J214"/>
      <c s="12" r="K214"/>
      <c s="12" r="L214"/>
      <c s="12" r="M214"/>
      <c s="12" r="N214"/>
      <c s="12" r="O214"/>
      <c s="12" r="P214"/>
      <c s="12" r="Q214"/>
      <c s="12" r="R214"/>
      <c s="12" r="S214"/>
      <c s="12" r="T214"/>
    </row>
    <row r="215">
      <c s="12" r="D215"/>
      <c s="12" r="E215"/>
      <c s="12" r="F215"/>
      <c s="12" r="G215"/>
      <c s="12" r="H215"/>
      <c s="12" r="I215"/>
      <c s="12" r="J215"/>
      <c s="12" r="K215"/>
      <c s="12" r="L215"/>
      <c s="12" r="M215"/>
      <c s="12" r="N215"/>
      <c s="12" r="O215"/>
      <c s="12" r="P215"/>
      <c s="12" r="Q215"/>
      <c s="12" r="R215"/>
      <c s="12" r="S215"/>
      <c s="12" r="T215"/>
    </row>
    <row r="216">
      <c s="12" r="D216"/>
      <c s="12" r="E216"/>
      <c s="12" r="F216"/>
      <c s="12" r="G216"/>
      <c s="12" r="H216"/>
      <c s="12" r="I216"/>
      <c s="12" r="J216"/>
      <c s="12" r="K216"/>
      <c s="12" r="L216"/>
      <c s="12" r="M216"/>
      <c s="12" r="N216"/>
      <c s="12" r="O216"/>
      <c s="12" r="P216"/>
      <c s="12" r="Q216"/>
      <c s="12" r="R216"/>
      <c s="12" r="S216"/>
      <c s="12" r="T216"/>
    </row>
    <row r="217">
      <c s="12" r="D217"/>
      <c s="12" r="E217"/>
      <c s="12" r="F217"/>
      <c s="12" r="G217"/>
      <c s="12" r="H217"/>
      <c s="12" r="I217"/>
      <c s="12" r="J217"/>
      <c s="12" r="K217"/>
      <c s="12" r="L217"/>
      <c s="12" r="M217"/>
      <c s="12" r="N217"/>
      <c s="12" r="O217"/>
      <c s="12" r="P217"/>
      <c s="12" r="Q217"/>
      <c s="12" r="R217"/>
      <c s="12" r="S217"/>
      <c s="12" r="T217"/>
    </row>
    <row r="218">
      <c s="12" r="D218"/>
      <c s="12" r="E218"/>
      <c s="12" r="F218"/>
      <c s="12" r="G218"/>
      <c s="12" r="H218"/>
      <c s="12" r="I218"/>
      <c s="12" r="J218"/>
      <c s="12" r="K218"/>
      <c s="12" r="L218"/>
      <c s="12" r="M218"/>
      <c s="12" r="N218"/>
      <c s="12" r="O218"/>
      <c s="12" r="P218"/>
      <c s="12" r="Q218"/>
      <c s="12" r="R218"/>
      <c s="12" r="S218"/>
      <c s="12" r="T218"/>
    </row>
    <row r="219">
      <c s="12" r="D219"/>
      <c s="12" r="E219"/>
      <c s="12" r="F219"/>
      <c s="12" r="G219"/>
      <c s="12" r="H219"/>
      <c s="12" r="I219"/>
      <c s="12" r="J219"/>
      <c s="12" r="K219"/>
      <c s="12" r="L219"/>
      <c s="12" r="M219"/>
      <c s="12" r="N219"/>
      <c s="12" r="O219"/>
      <c s="12" r="P219"/>
      <c s="12" r="Q219"/>
      <c s="12" r="R219"/>
      <c s="12" r="S219"/>
      <c s="12" r="T219"/>
    </row>
    <row r="220">
      <c s="12" r="D220"/>
      <c s="12" r="E220"/>
      <c s="12" r="F220"/>
      <c s="12" r="G220"/>
      <c s="12" r="H220"/>
      <c s="12" r="I220"/>
      <c s="12" r="J220"/>
      <c s="12" r="K220"/>
      <c s="12" r="L220"/>
      <c s="12" r="M220"/>
      <c s="12" r="N220"/>
      <c s="12" r="O220"/>
      <c s="12" r="P220"/>
      <c s="12" r="Q220"/>
      <c s="12" r="R220"/>
      <c s="12" r="S220"/>
      <c s="12" r="T220"/>
    </row>
    <row r="221">
      <c s="12" r="D221"/>
      <c s="12" r="E221"/>
      <c s="12" r="F221"/>
      <c s="12" r="G221"/>
      <c s="12" r="H221"/>
      <c s="12" r="I221"/>
      <c s="12" r="J221"/>
      <c s="12" r="K221"/>
      <c s="12" r="L221"/>
      <c s="12" r="M221"/>
      <c s="12" r="N221"/>
      <c s="12" r="O221"/>
      <c s="12" r="P221"/>
      <c s="12" r="Q221"/>
      <c s="12" r="R221"/>
      <c s="12" r="S221"/>
      <c s="12" r="T221"/>
    </row>
    <row r="222">
      <c s="12" r="D222"/>
      <c s="12" r="E222"/>
      <c s="12" r="F222"/>
      <c s="12" r="G222"/>
      <c s="12" r="H222"/>
      <c s="12" r="I222"/>
      <c s="12" r="J222"/>
      <c s="12" r="K222"/>
      <c s="12" r="L222"/>
      <c s="12" r="M222"/>
      <c s="12" r="N222"/>
      <c s="12" r="O222"/>
      <c s="12" r="P222"/>
      <c s="12" r="Q222"/>
      <c s="12" r="R222"/>
      <c s="12" r="S222"/>
      <c s="12" r="T222"/>
    </row>
    <row r="223">
      <c s="12" r="D223"/>
      <c s="12" r="E223"/>
      <c s="12" r="F223"/>
      <c s="12" r="G223"/>
      <c s="12" r="H223"/>
      <c s="12" r="I223"/>
      <c s="12" r="J223"/>
      <c s="12" r="K223"/>
      <c s="12" r="L223"/>
      <c s="12" r="M223"/>
      <c s="12" r="N223"/>
      <c s="12" r="O223"/>
      <c s="12" r="P223"/>
      <c s="12" r="Q223"/>
      <c s="12" r="R223"/>
      <c s="12" r="S223"/>
      <c s="12" r="T223"/>
    </row>
    <row r="224">
      <c s="12" r="D224"/>
      <c s="12" r="E224"/>
      <c s="12" r="F224"/>
      <c s="12" r="G224"/>
      <c s="12" r="H224"/>
      <c s="12" r="I224"/>
      <c s="12" r="J224"/>
      <c s="12" r="K224"/>
      <c s="12" r="L224"/>
      <c s="12" r="M224"/>
      <c s="12" r="N224"/>
      <c s="12" r="O224"/>
      <c s="12" r="P224"/>
      <c s="12" r="Q224"/>
      <c s="12" r="R224"/>
      <c s="12" r="S224"/>
      <c s="12" r="T224"/>
    </row>
    <row r="225">
      <c s="12" r="D225"/>
      <c s="12" r="E225"/>
      <c s="12" r="F225"/>
      <c s="12" r="G225"/>
      <c s="12" r="H225"/>
      <c s="12" r="I225"/>
      <c s="12" r="J225"/>
      <c s="12" r="K225"/>
      <c s="12" r="L225"/>
      <c s="12" r="M225"/>
      <c s="12" r="N225"/>
      <c s="12" r="O225"/>
      <c s="12" r="P225"/>
      <c s="12" r="Q225"/>
      <c s="12" r="R225"/>
      <c s="12" r="S225"/>
      <c s="12" r="T225"/>
    </row>
    <row r="226">
      <c s="12" r="D226"/>
      <c s="12" r="E226"/>
      <c s="12" r="F226"/>
      <c s="12" r="G226"/>
      <c s="12" r="H226"/>
      <c s="12" r="I226"/>
      <c s="12" r="J226"/>
      <c s="12" r="K226"/>
      <c s="12" r="L226"/>
      <c s="12" r="M226"/>
      <c s="12" r="N226"/>
      <c s="12" r="O226"/>
      <c s="12" r="P226"/>
      <c s="12" r="Q226"/>
      <c s="12" r="R226"/>
      <c s="12" r="S226"/>
      <c s="12" r="T226"/>
    </row>
    <row r="227">
      <c s="12" r="D227"/>
      <c s="12" r="E227"/>
      <c s="12" r="F227"/>
      <c s="12" r="G227"/>
      <c s="12" r="H227"/>
      <c s="12" r="I227"/>
      <c s="12" r="J227"/>
      <c s="12" r="K227"/>
      <c s="12" r="L227"/>
      <c s="12" r="M227"/>
      <c s="12" r="N227"/>
      <c s="12" r="O227"/>
      <c s="12" r="P227"/>
      <c s="12" r="Q227"/>
      <c s="12" r="R227"/>
      <c s="12" r="S227"/>
      <c s="12" r="T227"/>
    </row>
    <row r="228">
      <c s="12" r="D228"/>
      <c s="12" r="E228"/>
      <c s="12" r="F228"/>
      <c s="12" r="G228"/>
      <c s="12" r="H228"/>
      <c s="12" r="I228"/>
      <c s="12" r="J228"/>
      <c s="12" r="K228"/>
      <c s="12" r="L228"/>
      <c s="12" r="M228"/>
      <c s="12" r="N228"/>
      <c s="12" r="O228"/>
      <c s="12" r="P228"/>
      <c s="12" r="Q228"/>
      <c s="12" r="R228"/>
      <c s="12" r="S228"/>
      <c s="12" r="T228"/>
    </row>
    <row r="229">
      <c s="12" r="D229"/>
      <c s="12" r="E229"/>
      <c s="12" r="F229"/>
      <c s="12" r="G229"/>
      <c s="12" r="H229"/>
      <c s="12" r="I229"/>
      <c s="12" r="J229"/>
      <c s="12" r="K229"/>
      <c s="12" r="L229"/>
      <c s="12" r="M229"/>
      <c s="12" r="N229"/>
      <c s="12" r="O229"/>
      <c s="12" r="P229"/>
      <c s="12" r="Q229"/>
      <c s="12" r="R229"/>
      <c s="12" r="S229"/>
      <c s="12" r="T229"/>
    </row>
    <row r="230">
      <c s="12" r="D230"/>
      <c s="12" r="E230"/>
      <c s="12" r="F230"/>
      <c s="12" r="G230"/>
      <c s="12" r="H230"/>
      <c s="12" r="I230"/>
      <c s="12" r="J230"/>
      <c s="12" r="K230"/>
      <c s="12" r="L230"/>
      <c s="12" r="M230"/>
      <c s="12" r="N230"/>
      <c s="12" r="O230"/>
      <c s="12" r="P230"/>
      <c s="12" r="Q230"/>
      <c s="12" r="R230"/>
      <c s="12" r="S230"/>
      <c s="12" r="T230"/>
    </row>
    <row r="231">
      <c s="12" r="D231"/>
      <c s="12" r="E231"/>
      <c s="12" r="F231"/>
      <c s="12" r="G231"/>
      <c s="12" r="H231"/>
      <c s="12" r="I231"/>
      <c s="12" r="J231"/>
      <c s="12" r="K231"/>
      <c s="12" r="L231"/>
      <c s="12" r="M231"/>
      <c s="12" r="N231"/>
      <c s="12" r="O231"/>
      <c s="12" r="P231"/>
      <c s="12" r="Q231"/>
      <c s="12" r="R231"/>
      <c s="12" r="S231"/>
      <c s="12" r="T231"/>
    </row>
    <row r="232">
      <c s="12" r="D232"/>
      <c s="12" r="E232"/>
      <c s="12" r="F232"/>
      <c s="12" r="G232"/>
      <c s="12" r="H232"/>
      <c s="12" r="I232"/>
      <c s="12" r="J232"/>
      <c s="12" r="K232"/>
      <c s="12" r="L232"/>
      <c s="12" r="M232"/>
      <c s="12" r="N232"/>
      <c s="12" r="O232"/>
      <c s="12" r="P232"/>
      <c s="12" r="Q232"/>
      <c s="12" r="R232"/>
      <c s="12" r="S232"/>
      <c s="12" r="T232"/>
    </row>
    <row r="233">
      <c s="12" r="D233"/>
      <c s="12" r="E233"/>
      <c s="12" r="F233"/>
      <c s="12" r="G233"/>
      <c s="12" r="H233"/>
      <c s="12" r="I233"/>
      <c s="12" r="J233"/>
      <c s="12" r="K233"/>
      <c s="12" r="L233"/>
      <c s="12" r="M233"/>
      <c s="12" r="N233"/>
      <c s="12" r="O233"/>
      <c s="12" r="P233"/>
      <c s="12" r="Q233"/>
      <c s="12" r="R233"/>
      <c s="12" r="S233"/>
      <c s="12" r="T233"/>
    </row>
    <row r="234">
      <c s="12" r="D234"/>
      <c s="12" r="E234"/>
      <c s="12" r="F234"/>
      <c s="12" r="G234"/>
      <c s="12" r="H234"/>
      <c s="12" r="I234"/>
      <c s="12" r="J234"/>
      <c s="12" r="K234"/>
      <c s="12" r="L234"/>
      <c s="12" r="M234"/>
      <c s="12" r="N234"/>
      <c s="12" r="O234"/>
      <c s="12" r="P234"/>
      <c s="12" r="Q234"/>
      <c s="12" r="R234"/>
      <c s="12" r="S234"/>
      <c s="12" r="T234"/>
    </row>
    <row r="235">
      <c s="12" r="D235"/>
      <c s="12" r="E235"/>
      <c s="12" r="F235"/>
      <c s="12" r="G235"/>
      <c s="12" r="H235"/>
      <c s="12" r="I235"/>
      <c s="12" r="J235"/>
      <c s="12" r="K235"/>
      <c s="12" r="L235"/>
      <c s="12" r="M235"/>
      <c s="12" r="N235"/>
      <c s="12" r="O235"/>
      <c s="12" r="P235"/>
      <c s="12" r="Q235"/>
      <c s="12" r="R235"/>
      <c s="12" r="S235"/>
      <c s="12" r="T235"/>
    </row>
    <row r="236">
      <c s="12" r="D236"/>
      <c s="12" r="E236"/>
      <c s="12" r="F236"/>
      <c s="12" r="G236"/>
      <c s="12" r="H236"/>
      <c s="12" r="I236"/>
      <c s="12" r="J236"/>
      <c s="12" r="K236"/>
      <c s="12" r="L236"/>
      <c s="12" r="M236"/>
      <c s="12" r="N236"/>
      <c s="12" r="O236"/>
      <c s="12" r="P236"/>
      <c s="12" r="Q236"/>
      <c s="12" r="R236"/>
      <c s="12" r="S236"/>
      <c s="12" r="T236"/>
    </row>
    <row r="237">
      <c s="12" r="D237"/>
      <c s="12" r="E237"/>
      <c s="12" r="F237"/>
      <c s="12" r="G237"/>
      <c s="12" r="H237"/>
      <c s="12" r="I237"/>
      <c s="12" r="J237"/>
      <c s="12" r="K237"/>
      <c s="12" r="L237"/>
      <c s="12" r="M237"/>
      <c s="12" r="N237"/>
      <c s="12" r="O237"/>
      <c s="12" r="P237"/>
      <c s="12" r="Q237"/>
      <c s="12" r="R237"/>
      <c s="12" r="S237"/>
      <c s="12" r="T237"/>
    </row>
    <row r="238">
      <c s="12" r="D238"/>
      <c s="12" r="E238"/>
      <c s="12" r="F238"/>
      <c s="12" r="G238"/>
      <c s="12" r="H238"/>
      <c s="12" r="I238"/>
      <c s="12" r="J238"/>
      <c s="12" r="K238"/>
      <c s="12" r="L238"/>
      <c s="12" r="M238"/>
      <c s="12" r="N238"/>
      <c s="12" r="O238"/>
      <c s="12" r="P238"/>
      <c s="12" r="Q238"/>
      <c s="12" r="R238"/>
      <c s="12" r="S238"/>
      <c s="12" r="T238"/>
    </row>
    <row r="239">
      <c s="12" r="D239"/>
      <c s="12" r="E239"/>
      <c s="12" r="F239"/>
      <c s="12" r="G239"/>
      <c s="12" r="H239"/>
      <c s="12" r="I239"/>
      <c s="12" r="J239"/>
      <c s="12" r="K239"/>
      <c s="12" r="L239"/>
      <c s="12" r="M239"/>
      <c s="12" r="N239"/>
      <c s="12" r="O239"/>
      <c s="12" r="P239"/>
      <c s="12" r="Q239"/>
      <c s="12" r="R239"/>
      <c s="12" r="S239"/>
      <c s="12" r="T239"/>
    </row>
    <row r="240">
      <c s="12" r="D240"/>
      <c s="12" r="E240"/>
      <c s="12" r="F240"/>
      <c s="12" r="G240"/>
      <c s="12" r="H240"/>
      <c s="12" r="I240"/>
      <c s="12" r="J240"/>
      <c s="12" r="K240"/>
      <c s="12" r="L240"/>
      <c s="12" r="M240"/>
      <c s="12" r="N240"/>
      <c s="12" r="O240"/>
      <c s="12" r="P240"/>
      <c s="12" r="Q240"/>
      <c s="12" r="R240"/>
      <c s="12" r="S240"/>
      <c s="12" r="T240"/>
    </row>
    <row r="241">
      <c s="12" r="D241"/>
      <c s="12" r="E241"/>
      <c s="12" r="F241"/>
      <c s="12" r="G241"/>
      <c s="12" r="H241"/>
      <c s="12" r="I241"/>
      <c s="12" r="J241"/>
      <c s="12" r="K241"/>
      <c s="12" r="L241"/>
      <c s="12" r="M241"/>
      <c s="12" r="N241"/>
      <c s="12" r="O241"/>
      <c s="12" r="P241"/>
      <c s="12" r="Q241"/>
      <c s="12" r="R241"/>
      <c s="12" r="S241"/>
      <c s="12" r="T241"/>
    </row>
    <row r="242">
      <c s="12" r="D242"/>
      <c s="12" r="E242"/>
      <c s="12" r="F242"/>
      <c s="12" r="G242"/>
      <c s="12" r="H242"/>
      <c s="12" r="I242"/>
      <c s="12" r="J242"/>
      <c s="12" r="K242"/>
      <c s="12" r="L242"/>
      <c s="12" r="M242"/>
      <c s="12" r="N242"/>
      <c s="12" r="O242"/>
      <c s="12" r="P242"/>
      <c s="12" r="Q242"/>
      <c s="12" r="R242"/>
      <c s="12" r="S242"/>
      <c s="12" r="T242"/>
    </row>
  </sheetData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A3" ySplit="2.0" activePane="bottomLeft" state="frozen"/>
      <selection sqref="A3" activeCell="A3" pane="bottomLeft"/>
    </sheetView>
  </sheetViews>
  <sheetFormatPr customHeight="1" defaultColWidth="17.14" defaultRowHeight="12.75"/>
  <cols>
    <col min="1" customWidth="1" max="1" width="1.86"/>
    <col min="2" customWidth="1" max="2" width="23.14"/>
    <col min="3" customWidth="1" max="3" width="33.86"/>
    <col min="4" customWidth="1" max="5" width="6.86"/>
  </cols>
  <sheetData>
    <row r="2">
      <c t="s" s="25" r="B2">
        <v>1541</v>
      </c>
      <c t="s" s="25" r="C2">
        <v>1542</v>
      </c>
      <c s="25" r="D2"/>
      <c s="25" r="E2"/>
      <c t="s" s="25" r="F2">
        <v>1543</v>
      </c>
      <c t="s" s="25" r="G2">
        <v>1544</v>
      </c>
      <c t="s" s="25" r="H2">
        <v>1545</v>
      </c>
      <c t="s" s="25" r="I2">
        <v>1546</v>
      </c>
      <c s="12" r="J2"/>
      <c s="12" r="K2"/>
      <c s="12" r="L2"/>
      <c s="12" r="M2"/>
      <c s="12" r="N2"/>
      <c s="12" r="O2"/>
      <c s="12" r="P2"/>
      <c s="12" r="Q2"/>
      <c s="12" r="R2"/>
      <c s="12" r="S2"/>
      <c s="12" r="T2"/>
    </row>
    <row r="3">
      <c t="s" s="12" r="B3">
        <v>1547</v>
      </c>
      <c t="s" s="12" r="C3">
        <v>1548</v>
      </c>
      <c s="12" r="D3">
        <v>1</v>
      </c>
      <c s="12" r="E3">
        <v>1</v>
      </c>
      <c s="12" r="F3">
        <f>COUNTIF(EXPERTISE!C4:C50,"*Agriculture, Fishing, &amp; Forestry / Natural Resources*")</f>
        <v>0</v>
      </c>
      <c s="12" r="G3">
        <f>COUNTIF(EXPERTISE!D4:D50,"*Agricultural Extension and Research*")</f>
        <v>0</v>
      </c>
      <c s="12" r="H3">
        <f>COUNTIF(PROJECT!V2:V100,"*Agriculture, Fishing, &amp; Forestry / Natural Resources*")</f>
        <v>0</v>
      </c>
      <c s="12" r="I3">
        <f>COUNTIF(PROJECT!W2:W100,"*Agricultural Extension and Research*")</f>
        <v>0</v>
      </c>
      <c s="12" r="J3"/>
      <c s="12" r="K3"/>
      <c s="12" r="L3"/>
      <c s="12" r="M3"/>
      <c s="12" r="N3"/>
      <c s="12" r="O3"/>
      <c s="12" r="P3"/>
      <c s="12" r="Q3"/>
      <c s="12" r="R3"/>
      <c s="12" r="S3"/>
      <c s="12" r="T3"/>
    </row>
    <row r="4">
      <c t="s" s="12" r="B4">
        <v>1547</v>
      </c>
      <c t="s" s="12" r="C4">
        <v>1549</v>
      </c>
      <c s="12" r="D4">
        <v>0</v>
      </c>
      <c s="12" r="E4">
        <v>1</v>
      </c>
      <c t="s" s="12" r="F4">
        <v>1408</v>
      </c>
      <c s="12" r="G4">
        <f>COUNTIF(EXPERTISE!D4:D50,"*Agriculture Production, Agro-Processing, and Agro-Business*")</f>
        <v>0</v>
      </c>
      <c s="12" r="H4"/>
      <c s="12" r="I4">
        <f>COUNTIF(PROJECT!W2:W100,"*Agriculture Production, Agro-Processing, and Agro-Business*")</f>
        <v>0</v>
      </c>
      <c s="12" r="J4"/>
      <c s="12" r="K4"/>
      <c s="12" r="L4"/>
      <c s="12" r="M4"/>
      <c s="12" r="N4"/>
      <c s="12" r="O4"/>
      <c s="12" r="P4"/>
      <c s="12" r="Q4"/>
      <c s="12" r="R4"/>
      <c s="12" r="S4"/>
      <c s="12" r="T4"/>
    </row>
    <row r="5">
      <c t="s" s="12" r="B5">
        <v>1547</v>
      </c>
      <c t="s" s="12" r="C5">
        <v>1550</v>
      </c>
      <c s="12" r="D5">
        <v>0</v>
      </c>
      <c s="12" r="E5">
        <v>1</v>
      </c>
      <c t="s" s="12" r="F5">
        <v>1408</v>
      </c>
      <c s="12" r="G5">
        <f>COUNTIF(EXPERTISE!D4:D50,"*Agriculture Sector Development*")</f>
        <v>0</v>
      </c>
      <c s="12" r="H5"/>
      <c s="12" r="I5">
        <f>COUNTIF(PROJECT!W2:W100,"*Agriculture Sector Development*")</f>
        <v>0</v>
      </c>
      <c s="12" r="J5"/>
      <c s="12" r="K5"/>
      <c s="12" r="L5"/>
      <c s="12" r="M5"/>
      <c s="12" r="N5"/>
      <c s="12" r="O5"/>
      <c s="12" r="P5"/>
      <c s="12" r="Q5"/>
      <c s="12" r="R5"/>
      <c s="12" r="S5"/>
      <c s="12" r="T5"/>
    </row>
    <row r="6">
      <c t="s" s="12" r="B6">
        <v>1547</v>
      </c>
      <c t="s" s="12" r="C6">
        <v>1551</v>
      </c>
      <c s="12" r="D6">
        <v>0</v>
      </c>
      <c s="12" r="E6">
        <v>1</v>
      </c>
      <c t="s" s="12" r="F6">
        <v>1408</v>
      </c>
      <c s="12" r="G6">
        <f>COUNTIF(EXPERTISE!D4:D50,"*Animal Production*")</f>
        <v>0</v>
      </c>
      <c s="12" r="H6"/>
      <c s="12" r="I6">
        <f>COUNTIF(PROJECT!W2:W100,"*Animal Production*")</f>
        <v>0</v>
      </c>
      <c s="12" r="J6"/>
      <c s="12" r="K6"/>
      <c s="12" r="L6"/>
      <c s="12" r="M6"/>
      <c s="12" r="N6"/>
      <c s="12" r="O6"/>
      <c s="12" r="P6"/>
      <c s="12" r="Q6"/>
      <c s="12" r="R6"/>
      <c s="12" r="S6"/>
      <c s="12" r="T6"/>
    </row>
    <row r="7">
      <c t="s" s="12" r="B7">
        <v>1547</v>
      </c>
      <c t="s" s="12" r="C7">
        <v>1552</v>
      </c>
      <c s="12" r="D7">
        <v>0</v>
      </c>
      <c s="12" r="E7">
        <v>1</v>
      </c>
      <c t="s" s="12" r="F7">
        <v>1408</v>
      </c>
      <c s="12" r="G7">
        <f>COUNTIF(EXPERTISE!D4:D50,"*Aquaculture*")</f>
        <v>0</v>
      </c>
      <c s="12" r="H7"/>
      <c s="12" r="I7">
        <f>COUNTIF(PROJECT!W2:W100,"*Aquaculture*")</f>
        <v>0</v>
      </c>
      <c s="12" r="J7"/>
      <c s="12" r="K7"/>
      <c s="12" r="L7"/>
      <c s="12" r="M7"/>
      <c s="12" r="N7"/>
      <c s="12" r="O7"/>
      <c s="12" r="P7"/>
      <c s="12" r="Q7"/>
      <c s="12" r="R7"/>
      <c s="12" r="S7"/>
      <c s="12" r="T7"/>
    </row>
    <row r="8">
      <c t="s" s="12" r="B8">
        <v>1547</v>
      </c>
      <c t="s" s="12" r="C8">
        <v>1553</v>
      </c>
      <c s="12" r="D8">
        <v>0</v>
      </c>
      <c s="12" r="E8">
        <v>1</v>
      </c>
      <c t="s" s="12" r="F8">
        <v>1408</v>
      </c>
      <c s="12" r="G8">
        <f>COUNTIF(EXPERTISE!D4:D50,"*Crops*")</f>
        <v>0</v>
      </c>
      <c s="12" r="H8"/>
      <c s="12" r="I8">
        <f>COUNTIF(PROJECT!W2:W100,"*Crops*")</f>
        <v>0</v>
      </c>
      <c s="12" r="J8"/>
      <c s="12" r="K8"/>
      <c s="12" r="L8"/>
      <c s="12" r="M8"/>
      <c s="12" r="N8"/>
      <c s="12" r="O8"/>
      <c s="12" r="P8"/>
      <c s="12" r="Q8"/>
      <c s="12" r="R8"/>
      <c s="12" r="S8"/>
      <c s="12" r="T8"/>
    </row>
    <row r="9">
      <c t="s" s="12" r="B9">
        <v>1547</v>
      </c>
      <c t="s" s="12" r="C9">
        <v>1554</v>
      </c>
      <c s="12" r="D9">
        <v>0</v>
      </c>
      <c s="12" r="E9">
        <v>1</v>
      </c>
      <c t="s" s="12" r="F9">
        <v>1408</v>
      </c>
      <c s="12" r="G9">
        <f>COUNTIF(EXPERTISE!D4:D50,"*Dairy*")</f>
        <v>0</v>
      </c>
      <c s="12" r="H9"/>
      <c s="12" r="I9">
        <f>COUNTIF(PROJECT!W2:W100,"*Dairy*")</f>
        <v>0</v>
      </c>
      <c s="12" r="J9"/>
      <c s="12" r="K9"/>
      <c s="12" r="L9"/>
      <c s="12" r="M9"/>
      <c s="12" r="N9"/>
      <c s="12" r="O9"/>
      <c s="12" r="P9"/>
      <c s="12" r="Q9"/>
      <c s="12" r="R9"/>
      <c s="12" r="S9"/>
      <c s="12" r="T9"/>
    </row>
    <row r="10">
      <c t="s" s="12" r="B10">
        <v>1547</v>
      </c>
      <c t="s" s="12" r="C10">
        <v>1555</v>
      </c>
      <c s="12" r="D10">
        <v>0</v>
      </c>
      <c s="12" r="E10">
        <v>1</v>
      </c>
      <c t="s" s="12" r="F10">
        <v>1408</v>
      </c>
      <c s="12" r="G10">
        <f>COUNTIF(EXPERTISE!D4:D50,"*Environment and Biodiversity*")</f>
        <v>0</v>
      </c>
      <c s="12" r="H10"/>
      <c s="12" r="I10">
        <f>COUNTIF(PROJECT!W2:W100,"*Environment and Biodiversity*")</f>
        <v>0</v>
      </c>
      <c s="12" r="J10"/>
      <c s="12" r="K10"/>
      <c s="12" r="L10"/>
      <c s="12" r="M10"/>
      <c s="12" r="N10"/>
      <c s="12" r="O10"/>
      <c s="12" r="P10"/>
      <c s="12" r="Q10"/>
      <c s="12" r="R10"/>
      <c s="12" r="S10"/>
      <c s="12" r="T10"/>
    </row>
    <row r="11">
      <c t="s" s="12" r="B11">
        <v>1547</v>
      </c>
      <c t="s" s="12" r="C11">
        <v>1556</v>
      </c>
      <c s="12" r="D11">
        <v>0</v>
      </c>
      <c s="12" r="E11">
        <v>1</v>
      </c>
      <c t="s" s="12" r="F11">
        <v>1408</v>
      </c>
      <c s="12" r="G11">
        <f>COUNTIF(EXPERTISE!D4:D50,"*Fats and Oils*")</f>
        <v>0</v>
      </c>
      <c s="12" r="H11"/>
      <c s="12" r="I11">
        <f>COUNTIF(PROJECT!W2:W100,"*Fats and Oils*")</f>
        <v>0</v>
      </c>
      <c s="12" r="J11"/>
      <c s="12" r="K11"/>
      <c s="12" r="L11"/>
      <c s="12" r="M11"/>
      <c s="12" r="N11"/>
      <c s="12" r="O11"/>
      <c s="12" r="P11"/>
      <c s="12" r="Q11"/>
      <c s="12" r="R11"/>
      <c s="12" r="S11"/>
      <c s="12" r="T11"/>
    </row>
    <row r="12">
      <c t="s" s="12" r="B12">
        <v>1547</v>
      </c>
      <c t="s" s="12" r="C12">
        <v>1557</v>
      </c>
      <c s="12" r="D12">
        <v>0</v>
      </c>
      <c s="12" r="E12">
        <v>1</v>
      </c>
      <c t="s" s="12" r="F12">
        <v>1408</v>
      </c>
      <c s="12" r="G12">
        <f>COUNTIF(EXPERTISE!D4:D50,"*Fishery*")</f>
        <v>0</v>
      </c>
      <c s="12" r="H12"/>
      <c s="12" r="I12">
        <f>COUNTIF(PROJECT!W2:W100,"*Fishery*")</f>
        <v>0</v>
      </c>
      <c s="12" r="J12"/>
      <c s="12" r="K12"/>
      <c s="12" r="L12"/>
      <c s="12" r="M12"/>
      <c s="12" r="N12"/>
      <c s="12" r="O12"/>
      <c s="12" r="P12"/>
      <c s="12" r="Q12"/>
      <c s="12" r="R12"/>
      <c s="12" r="S12"/>
      <c s="12" r="T12"/>
    </row>
    <row r="13">
      <c t="s" s="12" r="B13">
        <v>1547</v>
      </c>
      <c t="s" s="22" r="C13">
        <v>1558</v>
      </c>
      <c s="12" r="D13">
        <v>0</v>
      </c>
      <c s="12" r="E13">
        <v>1</v>
      </c>
      <c t="s" s="12" r="F13">
        <v>1408</v>
      </c>
      <c s="22" r="G13">
        <f>COUNTIF(EXPERTISE!D4:D50,"*Forests*")</f>
        <v>0</v>
      </c>
      <c s="12" r="H13"/>
      <c s="22" r="I13">
        <f>COUNTIF(PROJECT!W2:W100,"*Forests*")</f>
        <v>0</v>
      </c>
      <c s="12" r="J13"/>
      <c s="12" r="K13"/>
      <c s="12" r="L13"/>
      <c s="12" r="M13"/>
      <c s="12" r="N13"/>
      <c s="12" r="O13"/>
      <c s="12" r="P13"/>
      <c s="12" r="Q13"/>
      <c s="12" r="R13"/>
      <c s="12" r="S13"/>
      <c s="12" r="T13"/>
    </row>
    <row r="14">
      <c t="s" s="12" r="B14">
        <v>1547</v>
      </c>
      <c t="s" s="12" r="C14">
        <v>1559</v>
      </c>
      <c s="12" r="D14">
        <v>0</v>
      </c>
      <c s="12" r="E14">
        <v>1</v>
      </c>
      <c t="s" s="12" r="F14">
        <v>1408</v>
      </c>
      <c s="12" r="G14">
        <f>COUNTIF(EXPERTISE!D4:D50,"*Fruits &amp; Vegetables*")</f>
        <v>0</v>
      </c>
      <c s="12" r="H14"/>
      <c s="12" r="I14">
        <f>COUNTIF(PROJECT!W2:W100,"*Fruits &amp; Vegetables*")</f>
        <v>0</v>
      </c>
      <c s="12" r="J14"/>
      <c s="12" r="K14"/>
      <c s="12" r="L14"/>
      <c s="12" r="M14"/>
      <c s="12" r="N14"/>
      <c s="12" r="O14"/>
      <c s="12" r="P14"/>
      <c s="12" r="Q14"/>
      <c s="12" r="R14"/>
      <c s="12" r="S14"/>
      <c s="12" r="T14"/>
    </row>
    <row r="15">
      <c t="s" s="12" r="B15">
        <v>1547</v>
      </c>
      <c t="s" s="12" r="C15">
        <v>1560</v>
      </c>
      <c s="12" r="D15">
        <v>0</v>
      </c>
      <c s="12" r="E15">
        <v>1</v>
      </c>
      <c t="s" s="12" r="F15">
        <v>1408</v>
      </c>
      <c s="12" r="G15">
        <f>COUNTIF(EXPERTISE!D4:D50,"*Grains*")</f>
        <v>0</v>
      </c>
      <c s="12" r="H15"/>
      <c s="12" r="I15">
        <f>COUNTIF(PROJECT!W2:W100,"*Grains*")</f>
        <v>0</v>
      </c>
      <c s="12" r="J15"/>
      <c s="12" r="K15"/>
      <c s="12" r="L15"/>
      <c s="12" r="M15"/>
      <c s="12" r="N15"/>
      <c s="12" r="O15"/>
      <c s="12" r="P15"/>
      <c s="12" r="Q15"/>
      <c s="12" r="R15"/>
      <c s="12" r="S15"/>
      <c s="12" r="T15"/>
    </row>
    <row r="16">
      <c t="s" s="12" r="B16">
        <v>1547</v>
      </c>
      <c t="s" s="12" r="C16">
        <v>1561</v>
      </c>
      <c s="12" r="D16">
        <v>0</v>
      </c>
      <c s="12" r="E16">
        <v>1</v>
      </c>
      <c t="s" s="12" r="F16">
        <v>1408</v>
      </c>
      <c s="12" r="G16">
        <f>COUNTIF(EXPERTISE!D4:D50,"*Irrigation and Drainage*")</f>
        <v>0</v>
      </c>
      <c s="12" r="H16"/>
      <c s="12" r="I16">
        <f>COUNTIF(PROJECT!W2:W100,"*Irrigation and Drainage*")</f>
        <v>0</v>
      </c>
      <c s="12" r="J16"/>
      <c s="12" r="K16"/>
      <c s="12" r="L16"/>
      <c s="12" r="M16"/>
      <c s="12" r="N16"/>
      <c s="12" r="O16"/>
      <c s="12" r="P16"/>
      <c s="12" r="Q16"/>
      <c s="12" r="R16"/>
      <c s="12" r="S16"/>
      <c s="12" r="T16"/>
    </row>
    <row r="17">
      <c t="s" s="12" r="B17">
        <v>1547</v>
      </c>
      <c t="s" s="12" r="C17">
        <v>1562</v>
      </c>
      <c s="12" r="D17">
        <v>0</v>
      </c>
      <c s="12" r="E17">
        <v>1</v>
      </c>
      <c t="s" s="12" r="F17">
        <v>1408</v>
      </c>
      <c s="12" r="G17">
        <f>COUNTIF(EXPERTISE!D4:D50,"*Livestock*")</f>
        <v>0</v>
      </c>
      <c s="12" r="H17"/>
      <c s="12" r="I17">
        <f>COUNTIF(PROJECT!W2:W100,"*Livestock*")</f>
        <v>0</v>
      </c>
      <c s="12" r="J17"/>
      <c s="12" r="K17"/>
      <c s="12" r="L17"/>
      <c s="12" r="M17"/>
      <c s="12" r="N17"/>
      <c s="12" r="O17"/>
      <c s="12" r="P17"/>
      <c s="12" r="Q17"/>
      <c s="12" r="R17"/>
      <c s="12" r="S17"/>
      <c s="12" r="T17"/>
    </row>
    <row r="18">
      <c t="s" s="12" r="B18">
        <v>1547</v>
      </c>
      <c t="s" s="22" r="C18">
        <v>1563</v>
      </c>
      <c s="12" r="D18">
        <v>0</v>
      </c>
      <c s="12" r="E18">
        <v>1</v>
      </c>
      <c t="s" s="12" r="F18">
        <v>1408</v>
      </c>
      <c s="12" r="G18">
        <f>COUNTIF(EXPERTISE!D4:D50,"*Mineral Resources*")</f>
        <v>0</v>
      </c>
      <c s="12" r="H18"/>
      <c s="12" r="I18">
        <f>COUNTIF(PROJECT!W2:W100,"*Mineral Resources*")</f>
        <v>0</v>
      </c>
      <c s="12" r="J18"/>
      <c s="12" r="K18"/>
      <c s="12" r="L18"/>
      <c s="12" r="M18"/>
      <c s="12" r="N18"/>
      <c s="12" r="O18"/>
      <c s="12" r="P18"/>
      <c s="12" r="Q18"/>
      <c s="12" r="R18"/>
      <c s="12" r="S18"/>
      <c s="12" r="T18"/>
    </row>
    <row r="19">
      <c t="s" s="12" r="B19">
        <v>1547</v>
      </c>
      <c t="s" s="12" r="C19">
        <v>1564</v>
      </c>
      <c s="12" r="D19">
        <v>0</v>
      </c>
      <c s="12" r="E19">
        <v>1</v>
      </c>
      <c t="s" s="12" r="F19">
        <v>1408</v>
      </c>
      <c s="12" r="G19">
        <f>COUNTIF(EXPERTISE!D4:D50,"*Processed Food &amp; Beverages*")</f>
        <v>0</v>
      </c>
      <c s="12" r="H19"/>
      <c s="12" r="I19">
        <f>COUNTIF(PROJECT!W2:W100,"*Processed Food &amp; Beverages*")</f>
        <v>0</v>
      </c>
      <c s="12" r="J19"/>
      <c s="12" r="K19"/>
      <c s="12" r="L19"/>
      <c s="12" r="M19"/>
      <c s="12" r="N19"/>
      <c s="12" r="O19"/>
      <c s="12" r="P19"/>
      <c s="12" r="Q19"/>
      <c s="12" r="R19"/>
      <c s="12" r="S19"/>
      <c s="12" r="T19"/>
    </row>
    <row r="20">
      <c t="s" s="12" r="B20">
        <v>1547</v>
      </c>
      <c t="s" s="12" r="C20">
        <v>1565</v>
      </c>
      <c s="12" r="D20">
        <v>0</v>
      </c>
      <c s="12" r="E20">
        <v>1</v>
      </c>
      <c t="s" s="12" r="F20">
        <v>1408</v>
      </c>
      <c s="12" r="G20">
        <f>COUNTIF(EXPERTISE!D4:D50,"*Sugar*")</f>
        <v>0</v>
      </c>
      <c s="12" r="H20"/>
      <c s="12" r="I20">
        <f>COUNTIF(PROJECT!W2:W100,"*Sugar*")</f>
        <v>0</v>
      </c>
      <c s="12" r="J20"/>
      <c s="12" r="K20"/>
      <c s="12" r="L20"/>
      <c s="12" r="M20"/>
      <c s="12" r="N20"/>
      <c s="12" r="O20"/>
      <c s="12" r="P20"/>
      <c s="12" r="Q20"/>
      <c s="12" r="R20"/>
      <c s="12" r="S20"/>
      <c s="12" r="T20"/>
    </row>
    <row r="21">
      <c t="s" s="12" r="B21">
        <v>1547</v>
      </c>
      <c t="s" s="12" r="C21">
        <v>1444</v>
      </c>
      <c s="12" r="D21">
        <v>0</v>
      </c>
      <c s="12" r="E21">
        <v>1</v>
      </c>
      <c t="s" s="12" r="F21">
        <v>1408</v>
      </c>
      <c s="12" r="G21">
        <f>COUNTIF(EXPERTISE!D4:D50,"*Water Resource Management*")</f>
        <v>0</v>
      </c>
      <c s="12" r="H21"/>
      <c s="12" r="I21">
        <f>COUNTIF(PROJECT!W2:W100,"*Water Resource Management*")</f>
        <v>0</v>
      </c>
      <c s="12" r="J21"/>
      <c s="12" r="K21"/>
      <c s="12" r="L21"/>
      <c s="12" r="M21"/>
      <c s="12" r="N21"/>
      <c s="12" r="O21"/>
      <c s="12" r="P21"/>
      <c s="12" r="Q21"/>
      <c s="12" r="R21"/>
      <c s="12" r="S21"/>
      <c s="12" r="T21"/>
    </row>
    <row r="22">
      <c t="s" s="12" r="B22">
        <v>1566</v>
      </c>
      <c t="s" s="12" r="C22">
        <v>1566</v>
      </c>
      <c s="12" r="D22">
        <v>1</v>
      </c>
      <c s="12" r="E22">
        <v>1</v>
      </c>
      <c s="12" r="F22">
        <f>COUNTIF(EXPERTISE!C4:C50,"*Economic Management*")</f>
        <v>0</v>
      </c>
      <c s="12" r="G22">
        <f>COUNTIF(EXPERTISE!D4:D50,"*Economic Management*")</f>
        <v>0</v>
      </c>
      <c s="12" r="H22">
        <f>COUNTIF(PROJECT!V2:V100,"*Economic Management*")</f>
        <v>0</v>
      </c>
      <c s="12" r="I22">
        <f>COUNTIF(PROJECT!W2:W100,"*Economic Management*")</f>
        <v>0</v>
      </c>
      <c s="12" r="J22"/>
      <c s="12" r="K22"/>
      <c s="12" r="L22"/>
      <c s="12" r="M22"/>
      <c s="12" r="N22"/>
      <c s="12" r="O22"/>
      <c s="12" r="P22"/>
      <c s="12" r="Q22"/>
      <c s="12" r="R22"/>
      <c s="12" r="S22"/>
      <c s="12" r="T22"/>
    </row>
    <row r="23">
      <c t="s" s="12" r="B23">
        <v>1566</v>
      </c>
      <c t="s" s="12" r="C23">
        <v>1567</v>
      </c>
      <c s="12" r="D23">
        <v>0</v>
      </c>
      <c s="12" r="E23">
        <v>1</v>
      </c>
      <c s="12" r="G23">
        <f>COUNTIF(EXPERTISE!D4:D50,"*Public Finance and Expenditure Management*")</f>
        <v>0</v>
      </c>
      <c s="12" r="H23"/>
      <c s="12" r="I23">
        <f>COUNTIF(PROJECT!W2:W100,"*Public Finance and Expenditure Management*")</f>
        <v>0</v>
      </c>
      <c s="12" r="J23"/>
      <c s="12" r="K23"/>
      <c s="12" r="L23"/>
      <c s="12" r="M23"/>
      <c s="12" r="N23"/>
      <c s="12" r="O23"/>
      <c s="12" r="P23"/>
      <c s="12" r="Q23"/>
      <c s="12" r="R23"/>
      <c s="12" r="S23"/>
      <c s="12" r="T23"/>
    </row>
    <row r="24">
      <c t="s" s="12" r="B24">
        <v>1568</v>
      </c>
      <c t="s" s="22" r="C24">
        <v>1569</v>
      </c>
      <c s="12" r="D24">
        <v>1</v>
      </c>
      <c s="12" r="E24">
        <v>1</v>
      </c>
      <c s="12" r="F24">
        <f>COUNTIF(EXPERTISE!C4:C50,"*Education*")</f>
        <v>0</v>
      </c>
      <c s="12" r="G24">
        <f>COUNTIF(EXPERTISE!D4:D50,"*Adult Literacy*")</f>
        <v>0</v>
      </c>
      <c s="12" r="H24">
        <f>COUNTIF(PROJECT!V2:V100,"*Education*")</f>
        <v>0</v>
      </c>
      <c s="12" r="I24">
        <f>COUNTIF(PROJECT!W2:W100,"*Adult Literacy*")</f>
        <v>0</v>
      </c>
      <c s="12" r="J24"/>
      <c s="12" r="K24"/>
      <c s="12" r="L24"/>
      <c s="12" r="M24"/>
      <c s="12" r="N24"/>
      <c s="12" r="O24"/>
      <c s="12" r="P24"/>
      <c s="12" r="Q24"/>
      <c s="12" r="R24"/>
      <c s="12" r="S24"/>
      <c s="12" r="T24"/>
    </row>
    <row r="25">
      <c t="s" s="12" r="B25">
        <v>1568</v>
      </c>
      <c t="s" s="12" r="C25">
        <v>1570</v>
      </c>
      <c s="12" r="D25">
        <v>0</v>
      </c>
      <c s="12" r="E25">
        <v>1</v>
      </c>
      <c t="s" s="12" r="F25">
        <v>1408</v>
      </c>
      <c s="12" r="G25">
        <f>COUNTIF(EXPERTISE!D4:D50,"*Basic Education*")</f>
        <v>0</v>
      </c>
      <c s="12" r="H25"/>
      <c s="12" r="I25">
        <f>COUNTIF(PROJECT!W2:W100,"*Basic Education*")</f>
        <v>0</v>
      </c>
      <c s="12" r="J25"/>
      <c s="12" r="K25"/>
      <c s="12" r="L25"/>
      <c s="12" r="M25"/>
      <c s="12" r="N25"/>
      <c s="12" r="O25"/>
      <c s="12" r="P25"/>
      <c s="12" r="Q25"/>
      <c s="12" r="R25"/>
      <c s="12" r="S25"/>
      <c s="12" r="T25"/>
    </row>
    <row r="26">
      <c t="s" s="12" r="B26">
        <v>1568</v>
      </c>
      <c t="s" s="12" r="C26">
        <v>1571</v>
      </c>
      <c s="12" r="D26">
        <v>0</v>
      </c>
      <c s="12" r="E26">
        <v>1</v>
      </c>
      <c t="s" s="12" r="F26">
        <v>1408</v>
      </c>
      <c s="12" r="G26">
        <f>COUNTIF(EXPERTISE!D4:D50,"*Education Sector Development*")</f>
        <v>0</v>
      </c>
      <c s="12" r="H26"/>
      <c s="12" r="I26">
        <f>COUNTIF(PROJECT!W2:W100,"*Education Sector Development*")</f>
        <v>0</v>
      </c>
      <c s="12" r="J26"/>
      <c s="12" r="K26"/>
      <c s="12" r="L26"/>
      <c s="12" r="M26"/>
      <c s="12" r="N26"/>
      <c s="12" r="O26"/>
      <c s="12" r="P26"/>
      <c s="12" r="Q26"/>
      <c s="12" r="R26"/>
      <c s="12" r="S26"/>
      <c s="12" r="T26"/>
    </row>
    <row r="27">
      <c t="s" s="12" r="B27">
        <v>1568</v>
      </c>
      <c t="s" s="12" r="C27">
        <v>1572</v>
      </c>
      <c s="12" r="D27">
        <v>0</v>
      </c>
      <c s="12" r="E27">
        <v>1</v>
      </c>
      <c t="s" s="12" r="F27">
        <v>1408</v>
      </c>
      <c s="12" r="G27">
        <f>COUNTIF(EXPERTISE!D4:D50,"*General Education Sector*")</f>
        <v>0</v>
      </c>
      <c s="12" r="H27"/>
      <c s="12" r="I27">
        <f>COUNTIF(PROJECT!W2:W100,"*General Education Sector*")</f>
        <v>0</v>
      </c>
      <c s="12" r="J27"/>
      <c s="12" r="K27"/>
      <c s="12" r="L27"/>
      <c s="12" r="M27"/>
      <c s="12" r="N27"/>
      <c s="12" r="O27"/>
      <c s="12" r="P27"/>
      <c s="12" r="Q27"/>
      <c s="12" r="R27"/>
      <c s="12" r="S27"/>
      <c s="12" r="T27"/>
    </row>
    <row r="28">
      <c t="s" s="12" r="B28">
        <v>1568</v>
      </c>
      <c t="s" s="22" r="C28">
        <v>1573</v>
      </c>
      <c s="12" r="D28">
        <v>0</v>
      </c>
      <c s="12" r="E28">
        <v>1</v>
      </c>
      <c t="s" s="12" r="F28">
        <v>1408</v>
      </c>
      <c s="22" r="G28">
        <f>COUNTIF(EXPERTISE!D4:D50,"*Non-Formal Education*")</f>
        <v>0</v>
      </c>
      <c s="12" r="H28"/>
      <c s="22" r="I28">
        <f>COUNTIF(PROJECT!W2:W100,"*Non-Formal Education*")</f>
        <v>0</v>
      </c>
      <c s="12" r="J28"/>
      <c s="12" r="K28"/>
      <c s="12" r="L28"/>
      <c s="12" r="M28"/>
      <c s="12" r="N28"/>
      <c s="12" r="O28"/>
      <c s="12" r="P28"/>
      <c s="12" r="Q28"/>
      <c s="12" r="R28"/>
      <c s="12" r="S28"/>
      <c s="12" r="T28"/>
    </row>
    <row r="29">
      <c t="s" s="12" r="B29">
        <v>1568</v>
      </c>
      <c t="s" s="22" r="C29">
        <v>1574</v>
      </c>
      <c s="12" r="D29">
        <v>0</v>
      </c>
      <c s="12" r="E29">
        <v>1</v>
      </c>
      <c t="s" s="12" r="F29">
        <v>1408</v>
      </c>
      <c s="12" r="G29">
        <f>COUNTIF(EXPERTISE!D4:D50,"*Early Education*")</f>
        <v>0</v>
      </c>
      <c s="12" r="H29"/>
      <c s="22" r="I29">
        <f>COUNTIF(PROJECT!W2:W100,"*Early Education*")</f>
        <v>0</v>
      </c>
      <c s="12" r="J29"/>
      <c s="12" r="K29"/>
      <c s="12" r="L29"/>
      <c s="12" r="M29"/>
      <c s="12" r="N29"/>
      <c s="12" r="O29"/>
      <c s="12" r="P29"/>
      <c s="12" r="Q29"/>
      <c s="12" r="R29"/>
      <c s="12" r="S29"/>
      <c s="12" r="T29"/>
    </row>
    <row r="30">
      <c t="s" s="12" r="B30">
        <v>1568</v>
      </c>
      <c t="s" s="22" r="C30">
        <v>1575</v>
      </c>
      <c s="12" r="D30">
        <v>0</v>
      </c>
      <c s="12" r="E30">
        <v>1</v>
      </c>
      <c t="s" s="12" r="F30">
        <v>1408</v>
      </c>
      <c s="22" r="G30">
        <f>COUNTIF(EXPERTISE!D4:D50,"*Primary Education*")</f>
        <v>0</v>
      </c>
      <c s="12" r="H30"/>
      <c s="22" r="I30">
        <f>COUNTIF(PROJECT!W2:W100,"*Primary Education*")</f>
        <v>0</v>
      </c>
      <c s="12" r="J30"/>
      <c s="12" r="K30"/>
      <c s="12" r="L30"/>
      <c s="12" r="M30"/>
      <c s="12" r="N30"/>
      <c s="12" r="O30"/>
      <c s="12" r="P30"/>
      <c s="12" r="Q30"/>
      <c s="12" r="R30"/>
      <c s="12" r="S30"/>
      <c s="12" r="T30"/>
    </row>
    <row r="31">
      <c t="s" s="12" r="B31">
        <v>1568</v>
      </c>
      <c t="s" s="12" r="C31">
        <v>1576</v>
      </c>
      <c s="12" r="D31">
        <v>0</v>
      </c>
      <c s="12" r="E31">
        <v>1</v>
      </c>
      <c t="s" s="12" r="F31">
        <v>1408</v>
      </c>
      <c s="12" r="G31">
        <f>COUNTIF(EXPERTISE!D4:D50,"*Secondary Education*")</f>
        <v>0</v>
      </c>
      <c s="12" r="H31"/>
      <c s="12" r="I31">
        <f>COUNTIF(PROJECT!W2:W100,"*Secondary Education*")</f>
        <v>0</v>
      </c>
      <c s="12" r="J31"/>
      <c s="12" r="K31"/>
      <c s="12" r="L31"/>
      <c s="12" r="M31"/>
      <c s="12" r="N31"/>
      <c s="12" r="O31"/>
      <c s="12" r="P31"/>
      <c s="12" r="Q31"/>
      <c s="12" r="R31"/>
      <c s="12" r="S31"/>
      <c s="12" r="T31"/>
    </row>
    <row r="32">
      <c t="s" s="12" r="B32">
        <v>1568</v>
      </c>
      <c t="s" s="12" r="C32">
        <v>1577</v>
      </c>
      <c s="12" r="D32">
        <v>0</v>
      </c>
      <c s="12" r="E32">
        <v>1</v>
      </c>
      <c t="s" s="12" r="F32">
        <v>1408</v>
      </c>
      <c s="12" r="G32">
        <f>COUNTIF(EXPERTISE!D4:D50,"*Senior Secondary General Education*")</f>
        <v>0</v>
      </c>
      <c s="12" r="H32"/>
      <c s="12" r="I32">
        <f>COUNTIF(PROJECT!W2:W100,"*Senior Secondary General Education*")</f>
        <v>0</v>
      </c>
      <c s="12" r="J32"/>
      <c s="12" r="K32"/>
      <c s="12" r="L32"/>
      <c s="12" r="M32"/>
      <c s="12" r="N32"/>
      <c s="12" r="O32"/>
      <c s="12" r="P32"/>
      <c s="12" r="Q32"/>
      <c s="12" r="R32"/>
      <c s="12" r="S32"/>
      <c s="12" r="T32"/>
    </row>
    <row r="33">
      <c t="s" s="12" r="B33">
        <v>1568</v>
      </c>
      <c t="s" s="22" r="C33">
        <v>1578</v>
      </c>
      <c s="12" r="D33">
        <v>0</v>
      </c>
      <c s="12" r="E33">
        <v>1</v>
      </c>
      <c t="s" s="12" r="F33">
        <v>1408</v>
      </c>
      <c s="12" r="G33">
        <f>COUNTIF(EXPERTISE!D4:D50,"*Technical Education*")</f>
        <v>0</v>
      </c>
      <c s="12" r="H33"/>
      <c s="12" r="I33">
        <f>COUNTIF(PROJECT!W2:W100,"*Technical Education*")</f>
        <v>0</v>
      </c>
      <c s="12" r="J33"/>
      <c s="12" r="K33"/>
      <c s="12" r="L33"/>
      <c s="12" r="M33"/>
      <c s="12" r="N33"/>
      <c s="12" r="O33"/>
      <c s="12" r="P33"/>
      <c s="12" r="Q33"/>
      <c s="12" r="R33"/>
      <c s="12" r="S33"/>
      <c s="12" r="T33"/>
    </row>
    <row r="34">
      <c t="s" s="12" r="B34">
        <v>1568</v>
      </c>
      <c t="s" s="22" r="C34">
        <v>1579</v>
      </c>
      <c s="12" r="D34">
        <v>0</v>
      </c>
      <c s="12" r="E34">
        <v>1</v>
      </c>
      <c t="s" s="12" r="F34">
        <v>1408</v>
      </c>
      <c s="12" r="G34">
        <f>COUNTIF(EXPERTISE!D4:D50,"*Tertiary Education*")</f>
        <v>0</v>
      </c>
      <c s="12" r="H34"/>
      <c s="12" r="I34">
        <f>COUNTIF(PROJECT!W2:W100,"*Tertiary Education*")</f>
        <v>0</v>
      </c>
      <c s="12" r="J34"/>
      <c s="12" r="K34"/>
      <c s="12" r="L34"/>
      <c s="12" r="M34"/>
      <c s="12" r="N34"/>
      <c s="12" r="O34"/>
      <c s="12" r="P34"/>
      <c s="12" r="Q34"/>
      <c s="12" r="R34"/>
      <c s="12" r="S34"/>
      <c s="12" r="T34"/>
    </row>
    <row r="35">
      <c t="s" s="12" r="B35">
        <v>1568</v>
      </c>
      <c t="s" s="22" r="C35">
        <v>1580</v>
      </c>
      <c s="12" r="D35">
        <v>0</v>
      </c>
      <c s="12" r="E35">
        <v>1</v>
      </c>
      <c t="s" s="12" r="F35">
        <v>1408</v>
      </c>
      <c s="22" r="G35">
        <f>COUNTIF(EXPERTISE!D4:D50,"*Vocational Training and Skills Development*")</f>
        <v>0</v>
      </c>
      <c s="12" r="H35"/>
      <c s="22" r="I35">
        <f>COUNTIF(PROJECT!W2:W100,"*Vocational Training and Skills Development*")</f>
        <v>0</v>
      </c>
      <c s="12" r="J35"/>
      <c s="12" r="K35"/>
      <c s="12" r="L35"/>
      <c s="12" r="M35"/>
      <c s="12" r="N35"/>
      <c s="12" r="O35"/>
      <c s="12" r="P35"/>
      <c s="12" r="Q35"/>
      <c s="12" r="R35"/>
      <c s="12" r="S35"/>
      <c s="12" r="T35"/>
    </row>
    <row r="36">
      <c t="s" s="12" r="B36">
        <v>1581</v>
      </c>
      <c t="s" s="22" r="C36">
        <v>1582</v>
      </c>
      <c s="12" r="D36">
        <v>1</v>
      </c>
      <c s="12" r="E36">
        <v>1</v>
      </c>
      <c s="12" r="F36">
        <f>COUNTIF(EXPERTISE!C4:C50,"*Energy*")</f>
        <v>0</v>
      </c>
      <c s="12" r="G36">
        <f>COUNTIF(EXPERTISE!D4:D50,"*Conventional Energy Generation*")</f>
        <v>0</v>
      </c>
      <c s="12" r="H36">
        <f>COUNTIF(PROJECT!V2:V100,"*Energy*")</f>
        <v>0</v>
      </c>
      <c s="22" r="I36">
        <f>COUNTIF(PROJECT!W2:W100,"*Conventional Energy Generation*")</f>
        <v>0</v>
      </c>
      <c s="12" r="J36"/>
      <c s="12" r="K36"/>
      <c s="12" r="L36"/>
      <c s="12" r="M36"/>
      <c s="12" r="N36"/>
      <c s="12" r="O36"/>
      <c s="12" r="P36"/>
      <c s="12" r="Q36"/>
      <c s="12" r="R36"/>
      <c s="12" r="S36"/>
      <c s="12" r="T36"/>
    </row>
    <row r="37">
      <c t="s" s="12" r="B37">
        <v>1581</v>
      </c>
      <c t="s" s="12" r="C37">
        <v>1583</v>
      </c>
      <c s="12" r="D37">
        <v>0</v>
      </c>
      <c s="12" r="E37">
        <v>1</v>
      </c>
      <c t="s" s="12" r="F37">
        <v>1408</v>
      </c>
      <c s="12" r="G37">
        <f>COUNTIF(EXPERTISE!D4:D50,"*Energy Efficiency in Heat and Power*")</f>
        <v>0</v>
      </c>
      <c s="12" r="H37"/>
      <c s="12" r="I37">
        <f>COUNTIF(PROJECT!W2:W100,"*Energy Efficiency in Heat and Power*")</f>
        <v>0</v>
      </c>
      <c s="12" r="J37"/>
      <c s="12" r="K37"/>
      <c s="12" r="L37"/>
      <c s="12" r="M37"/>
      <c s="12" r="N37"/>
      <c s="12" r="O37"/>
      <c s="12" r="P37"/>
      <c s="12" r="Q37"/>
      <c s="12" r="R37"/>
      <c s="12" r="S37"/>
      <c s="12" r="T37"/>
    </row>
    <row r="38">
      <c t="s" s="12" r="B38">
        <v>1581</v>
      </c>
      <c t="s" s="12" r="C38">
        <v>1584</v>
      </c>
      <c s="12" r="D38">
        <v>0</v>
      </c>
      <c s="12" r="E38">
        <v>1</v>
      </c>
      <c t="s" s="12" r="F38">
        <v>1408</v>
      </c>
      <c s="12" r="G38">
        <f>COUNTIF(EXPERTISE!D4:D50,"*Energy Sector Development*")</f>
        <v>0</v>
      </c>
      <c s="12" r="H38"/>
      <c s="12" r="I38">
        <f>COUNTIF(PROJECT!W2:W100,"*Energy Sector Development*")</f>
        <v>0</v>
      </c>
      <c s="12" r="J38"/>
      <c s="12" r="K38"/>
      <c s="12" r="L38"/>
      <c s="12" r="M38"/>
      <c s="12" r="N38"/>
      <c s="12" r="O38"/>
      <c s="12" r="P38"/>
      <c s="12" r="Q38"/>
      <c s="12" r="R38"/>
      <c s="12" r="S38"/>
      <c s="12" r="T38"/>
    </row>
    <row r="39">
      <c t="s" s="12" r="B39">
        <v>1581</v>
      </c>
      <c t="s" s="12" r="C39">
        <v>1585</v>
      </c>
      <c s="12" r="D39">
        <v>0</v>
      </c>
      <c s="12" r="E39">
        <v>1</v>
      </c>
      <c t="s" s="12" r="F39">
        <v>1408</v>
      </c>
      <c s="12" r="G39">
        <f>COUNTIF(EXPERTISE!D4:D50,"*General Energy Sector*")</f>
        <v>0</v>
      </c>
      <c s="12" r="H39"/>
      <c s="12" r="I39">
        <f>COUNTIF(PROJECT!W2:W100,"*General Energy Sector*")</f>
        <v>0</v>
      </c>
      <c s="12" r="J39"/>
      <c s="12" r="K39"/>
      <c s="12" r="L39"/>
      <c s="12" r="M39"/>
      <c s="12" r="N39"/>
      <c s="12" r="O39"/>
      <c s="12" r="P39"/>
      <c s="12" r="Q39"/>
      <c s="12" r="R39"/>
      <c s="12" r="S39"/>
      <c s="12" r="T39"/>
    </row>
    <row r="40">
      <c t="s" s="12" r="B40">
        <v>1581</v>
      </c>
      <c t="s" s="22" r="C40">
        <v>1586</v>
      </c>
      <c s="12" r="D40">
        <v>0</v>
      </c>
      <c s="12" r="E40">
        <v>1</v>
      </c>
      <c t="s" s="12" r="F40">
        <v>1408</v>
      </c>
      <c s="22" r="G40">
        <f>COUNTIF(EXPERTISE!D4:D50,"*Hydropower*")</f>
        <v>0</v>
      </c>
      <c s="12" r="H40"/>
      <c s="22" r="I40">
        <f>COUNTIF(PROJECT!W2:W100,"*Hydropower*")</f>
        <v>0</v>
      </c>
      <c s="12" r="J40"/>
      <c s="12" r="K40"/>
      <c s="12" r="L40"/>
      <c s="12" r="M40"/>
      <c s="12" r="N40"/>
      <c s="12" r="O40"/>
      <c s="12" r="P40"/>
      <c s="12" r="Q40"/>
      <c s="12" r="R40"/>
      <c s="12" r="S40"/>
      <c s="12" r="T40"/>
    </row>
    <row r="41">
      <c t="s" s="12" r="B41">
        <v>1581</v>
      </c>
      <c t="s" s="22" r="C41">
        <v>1587</v>
      </c>
      <c s="12" r="D41">
        <v>0</v>
      </c>
      <c s="12" r="E41">
        <v>1</v>
      </c>
      <c t="s" s="12" r="F41">
        <v>1408</v>
      </c>
      <c s="22" r="G41">
        <f>COUNTIF(EXPERTISE!D4:D50,"*Renewable Energy*")</f>
        <v>0</v>
      </c>
      <c s="12" r="H41"/>
      <c s="22" r="I41">
        <f>COUNTIF(PROJECT!W2:W100,"*Renewable Energy*")</f>
        <v>0</v>
      </c>
      <c s="12" r="J41"/>
      <c s="12" r="K41"/>
      <c s="12" r="L41"/>
      <c s="12" r="M41"/>
      <c s="12" r="N41"/>
      <c s="12" r="O41"/>
      <c s="12" r="P41"/>
      <c s="12" r="Q41"/>
      <c s="12" r="R41"/>
      <c s="12" r="S41"/>
      <c s="12" r="T41"/>
    </row>
    <row r="42">
      <c t="s" s="12" r="B42">
        <v>1581</v>
      </c>
      <c t="s" s="12" r="C42">
        <v>1588</v>
      </c>
      <c s="12" r="D42">
        <v>0</v>
      </c>
      <c s="12" r="E42">
        <v>1</v>
      </c>
      <c t="s" s="12" r="F42">
        <v>1408</v>
      </c>
      <c s="12" r="G42">
        <f>COUNTIF(EXPERTISE!D4:D50,"*Thermal Power Generation*")</f>
        <v>0</v>
      </c>
      <c s="12" r="H42"/>
      <c s="12" r="I42">
        <f>COUNTIF(PROJECT!W2:W100,"*Thermal Power Generation*")</f>
        <v>0</v>
      </c>
      <c s="12" r="J42"/>
      <c s="12" r="K42"/>
      <c s="12" r="L42"/>
      <c s="12" r="M42"/>
      <c s="12" r="N42"/>
      <c s="12" r="O42"/>
      <c s="12" r="P42"/>
      <c s="12" r="Q42"/>
      <c s="12" r="R42"/>
      <c s="12" r="S42"/>
      <c s="12" r="T42"/>
    </row>
    <row r="43">
      <c t="s" s="12" r="B43">
        <v>1581</v>
      </c>
      <c t="s" s="22" r="C43">
        <v>1589</v>
      </c>
      <c s="12" r="D43">
        <v>0</v>
      </c>
      <c s="12" r="E43">
        <v>1</v>
      </c>
      <c t="s" s="12" r="F43">
        <v>1408</v>
      </c>
      <c s="22" r="G43">
        <f>COUNTIF(EXPERTISE!D4:D50,"*Energy Transmission and Distribution*")</f>
        <v>0</v>
      </c>
      <c s="12" r="H43"/>
      <c s="22" r="I43">
        <f>COUNTIF(PROJECT!W2:W100,"*Energy Transmission and Distribution*")</f>
        <v>0</v>
      </c>
      <c s="12" r="J43"/>
      <c s="12" r="K43"/>
      <c s="12" r="L43"/>
      <c s="12" r="M43"/>
      <c s="12" r="N43"/>
      <c s="12" r="O43"/>
      <c s="12" r="P43"/>
      <c s="12" r="Q43"/>
      <c s="12" r="R43"/>
      <c s="12" r="S43"/>
      <c s="12" r="T43"/>
    </row>
    <row r="44">
      <c t="s" s="12" r="B44">
        <v>1581</v>
      </c>
      <c t="s" s="22" r="C44">
        <v>1590</v>
      </c>
      <c s="12" r="D44">
        <v>0</v>
      </c>
      <c s="12" r="E44">
        <v>1</v>
      </c>
      <c t="s" s="12" r="F44">
        <v>1408</v>
      </c>
      <c s="12" r="G44">
        <f>COUNTIF(EXPERTISE!D4:D50,"*Electrical Systems*")</f>
        <v>0</v>
      </c>
      <c s="12" r="H44"/>
      <c s="22" r="I44">
        <f>COUNTIF(PROJECT!W2:W100,"*Electrical Systems*")</f>
        <v>0</v>
      </c>
      <c s="12" r="J44"/>
      <c s="12" r="K44"/>
      <c s="12" r="L44"/>
      <c s="12" r="M44"/>
      <c s="12" r="N44"/>
      <c s="12" r="O44"/>
      <c s="12" r="P44"/>
      <c s="12" r="Q44"/>
      <c s="12" r="R44"/>
      <c s="12" r="S44"/>
      <c s="12" r="T44"/>
    </row>
    <row r="45">
      <c t="s" s="12" r="B45">
        <v>1591</v>
      </c>
      <c t="s" s="22" r="C45">
        <v>1592</v>
      </c>
      <c s="12" r="D45">
        <v>1</v>
      </c>
      <c s="12" r="E45">
        <v>1</v>
      </c>
      <c s="12" r="F45">
        <f>COUNTIF(EXPERTISE!C4:C50,"*Extractive Industries*")</f>
        <v>0</v>
      </c>
      <c s="12" r="G45">
        <f>COUNTIF(EXPERTISE!D4:D50,"*Coal*")</f>
        <v>0</v>
      </c>
      <c s="12" r="H45">
        <f>COUNTIF(PROJECT!V2:V100,"*Extractive Industries*")</f>
        <v>0</v>
      </c>
      <c s="22" r="I45">
        <f>COUNTIF(PROJECT!W2:W100,"*Coal*")</f>
        <v>0</v>
      </c>
      <c s="12" r="J45"/>
      <c s="12" r="K45"/>
      <c s="12" r="L45"/>
      <c s="12" r="M45"/>
      <c s="12" r="N45"/>
      <c s="12" r="O45"/>
      <c s="12" r="P45"/>
      <c s="12" r="Q45"/>
      <c s="12" r="R45"/>
      <c s="12" r="S45"/>
      <c s="12" r="T45"/>
    </row>
    <row r="46">
      <c t="s" s="12" r="B46">
        <v>1591</v>
      </c>
      <c t="s" s="22" r="C46">
        <v>1593</v>
      </c>
      <c s="12" r="D46">
        <v>0</v>
      </c>
      <c s="12" r="E46">
        <v>1</v>
      </c>
      <c t="s" s="12" r="F46">
        <v>1408</v>
      </c>
      <c s="22" r="G46">
        <f>COUNTIF(EXPERTISE!D4:D50,"*Mining*")</f>
        <v>0</v>
      </c>
      <c s="12" r="H46"/>
      <c s="22" r="I46">
        <f>COUNTIF(PROJECT!W2:W100,"*Mining*")</f>
        <v>0</v>
      </c>
      <c s="12" r="J46"/>
      <c s="12" r="K46"/>
      <c s="12" r="L46"/>
      <c s="12" r="M46"/>
      <c s="12" r="N46"/>
      <c s="12" r="O46"/>
      <c s="12" r="P46"/>
      <c s="12" r="Q46"/>
      <c s="12" r="R46"/>
      <c s="12" r="S46"/>
      <c s="12" r="T46"/>
    </row>
    <row r="47">
      <c t="s" s="12" r="B47">
        <v>1591</v>
      </c>
      <c t="s" s="22" r="C47">
        <v>1594</v>
      </c>
      <c s="12" r="D47">
        <v>0</v>
      </c>
      <c s="12" r="E47">
        <v>1</v>
      </c>
      <c t="s" s="12" r="F47">
        <v>1408</v>
      </c>
      <c s="12" r="G47">
        <f>COUNTIF(EXPERTISE!D4:D50,"*Oil and Gas*")</f>
        <v>0</v>
      </c>
      <c s="12" r="H47"/>
      <c s="12" r="I47">
        <f>COUNTIF(PROJECT!W2:W100,"*Oil and Gas*")</f>
        <v>0</v>
      </c>
      <c s="12" r="J47"/>
      <c s="12" r="K47"/>
      <c s="12" r="L47"/>
      <c s="12" r="M47"/>
      <c s="12" r="N47"/>
      <c s="12" r="O47"/>
      <c s="12" r="P47"/>
      <c s="12" r="Q47"/>
      <c s="12" r="R47"/>
      <c s="12" r="S47"/>
      <c s="12" r="T47"/>
    </row>
    <row r="48">
      <c t="s" s="12" r="B48">
        <v>1591</v>
      </c>
      <c t="s" s="22" r="C48">
        <v>1595</v>
      </c>
      <c s="12" r="D48">
        <v>0</v>
      </c>
      <c s="12" r="E48">
        <v>1</v>
      </c>
      <c t="s" s="12" r="F48">
        <v>1408</v>
      </c>
      <c s="12" r="G48">
        <f>COUNTIF(EXPERTISE!D4:D50,"*Other Extractive Industries*")</f>
        <v>0</v>
      </c>
      <c s="12" r="H48"/>
      <c s="12" r="I48">
        <f>COUNTIF(PROJECT!W2:W100,"*Other Extractive Industries*")</f>
        <v>0</v>
      </c>
      <c s="12" r="J48"/>
      <c s="12" r="K48"/>
      <c s="12" r="L48"/>
      <c s="12" r="M48"/>
      <c s="12" r="N48"/>
      <c s="12" r="O48"/>
      <c s="12" r="P48"/>
      <c s="12" r="Q48"/>
      <c s="12" r="R48"/>
      <c s="12" r="S48"/>
      <c s="12" r="T48"/>
    </row>
    <row r="49">
      <c t="s" s="12" r="B49">
        <v>1596</v>
      </c>
      <c t="s" s="22" r="C49">
        <v>1597</v>
      </c>
      <c s="12" r="D49">
        <v>1</v>
      </c>
      <c s="12" r="E49">
        <v>1</v>
      </c>
      <c s="12" r="F49">
        <f>COUNTIF(EXPERTISE!C4:C50,"*Finance*")</f>
        <v>0</v>
      </c>
      <c s="22" r="G49">
        <f>COUNTIF(EXPERTISE!D4:D50,"*Banking*")</f>
        <v>0</v>
      </c>
      <c s="12" r="H49">
        <f>COUNTIF(PROJECT!V2:V100,"*Finance*")</f>
        <v>0</v>
      </c>
      <c s="22" r="I49">
        <f>COUNTIF(PROJECT!W2:W100,"*Banking*")</f>
        <v>0</v>
      </c>
      <c s="12" r="J49"/>
      <c s="12" r="K49"/>
      <c s="12" r="L49"/>
      <c s="12" r="M49"/>
      <c s="12" r="N49"/>
      <c s="12" r="O49"/>
      <c s="12" r="P49"/>
      <c s="12" r="Q49"/>
      <c s="12" r="R49"/>
      <c s="12" r="S49"/>
      <c s="12" r="T49"/>
    </row>
    <row r="50">
      <c t="s" s="12" r="B50">
        <v>1596</v>
      </c>
      <c t="s" s="12" r="C50">
        <v>1598</v>
      </c>
      <c s="12" r="D50">
        <v>0</v>
      </c>
      <c s="12" r="E50">
        <v>1</v>
      </c>
      <c t="s" s="12" r="F50">
        <v>1408</v>
      </c>
      <c s="12" r="G50">
        <f>COUNTIF(EXPERTISE!D4:D50,"*Business and Other Services*")</f>
        <v>0</v>
      </c>
      <c s="12" r="H50"/>
      <c s="12" r="I50">
        <f>COUNTIF(PROJECT!W2:W100,"*Business and Other Services*")</f>
        <v>0</v>
      </c>
      <c s="12" r="J50"/>
      <c s="12" r="K50"/>
      <c s="12" r="L50"/>
      <c s="12" r="M50"/>
      <c s="12" r="N50"/>
      <c s="12" r="O50"/>
      <c s="12" r="P50"/>
      <c s="12" r="Q50"/>
      <c s="12" r="R50"/>
      <c s="12" r="S50"/>
      <c s="12" r="T50"/>
    </row>
    <row r="51">
      <c t="s" s="12" r="B51">
        <v>1596</v>
      </c>
      <c t="s" s="12" r="C51">
        <v>1599</v>
      </c>
      <c s="12" r="D51">
        <v>0</v>
      </c>
      <c s="12" r="E51">
        <v>1</v>
      </c>
      <c t="s" s="12" r="F51">
        <v>1408</v>
      </c>
      <c s="12" r="G51">
        <f>COUNTIF(EXPERTISE!D4:D50,"*Capital Markets and Funds*")</f>
        <v>0</v>
      </c>
      <c s="12" r="H51"/>
      <c s="12" r="I51">
        <f>COUNTIF(PROJECT!W2:W100,"*Capital Markets and Funds*")</f>
        <v>0</v>
      </c>
      <c s="12" r="J51"/>
      <c s="12" r="K51"/>
      <c s="12" r="L51"/>
      <c s="12" r="M51"/>
      <c s="12" r="N51"/>
      <c s="12" r="O51"/>
      <c s="12" r="P51"/>
      <c s="12" r="Q51"/>
      <c s="12" r="R51"/>
      <c s="12" r="S51"/>
      <c s="12" r="T51"/>
    </row>
    <row r="52">
      <c t="s" s="12" r="B52">
        <v>1596</v>
      </c>
      <c t="s" s="12" r="C52">
        <v>1600</v>
      </c>
      <c s="12" r="D52">
        <v>0</v>
      </c>
      <c s="12" r="E52">
        <v>1</v>
      </c>
      <c t="s" s="12" r="F52">
        <v>1408</v>
      </c>
      <c s="12" r="G52">
        <f>COUNTIF(EXPERTISE!D4:D50,"*Credit Reporting and Secured Transactions*")</f>
        <v>0</v>
      </c>
      <c s="12" r="H52"/>
      <c s="12" r="I52">
        <f>COUNTIF(PROJECT!W2:W100,"*Credit Reporting and Secured Transactions*")</f>
        <v>0</v>
      </c>
      <c s="12" r="J52"/>
      <c s="12" r="K52"/>
      <c s="12" r="L52"/>
      <c s="12" r="M52"/>
      <c s="12" r="N52"/>
      <c s="12" r="O52"/>
      <c s="12" r="P52"/>
      <c s="12" r="Q52"/>
      <c s="12" r="R52"/>
      <c s="12" r="S52"/>
      <c s="12" r="T52"/>
    </row>
    <row r="53">
      <c t="s" s="12" r="B53">
        <v>1596</v>
      </c>
      <c t="s" s="12" r="C53">
        <v>1601</v>
      </c>
      <c s="12" r="D53">
        <v>0</v>
      </c>
      <c s="12" r="E53">
        <v>1</v>
      </c>
      <c t="s" s="12" r="F53">
        <v>1408</v>
      </c>
      <c s="12" r="G53">
        <f>COUNTIF(EXPERTISE!D4:D50,"*Finance Sector Development and Reform*")</f>
        <v>0</v>
      </c>
      <c s="12" r="H53"/>
      <c s="12" r="I53">
        <f>COUNTIF(PROJECT!W2:W100,"*Finance Sector Development and Reform*")</f>
        <v>0</v>
      </c>
      <c s="12" r="J53"/>
      <c s="12" r="K53"/>
      <c s="12" r="L53"/>
      <c s="12" r="M53"/>
      <c s="12" r="N53"/>
      <c s="12" r="O53"/>
      <c s="12" r="P53"/>
      <c s="12" r="Q53"/>
      <c s="12" r="R53"/>
      <c s="12" r="S53"/>
      <c s="12" r="T53"/>
    </row>
    <row r="54">
      <c t="s" s="12" r="B54">
        <v>1596</v>
      </c>
      <c t="s" s="12" r="C54">
        <v>1602</v>
      </c>
      <c s="12" r="D54">
        <v>0</v>
      </c>
      <c s="12" r="E54">
        <v>1</v>
      </c>
      <c t="s" s="12" r="F54">
        <v>1408</v>
      </c>
      <c s="12" r="G54">
        <f>COUNTIF(EXPERTISE!D4:D50,"*General Finance Sector*")</f>
        <v>0</v>
      </c>
      <c s="12" r="H54"/>
      <c s="12" r="I54">
        <f>COUNTIF(PROJECT!W2:W100,"*General Finance Sector*")</f>
        <v>0</v>
      </c>
      <c s="12" r="J54"/>
      <c s="12" r="K54"/>
      <c s="12" r="L54"/>
      <c s="12" r="M54"/>
      <c s="12" r="N54"/>
      <c s="12" r="O54"/>
      <c s="12" r="P54"/>
      <c s="12" r="Q54"/>
      <c s="12" r="R54"/>
      <c s="12" r="S54"/>
      <c s="12" r="T54"/>
    </row>
    <row r="55">
      <c t="s" s="12" r="B55">
        <v>1596</v>
      </c>
      <c t="s" s="12" r="C55">
        <v>1603</v>
      </c>
      <c s="12" r="D55">
        <v>0</v>
      </c>
      <c s="12" r="E55">
        <v>1</v>
      </c>
      <c t="s" s="12" r="F55">
        <v>1408</v>
      </c>
      <c s="12" r="G55">
        <f>COUNTIF(EXPERTISE!D4:D50,"*Housing Finance*")</f>
        <v>0</v>
      </c>
      <c s="12" r="H55"/>
      <c s="12" r="I55">
        <f>COUNTIF(PROJECT!W2:W100,"*Housing Finance*")</f>
        <v>0</v>
      </c>
      <c s="12" r="J55"/>
      <c s="12" r="K55"/>
      <c s="12" r="L55"/>
      <c s="12" r="M55"/>
      <c s="12" r="N55"/>
      <c s="12" r="O55"/>
      <c s="12" r="P55"/>
      <c s="12" r="Q55"/>
      <c s="12" r="R55"/>
      <c s="12" r="S55"/>
      <c s="12" r="T55"/>
    </row>
    <row r="56">
      <c t="s" s="12" r="B56">
        <v>1596</v>
      </c>
      <c t="s" s="12" r="C56">
        <v>1604</v>
      </c>
      <c s="12" r="D56">
        <v>0</v>
      </c>
      <c s="12" r="E56">
        <v>1</v>
      </c>
      <c t="s" s="12" r="F56">
        <v>1408</v>
      </c>
      <c s="12" r="G56">
        <f>COUNTIF(EXPERTISE!D4:D50,"*Microfinance*")</f>
        <v>0</v>
      </c>
      <c s="12" r="H56"/>
      <c s="12" r="I56">
        <f>COUNTIF(PROJECT!W2:W100,"*Microfinance*")</f>
        <v>0</v>
      </c>
      <c s="12" r="J56"/>
      <c s="12" r="K56"/>
      <c s="12" r="L56"/>
      <c s="12" r="M56"/>
      <c s="12" r="N56"/>
      <c s="12" r="O56"/>
      <c s="12" r="P56"/>
      <c s="12" r="Q56"/>
      <c s="12" r="R56"/>
      <c s="12" r="S56"/>
      <c s="12" r="T56"/>
    </row>
    <row r="57">
      <c t="s" s="12" r="B57">
        <v>1596</v>
      </c>
      <c t="s" s="12" r="C57">
        <v>1605</v>
      </c>
      <c s="12" r="D57">
        <v>0</v>
      </c>
      <c s="12" r="E57">
        <v>1</v>
      </c>
      <c t="s" s="12" r="F57">
        <v>1408</v>
      </c>
      <c s="12" r="G57">
        <f>COUNTIF(EXPERTISE!D4:D50,"*Non-Compulsory Health Finance*")</f>
        <v>0</v>
      </c>
      <c s="12" r="H57"/>
      <c s="12" r="I57">
        <f>COUNTIF(PROJECT!W2:W100,"*Non-Compulsory Health Finance*")</f>
        <v>0</v>
      </c>
      <c s="12" r="J57"/>
      <c s="12" r="K57"/>
      <c s="12" r="L57"/>
      <c s="12" r="M57"/>
      <c s="12" r="N57"/>
      <c s="12" r="O57"/>
      <c s="12" r="P57"/>
      <c s="12" r="Q57"/>
      <c s="12" r="R57"/>
      <c s="12" r="S57"/>
      <c s="12" r="T57"/>
    </row>
    <row r="58">
      <c t="s" s="12" r="B58">
        <v>1596</v>
      </c>
      <c t="s" s="12" r="C58">
        <v>1606</v>
      </c>
      <c s="12" r="D58">
        <v>0</v>
      </c>
      <c s="12" r="E58">
        <v>1</v>
      </c>
      <c t="s" s="12" r="F58">
        <v>1408</v>
      </c>
      <c s="12" r="G58">
        <f>COUNTIF(EXPERTISE!D4:D50,"*Non-Compulsory Pensions and Insurance*")</f>
        <v>0</v>
      </c>
      <c s="12" r="H58"/>
      <c s="12" r="I58">
        <f>COUNTIF(PROJECT!W2:W100,"*Non-Compulsory Pensions and Insurance*")</f>
        <v>0</v>
      </c>
      <c s="12" r="J58"/>
      <c s="12" r="K58"/>
      <c s="12" r="L58"/>
      <c s="12" r="M58"/>
      <c s="12" r="N58"/>
      <c s="12" r="O58"/>
      <c s="12" r="P58"/>
      <c s="12" r="Q58"/>
      <c s="12" r="R58"/>
      <c s="12" r="S58"/>
      <c s="12" r="T58"/>
    </row>
    <row r="59">
      <c t="s" s="12" r="B59">
        <v>1596</v>
      </c>
      <c t="s" s="12" r="C59">
        <v>1607</v>
      </c>
      <c s="12" r="D59">
        <v>0</v>
      </c>
      <c s="12" r="E59">
        <v>1</v>
      </c>
      <c t="s" s="12" r="F59">
        <v>1408</v>
      </c>
      <c s="12" r="G59">
        <f>COUNTIF(EXPERTISE!D4:D50,"*Other Non-Bank Financial Intermediaries*")</f>
        <v>0</v>
      </c>
      <c s="12" r="H59"/>
      <c s="12" r="I59">
        <f>COUNTIF(PROJECT!W2:W100,"*Other Non-Bank Financial Intermediaries*")</f>
        <v>0</v>
      </c>
      <c s="12" r="J59"/>
      <c s="12" r="K59"/>
      <c s="12" r="L59"/>
      <c s="12" r="M59"/>
      <c s="12" r="N59"/>
      <c s="12" r="O59"/>
      <c s="12" r="P59"/>
      <c s="12" r="Q59"/>
      <c s="12" r="R59"/>
      <c s="12" r="S59"/>
      <c s="12" r="T59"/>
    </row>
    <row r="60">
      <c t="s" s="12" r="B60">
        <v>1596</v>
      </c>
      <c t="s" s="12" r="C60">
        <v>1608</v>
      </c>
      <c s="12" r="D60">
        <v>0</v>
      </c>
      <c s="12" r="E60">
        <v>1</v>
      </c>
      <c t="s" s="12" r="F60">
        <v>1408</v>
      </c>
      <c s="12" r="G60">
        <f>COUNTIF(EXPERTISE!D4:D50,"*Payments, Settlements, and Remittance Systems*")</f>
        <v>0</v>
      </c>
      <c s="12" r="H60"/>
      <c s="12" r="I60">
        <f>COUNTIF(PROJECT!W2:W100,"*Payments, Settlements, and Remittance Systems*")</f>
        <v>0</v>
      </c>
      <c s="12" r="J60"/>
      <c s="12" r="K60"/>
      <c s="12" r="L60"/>
      <c s="12" r="M60"/>
      <c s="12" r="N60"/>
      <c s="12" r="O60"/>
      <c s="12" r="P60"/>
      <c s="12" r="Q60"/>
      <c s="12" r="R60"/>
      <c s="12" r="S60"/>
      <c s="12" r="T60"/>
    </row>
    <row r="61">
      <c t="s" s="12" r="B61">
        <v>1596</v>
      </c>
      <c t="s" s="12" r="C61">
        <v>1609</v>
      </c>
      <c s="12" r="D61">
        <v>0</v>
      </c>
      <c s="12" r="E61">
        <v>1</v>
      </c>
      <c t="s" s="12" r="F61">
        <v>1408</v>
      </c>
      <c s="12" r="G61">
        <f>COUNTIF(EXPERTISE!D4:D50,"*Pensions, Insurance, Social Security and Contractual Savings*")</f>
        <v>0</v>
      </c>
      <c s="12" r="H61"/>
      <c s="12" r="I61">
        <f>COUNTIF(PROJECT!W2:W100,"*Pensions, Insurance, Social Security and Contractual Savings*")</f>
        <v>0</v>
      </c>
      <c s="12" r="J61"/>
      <c s="12" r="K61"/>
      <c s="12" r="L61"/>
      <c s="12" r="M61"/>
      <c s="12" r="N61"/>
      <c s="12" r="O61"/>
      <c s="12" r="P61"/>
      <c s="12" r="Q61"/>
      <c s="12" r="R61"/>
      <c s="12" r="S61"/>
      <c s="12" r="T61"/>
    </row>
    <row r="62">
      <c t="s" s="12" r="B62">
        <v>1596</v>
      </c>
      <c t="s" s="12" r="C62">
        <v>1610</v>
      </c>
      <c s="12" r="D62">
        <v>0</v>
      </c>
      <c s="12" r="E62">
        <v>1</v>
      </c>
      <c t="s" s="12" r="F62">
        <v>1408</v>
      </c>
      <c s="12" r="G62">
        <f>COUNTIF(EXPERTISE!D4:D50,"*Private Equity and Investment Funds*")</f>
        <v>0</v>
      </c>
      <c s="12" r="H62"/>
      <c s="12" r="I62">
        <f>COUNTIF(PROJECT!W2:W100,"*Private Equity and Investment Funds*")</f>
        <v>0</v>
      </c>
      <c s="12" r="J62"/>
      <c s="12" r="K62"/>
      <c s="12" r="L62"/>
      <c s="12" r="M62"/>
      <c s="12" r="N62"/>
      <c s="12" r="O62"/>
      <c s="12" r="P62"/>
      <c s="12" r="Q62"/>
      <c s="12" r="R62"/>
      <c s="12" r="S62"/>
      <c s="12" r="T62"/>
    </row>
    <row r="63">
      <c t="s" s="12" r="B63">
        <v>1596</v>
      </c>
      <c t="s" s="12" r="C63">
        <v>1611</v>
      </c>
      <c s="12" r="D63">
        <v>0</v>
      </c>
      <c s="12" r="E63">
        <v>1</v>
      </c>
      <c t="s" s="12" r="F63">
        <v>1408</v>
      </c>
      <c s="12" r="G63">
        <f>COUNTIF(EXPERTISE!D4:D50,"*SME Finance*")</f>
        <v>0</v>
      </c>
      <c s="12" r="H63"/>
      <c s="12" r="I63">
        <f>COUNTIF(PROJECT!W2:W100,"*SME Finance*")</f>
        <v>0</v>
      </c>
      <c s="12" r="J63"/>
      <c s="12" r="K63"/>
      <c s="12" r="L63"/>
      <c s="12" r="M63"/>
      <c s="12" r="N63"/>
      <c s="12" r="O63"/>
      <c s="12" r="P63"/>
      <c s="12" r="Q63"/>
      <c s="12" r="R63"/>
      <c s="12" r="S63"/>
      <c s="12" r="T63"/>
    </row>
    <row r="64">
      <c t="s" s="12" r="B64">
        <v>1612</v>
      </c>
      <c t="s" s="12" r="C64">
        <v>1613</v>
      </c>
      <c s="12" r="D64">
        <v>1</v>
      </c>
      <c s="12" r="E64">
        <v>1</v>
      </c>
      <c s="12" r="F64">
        <f>COUNTIF(EXPERTISE!C4:C50,"*Financial Institutions*")</f>
        <v>0</v>
      </c>
      <c s="12" r="G64">
        <f>COUNTIF(EXPERTISE!D4:D50,"*Financial Infrastructure*")</f>
        <v>0</v>
      </c>
      <c s="12" r="H64">
        <f>COUNTIF(PROJECT!V2:V100,"*Financial Institutions*")</f>
        <v>0</v>
      </c>
      <c s="12" r="I64">
        <f>COUNTIF(PROJECT!W2:W100,"*Financial Infrastructure*")</f>
        <v>0</v>
      </c>
      <c s="12" r="J64"/>
      <c s="12" r="K64"/>
      <c s="12" r="L64"/>
      <c s="12" r="M64"/>
      <c s="12" r="N64"/>
      <c s="12" r="O64"/>
      <c s="12" r="P64"/>
      <c s="12" r="Q64"/>
      <c s="12" r="R64"/>
      <c s="12" r="S64"/>
      <c s="12" r="T64"/>
    </row>
    <row r="65">
      <c t="s" s="12" r="B65">
        <v>1612</v>
      </c>
      <c t="s" s="12" r="C65">
        <v>1614</v>
      </c>
      <c s="12" r="D65">
        <v>0</v>
      </c>
      <c s="12" r="E65">
        <v>1</v>
      </c>
      <c t="s" s="12" r="F65">
        <v>1408</v>
      </c>
      <c s="12" r="G65">
        <f>COUNTIF(EXPERTISE!D4:D50,"*Private Equity Funds*")</f>
        <v>0</v>
      </c>
      <c s="12" r="H65"/>
      <c s="12" r="I65">
        <f>COUNTIF(PROJECT!W2:W100,"*Private Equity Funds*")</f>
        <v>0</v>
      </c>
      <c s="12" r="J65"/>
      <c s="12" r="K65"/>
      <c s="12" r="L65"/>
      <c s="12" r="M65"/>
      <c s="12" r="N65"/>
      <c s="12" r="O65"/>
      <c s="12" r="P65"/>
      <c s="12" r="Q65"/>
      <c s="12" r="R65"/>
      <c s="12" r="S65"/>
      <c s="12" r="T65"/>
    </row>
    <row r="66">
      <c t="s" s="12" r="B66">
        <v>1612</v>
      </c>
      <c t="s" s="12" r="C66">
        <v>1615</v>
      </c>
      <c s="12" r="D66">
        <v>0</v>
      </c>
      <c s="12" r="E66">
        <v>1</v>
      </c>
      <c t="s" s="12" r="F66">
        <v>1408</v>
      </c>
      <c s="12" r="G66">
        <f>COUNTIF(EXPERTISE!D4:D50,"*Retail Finance*")</f>
        <v>0</v>
      </c>
      <c s="12" r="H66"/>
      <c s="12" r="I66">
        <f>COUNTIF(PROJECT!W2:W100,"*Retail Finance*")</f>
        <v>0</v>
      </c>
      <c s="12" r="J66"/>
      <c s="12" r="K66"/>
      <c s="12" r="L66"/>
      <c s="12" r="M66"/>
      <c s="12" r="N66"/>
      <c s="12" r="O66"/>
      <c s="12" r="P66"/>
      <c s="12" r="Q66"/>
      <c s="12" r="R66"/>
      <c s="12" r="S66"/>
      <c s="12" r="T66"/>
    </row>
    <row r="67">
      <c t="s" s="12" r="B67">
        <v>1612</v>
      </c>
      <c t="s" s="12" r="C67">
        <v>1616</v>
      </c>
      <c s="12" r="D67">
        <v>0</v>
      </c>
      <c s="12" r="E67">
        <v>1</v>
      </c>
      <c t="s" s="12" r="F67">
        <v>1408</v>
      </c>
      <c s="12" r="G67">
        <f>COUNTIF(EXPERTISE!D4:D50,"*Risk Management*")</f>
        <v>0</v>
      </c>
      <c s="12" r="H67"/>
      <c s="12" r="I67">
        <f>COUNTIF(PROJECT!W2:W100,"*Risk Management*")</f>
        <v>0</v>
      </c>
      <c s="12" r="J67"/>
      <c s="12" r="K67"/>
      <c s="12" r="L67"/>
      <c s="12" r="M67"/>
      <c s="12" r="N67"/>
      <c s="12" r="O67"/>
      <c s="12" r="P67"/>
      <c s="12" r="Q67"/>
      <c s="12" r="R67"/>
      <c s="12" r="S67"/>
      <c s="12" r="T67"/>
    </row>
    <row r="68">
      <c t="s" s="12" r="B68">
        <v>1612</v>
      </c>
      <c t="s" s="12" r="C68">
        <v>1617</v>
      </c>
      <c s="12" r="D68">
        <v>0</v>
      </c>
      <c s="12" r="E68">
        <v>1</v>
      </c>
      <c t="s" s="12" r="F68">
        <v>1408</v>
      </c>
      <c s="12" r="G68">
        <f>COUNTIF(EXPERTISE!D4:D50,"*Sustainability and Climate Business*")</f>
        <v>0</v>
      </c>
      <c s="12" r="H68"/>
      <c s="12" r="I68">
        <f>COUNTIF(PROJECT!W2:W100,"*Sustainability and Climate Business*")</f>
        <v>0</v>
      </c>
      <c s="12" r="J68"/>
      <c s="12" r="K68"/>
      <c s="12" r="L68"/>
      <c s="12" r="M68"/>
      <c s="12" r="N68"/>
      <c s="12" r="O68"/>
      <c s="12" r="P68"/>
      <c s="12" r="Q68"/>
      <c s="12" r="R68"/>
      <c s="12" r="S68"/>
      <c s="12" r="T68"/>
    </row>
    <row r="69">
      <c t="s" s="12" r="B69">
        <v>1612</v>
      </c>
      <c t="s" s="12" r="C69">
        <v>1618</v>
      </c>
      <c s="12" r="D69">
        <v>0</v>
      </c>
      <c s="12" r="E69">
        <v>1</v>
      </c>
      <c t="s" s="12" r="F69">
        <v>1408</v>
      </c>
      <c s="12" r="G69">
        <f>COUNTIF(EXPERTISE!D4:D50,"*Trade and Supply Chain*")</f>
        <v>0</v>
      </c>
      <c s="12" r="H69"/>
      <c s="12" r="I69">
        <f>COUNTIF(PROJECT!W2:W100,"*Trade and Supply Chain*")</f>
        <v>0</v>
      </c>
      <c s="12" r="J69"/>
      <c s="12" r="K69"/>
      <c s="12" r="L69"/>
      <c s="12" r="M69"/>
      <c s="12" r="N69"/>
      <c s="12" r="O69"/>
      <c s="12" r="P69"/>
      <c s="12" r="Q69"/>
      <c s="12" r="R69"/>
      <c s="12" r="S69"/>
      <c s="12" r="T69"/>
    </row>
    <row r="70">
      <c t="s" s="12" r="B70">
        <v>1619</v>
      </c>
      <c t="s" s="12" r="C70">
        <v>1620</v>
      </c>
      <c s="12" r="D70">
        <v>1</v>
      </c>
      <c s="12" r="E70">
        <v>1</v>
      </c>
      <c s="12" r="F70">
        <f>COUNTIF(EXPERTISE!C4:C50,"*Health and Nutrition*")</f>
        <v>0</v>
      </c>
      <c s="12" r="G70">
        <f>COUNTIF(EXPERTISE!D4:D50,"*Early Childhood Development*")</f>
        <v>0</v>
      </c>
      <c s="12" r="H70">
        <f>COUNTIF(PROJECT!V2:V100,"*Health and Nutrition*")</f>
        <v>0</v>
      </c>
      <c s="12" r="I70">
        <f>COUNTIF(PROJECT!W2:W100,"*Early Childhood Development*")</f>
        <v>0</v>
      </c>
      <c s="12" r="J70"/>
      <c s="12" r="K70"/>
      <c s="12" r="L70"/>
      <c s="12" r="M70"/>
      <c s="12" r="N70"/>
      <c s="12" r="O70"/>
      <c s="12" r="P70"/>
      <c s="12" r="Q70"/>
      <c s="12" r="R70"/>
      <c s="12" r="S70"/>
      <c s="12" r="T70"/>
    </row>
    <row r="71">
      <c t="s" s="12" r="B71">
        <v>1619</v>
      </c>
      <c t="s" s="22" r="C71">
        <v>1621</v>
      </c>
      <c s="12" r="D71">
        <v>0</v>
      </c>
      <c s="12" r="E71">
        <v>1</v>
      </c>
      <c t="s" s="12" r="F71">
        <v>1408</v>
      </c>
      <c s="22" r="G71">
        <f>COUNTIF(EXPERTISE!D4:D50,"*Healthcare*")</f>
        <v>0</v>
      </c>
      <c s="12" r="H71"/>
      <c s="22" r="I71">
        <f>COUNTIF(PROJECT!W2:W100,"*Healthcare*")</f>
        <v>0</v>
      </c>
      <c s="12" r="J71"/>
      <c s="12" r="K71"/>
      <c s="12" r="L71"/>
      <c s="12" r="M71"/>
      <c s="12" r="N71"/>
      <c s="12" r="O71"/>
      <c s="12" r="P71"/>
      <c s="12" r="Q71"/>
      <c s="12" r="R71"/>
      <c s="12" r="S71"/>
      <c s="12" r="T71"/>
    </row>
    <row r="72">
      <c t="s" s="12" r="B72">
        <v>1619</v>
      </c>
      <c t="s" s="22" r="C72">
        <v>1622</v>
      </c>
      <c s="12" r="D72">
        <v>0</v>
      </c>
      <c s="12" r="E72">
        <v>1</v>
      </c>
      <c t="s" s="12" r="F72">
        <v>1408</v>
      </c>
      <c s="12" r="G72">
        <f>COUNTIF(EXPERTISE!D4:D50,"*Integrated Programs for Health- and Social-Services*")</f>
        <v>0</v>
      </c>
      <c s="12" r="H72"/>
      <c s="22" r="I72">
        <f>COUNTIF(PROJECT!W2:W100,"*Integrated Programs for Health- and Social-Services*")</f>
        <v>0</v>
      </c>
      <c s="12" r="J72"/>
      <c s="12" r="K72"/>
      <c s="12" r="L72"/>
      <c s="12" r="M72"/>
      <c s="12" r="N72"/>
      <c s="12" r="O72"/>
      <c s="12" r="P72"/>
      <c s="12" r="Q72"/>
      <c s="12" r="R72"/>
      <c s="12" r="S72"/>
      <c s="12" r="T72"/>
    </row>
    <row r="73">
      <c t="s" s="12" r="B73">
        <v>1619</v>
      </c>
      <c t="s" s="22" r="C73">
        <v>1623</v>
      </c>
      <c s="12" r="D73">
        <v>0</v>
      </c>
      <c s="12" r="E73">
        <v>1</v>
      </c>
      <c t="s" s="12" r="F73">
        <v>1408</v>
      </c>
      <c s="12" r="G73">
        <f>COUNTIF(EXPERTISE!D4:D50,"*Health Programs &amp; Services*")</f>
        <v>0</v>
      </c>
      <c s="12" r="H73"/>
      <c s="22" r="I73">
        <f>COUNTIF(PROJECT!W2:W100,"*Health Programs &amp; Services*")</f>
        <v>0</v>
      </c>
      <c s="12" r="J73"/>
      <c s="12" r="K73"/>
      <c s="12" r="L73"/>
      <c s="12" r="M73"/>
      <c s="12" r="N73"/>
      <c s="12" r="O73"/>
      <c s="12" r="P73"/>
      <c s="12" r="Q73"/>
      <c s="12" r="R73"/>
      <c s="12" r="S73"/>
      <c s="12" r="T73"/>
    </row>
    <row r="74">
      <c t="s" s="12" r="B74">
        <v>1619</v>
      </c>
      <c t="s" s="22" r="C74">
        <v>1624</v>
      </c>
      <c s="12" r="D74">
        <v>0</v>
      </c>
      <c s="12" r="E74">
        <v>1</v>
      </c>
      <c t="s" s="12" r="F74">
        <v>1408</v>
      </c>
      <c s="22" r="G74">
        <f>COUNTIF(EXPERTISE!D4:D50,"*Social Programs &amp; Services*")</f>
        <v>0</v>
      </c>
      <c s="12" r="H74"/>
      <c s="22" r="I74">
        <f>COUNTIF(PROJECT!W2:W100,"*Social Programs &amp; Services*")</f>
        <v>0</v>
      </c>
      <c s="12" r="J74"/>
      <c s="12" r="K74"/>
      <c s="12" r="L74"/>
      <c s="12" r="M74"/>
      <c s="12" r="N74"/>
      <c s="12" r="O74"/>
      <c s="12" r="P74"/>
      <c s="12" r="Q74"/>
      <c s="12" r="R74"/>
      <c s="12" r="S74"/>
      <c s="12" r="T74"/>
    </row>
    <row r="75">
      <c t="s" s="12" r="B75">
        <v>1619</v>
      </c>
      <c t="s" s="12" r="C75">
        <v>1625</v>
      </c>
      <c s="12" r="D75">
        <v>0</v>
      </c>
      <c s="12" r="E75">
        <v>1</v>
      </c>
      <c t="s" s="12" r="F75">
        <v>1408</v>
      </c>
      <c s="12" r="G75">
        <f>COUNTIF(EXPERTISE!D4:D50,"*Nutrition*")</f>
        <v>0</v>
      </c>
      <c s="12" r="H75"/>
      <c s="12" r="I75">
        <f>COUNTIF(PROJECT!W2:W100,"*Nutrition*")</f>
        <v>0</v>
      </c>
      <c s="12" r="J75"/>
      <c s="12" r="K75"/>
      <c s="12" r="L75"/>
      <c s="12" r="M75"/>
      <c s="12" r="N75"/>
      <c s="12" r="O75"/>
      <c s="12" r="P75"/>
      <c s="12" r="Q75"/>
      <c s="12" r="R75"/>
      <c s="12" r="S75"/>
      <c s="12" r="T75"/>
    </row>
    <row r="76">
      <c t="s" s="22" r="B76">
        <v>1626</v>
      </c>
      <c t="s" s="12" r="C76">
        <v>1627</v>
      </c>
      <c s="12" r="D76">
        <v>1</v>
      </c>
      <c s="12" r="E76">
        <v>1</v>
      </c>
      <c s="12" r="F76">
        <f>COUNTIF(EXPERTISE!C4:C50,"*Industry, Manufacturing and Trade*")</f>
        <v>0</v>
      </c>
      <c s="12" r="G76">
        <f>COUNTIF(EXPERTISE!D4:D50,"*Agro-Industry, Marketing, and Trade*")</f>
        <v>0</v>
      </c>
      <c s="12" r="H76">
        <f>COUNTIF(PROJECT!V2:V100,"*Industry, Manufacturing and Trade*")</f>
        <v>0</v>
      </c>
      <c s="12" r="I76">
        <f>COUNTIF(PROJECT!W2:W100,"*Agro-Industry, Marketing, and Trade*")</f>
        <v>0</v>
      </c>
      <c s="12" r="J76"/>
      <c s="12" r="K76"/>
      <c s="12" r="L76"/>
      <c s="12" r="M76"/>
      <c s="12" r="N76"/>
      <c s="12" r="O76"/>
      <c s="12" r="P76"/>
      <c s="12" r="Q76"/>
      <c s="12" r="R76"/>
      <c s="12" r="S76"/>
      <c s="12" r="T76"/>
    </row>
    <row r="77">
      <c t="s" s="22" r="B77">
        <v>1626</v>
      </c>
      <c t="s" s="12" r="C77">
        <v>1628</v>
      </c>
      <c s="12" r="D77">
        <v>1</v>
      </c>
      <c s="12" r="E77">
        <v>1</v>
      </c>
      <c t="s" s="12" r="F77">
        <v>1408</v>
      </c>
      <c s="22" r="G77">
        <f>COUNTIF(EXPERTISE!D4:D50,"*Energy Efficient Machinery*")</f>
        <v>0</v>
      </c>
      <c s="12" r="H77"/>
      <c s="22" r="I77">
        <f>COUNTIF(PROJECT!W2:W100,"*Energy Efficient Machinery*")</f>
        <v>0</v>
      </c>
      <c s="12" r="J77"/>
      <c s="12" r="K77"/>
      <c s="12" r="L77"/>
      <c s="12" r="M77"/>
      <c s="12" r="N77"/>
      <c s="12" r="O77"/>
      <c s="12" r="P77"/>
      <c s="12" r="Q77"/>
      <c s="12" r="R77"/>
      <c s="12" r="S77"/>
      <c s="12" r="T77"/>
    </row>
    <row r="78">
      <c t="s" s="22" r="B78">
        <v>1626</v>
      </c>
      <c t="s" s="22" r="C78">
        <v>1629</v>
      </c>
      <c s="12" r="D78">
        <v>0</v>
      </c>
      <c s="12" r="E78">
        <v>1</v>
      </c>
      <c t="s" s="12" r="F78">
        <v>1408</v>
      </c>
      <c s="22" r="G78">
        <f>COUNTIF(EXPERTISE!D4:D50,"*Construction -general*")</f>
        <v>0</v>
      </c>
      <c s="12" r="H78"/>
      <c s="22" r="I78">
        <f>COUNTIF(PROJECT!W2:W100,"*Construction -general*")</f>
        <v>0</v>
      </c>
      <c s="12" r="J78"/>
      <c s="12" r="K78"/>
      <c s="12" r="L78"/>
      <c s="12" r="M78"/>
      <c s="12" r="N78"/>
      <c s="12" r="O78"/>
      <c s="12" r="P78"/>
      <c s="12" r="Q78"/>
      <c s="12" r="R78"/>
      <c s="12" r="S78"/>
      <c s="12" r="T78"/>
    </row>
    <row r="79">
      <c t="s" s="22" r="B79">
        <v>1626</v>
      </c>
      <c t="s" s="22" r="C79">
        <v>1630</v>
      </c>
      <c s="12" r="D79">
        <v>0</v>
      </c>
      <c s="12" r="E79">
        <v>1</v>
      </c>
      <c t="s" s="12" r="F79">
        <v>1408</v>
      </c>
      <c s="12" r="G79">
        <f>COUNTIF(EXPERTISE!D4:D50,"*Industry and Trade -general*")</f>
        <v>0</v>
      </c>
      <c s="12" r="H79"/>
      <c s="12" r="I79">
        <f>COUNTIF(PROJECT!W2:W100,"*Industry and Trade -general*")</f>
        <v>0</v>
      </c>
      <c s="12" r="J79"/>
      <c s="12" r="K79"/>
      <c s="12" r="L79"/>
      <c s="12" r="M79"/>
      <c s="12" r="N79"/>
      <c s="12" r="O79"/>
      <c s="12" r="P79"/>
      <c s="12" r="Q79"/>
      <c s="12" r="R79"/>
      <c s="12" r="S79"/>
      <c s="12" r="T79"/>
    </row>
    <row r="80">
      <c t="s" s="22" r="B80">
        <v>1626</v>
      </c>
      <c t="s" s="12" r="C80">
        <v>1631</v>
      </c>
      <c s="12" r="D80">
        <v>0</v>
      </c>
      <c s="12" r="E80">
        <v>1</v>
      </c>
      <c t="s" s="12" r="F80">
        <v>1408</v>
      </c>
      <c s="12" r="G80">
        <f>COUNTIF(EXPERTISE!D4:D50,"*Housing Construction*")</f>
        <v>0</v>
      </c>
      <c s="12" r="H80"/>
      <c s="12" r="I80">
        <f>COUNTIF(PROJECT!W2:W100,"*Housing Construction*")</f>
        <v>0</v>
      </c>
      <c s="12" r="J80"/>
      <c s="12" r="K80"/>
      <c s="12" r="L80"/>
      <c s="12" r="M80"/>
      <c s="12" r="N80"/>
      <c s="12" r="O80"/>
      <c s="12" r="P80"/>
      <c s="12" r="Q80"/>
      <c s="12" r="R80"/>
      <c s="12" r="S80"/>
      <c s="12" r="T80"/>
    </row>
    <row r="81">
      <c t="s" s="22" r="B81">
        <v>1626</v>
      </c>
      <c t="s" s="22" r="C81">
        <v>1632</v>
      </c>
      <c s="12" r="D81">
        <v>0</v>
      </c>
      <c s="12" r="E81">
        <v>1</v>
      </c>
      <c t="s" s="12" r="F81">
        <v>1408</v>
      </c>
      <c s="22" r="G81">
        <f>COUNTIF(EXPERTISE!D4:D50,"*Industry -general*")</f>
        <v>0</v>
      </c>
      <c s="12" r="H81"/>
      <c s="22" r="I81">
        <f>COUNTIF(PROJECT!W2:W100,"*Industry -general*")</f>
        <v>0</v>
      </c>
      <c s="12" r="J81"/>
      <c s="12" r="K81"/>
      <c s="12" r="L81"/>
      <c s="12" r="M81"/>
      <c s="12" r="N81"/>
      <c s="12" r="O81"/>
      <c s="12" r="P81"/>
      <c s="12" r="Q81"/>
      <c s="12" r="R81"/>
      <c s="12" r="S81"/>
      <c s="12" r="T81"/>
    </row>
    <row r="82">
      <c t="s" s="22" r="B82">
        <v>1626</v>
      </c>
      <c t="s" s="22" r="C82">
        <v>1633</v>
      </c>
      <c s="12" r="D82">
        <v>0</v>
      </c>
      <c s="12" r="E82">
        <v>1</v>
      </c>
      <c t="s" s="12" r="F82">
        <v>1408</v>
      </c>
      <c s="12" r="G82">
        <f>COUNTIF(EXPERTISE!D4:D50,"*Domestic and International Trade*")</f>
        <v>0</v>
      </c>
      <c s="12" r="H82"/>
      <c s="22" r="I82">
        <f>COUNTIF(PROJECT!W2:W100,"*Domestic and International Trade*")</f>
        <v>0</v>
      </c>
      <c s="12" r="J82"/>
      <c s="12" r="K82"/>
      <c s="12" r="L82"/>
      <c s="12" r="M82"/>
      <c s="12" r="N82"/>
      <c s="12" r="O82"/>
      <c s="12" r="P82"/>
      <c s="12" r="Q82"/>
      <c s="12" r="R82"/>
      <c s="12" r="S82"/>
      <c s="12" r="T82"/>
    </row>
    <row r="83">
      <c t="s" s="22" r="B83">
        <v>1626</v>
      </c>
      <c t="s" s="12" r="C83">
        <v>1634</v>
      </c>
      <c s="12" r="D83">
        <v>0</v>
      </c>
      <c s="12" r="E83">
        <v>1</v>
      </c>
      <c t="s" s="12" r="F83">
        <v>1408</v>
      </c>
      <c s="12" r="G83">
        <f>COUNTIF(EXPERTISE!D4:D50,"*(Petro-) Chemicals and Fertilizers*")</f>
        <v>0</v>
      </c>
      <c s="12" r="H83"/>
      <c s="12" r="I83">
        <f>COUNTIF(PROJECT!W2:W100,"*(Petro-) Chemicals and Fertilizers*")</f>
        <v>0</v>
      </c>
      <c s="12" r="J83"/>
      <c s="12" r="K83"/>
      <c s="12" r="L83"/>
      <c s="12" r="M83"/>
      <c s="12" r="N83"/>
      <c s="12" r="O83"/>
      <c s="12" r="P83"/>
      <c s="12" r="Q83"/>
      <c s="12" r="R83"/>
      <c s="12" r="S83"/>
      <c s="12" r="T83"/>
    </row>
    <row r="84">
      <c t="s" s="22" r="B84">
        <v>1626</v>
      </c>
      <c t="s" s="12" r="C84">
        <v>1635</v>
      </c>
      <c s="12" r="D84">
        <v>0</v>
      </c>
      <c s="12" r="E84">
        <v>1</v>
      </c>
      <c t="s" s="12" r="F84">
        <v>1408</v>
      </c>
      <c s="12" r="G84">
        <f>COUNTIF(EXPERTISE!D4:D50,"*Property*")</f>
        <v>0</v>
      </c>
      <c s="12" r="H84"/>
      <c s="12" r="I84">
        <f>COUNTIF(PROJECT!W2:W100,"*Property*")</f>
        <v>0</v>
      </c>
      <c s="12" r="J84"/>
      <c s="12" r="K84"/>
      <c s="12" r="L84"/>
      <c s="12" r="M84"/>
      <c s="12" r="N84"/>
      <c s="12" r="O84"/>
      <c s="12" r="P84"/>
      <c s="12" r="Q84"/>
      <c s="12" r="R84"/>
      <c s="12" r="S84"/>
      <c s="12" r="T84"/>
    </row>
    <row r="85">
      <c t="s" s="22" r="B85">
        <v>1626</v>
      </c>
      <c t="s" s="22" r="C85">
        <v>1636</v>
      </c>
      <c s="12" r="D85">
        <v>0</v>
      </c>
      <c s="12" r="E85">
        <v>1</v>
      </c>
      <c t="s" s="12" r="F85">
        <v>1408</v>
      </c>
      <c s="22" r="G85">
        <f>COUNTIF(EXPERTISE!D4:D50,"*Retail -general*")</f>
        <v>0</v>
      </c>
      <c s="12" r="H85"/>
      <c s="22" r="I85">
        <f>COUNTIF(PROJECT!W2:W100,"*Retail -general*")</f>
        <v>0</v>
      </c>
      <c s="12" r="J85"/>
      <c s="12" r="K85"/>
      <c s="12" r="L85"/>
      <c s="12" r="M85"/>
      <c s="12" r="N85"/>
      <c s="12" r="O85"/>
      <c s="12" r="P85"/>
      <c s="12" r="Q85"/>
      <c s="12" r="R85"/>
      <c s="12" r="S85"/>
      <c s="12" r="T85"/>
    </row>
    <row r="86">
      <c t="s" s="22" r="B86">
        <v>1626</v>
      </c>
      <c t="s" s="12" r="C86">
        <v>1637</v>
      </c>
      <c s="12" r="D86">
        <v>0</v>
      </c>
      <c s="12" r="E86">
        <v>1</v>
      </c>
      <c t="s" s="12" r="F86">
        <v>1408</v>
      </c>
      <c s="12" r="G86">
        <f>COUNTIF(EXPERTISE!D4:D50,"*Small- and Medium-Scale Enterprises*")</f>
        <v>0</v>
      </c>
      <c s="12" r="H86"/>
      <c s="12" r="I86">
        <f>COUNTIF(PROJECT!W2:W100,"*Small- and Medium-Scale Enterprises*")</f>
        <v>0</v>
      </c>
      <c s="12" r="J86"/>
      <c s="12" r="K86"/>
      <c s="12" r="L86"/>
      <c s="12" r="M86"/>
      <c s="12" r="N86"/>
      <c s="12" r="O86"/>
      <c s="12" r="P86"/>
      <c s="12" r="Q86"/>
      <c s="12" r="R86"/>
      <c s="12" r="S86"/>
      <c s="12" r="T86"/>
    </row>
    <row r="87">
      <c t="s" s="22" r="B87">
        <v>1626</v>
      </c>
      <c t="s" s="12" r="C87">
        <v>1638</v>
      </c>
      <c s="12" r="D87">
        <v>0</v>
      </c>
      <c s="12" r="E87">
        <v>1</v>
      </c>
      <c t="s" s="12" r="F87">
        <v>1408</v>
      </c>
      <c s="12" r="G87">
        <f>COUNTIF(EXPERTISE!D4:D50,"*Tourism*")</f>
        <v>0</v>
      </c>
      <c s="12" r="H87"/>
      <c s="12" r="I87">
        <f>COUNTIF(PROJECT!W2:W100,"*Tourism*")</f>
        <v>0</v>
      </c>
      <c s="12" r="J87"/>
      <c s="12" r="K87"/>
      <c s="12" r="L87"/>
      <c s="12" r="M87"/>
      <c s="12" r="N87"/>
      <c s="12" r="O87"/>
      <c s="12" r="P87"/>
      <c s="12" r="Q87"/>
      <c s="12" r="R87"/>
      <c s="12" r="S87"/>
      <c s="12" r="T87"/>
    </row>
    <row r="88">
      <c t="s" s="22" r="B88">
        <v>1626</v>
      </c>
      <c t="s" s="22" r="C88">
        <v>1639</v>
      </c>
      <c s="12" r="D88">
        <v>0</v>
      </c>
      <c s="12" r="E88">
        <v>1</v>
      </c>
      <c t="s" s="12" r="F88">
        <v>1408</v>
      </c>
      <c s="22" r="G88">
        <f>COUNTIF(EXPERTISE!D4:D50,"*Trade -general*")</f>
        <v>0</v>
      </c>
      <c s="12" r="H88"/>
      <c s="22" r="I88">
        <f>COUNTIF(PROJECT!W2:W100,"*Trade -general*")</f>
        <v>0</v>
      </c>
      <c s="12" r="J88"/>
      <c s="12" r="K88"/>
      <c s="12" r="L88"/>
      <c s="12" r="M88"/>
      <c s="12" r="N88"/>
      <c s="12" r="O88"/>
      <c s="12" r="P88"/>
      <c s="12" r="Q88"/>
      <c s="12" r="R88"/>
      <c s="12" r="S88"/>
      <c s="12" r="T88"/>
    </row>
    <row r="89">
      <c t="s" s="12" r="B89">
        <v>1640</v>
      </c>
      <c t="s" s="12" r="C89">
        <v>1641</v>
      </c>
      <c s="12" r="D89">
        <v>1</v>
      </c>
      <c s="12" r="E89">
        <v>1</v>
      </c>
      <c s="12" r="F89">
        <f>COUNTIF(EXPERTISE!C4:C50,"*Infrastructure*")</f>
        <v>0</v>
      </c>
      <c s="12" r="G89">
        <f>COUNTIF(EXPERTISE!D4:D50,"*IFC InfraVentures*")</f>
        <v>0</v>
      </c>
      <c s="12" r="H89">
        <f>COUNTIF(PROJECT!V2:V100,"*Infrastructure*")</f>
        <v>0</v>
      </c>
      <c s="12" r="I89">
        <f>COUNTIF(PROJECT!W2:W100,"*IFC InfraVentures*")</f>
        <v>0</v>
      </c>
      <c s="12" r="J89"/>
      <c s="12" r="K89"/>
      <c s="12" r="L89"/>
      <c s="12" r="M89"/>
      <c s="12" r="N89"/>
      <c s="12" r="O89"/>
      <c s="12" r="P89"/>
      <c s="12" r="Q89"/>
      <c s="12" r="R89"/>
      <c s="12" r="S89"/>
      <c s="12" r="T89"/>
    </row>
    <row r="90">
      <c t="s" s="12" r="B90">
        <v>1640</v>
      </c>
      <c t="s" s="22" r="C90">
        <v>1642</v>
      </c>
      <c s="12" r="D90">
        <v>0</v>
      </c>
      <c s="12" r="E90">
        <v>1</v>
      </c>
      <c t="s" s="12" r="F90">
        <v>1408</v>
      </c>
      <c s="22" r="G90">
        <f>COUNTIF(EXPERTISE!D4:D50,"*Power Infrastructure*")</f>
        <v>0</v>
      </c>
      <c s="12" r="H90"/>
      <c s="22" r="I90">
        <f>COUNTIF(PROJECT!W2:W100,"*Power Infrastructure*")</f>
        <v>0</v>
      </c>
      <c s="12" r="J90"/>
      <c s="12" r="K90"/>
      <c s="12" r="L90"/>
      <c s="12" r="M90"/>
      <c s="12" r="N90"/>
      <c s="12" r="O90"/>
      <c s="12" r="P90"/>
      <c s="12" r="Q90"/>
      <c s="12" r="R90"/>
      <c s="12" r="S90"/>
      <c s="12" r="T90"/>
    </row>
    <row r="91">
      <c t="s" s="12" r="B91">
        <v>1640</v>
      </c>
      <c t="s" s="12" r="C91">
        <v>1643</v>
      </c>
      <c s="12" r="D91">
        <v>0</v>
      </c>
      <c s="12" r="E91">
        <v>1</v>
      </c>
      <c t="s" s="12" r="F91">
        <v>1408</v>
      </c>
      <c s="12" r="G91">
        <f>COUNTIF(EXPERTISE!D4:D50,"*Renewables*")</f>
        <v>0</v>
      </c>
      <c s="12" r="H91"/>
      <c s="12" r="I91">
        <f>COUNTIF(PROJECT!W2:W100,"*Renewables*")</f>
        <v>0</v>
      </c>
      <c s="12" r="J91"/>
      <c s="12" r="K91"/>
      <c s="12" r="L91"/>
      <c s="12" r="M91"/>
      <c s="12" r="N91"/>
      <c s="12" r="O91"/>
      <c s="12" r="P91"/>
      <c s="12" r="Q91"/>
      <c s="12" r="R91"/>
      <c s="12" r="S91"/>
      <c s="12" r="T91"/>
    </row>
    <row r="92">
      <c t="s" s="12" r="B92">
        <v>1640</v>
      </c>
      <c t="s" s="12" r="C92">
        <v>1644</v>
      </c>
      <c s="12" r="D92">
        <v>0</v>
      </c>
      <c s="12" r="E92">
        <v>1</v>
      </c>
      <c t="s" s="12" r="F92">
        <v>1408</v>
      </c>
      <c s="12" r="G92">
        <f>COUNTIF(EXPERTISE!D4:D50,"*Subnational Finance*")</f>
        <v>0</v>
      </c>
      <c s="12" r="H92"/>
      <c s="12" r="I92">
        <f>COUNTIF(PROJECT!W2:W100,"*Subnational Finance*")</f>
        <v>0</v>
      </c>
      <c s="12" r="J92"/>
      <c s="12" r="K92"/>
      <c s="12" r="L92"/>
      <c s="12" r="M92"/>
      <c s="12" r="N92"/>
      <c s="12" r="O92"/>
      <c s="12" r="P92"/>
      <c s="12" r="Q92"/>
      <c s="12" r="R92"/>
      <c s="12" r="S92"/>
      <c s="12" r="T92"/>
    </row>
    <row r="93">
      <c t="s" s="12" r="B93">
        <v>1640</v>
      </c>
      <c t="s" s="22" r="C93">
        <v>1645</v>
      </c>
      <c s="12" r="D93">
        <v>0</v>
      </c>
      <c s="12" r="E93">
        <v>1</v>
      </c>
      <c t="s" s="12" r="F93">
        <v>1408</v>
      </c>
      <c s="22" r="G93">
        <f>COUNTIF(EXPERTISE!D4:D50,"*Transportation Infrastructure*")</f>
        <v>0</v>
      </c>
      <c s="12" r="H93"/>
      <c s="22" r="I93">
        <f>COUNTIF(PROJECT!W2:W100,"*Transportation Infrastructure*")</f>
        <v>0</v>
      </c>
      <c s="12" r="J93"/>
      <c s="12" r="K93"/>
      <c s="12" r="L93"/>
      <c s="12" r="M93"/>
      <c s="12" r="N93"/>
      <c s="12" r="O93"/>
      <c s="12" r="P93"/>
      <c s="12" r="Q93"/>
      <c s="12" r="R93"/>
      <c s="12" r="S93"/>
      <c s="12" r="T93"/>
    </row>
    <row r="94">
      <c t="s" s="12" r="B94">
        <v>1640</v>
      </c>
      <c t="s" s="22" r="C94">
        <v>1646</v>
      </c>
      <c s="12" r="D94">
        <v>0</v>
      </c>
      <c s="12" r="E94">
        <v>1</v>
      </c>
      <c t="s" s="12" r="F94">
        <v>1408</v>
      </c>
      <c s="22" r="G94">
        <f>COUNTIF(EXPERTISE!D4:D50,"*Water Infrastructure*")</f>
        <v>0</v>
      </c>
      <c s="12" r="H94"/>
      <c s="22" r="I94">
        <f>COUNTIF(PROJECT!W2:W100,"*Water Infrastructure*")</f>
        <v>0</v>
      </c>
      <c s="12" r="J94"/>
      <c s="12" r="K94"/>
      <c s="12" r="L94"/>
      <c s="12" r="M94"/>
      <c s="12" r="N94"/>
      <c s="12" r="O94"/>
      <c s="12" r="P94"/>
      <c s="12" r="Q94"/>
      <c s="12" r="R94"/>
      <c s="12" r="S94"/>
      <c s="12" r="T94"/>
    </row>
    <row r="95">
      <c t="s" s="22" r="B95">
        <v>1647</v>
      </c>
      <c t="s" s="22" r="C95">
        <v>1648</v>
      </c>
      <c s="12" r="D95">
        <v>1</v>
      </c>
      <c s="12" r="E95">
        <v>1</v>
      </c>
      <c s="12" r="F95">
        <f>COUNTIF(EXPERTISE!C4:C50,"*Multisector*")</f>
        <v>0</v>
      </c>
      <c s="22" r="G95">
        <f>COUNTIF(EXPERTISE!D4:D50,"*Integrated Sub-Sector*")</f>
        <v>0</v>
      </c>
      <c s="12" r="H95">
        <f>COUNTIF(PROJECT!V2:V100,"*Multisector*")</f>
        <v>0</v>
      </c>
      <c s="22" r="I95">
        <f>COUNTIF(PROJECT!W2:W100,"*Integrated Sub-Sector*")</f>
        <v>0</v>
      </c>
      <c s="12" r="J95"/>
      <c s="12" r="K95"/>
      <c s="12" r="L95"/>
      <c s="12" r="M95"/>
      <c s="12" r="N95"/>
      <c s="12" r="O95"/>
      <c s="12" r="P95"/>
      <c s="12" r="Q95"/>
      <c s="12" r="R95"/>
      <c s="12" r="S95"/>
      <c s="12" r="T95"/>
    </row>
    <row r="96">
      <c t="s" s="12" r="B96">
        <v>1649</v>
      </c>
      <c t="s" s="22" r="C96">
        <v>1649</v>
      </c>
      <c s="12" r="D96">
        <v>1</v>
      </c>
      <c s="12" r="E96">
        <v>1</v>
      </c>
      <c s="12" r="F96">
        <f>COUNTIF(EXPERTISE!C4:C50,"*Multisector*")</f>
        <v>0</v>
      </c>
      <c s="22" r="G96">
        <f>COUNTIF(EXPERTISE!D4:D50,"*Multisector*")</f>
        <v>0</v>
      </c>
      <c s="12" r="H96">
        <f>COUNTIF(PROJECT!V2:V100,"*Multisector*")</f>
        <v>0</v>
      </c>
      <c s="22" r="I96">
        <f>COUNTIF(PROJECT!W2:W100,"*Multisector*")</f>
        <v>0</v>
      </c>
      <c s="12" r="J96"/>
      <c s="12" r="K96"/>
      <c s="12" r="L96"/>
      <c s="12" r="M96"/>
      <c s="12" r="N96"/>
      <c s="12" r="O96"/>
      <c s="12" r="P96"/>
      <c s="12" r="Q96"/>
      <c s="12" r="R96"/>
      <c s="12" r="S96"/>
      <c s="12" r="T96"/>
    </row>
    <row r="97">
      <c t="s" s="22" r="B97">
        <v>1650</v>
      </c>
      <c t="s" s="22" r="C97">
        <v>1650</v>
      </c>
      <c s="12" r="D97">
        <v>1</v>
      </c>
      <c s="12" r="E97">
        <v>1</v>
      </c>
      <c s="12" r="F97">
        <f>COUNTIF(EXPERTISE!C4:C50,"*Others*")</f>
        <v>0</v>
      </c>
      <c s="22" r="G97">
        <f>COUNTIF(EXPERTISE!D4:D50,"*Not Listed*")</f>
        <v>0</v>
      </c>
      <c s="12" r="H97">
        <f>COUNTIF(PROJECT!V2:V100,"*Others*")</f>
        <v>0</v>
      </c>
      <c s="22" r="I97">
        <f>COUNTIF(PROJECT!W2:W100,"*Not Listed*")</f>
        <v>0</v>
      </c>
      <c s="12" r="J97"/>
      <c s="12" r="K97"/>
      <c s="12" r="L97"/>
      <c s="12" r="M97"/>
      <c s="12" r="N97"/>
      <c s="12" r="O97"/>
      <c s="12" r="P97"/>
      <c s="12" r="Q97"/>
      <c s="12" r="R97"/>
      <c s="12" r="S97"/>
      <c s="12" r="T97"/>
    </row>
    <row r="98">
      <c t="s" s="22" r="B98">
        <v>1651</v>
      </c>
      <c t="s" s="22" r="C98">
        <v>1652</v>
      </c>
      <c s="12" r="D98">
        <v>1</v>
      </c>
      <c s="12" r="E98">
        <v>1</v>
      </c>
      <c s="12" r="F98">
        <f>COUNTIF(EXPERTISE!C4:C50,"*Others (non-project related) *")</f>
        <v>0</v>
      </c>
      <c s="22" r="G98">
        <f>COUNTIF(EXPERTISE!D4:D50,"*Other*")</f>
        <v>0</v>
      </c>
      <c s="12" r="H98">
        <f>COUNTIF(PROJECT!V2:V100,"*Others (non-project related)*")</f>
        <v>0</v>
      </c>
      <c s="22" r="I98">
        <f>COUNTIF(PROJECT!W2:W100,"*Other*")</f>
        <v>0</v>
      </c>
      <c s="12" r="J98"/>
      <c s="12" r="K98"/>
      <c s="12" r="L98"/>
      <c s="12" r="M98"/>
      <c s="12" r="N98"/>
      <c s="12" r="O98"/>
      <c s="12" r="P98"/>
      <c s="12" r="Q98"/>
      <c s="12" r="R98"/>
      <c s="12" r="S98"/>
      <c s="12" r="T98"/>
    </row>
    <row r="99">
      <c t="s" s="12" r="B99">
        <v>1653</v>
      </c>
      <c t="s" s="12" r="C99">
        <v>1654</v>
      </c>
      <c s="12" r="D99">
        <v>1</v>
      </c>
      <c s="12" r="E99">
        <v>1</v>
      </c>
      <c s="12" r="F99">
        <f>COUNTIF(EXPERTISE!C4:C50,"*Public Administration, Law, and Justice*")</f>
        <v>0</v>
      </c>
      <c s="12" r="G99">
        <f>COUNTIF(EXPERTISE!D4:D50,"*Central Government Administration*")</f>
        <v>0</v>
      </c>
      <c s="12" r="H99">
        <f>COUNTIF(PROJECT!V2:V100,"*Public Administration, Law, and Justice*")</f>
        <v>0</v>
      </c>
      <c s="12" r="I99">
        <f>COUNTIF(PROJECT!W2:W100,"*Central Government Administration*")</f>
        <v>0</v>
      </c>
      <c s="12" r="J99"/>
      <c s="12" r="K99"/>
      <c s="12" r="L99"/>
      <c s="12" r="M99"/>
      <c s="12" r="N99"/>
      <c s="12" r="O99"/>
      <c s="12" r="P99"/>
      <c s="12" r="Q99"/>
      <c s="12" r="R99"/>
      <c s="12" r="S99"/>
      <c s="12" r="T99"/>
    </row>
    <row r="100">
      <c t="s" s="12" r="B100">
        <v>1653</v>
      </c>
      <c t="s" s="12" r="C100">
        <v>1655</v>
      </c>
      <c s="12" r="D100">
        <v>0</v>
      </c>
      <c s="12" r="E100">
        <v>1</v>
      </c>
      <c t="s" s="12" r="F100">
        <v>1408</v>
      </c>
      <c s="12" r="G100">
        <f>COUNTIF(EXPERTISE!D4:D50,"*Compulsory Pension and Unemployment Insurance*")</f>
        <v>0</v>
      </c>
      <c s="12" r="H100"/>
      <c s="12" r="I100">
        <f>COUNTIF(PROJECT!W2:W100,"*Compulsory Pension and Unemployment Insurance*")</f>
        <v>0</v>
      </c>
      <c s="12" r="J100"/>
      <c s="12" r="K100"/>
      <c s="12" r="L100"/>
      <c s="12" r="M100"/>
      <c s="12" r="N100"/>
      <c s="12" r="O100"/>
      <c s="12" r="P100"/>
      <c s="12" r="Q100"/>
      <c s="12" r="R100"/>
      <c s="12" r="S100"/>
      <c s="12" r="T100"/>
    </row>
    <row r="101">
      <c t="s" s="12" r="B101">
        <v>1653</v>
      </c>
      <c t="s" s="12" r="C101">
        <v>1656</v>
      </c>
      <c s="12" r="D101">
        <v>0</v>
      </c>
      <c s="12" r="E101">
        <v>1</v>
      </c>
      <c t="s" s="12" r="F101">
        <v>1408</v>
      </c>
      <c s="12" r="G101">
        <f>COUNTIF(EXPERTISE!D4:D50,"*General Public Administration Sector*")</f>
        <v>0</v>
      </c>
      <c s="12" r="H101"/>
      <c s="12" r="I101">
        <f>COUNTIF(PROJECT!W2:W100,"*General Public Administration Sector*")</f>
        <v>0</v>
      </c>
      <c s="12" r="J101"/>
      <c s="12" r="K101"/>
      <c s="12" r="L101"/>
      <c s="12" r="M101"/>
      <c s="12" r="N101"/>
      <c s="12" r="O101"/>
      <c s="12" r="P101"/>
      <c s="12" r="Q101"/>
      <c s="12" r="R101"/>
      <c s="12" r="S101"/>
      <c s="12" r="T101"/>
    </row>
    <row r="102">
      <c t="s" s="12" r="B102">
        <v>1653</v>
      </c>
      <c t="s" s="12" r="C102">
        <v>1657</v>
      </c>
      <c s="12" r="D102">
        <v>0</v>
      </c>
      <c s="12" r="E102">
        <v>1</v>
      </c>
      <c t="s" s="12" r="F102">
        <v>1408</v>
      </c>
      <c s="12" r="G102">
        <f>COUNTIF(EXPERTISE!D4:D50,"*Government and Civil Society*")</f>
        <v>0</v>
      </c>
      <c s="12" r="H102"/>
      <c s="12" r="I102">
        <f>COUNTIF(PROJECT!W2:W100,"*Government and Civil Society*")</f>
        <v>0</v>
      </c>
      <c s="12" r="J102"/>
      <c s="12" r="K102"/>
      <c s="12" r="L102"/>
      <c s="12" r="M102"/>
      <c s="12" r="N102"/>
      <c s="12" r="O102"/>
      <c s="12" r="P102"/>
      <c s="12" r="Q102"/>
      <c s="12" r="R102"/>
      <c s="12" r="S102"/>
      <c s="12" r="T102"/>
    </row>
    <row r="103">
      <c t="s" s="12" r="B103">
        <v>1653</v>
      </c>
      <c t="s" s="12" r="C103">
        <v>1658</v>
      </c>
      <c s="12" r="D103">
        <v>0</v>
      </c>
      <c s="12" r="E103">
        <v>1</v>
      </c>
      <c t="s" s="12" r="F103">
        <v>1408</v>
      </c>
      <c s="12" r="G103">
        <f>COUNTIF(EXPERTISE!D4:D50,"*Law and Judiciary*")</f>
        <v>0</v>
      </c>
      <c s="12" r="H103"/>
      <c s="12" r="I103">
        <f>COUNTIF(PROJECT!W2:W100,"*Law and Judiciary*")</f>
        <v>0</v>
      </c>
      <c s="12" r="J103"/>
      <c s="12" r="K103"/>
      <c s="12" r="L103"/>
      <c s="12" r="M103"/>
      <c s="12" r="N103"/>
      <c s="12" r="O103"/>
      <c s="12" r="P103"/>
      <c s="12" r="Q103"/>
      <c s="12" r="R103"/>
      <c s="12" r="S103"/>
      <c s="12" r="T103"/>
    </row>
    <row r="104">
      <c t="s" s="12" r="B104">
        <v>1653</v>
      </c>
      <c t="s" s="22" r="C104">
        <v>1659</v>
      </c>
      <c s="12" r="D104">
        <v>0</v>
      </c>
      <c s="12" r="E104">
        <v>1</v>
      </c>
      <c t="s" s="12" r="F104">
        <v>1408</v>
      </c>
      <c s="22" r="G104">
        <f>COUNTIF(EXPERTISE!D4:D50,"*National Government Administration*")</f>
        <v>0</v>
      </c>
      <c s="12" r="H104"/>
      <c s="22" r="I104">
        <f>COUNTIF(PROJECT!W2:W100,"*National Government Administration*")</f>
        <v>0</v>
      </c>
      <c s="12" r="J104"/>
      <c s="12" r="K104"/>
      <c s="12" r="L104"/>
      <c s="12" r="M104"/>
      <c s="12" r="N104"/>
      <c s="12" r="O104"/>
      <c s="12" r="P104"/>
      <c s="12" r="Q104"/>
      <c s="12" r="R104"/>
      <c s="12" r="S104"/>
      <c s="12" r="T104"/>
    </row>
    <row r="105">
      <c t="s" s="12" r="B105">
        <v>1653</v>
      </c>
      <c t="s" s="12" r="C105">
        <v>1660</v>
      </c>
      <c s="12" r="D105">
        <v>0</v>
      </c>
      <c s="12" r="E105">
        <v>1</v>
      </c>
      <c t="s" s="12" r="F105">
        <v>1408</v>
      </c>
      <c s="12" r="G105">
        <f>COUNTIF(EXPERTISE!D4:D50,"*Public Administration - Agriculture, Fishing and Forestry*")</f>
        <v>0</v>
      </c>
      <c s="12" r="H105"/>
      <c s="12" r="I105">
        <f>COUNTIF(PROJECT!W2:W100,"*Public Administration - Agriculture, Fishing and Forestry*")</f>
        <v>0</v>
      </c>
      <c s="12" r="J105"/>
      <c s="12" r="K105"/>
      <c s="12" r="L105"/>
      <c s="12" r="M105"/>
      <c s="12" r="N105"/>
      <c s="12" r="O105"/>
      <c s="12" r="P105"/>
      <c s="12" r="Q105"/>
      <c s="12" r="R105"/>
      <c s="12" r="S105"/>
      <c s="12" r="T105"/>
    </row>
    <row r="106">
      <c t="s" s="12" r="B106">
        <v>1653</v>
      </c>
      <c t="s" s="12" r="C106">
        <v>1661</v>
      </c>
      <c s="12" r="D106">
        <v>0</v>
      </c>
      <c s="12" r="E106">
        <v>1</v>
      </c>
      <c t="s" s="12" r="F106">
        <v>1408</v>
      </c>
      <c s="12" r="G106">
        <f>COUNTIF(EXPERTISE!D4:D50,"*Public Administration - Education*")</f>
        <v>0</v>
      </c>
      <c s="12" r="H106"/>
      <c s="12" r="I106">
        <f>COUNTIF(PROJECT!W2:W100,"*Public Administration - Education*")</f>
        <v>0</v>
      </c>
      <c s="12" r="J106"/>
      <c s="12" r="K106"/>
      <c s="12" r="L106"/>
      <c s="12" r="M106"/>
      <c s="12" r="N106"/>
      <c s="12" r="O106"/>
      <c s="12" r="P106"/>
      <c s="12" r="Q106"/>
      <c s="12" r="R106"/>
      <c s="12" r="S106"/>
      <c s="12" r="T106"/>
    </row>
    <row r="107">
      <c t="s" s="12" r="B107">
        <v>1653</v>
      </c>
      <c t="s" s="22" r="C107">
        <v>1662</v>
      </c>
      <c s="12" r="D107">
        <v>0</v>
      </c>
      <c s="12" r="E107">
        <v>1</v>
      </c>
      <c t="s" s="12" r="F107">
        <v>1408</v>
      </c>
      <c s="12" r="G107">
        <f>COUNTIF(EXPERTISE!D4:D50,"*Public Administration - Energy and Mining*")</f>
        <v>0</v>
      </c>
      <c s="12" r="H107"/>
      <c s="12" r="I107">
        <f>COUNTIF(PROJECT!W2:W100,"*Public Administration - Energy and Mining*")</f>
        <v>0</v>
      </c>
      <c s="12" r="J107"/>
      <c s="12" r="K107"/>
      <c s="12" r="L107"/>
      <c s="12" r="M107"/>
      <c s="12" r="N107"/>
      <c s="12" r="O107"/>
      <c s="12" r="P107"/>
      <c s="12" r="Q107"/>
      <c s="12" r="R107"/>
      <c s="12" r="S107"/>
      <c s="12" r="T107"/>
    </row>
    <row r="108">
      <c t="s" s="12" r="B108">
        <v>1653</v>
      </c>
      <c t="s" s="12" r="C108">
        <v>1663</v>
      </c>
      <c s="12" r="D108">
        <v>0</v>
      </c>
      <c s="12" r="E108">
        <v>1</v>
      </c>
      <c t="s" s="12" r="F108">
        <v>1408</v>
      </c>
      <c s="12" r="G108">
        <f>COUNTIF(EXPERTISE!D4:D50,"*Public Administration - Financial Sector*")</f>
        <v>0</v>
      </c>
      <c s="12" r="H108"/>
      <c s="12" r="I108">
        <f>COUNTIF(PROJECT!W2:W100,"*Public Administration - Financial Sector*")</f>
        <v>0</v>
      </c>
      <c s="12" r="J108"/>
      <c s="12" r="K108"/>
      <c s="12" r="L108"/>
      <c s="12" r="M108"/>
      <c s="12" r="N108"/>
      <c s="12" r="O108"/>
      <c s="12" r="P108"/>
      <c s="12" r="Q108"/>
      <c s="12" r="R108"/>
      <c s="12" r="S108"/>
      <c s="12" r="T108"/>
    </row>
    <row r="109">
      <c t="s" s="12" r="B109">
        <v>1653</v>
      </c>
      <c t="s" s="12" r="C109">
        <v>1664</v>
      </c>
      <c s="12" r="D109">
        <v>0</v>
      </c>
      <c s="12" r="E109">
        <v>1</v>
      </c>
      <c t="s" s="12" r="F109">
        <v>1408</v>
      </c>
      <c s="12" r="G109">
        <f>COUNTIF(EXPERTISE!D4:D50,"*Public Administration - Health*")</f>
        <v>0</v>
      </c>
      <c s="12" r="H109"/>
      <c s="12" r="I109">
        <f>COUNTIF(PROJECT!W2:W100,"*Public Administration - Health*")</f>
        <v>0</v>
      </c>
      <c s="12" r="J109"/>
      <c s="12" r="K109"/>
      <c s="12" r="L109"/>
      <c s="12" r="M109"/>
      <c s="12" r="N109"/>
      <c s="12" r="O109"/>
      <c s="12" r="P109"/>
      <c s="12" r="Q109"/>
      <c s="12" r="R109"/>
      <c s="12" r="S109"/>
      <c s="12" r="T109"/>
    </row>
    <row r="110">
      <c t="s" s="12" r="B110">
        <v>1653</v>
      </c>
      <c t="s" s="22" r="C110">
        <v>1665</v>
      </c>
      <c s="12" r="D110">
        <v>0</v>
      </c>
      <c s="12" r="E110">
        <v>1</v>
      </c>
      <c t="s" s="12" r="F110">
        <v>1408</v>
      </c>
      <c s="12" r="G110">
        <f>COUNTIF(EXPERTISE!D4:D50,"*Public Administration - Industry and Trade*")</f>
        <v>0</v>
      </c>
      <c s="12" r="H110"/>
      <c s="12" r="I110">
        <f>COUNTIF(PROJECT!W2:W100,"*Public Administration - Industry and Trade*")</f>
        <v>0</v>
      </c>
      <c s="12" r="J110"/>
      <c s="12" r="K110"/>
      <c s="12" r="L110"/>
      <c s="12" r="M110"/>
      <c s="12" r="N110"/>
      <c s="12" r="O110"/>
      <c s="12" r="P110"/>
      <c s="12" r="Q110"/>
      <c s="12" r="R110"/>
      <c s="12" r="S110"/>
      <c s="12" r="T110"/>
    </row>
    <row r="111">
      <c t="s" s="12" r="B111">
        <v>1653</v>
      </c>
      <c t="s" s="12" r="C111">
        <v>1666</v>
      </c>
      <c s="12" r="D111">
        <v>0</v>
      </c>
      <c s="12" r="E111">
        <v>1</v>
      </c>
      <c t="s" s="12" r="F111">
        <v>1408</v>
      </c>
      <c s="12" r="G111">
        <f>COUNTIF(EXPERTISE!D4:D50,"*Public Administration - Information and Communications*")</f>
        <v>0</v>
      </c>
      <c s="12" r="H111"/>
      <c s="12" r="I111">
        <f>COUNTIF(PROJECT!W2:W100,"*Public Administration - Information and Communications*")</f>
        <v>0</v>
      </c>
      <c s="12" r="J111"/>
      <c s="12" r="K111"/>
      <c s="12" r="L111"/>
      <c s="12" r="M111"/>
      <c s="12" r="N111"/>
      <c s="12" r="O111"/>
      <c s="12" r="P111"/>
      <c s="12" r="Q111"/>
      <c s="12" r="R111"/>
      <c s="12" r="S111"/>
      <c s="12" r="T111"/>
    </row>
    <row r="112">
      <c t="s" s="12" r="B112">
        <v>1653</v>
      </c>
      <c t="s" s="12" r="C112">
        <v>1667</v>
      </c>
      <c s="12" r="D112">
        <v>0</v>
      </c>
      <c s="12" r="E112">
        <v>1</v>
      </c>
      <c t="s" s="12" r="F112">
        <v>1408</v>
      </c>
      <c s="22" r="G112">
        <f>COUNTIF(EXPERTISE!D4:D50,"*Public Administration - Social Services*")</f>
        <v>0</v>
      </c>
      <c s="12" r="H112"/>
      <c s="22" r="I112">
        <f>COUNTIF(PROJECT!W2:W100,"*Public Administration - Social Services*")</f>
        <v>0</v>
      </c>
      <c s="12" r="J112"/>
      <c s="12" r="K112"/>
      <c s="12" r="L112"/>
      <c s="12" r="M112"/>
      <c s="12" r="N112"/>
      <c s="12" r="O112"/>
      <c s="12" r="P112"/>
      <c s="12" r="Q112"/>
      <c s="12" r="R112"/>
      <c s="12" r="S112"/>
      <c s="12" r="T112"/>
    </row>
    <row r="113">
      <c t="s" s="12" r="B113">
        <v>1653</v>
      </c>
      <c t="s" s="12" r="C113">
        <v>1668</v>
      </c>
      <c s="12" r="D113">
        <v>0</v>
      </c>
      <c s="12" r="E113">
        <v>1</v>
      </c>
      <c t="s" s="12" r="F113">
        <v>1408</v>
      </c>
      <c s="12" r="G113">
        <f>COUNTIF(EXPERTISE!D4:D50,"*Public Administration - Transportation*")</f>
        <v>0</v>
      </c>
      <c s="12" r="H113"/>
      <c s="12" r="I113">
        <f>COUNTIF(PROJECT!W2:W100,"*Public Administration - Transportation*")</f>
        <v>0</v>
      </c>
      <c s="12" r="J113"/>
      <c s="12" r="K113"/>
      <c s="12" r="L113"/>
      <c s="12" r="M113"/>
      <c s="12" r="N113"/>
      <c s="12" r="O113"/>
      <c s="12" r="P113"/>
      <c s="12" r="Q113"/>
      <c s="12" r="R113"/>
      <c s="12" r="S113"/>
      <c s="12" r="T113"/>
    </row>
    <row r="114">
      <c t="s" s="12" r="B114">
        <v>1653</v>
      </c>
      <c t="s" s="12" r="C114">
        <v>1669</v>
      </c>
      <c s="12" r="D114">
        <v>0</v>
      </c>
      <c s="12" r="E114">
        <v>1</v>
      </c>
      <c t="s" s="12" r="F114">
        <v>1408</v>
      </c>
      <c s="12" r="G114">
        <f>COUNTIF(EXPERTISE!D4:D50,"*Public Administration - Water, Sanitation and Flood Protection*")</f>
        <v>0</v>
      </c>
      <c s="12" r="H114"/>
      <c s="12" r="I114">
        <f>COUNTIF(PROJECT!W2:W100,"*Public Administration - Water, Sanitation and Flood Protection*")</f>
        <v>0</v>
      </c>
      <c s="12" r="J114"/>
      <c s="12" r="K114"/>
      <c s="12" r="L114"/>
      <c s="12" r="M114"/>
      <c s="12" r="N114"/>
      <c s="12" r="O114"/>
      <c s="12" r="P114"/>
      <c s="12" r="Q114"/>
      <c s="12" r="R114"/>
      <c s="12" r="S114"/>
      <c s="12" r="T114"/>
    </row>
    <row r="115">
      <c t="s" s="12" r="B115">
        <v>1653</v>
      </c>
      <c t="s" s="22" r="C115">
        <v>1670</v>
      </c>
      <c s="12" r="D115">
        <v>0</v>
      </c>
      <c s="12" r="E115">
        <v>1</v>
      </c>
      <c t="s" s="12" r="F115">
        <v>1408</v>
      </c>
      <c s="12" r="G115">
        <f>COUNTIF(EXPERTISE!D4:D50,"*Sub-national Governance*")</f>
        <v>0</v>
      </c>
      <c s="12" r="H115"/>
      <c s="22" r="I115">
        <f>COUNTIF(PROJECT!W2:W100,"*Sub-national Governance*")</f>
        <v>0</v>
      </c>
      <c s="12" r="J115"/>
      <c s="12" r="K115"/>
      <c s="12" r="L115"/>
      <c s="12" r="M115"/>
      <c s="12" r="N115"/>
      <c s="12" r="O115"/>
      <c s="12" r="P115"/>
      <c s="12" r="Q115"/>
      <c s="12" r="R115"/>
      <c s="12" r="S115"/>
      <c s="12" r="T115"/>
    </row>
    <row r="116">
      <c t="s" s="12" r="B116">
        <v>1653</v>
      </c>
      <c t="s" s="12" r="C116">
        <v>1671</v>
      </c>
      <c s="12" r="D116">
        <v>0</v>
      </c>
      <c s="12" r="E116">
        <v>1</v>
      </c>
      <c t="s" s="12" r="F116">
        <v>1408</v>
      </c>
      <c s="12" r="G116">
        <f>COUNTIF(EXPERTISE!D4:D50,"*Support to NGOs*")</f>
        <v>0</v>
      </c>
      <c s="12" r="H116"/>
      <c s="12" r="I116">
        <f>COUNTIF(PROJECT!W2:W100,"*Support to NGOs*")</f>
        <v>0</v>
      </c>
      <c s="12" r="J116"/>
      <c s="12" r="K116"/>
      <c s="12" r="L116"/>
      <c s="12" r="M116"/>
      <c s="12" r="N116"/>
      <c s="12" r="O116"/>
      <c s="12" r="P116"/>
      <c s="12" r="Q116"/>
      <c s="12" r="R116"/>
      <c s="12" r="S116"/>
      <c s="12" r="T116"/>
    </row>
    <row r="117">
      <c t="s" s="12" r="B117">
        <v>1672</v>
      </c>
      <c t="s" s="12" r="C117">
        <v>1673</v>
      </c>
      <c s="12" r="D117">
        <v>1</v>
      </c>
      <c s="12" r="E117">
        <v>1</v>
      </c>
      <c s="12" r="F117">
        <f>COUNTIF(EXPERTISE!C4:C50,"*Telecoms, Media &amp; Information Technology*")</f>
        <v>0</v>
      </c>
      <c s="12" r="G117">
        <f>COUNTIF(EXPERTISE!D4:D50,"*General Information and Communications Sector*")</f>
        <v>0</v>
      </c>
      <c s="12" r="H117">
        <f>COUNTIF(PROJECT!V2:V100,"*Telecoms, Media &amp; Information Technology*")</f>
        <v>0</v>
      </c>
      <c s="12" r="I117">
        <f>COUNTIF(PROJECT!W2:W100,"*General Information and Communications Sector*")</f>
        <v>0</v>
      </c>
      <c s="12" r="J117"/>
      <c s="12" r="K117"/>
      <c s="12" r="L117"/>
      <c s="12" r="M117"/>
      <c s="12" r="N117"/>
      <c s="12" r="O117"/>
      <c s="12" r="P117"/>
      <c s="12" r="Q117"/>
      <c s="12" r="R117"/>
      <c s="12" r="S117"/>
      <c s="12" r="T117"/>
    </row>
    <row r="118">
      <c t="s" s="12" r="B118">
        <v>1672</v>
      </c>
      <c t="s" s="12" r="C118">
        <v>1674</v>
      </c>
      <c s="12" r="D118">
        <v>0</v>
      </c>
      <c s="12" r="E118">
        <v>1</v>
      </c>
      <c t="s" s="12" r="F118">
        <v>1408</v>
      </c>
      <c s="12" r="G118">
        <f>COUNTIF(EXPERTISE!D4:D50,"*Information Technology*")</f>
        <v>0</v>
      </c>
      <c s="12" r="H118"/>
      <c s="12" r="I118">
        <f>COUNTIF(PROJECT!W2:W100,"*Information Technology*")</f>
        <v>0</v>
      </c>
      <c s="12" r="J118"/>
      <c s="12" r="K118"/>
      <c s="12" r="L118"/>
      <c s="12" r="M118"/>
      <c s="12" r="N118"/>
      <c s="12" r="O118"/>
      <c s="12" r="P118"/>
      <c s="12" r="Q118"/>
      <c s="12" r="R118"/>
      <c s="12" r="S118"/>
      <c s="12" r="T118"/>
    </row>
    <row r="119">
      <c t="s" s="12" r="B119">
        <v>1672</v>
      </c>
      <c t="s" s="22" r="C119">
        <v>1675</v>
      </c>
      <c s="12" r="D119">
        <v>0</v>
      </c>
      <c s="12" r="E119">
        <v>1</v>
      </c>
      <c t="s" s="12" r="F119">
        <v>1408</v>
      </c>
      <c s="22" r="G119">
        <f>COUNTIF(EXPERTISE!D4:D50,"*Media &amp; Broadcast Information*")</f>
        <v>0</v>
      </c>
      <c s="12" r="H119"/>
      <c s="22" r="I119">
        <f>COUNTIF(PROJECT!W2:W100,"*Media &amp; Broadcast Information*")</f>
        <v>0</v>
      </c>
      <c s="12" r="J119"/>
      <c s="12" r="K119"/>
      <c s="12" r="L119"/>
      <c s="12" r="M119"/>
      <c s="12" r="N119"/>
      <c s="12" r="O119"/>
      <c s="12" r="P119"/>
      <c s="12" r="Q119"/>
      <c s="12" r="R119"/>
      <c s="12" r="S119"/>
      <c s="12" r="T119"/>
    </row>
    <row r="120">
      <c t="s" s="12" r="B120">
        <v>1672</v>
      </c>
      <c t="s" s="12" r="C120">
        <v>1676</v>
      </c>
      <c s="12" r="D120">
        <v>0</v>
      </c>
      <c s="12" r="E120">
        <v>1</v>
      </c>
      <c t="s" s="12" r="F120">
        <v>1408</v>
      </c>
      <c s="12" r="G120">
        <f>COUNTIF(EXPERTISE!D4:D50,"*Postal Services*")</f>
        <v>0</v>
      </c>
      <c s="12" r="H120"/>
      <c s="12" r="I120">
        <f>COUNTIF(PROJECT!W2:W100,"*Postal Services*")</f>
        <v>0</v>
      </c>
      <c s="12" r="J120"/>
      <c s="12" r="K120"/>
      <c s="12" r="L120"/>
      <c s="12" r="M120"/>
      <c s="12" r="N120"/>
      <c s="12" r="O120"/>
      <c s="12" r="P120"/>
      <c s="12" r="Q120"/>
      <c s="12" r="R120"/>
      <c s="12" r="S120"/>
      <c s="12" r="T120"/>
    </row>
    <row r="121">
      <c t="s" s="12" r="B121">
        <v>1672</v>
      </c>
      <c t="s" s="12" r="C121">
        <v>1677</v>
      </c>
      <c s="12" r="D121">
        <v>0</v>
      </c>
      <c s="12" r="E121">
        <v>1</v>
      </c>
      <c t="s" s="12" r="F121">
        <v>1408</v>
      </c>
      <c s="12" r="G121">
        <f>COUNTIF(EXPERTISE!D4:D50,"*Telecommunications*")</f>
        <v>0</v>
      </c>
      <c s="12" r="H121"/>
      <c s="12" r="I121">
        <f>COUNTIF(PROJECT!W2:W100,"*Telecommunications*")</f>
        <v>0</v>
      </c>
      <c s="12" r="J121"/>
      <c s="12" r="K121"/>
      <c s="12" r="L121"/>
      <c s="12" r="M121"/>
      <c s="12" r="N121"/>
      <c s="12" r="O121"/>
      <c s="12" r="P121"/>
      <c s="12" r="Q121"/>
      <c s="12" r="R121"/>
      <c s="12" r="S121"/>
      <c s="12" r="T121"/>
    </row>
    <row r="122">
      <c t="s" s="12" r="B122">
        <v>1678</v>
      </c>
      <c t="s" s="12" r="C122">
        <v>1679</v>
      </c>
      <c s="12" r="D122">
        <v>1</v>
      </c>
      <c s="12" r="E122">
        <v>1</v>
      </c>
      <c s="12" r="F122">
        <f>COUNTIF(EXPERTISE!C4:C50,"*Transport and Communication*")</f>
        <v>0</v>
      </c>
      <c s="12" r="G122">
        <f>COUNTIF(EXPERTISE!D4:D50,"*Aviation*")</f>
        <v>0</v>
      </c>
      <c s="12" r="H122">
        <f>COUNTIF(PROJECT!V2:V100,"*Transport and Communication*")</f>
        <v>0</v>
      </c>
      <c s="12" r="I122">
        <f>COUNTIF(PROJECT!W2:W100,"*Aviation*")</f>
        <v>0</v>
      </c>
      <c s="12" r="J122"/>
      <c s="12" r="K122"/>
      <c s="12" r="L122"/>
      <c s="12" r="M122"/>
      <c s="12" r="N122"/>
      <c s="12" r="O122"/>
      <c s="12" r="P122"/>
      <c s="12" r="Q122"/>
      <c s="12" r="R122"/>
      <c s="12" r="S122"/>
      <c s="12" r="T122"/>
    </row>
    <row r="123">
      <c t="s" s="12" r="B123">
        <v>1678</v>
      </c>
      <c t="s" s="12" r="C123">
        <v>1680</v>
      </c>
      <c s="12" r="D123">
        <v>0</v>
      </c>
      <c s="12" r="E123">
        <v>1</v>
      </c>
      <c t="s" s="12" r="F123">
        <v>1408</v>
      </c>
      <c s="12" r="G123">
        <f>COUNTIF(EXPERTISE!D4:D50,"*General Transportation Sector*")</f>
        <v>0</v>
      </c>
      <c s="12" r="H123"/>
      <c s="12" r="I123">
        <f>COUNTIF(PROJECT!W2:W100,"*General Transportation Sector*")</f>
        <v>0</v>
      </c>
      <c s="12" r="J123"/>
      <c s="12" r="K123"/>
      <c s="12" r="L123"/>
      <c s="12" r="M123"/>
      <c s="12" r="N123"/>
      <c s="12" r="O123"/>
      <c s="12" r="P123"/>
      <c s="12" r="Q123"/>
      <c s="12" r="R123"/>
      <c s="12" r="S123"/>
      <c s="12" r="T123"/>
    </row>
    <row r="124">
      <c t="s" s="12" r="B124">
        <v>1678</v>
      </c>
      <c t="s" s="12" r="C124">
        <v>1681</v>
      </c>
      <c s="12" r="D124">
        <v>0</v>
      </c>
      <c s="12" r="E124">
        <v>1</v>
      </c>
      <c t="s" s="12" r="F124">
        <v>1408</v>
      </c>
      <c s="12" r="G124">
        <f>COUNTIF(EXPERTISE!D4:D50,"*Multimodal Transport and Sector Development*")</f>
        <v>0</v>
      </c>
      <c s="12" r="H124"/>
      <c s="12" r="I124">
        <f>COUNTIF(PROJECT!W2:W100,"*Multimodal Transport and Sector Development*")</f>
        <v>0</v>
      </c>
      <c s="12" r="J124"/>
      <c s="12" r="K124"/>
      <c s="12" r="L124"/>
      <c s="12" r="M124"/>
      <c s="12" r="N124"/>
      <c s="12" r="O124"/>
      <c s="12" r="P124"/>
      <c s="12" r="Q124"/>
      <c s="12" r="R124"/>
      <c s="12" r="S124"/>
      <c s="12" r="T124"/>
    </row>
    <row r="125">
      <c t="s" s="12" r="B125">
        <v>1678</v>
      </c>
      <c t="s" s="12" r="C125">
        <v>1682</v>
      </c>
      <c s="12" r="D125">
        <v>0</v>
      </c>
      <c s="12" r="E125">
        <v>1</v>
      </c>
      <c t="s" s="12" r="F125">
        <v>1408</v>
      </c>
      <c s="12" r="G125">
        <f>COUNTIF(EXPERTISE!D4:D50,"*Ports, Waterways and Shipping*")</f>
        <v>0</v>
      </c>
      <c s="12" r="H125"/>
      <c s="12" r="I125">
        <f>COUNTIF(PROJECT!W2:W100,"*Ports, Waterways and Shipping*")</f>
        <v>0</v>
      </c>
      <c s="12" r="J125"/>
      <c s="12" r="K125"/>
      <c s="12" r="L125"/>
      <c s="12" r="M125"/>
      <c s="12" r="N125"/>
      <c s="12" r="O125"/>
      <c s="12" r="P125"/>
      <c s="12" r="Q125"/>
      <c s="12" r="R125"/>
      <c s="12" r="S125"/>
      <c s="12" r="T125"/>
    </row>
    <row r="126">
      <c t="s" s="12" r="B126">
        <v>1678</v>
      </c>
      <c t="s" s="12" r="C126">
        <v>1683</v>
      </c>
      <c s="12" r="D126">
        <v>0</v>
      </c>
      <c s="12" r="E126">
        <v>1</v>
      </c>
      <c t="s" s="12" r="F126">
        <v>1408</v>
      </c>
      <c s="12" r="G126">
        <f>COUNTIF(EXPERTISE!D4:D50,"*Railways*")</f>
        <v>0</v>
      </c>
      <c s="12" r="H126"/>
      <c s="12" r="I126">
        <f>COUNTIF(PROJECT!W2:W100,"*Railways*")</f>
        <v>0</v>
      </c>
      <c s="12" r="J126"/>
      <c s="12" r="K126"/>
      <c s="12" r="L126"/>
      <c s="12" r="M126"/>
      <c s="12" r="N126"/>
      <c s="12" r="O126"/>
      <c s="12" r="P126"/>
      <c s="12" r="Q126"/>
      <c s="12" r="R126"/>
      <c s="12" r="S126"/>
      <c s="12" r="T126"/>
    </row>
    <row r="127">
      <c t="s" s="12" r="B127">
        <v>1678</v>
      </c>
      <c t="s" s="12" r="C127">
        <v>1684</v>
      </c>
      <c s="12" r="D127">
        <v>0</v>
      </c>
      <c s="12" r="E127">
        <v>1</v>
      </c>
      <c t="s" s="12" r="F127">
        <v>1408</v>
      </c>
      <c s="22" r="G127">
        <f>COUNTIF(EXPERTISE!D4:D50,"*Roads and Highways*")</f>
        <v>0</v>
      </c>
      <c s="12" r="H127"/>
      <c s="22" r="I127">
        <f>COUNTIF(PROJECT!W2:W100,"*Roads and Highways*")</f>
        <v>0</v>
      </c>
      <c s="12" r="J127"/>
      <c s="12" r="K127"/>
      <c s="12" r="L127"/>
      <c s="12" r="M127"/>
      <c s="12" r="N127"/>
      <c s="12" r="O127"/>
      <c s="12" r="P127"/>
      <c s="12" r="Q127"/>
      <c s="12" r="R127"/>
      <c s="12" r="S127"/>
      <c s="12" r="T127"/>
    </row>
    <row r="128">
      <c t="s" s="12" r="B128">
        <v>1678</v>
      </c>
      <c t="s" s="22" r="C128">
        <v>1685</v>
      </c>
      <c s="12" r="D128">
        <v>0</v>
      </c>
      <c s="12" r="E128">
        <v>1</v>
      </c>
      <c t="s" s="12" r="F128">
        <v>1408</v>
      </c>
      <c s="12" r="G128">
        <f>COUNTIF(EXPERTISE!D4:D50,"*Rural and Inter-Urban Transportation Infrastructure*")</f>
        <v>0</v>
      </c>
      <c s="12" r="H128"/>
      <c s="22" r="I128">
        <f>COUNTIF(PROJECT!W2:W100,"*Rural and Inter-Urban Transportation Infrastructure*")</f>
        <v>0</v>
      </c>
      <c s="12" r="J128"/>
      <c s="12" r="K128"/>
      <c s="12" r="L128"/>
      <c s="12" r="M128"/>
      <c s="12" r="N128"/>
      <c s="12" r="O128"/>
      <c s="12" r="P128"/>
      <c s="12" r="Q128"/>
      <c s="12" r="R128"/>
      <c s="12" r="S128"/>
      <c s="12" r="T128"/>
    </row>
    <row r="129">
      <c t="s" s="12" r="B129">
        <v>1678</v>
      </c>
      <c t="s" s="12" r="C129">
        <v>1686</v>
      </c>
      <c s="12" r="D129">
        <v>0</v>
      </c>
      <c s="12" r="E129">
        <v>1</v>
      </c>
      <c t="s" s="12" r="F129">
        <v>1408</v>
      </c>
      <c s="12" r="G129">
        <f>COUNTIF(EXPERTISE!D4:D50,"*Transport and Storage*")</f>
        <v>0</v>
      </c>
      <c s="12" r="H129"/>
      <c s="12" r="I129">
        <f>COUNTIF(PROJECT!W2:W100,"*Transport and Storage*")</f>
        <v>0</v>
      </c>
      <c s="12" r="J129"/>
      <c s="12" r="K129"/>
      <c s="12" r="L129"/>
      <c s="12" r="M129"/>
      <c s="12" r="N129"/>
      <c s="12" r="O129"/>
      <c s="12" r="P129"/>
      <c s="12" r="Q129"/>
      <c s="12" r="R129"/>
      <c s="12" r="S129"/>
      <c s="12" r="T129"/>
    </row>
    <row r="130">
      <c t="s" s="12" r="B130">
        <v>1678</v>
      </c>
      <c t="s" s="22" r="C130">
        <v>1687</v>
      </c>
      <c s="12" r="D130">
        <v>0</v>
      </c>
      <c s="12" r="E130">
        <v>1</v>
      </c>
      <c t="s" s="12" r="F130">
        <v>1408</v>
      </c>
      <c s="22" r="G130">
        <f>COUNTIF(EXPERTISE!D4:D50,"*Urban Transport*")</f>
        <v>0</v>
      </c>
      <c s="12" r="H130"/>
      <c s="22" r="I130">
        <f>COUNTIF(PROJECT!W2:W100,"*Urban Transport*")</f>
        <v>0</v>
      </c>
      <c s="12" r="J130"/>
      <c s="12" r="K130"/>
      <c s="12" r="L130"/>
      <c s="12" r="M130"/>
      <c s="12" r="N130"/>
      <c s="12" r="O130"/>
      <c s="12" r="P130"/>
      <c s="12" r="Q130"/>
      <c s="12" r="R130"/>
      <c s="12" r="S130"/>
      <c s="12" r="T130"/>
    </row>
    <row r="131">
      <c t="s" s="22" r="B131">
        <v>1678</v>
      </c>
      <c t="s" s="22" r="C131">
        <v>1688</v>
      </c>
      <c s="12" r="D131">
        <v>0</v>
      </c>
      <c s="12" r="E131">
        <v>1</v>
      </c>
      <c t="s" s="12" r="F131">
        <v>1408</v>
      </c>
      <c s="22" r="G131">
        <f>COUNTIF(EXPERTISE!D4:D50,"*Public Transit Services*")</f>
        <v>0</v>
      </c>
      <c s="12" r="H131"/>
      <c s="22" r="I131">
        <f>COUNTIF(PROJECT!W2:W100,"*Public Transit Services*")</f>
        <v>0</v>
      </c>
      <c s="12" r="J131"/>
      <c s="12" r="K131"/>
      <c s="12" r="L131"/>
      <c s="12" r="M131"/>
      <c s="12" r="N131"/>
      <c s="12" r="O131"/>
      <c s="12" r="P131"/>
      <c s="12" r="Q131"/>
      <c s="12" r="R131"/>
      <c s="12" r="S131"/>
      <c s="12" r="T131"/>
    </row>
    <row r="132">
      <c t="s" s="12" r="B132">
        <v>1689</v>
      </c>
      <c t="s" s="22" r="C132">
        <v>1690</v>
      </c>
      <c s="12" r="D132">
        <v>1</v>
      </c>
      <c s="12" r="E132">
        <v>1</v>
      </c>
      <c s="12" r="F132">
        <f>COUNTIF(EXPERTISE!C4:C50,"*Water Supply, Sanitation, and Waste Management*")</f>
        <v>0</v>
      </c>
      <c s="22" r="G132">
        <f>COUNTIF(EXPERTISE!D4:D50,"*Flood Protection -general*")</f>
        <v>0</v>
      </c>
      <c s="12" r="H132">
        <f>COUNTIF(PROJECT!V2:V100,"*Water Supply, Sanitation, and Waste Management*")</f>
        <v>0</v>
      </c>
      <c s="22" r="I132">
        <f>COUNTIF(PROJECT!W2:W100,"*Flood Protection -general*")</f>
        <v>0</v>
      </c>
      <c s="12" r="J132"/>
      <c s="12" r="K132"/>
      <c s="12" r="L132"/>
      <c s="12" r="M132"/>
      <c s="12" r="N132"/>
      <c s="12" r="O132"/>
      <c s="12" r="P132"/>
      <c s="12" r="Q132"/>
      <c s="12" r="R132"/>
      <c s="12" r="S132"/>
      <c s="12" r="T132"/>
    </row>
    <row r="133">
      <c t="s" s="12" r="B133">
        <v>1689</v>
      </c>
      <c t="s" s="22" r="C133">
        <v>1691</v>
      </c>
      <c s="12" r="D133">
        <v>0</v>
      </c>
      <c s="12" r="E133">
        <v>1</v>
      </c>
      <c t="s" s="12" r="F133">
        <v>1408</v>
      </c>
      <c s="12" r="G133">
        <f>COUNTIF(EXPERTISE!D4:D50,"*Integrated Water, Sanitation and Flood Management*")</f>
        <v>0</v>
      </c>
      <c s="12" r="H133"/>
      <c s="22" r="I133">
        <f>COUNTIF(PROJECT!W2:W100,"*Integrated Water, Sanitation and Flood Management*")</f>
        <v>0</v>
      </c>
      <c s="12" r="J133"/>
      <c s="12" r="K133"/>
      <c s="12" r="L133"/>
      <c s="12" r="M133"/>
      <c s="12" r="N133"/>
      <c s="12" r="O133"/>
      <c s="12" r="P133"/>
      <c s="12" r="Q133"/>
      <c s="12" r="R133"/>
      <c s="12" r="S133"/>
      <c s="12" r="T133"/>
    </row>
    <row r="134">
      <c t="s" s="12" r="B134">
        <v>1689</v>
      </c>
      <c t="s" s="22" r="C134">
        <v>1692</v>
      </c>
      <c s="12" r="D134">
        <v>0</v>
      </c>
      <c s="12" r="E134">
        <v>1</v>
      </c>
      <c t="s" s="12" r="F134">
        <v>1408</v>
      </c>
      <c s="12" r="G134">
        <f>COUNTIF(EXPERTISE!D4:D50,"*Water Management -Integrated*")</f>
        <v>0</v>
      </c>
      <c s="12" r="H134"/>
      <c s="22" r="I134">
        <f>COUNTIF(PROJECT!W2:W100,"*Water Management -Integrated*")</f>
        <v>0</v>
      </c>
      <c s="12" r="J134"/>
      <c s="12" r="K134"/>
      <c s="12" r="L134"/>
      <c s="12" r="M134"/>
      <c s="12" r="N134"/>
      <c s="12" r="O134"/>
      <c s="12" r="P134"/>
      <c s="12" r="Q134"/>
      <c s="12" r="R134"/>
      <c s="12" r="S134"/>
      <c s="12" r="T134"/>
    </row>
    <row r="135">
      <c t="s" s="12" r="B135">
        <v>1689</v>
      </c>
      <c t="s" s="22" r="C135">
        <v>1693</v>
      </c>
      <c s="12" r="D135">
        <v>0</v>
      </c>
      <c s="12" r="E135">
        <v>1</v>
      </c>
      <c t="s" s="12" r="F135">
        <v>1408</v>
      </c>
      <c s="22" r="G135">
        <f>COUNTIF(EXPERTISE!D4:D50,"*Sanitation -general*")</f>
        <v>0</v>
      </c>
      <c s="12" r="H135"/>
      <c s="22" r="I135">
        <f>COUNTIF(PROJECT!W2:W100,"*Sanitation -general*")</f>
        <v>0</v>
      </c>
      <c s="12" r="J135"/>
      <c s="12" r="K135"/>
      <c s="12" r="L135"/>
      <c s="12" r="M135"/>
      <c s="12" r="N135"/>
      <c s="12" r="O135"/>
      <c s="12" r="P135"/>
      <c s="12" r="Q135"/>
      <c s="12" r="R135"/>
      <c s="12" r="S135"/>
      <c s="12" r="T135"/>
    </row>
    <row r="136">
      <c t="s" s="12" r="B136">
        <v>1689</v>
      </c>
      <c t="s" s="12" r="C136">
        <v>1694</v>
      </c>
      <c s="12" r="D136">
        <v>0</v>
      </c>
      <c s="12" r="E136">
        <v>1</v>
      </c>
      <c t="s" s="12" r="F136">
        <v>1408</v>
      </c>
      <c s="12" r="G136">
        <f>COUNTIF(EXPERTISE!D4:D50,"*Solid Waste Management*")</f>
        <v>0</v>
      </c>
      <c s="12" r="H136"/>
      <c s="12" r="I136">
        <f>COUNTIF(PROJECT!W2:W100,"*Solid Waste Management*")</f>
        <v>0</v>
      </c>
      <c s="12" r="J136"/>
      <c s="12" r="K136"/>
      <c s="12" r="L136"/>
      <c s="12" r="M136"/>
      <c s="12" r="N136"/>
      <c s="12" r="O136"/>
      <c s="12" r="P136"/>
      <c s="12" r="Q136"/>
      <c s="12" r="R136"/>
      <c s="12" r="S136"/>
      <c s="12" r="T136"/>
    </row>
    <row r="137">
      <c t="s" s="12" r="B137">
        <v>1689</v>
      </c>
      <c t="s" s="12" r="C137">
        <v>1695</v>
      </c>
      <c s="12" r="D137">
        <v>0</v>
      </c>
      <c s="12" r="E137">
        <v>1</v>
      </c>
      <c t="s" s="12" r="F137">
        <v>1408</v>
      </c>
      <c s="12" r="G137">
        <f>COUNTIF(EXPERTISE!D4:D50,"*Wastewater Collection and Transportation*")</f>
        <v>0</v>
      </c>
      <c s="12" r="H137"/>
      <c s="12" r="I137">
        <f>COUNTIF(PROJECT!W2:W100,"*Wastewater Collection and Transportation*")</f>
        <v>0</v>
      </c>
      <c s="12" r="J137"/>
      <c s="12" r="K137"/>
      <c s="12" r="L137"/>
      <c s="12" r="M137"/>
      <c s="12" r="N137"/>
      <c s="12" r="O137"/>
      <c s="12" r="P137"/>
      <c s="12" r="Q137"/>
      <c s="12" r="R137"/>
      <c s="12" r="S137"/>
      <c s="12" r="T137"/>
    </row>
    <row r="138">
      <c t="s" s="12" r="B138">
        <v>1689</v>
      </c>
      <c t="s" s="12" r="C138">
        <v>1696</v>
      </c>
      <c s="12" r="D138">
        <v>0</v>
      </c>
      <c s="12" r="E138">
        <v>1</v>
      </c>
      <c t="s" s="12" r="F138">
        <v>1408</v>
      </c>
      <c s="12" r="G138">
        <f>COUNTIF(EXPERTISE!D4:D50,"*Wastewater Treatment and Disposal*")</f>
        <v>0</v>
      </c>
      <c s="12" r="H138"/>
      <c s="12" r="I138">
        <f>COUNTIF(PROJECT!W2:W100,"*Wastewater Treatment and Disposal*")</f>
        <v>0</v>
      </c>
      <c s="12" r="J138"/>
      <c s="12" r="K138"/>
      <c s="12" r="L138"/>
      <c s="12" r="M138"/>
      <c s="12" r="N138"/>
      <c s="12" r="O138"/>
      <c s="12" r="P138"/>
      <c s="12" r="Q138"/>
      <c s="12" r="R138"/>
      <c s="12" r="S138"/>
      <c s="12" r="T138"/>
    </row>
    <row r="139">
      <c t="s" s="12" r="B139">
        <v>1689</v>
      </c>
      <c t="s" s="12" r="C139">
        <v>1697</v>
      </c>
      <c s="12" r="D139">
        <v>0</v>
      </c>
      <c s="12" r="E139">
        <v>1</v>
      </c>
      <c t="s" s="12" r="F139">
        <v>1408</v>
      </c>
      <c s="12" r="G139">
        <f>COUNTIF(EXPERTISE!D4:D50,"*Water Supply*")</f>
        <v>0</v>
      </c>
      <c s="12" r="H139"/>
      <c s="12" r="I139">
        <f>COUNTIF(PROJECT!W2:W100,"*Water Supply*")</f>
        <v>0</v>
      </c>
      <c s="12" r="J139"/>
      <c s="12" r="K139"/>
      <c s="12" r="L139"/>
      <c s="12" r="M139"/>
      <c s="12" r="N139"/>
      <c s="12" r="O139"/>
      <c s="12" r="P139"/>
      <c s="12" r="Q139"/>
      <c s="12" r="R139"/>
      <c s="12" r="S139"/>
      <c s="12" r="T139"/>
    </row>
    <row r="140">
      <c s="12" r="B140"/>
      <c s="12" r="C140"/>
      <c s="12" r="D140"/>
      <c s="12" r="E140"/>
      <c s="12" r="F140"/>
      <c s="12" r="G140"/>
      <c s="12" r="H140"/>
      <c s="12" r="I140"/>
      <c s="12" r="J140"/>
      <c s="12" r="K140"/>
      <c s="12" r="L140"/>
      <c s="12" r="M140"/>
      <c s="12" r="N140"/>
      <c s="12" r="O140"/>
      <c s="12" r="P140"/>
      <c s="12" r="Q140"/>
      <c s="12" r="R140"/>
      <c s="12" r="S140"/>
      <c s="12" r="T140"/>
    </row>
    <row r="141">
      <c s="12" r="B141"/>
      <c s="12" r="C141"/>
      <c s="12" r="D141"/>
      <c s="12" r="E141"/>
      <c s="12" r="F141"/>
      <c s="12" r="G141"/>
      <c s="12" r="H141"/>
      <c s="12" r="I141"/>
      <c s="12" r="J141"/>
      <c s="12" r="K141"/>
      <c s="12" r="L141"/>
      <c s="12" r="M141"/>
      <c s="12" r="N141"/>
      <c s="12" r="O141"/>
      <c s="12" r="P141"/>
      <c s="12" r="Q141"/>
      <c s="12" r="R141"/>
      <c s="12" r="S141"/>
      <c s="12" r="T141"/>
    </row>
  </sheetData>
</worksheet>
</file>