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aaron/Desktop/"/>
    </mc:Choice>
  </mc:AlternateContent>
  <xr:revisionPtr revIDLastSave="0" documentId="13_ncr:1_{DA762EBA-08E0-C846-8F81-4DAB9851986A}" xr6:coauthVersionLast="47" xr6:coauthVersionMax="47" xr10:uidLastSave="{00000000-0000-0000-0000-000000000000}"/>
  <bookViews>
    <workbookView xWindow="0" yWindow="500" windowWidth="28800" windowHeight="15740" xr2:uid="{00000000-000D-0000-FFFF-FFFF00000000}"/>
  </bookViews>
  <sheets>
    <sheet name="Questions" sheetId="1" r:id="rId1"/>
  </sheets>
  <externalReferences>
    <externalReference r:id="rId2"/>
  </externalReferences>
  <definedNames>
    <definedName name="Penetration">OFFSET([1]S_Curve!$B$11,0,0,COUNTA([1]S_Curve!$B$11:$B$110),1)</definedName>
    <definedName name="Saturation">OFFSET([1]S_Curve!$C$11,0,0,COUNTA([1]S_Curve!$C$11:$C$110),1)</definedName>
    <definedName name="Year">OFFSET([1]S_Curve!$A$11,0,0,COUNTA([1]S_Curve!$A$11:$A$110),1)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3" i="1" l="1"/>
  <c r="Q108" i="1"/>
  <c r="P14" i="1"/>
  <c r="P13" i="1"/>
  <c r="P12" i="1"/>
  <c r="P10" i="1"/>
  <c r="R27" i="1" s="1"/>
  <c r="P9" i="1"/>
  <c r="P8" i="1"/>
  <c r="S7" i="1"/>
  <c r="T7" i="1"/>
  <c r="U7" i="1"/>
  <c r="V7" i="1"/>
  <c r="R7" i="1"/>
  <c r="R17" i="1" s="1"/>
  <c r="S17" i="1" s="1"/>
  <c r="G27" i="1"/>
  <c r="G25" i="1"/>
  <c r="G48" i="1"/>
  <c r="Q103" i="1"/>
  <c r="Q104" i="1"/>
  <c r="G26" i="1" s="1"/>
  <c r="Q85" i="1"/>
  <c r="G35" i="1" s="1"/>
  <c r="Q79" i="1"/>
  <c r="G34" i="1" s="1"/>
  <c r="Q74" i="1"/>
  <c r="Q75" i="1" s="1"/>
  <c r="R72" i="1"/>
  <c r="S72" i="1" s="1"/>
  <c r="T72" i="1" s="1"/>
  <c r="U72" i="1" s="1"/>
  <c r="V72" i="1" s="1"/>
  <c r="R70" i="1"/>
  <c r="S70" i="1" s="1"/>
  <c r="T70" i="1" s="1"/>
  <c r="U70" i="1" s="1"/>
  <c r="V70" i="1" s="1"/>
  <c r="R69" i="1"/>
  <c r="P65" i="1"/>
  <c r="P66" i="1"/>
  <c r="P58" i="1"/>
  <c r="P59" i="1"/>
  <c r="P60" i="1"/>
  <c r="P61" i="1"/>
  <c r="P57" i="1"/>
  <c r="P48" i="1"/>
  <c r="P49" i="1"/>
  <c r="P50" i="1"/>
  <c r="P51" i="1"/>
  <c r="P52" i="1"/>
  <c r="P53" i="1"/>
  <c r="P54" i="1"/>
  <c r="P47" i="1"/>
  <c r="P42" i="1"/>
  <c r="P40" i="1"/>
  <c r="P41" i="1"/>
  <c r="P43" i="1"/>
  <c r="P44" i="1"/>
  <c r="P45" i="1"/>
  <c r="P39" i="1"/>
  <c r="S33" i="1"/>
  <c r="T33" i="1"/>
  <c r="U33" i="1"/>
  <c r="V33" i="1"/>
  <c r="R33" i="1"/>
  <c r="V32" i="1"/>
  <c r="S32" i="1"/>
  <c r="T32" i="1"/>
  <c r="U32" i="1"/>
  <c r="R32" i="1"/>
  <c r="P26" i="1"/>
  <c r="P23" i="1"/>
  <c r="P22" i="1"/>
  <c r="P20" i="1"/>
  <c r="P18" i="1"/>
  <c r="G30" i="1" l="1"/>
  <c r="P11" i="1" s="1"/>
  <c r="G29" i="1"/>
  <c r="R61" i="1"/>
  <c r="R63" i="1"/>
  <c r="S63" i="1"/>
  <c r="S61" i="1"/>
  <c r="R66" i="1"/>
  <c r="R65" i="1"/>
  <c r="R60" i="1"/>
  <c r="V34" i="1"/>
  <c r="R59" i="1"/>
  <c r="S34" i="1"/>
  <c r="R23" i="1"/>
  <c r="R58" i="1"/>
  <c r="R47" i="1"/>
  <c r="R34" i="1"/>
  <c r="R26" i="1"/>
  <c r="R28" i="1" s="1"/>
  <c r="T34" i="1"/>
  <c r="R42" i="1"/>
  <c r="T17" i="1"/>
  <c r="T40" i="1" s="1"/>
  <c r="S66" i="1"/>
  <c r="S39" i="1"/>
  <c r="S50" i="1"/>
  <c r="S45" i="1"/>
  <c r="S58" i="1"/>
  <c r="S65" i="1"/>
  <c r="S23" i="1"/>
  <c r="S18" i="1"/>
  <c r="S19" i="1" s="1"/>
  <c r="U34" i="1"/>
  <c r="S69" i="1"/>
  <c r="T69" i="1" s="1"/>
  <c r="U69" i="1" s="1"/>
  <c r="V69" i="1" s="1"/>
  <c r="S54" i="1"/>
  <c r="R20" i="1"/>
  <c r="S44" i="1"/>
  <c r="S41" i="1"/>
  <c r="S52" i="1"/>
  <c r="S47" i="1"/>
  <c r="S60" i="1"/>
  <c r="R44" i="1"/>
  <c r="R49" i="1"/>
  <c r="S57" i="1"/>
  <c r="R43" i="1"/>
  <c r="R54" i="1"/>
  <c r="R50" i="1"/>
  <c r="R39" i="1"/>
  <c r="S49" i="1"/>
  <c r="R57" i="1"/>
  <c r="S20" i="1"/>
  <c r="S40" i="1"/>
  <c r="S43" i="1"/>
  <c r="S51" i="1"/>
  <c r="S59" i="1"/>
  <c r="R40" i="1"/>
  <c r="S48" i="1"/>
  <c r="R52" i="1"/>
  <c r="R18" i="1"/>
  <c r="R19" i="1" s="1"/>
  <c r="S22" i="1"/>
  <c r="R41" i="1"/>
  <c r="S53" i="1"/>
  <c r="S42" i="1"/>
  <c r="R51" i="1"/>
  <c r="S26" i="1"/>
  <c r="R48" i="1"/>
  <c r="R22" i="1"/>
  <c r="R45" i="1"/>
  <c r="R53" i="1"/>
  <c r="T63" i="1" l="1"/>
  <c r="R24" i="1"/>
  <c r="R80" i="1" s="1"/>
  <c r="R92" i="1"/>
  <c r="H38" i="1" s="1"/>
  <c r="T57" i="1"/>
  <c r="T43" i="1"/>
  <c r="R62" i="1"/>
  <c r="T18" i="1"/>
  <c r="T19" i="1" s="1"/>
  <c r="T59" i="1"/>
  <c r="S79" i="1"/>
  <c r="T61" i="1"/>
  <c r="R79" i="1"/>
  <c r="T26" i="1"/>
  <c r="T53" i="1"/>
  <c r="T48" i="1"/>
  <c r="T44" i="1"/>
  <c r="T49" i="1"/>
  <c r="S21" i="1"/>
  <c r="T45" i="1"/>
  <c r="T65" i="1"/>
  <c r="T20" i="1"/>
  <c r="T41" i="1"/>
  <c r="S24" i="1"/>
  <c r="T22" i="1"/>
  <c r="T60" i="1"/>
  <c r="T51" i="1"/>
  <c r="R21" i="1"/>
  <c r="R25" i="1" s="1"/>
  <c r="S62" i="1"/>
  <c r="T52" i="1"/>
  <c r="S46" i="1"/>
  <c r="S85" i="1" s="1"/>
  <c r="I35" i="1" s="1"/>
  <c r="U17" i="1"/>
  <c r="U63" i="1" s="1"/>
  <c r="T47" i="1"/>
  <c r="T66" i="1"/>
  <c r="T50" i="1"/>
  <c r="T39" i="1"/>
  <c r="T23" i="1"/>
  <c r="R55" i="1"/>
  <c r="T42" i="1"/>
  <c r="T54" i="1"/>
  <c r="R46" i="1"/>
  <c r="S55" i="1"/>
  <c r="T58" i="1"/>
  <c r="R85" i="1" l="1"/>
  <c r="T21" i="1"/>
  <c r="S80" i="1"/>
  <c r="S92" i="1"/>
  <c r="I38" i="1" s="1"/>
  <c r="H34" i="1"/>
  <c r="R81" i="1"/>
  <c r="R93" i="1" s="1"/>
  <c r="H39" i="1" s="1"/>
  <c r="R29" i="1"/>
  <c r="R30" i="1" s="1"/>
  <c r="R31" i="1" s="1"/>
  <c r="R35" i="1" s="1"/>
  <c r="R71" i="1" s="1"/>
  <c r="R73" i="1" s="1"/>
  <c r="R90" i="1"/>
  <c r="T62" i="1"/>
  <c r="S25" i="1"/>
  <c r="S90" i="1" s="1"/>
  <c r="S86" i="1"/>
  <c r="S94" i="1" s="1"/>
  <c r="I40" i="1" s="1"/>
  <c r="H35" i="1"/>
  <c r="R86" i="1"/>
  <c r="R94" i="1" s="1"/>
  <c r="H40" i="1" s="1"/>
  <c r="I34" i="1"/>
  <c r="S81" i="1"/>
  <c r="S93" i="1" s="1"/>
  <c r="I39" i="1" s="1"/>
  <c r="T55" i="1"/>
  <c r="T79" i="1"/>
  <c r="T24" i="1"/>
  <c r="T25" i="1"/>
  <c r="T90" i="1" s="1"/>
  <c r="T46" i="1"/>
  <c r="S56" i="1"/>
  <c r="R56" i="1"/>
  <c r="V17" i="1"/>
  <c r="V63" i="1" s="1"/>
  <c r="U65" i="1"/>
  <c r="U47" i="1"/>
  <c r="U39" i="1"/>
  <c r="U49" i="1"/>
  <c r="U44" i="1"/>
  <c r="U26" i="1"/>
  <c r="U57" i="1"/>
  <c r="U41" i="1"/>
  <c r="U61" i="1"/>
  <c r="U40" i="1"/>
  <c r="U22" i="1"/>
  <c r="U58" i="1"/>
  <c r="U23" i="1"/>
  <c r="U53" i="1"/>
  <c r="U66" i="1"/>
  <c r="U60" i="1"/>
  <c r="U45" i="1"/>
  <c r="U50" i="1"/>
  <c r="U59" i="1"/>
  <c r="U43" i="1"/>
  <c r="U18" i="1"/>
  <c r="U19" i="1" s="1"/>
  <c r="U48" i="1"/>
  <c r="U51" i="1"/>
  <c r="U52" i="1"/>
  <c r="U20" i="1"/>
  <c r="U54" i="1"/>
  <c r="U42" i="1"/>
  <c r="T56" i="1" l="1"/>
  <c r="I36" i="1"/>
  <c r="S91" i="1"/>
  <c r="I37" i="1" s="1"/>
  <c r="J36" i="1"/>
  <c r="T91" i="1"/>
  <c r="J37" i="1" s="1"/>
  <c r="T85" i="1"/>
  <c r="U79" i="1"/>
  <c r="T80" i="1"/>
  <c r="T81" i="1" s="1"/>
  <c r="T93" i="1" s="1"/>
  <c r="J39" i="1" s="1"/>
  <c r="T92" i="1"/>
  <c r="J38" i="1" s="1"/>
  <c r="R91" i="1"/>
  <c r="H37" i="1" s="1"/>
  <c r="H36" i="1"/>
  <c r="R95" i="1"/>
  <c r="J34" i="1"/>
  <c r="S95" i="1"/>
  <c r="U24" i="1"/>
  <c r="U55" i="1"/>
  <c r="U21" i="1"/>
  <c r="U46" i="1"/>
  <c r="V48" i="1"/>
  <c r="V60" i="1"/>
  <c r="V65" i="1"/>
  <c r="V52" i="1"/>
  <c r="V54" i="1"/>
  <c r="V57" i="1"/>
  <c r="V43" i="1"/>
  <c r="V39" i="1"/>
  <c r="V20" i="1"/>
  <c r="V49" i="1"/>
  <c r="V45" i="1"/>
  <c r="V26" i="1"/>
  <c r="V50" i="1"/>
  <c r="V51" i="1"/>
  <c r="V18" i="1"/>
  <c r="V53" i="1"/>
  <c r="V22" i="1"/>
  <c r="V61" i="1"/>
  <c r="V19" i="1"/>
  <c r="V21" i="1" s="1"/>
  <c r="V44" i="1"/>
  <c r="V41" i="1"/>
  <c r="V23" i="1"/>
  <c r="V58" i="1"/>
  <c r="V40" i="1"/>
  <c r="V59" i="1"/>
  <c r="V66" i="1"/>
  <c r="V42" i="1"/>
  <c r="V47" i="1"/>
  <c r="U62" i="1"/>
  <c r="R64" i="1"/>
  <c r="V24" i="1" l="1"/>
  <c r="V25" i="1" s="1"/>
  <c r="V90" i="1" s="1"/>
  <c r="S98" i="1"/>
  <c r="I41" i="1"/>
  <c r="I46" i="1" s="1"/>
  <c r="R98" i="1"/>
  <c r="H41" i="1"/>
  <c r="H46" i="1" s="1"/>
  <c r="U80" i="1"/>
  <c r="U81" i="1" s="1"/>
  <c r="U93" i="1" s="1"/>
  <c r="K39" i="1" s="1"/>
  <c r="U92" i="1"/>
  <c r="K38" i="1" s="1"/>
  <c r="K34" i="1"/>
  <c r="T86" i="1"/>
  <c r="T94" i="1" s="1"/>
  <c r="J35" i="1"/>
  <c r="V80" i="1"/>
  <c r="V92" i="1"/>
  <c r="L38" i="1" s="1"/>
  <c r="U56" i="1"/>
  <c r="U85" i="1"/>
  <c r="U25" i="1"/>
  <c r="U90" i="1" s="1"/>
  <c r="V79" i="1"/>
  <c r="V55" i="1"/>
  <c r="V46" i="1"/>
  <c r="R67" i="1"/>
  <c r="R68" i="1" s="1"/>
  <c r="R74" i="1" s="1"/>
  <c r="R75" i="1" s="1"/>
  <c r="S27" i="1"/>
  <c r="S28" i="1" s="1"/>
  <c r="S29" i="1" s="1"/>
  <c r="S30" i="1" s="1"/>
  <c r="S31" i="1" s="1"/>
  <c r="S35" i="1" s="1"/>
  <c r="S71" i="1" s="1"/>
  <c r="S73" i="1" s="1"/>
  <c r="S64" i="1" s="1"/>
  <c r="V62" i="1"/>
  <c r="V91" i="1" l="1"/>
  <c r="L37" i="1" s="1"/>
  <c r="L36" i="1"/>
  <c r="T95" i="1"/>
  <c r="J40" i="1"/>
  <c r="K36" i="1"/>
  <c r="U91" i="1"/>
  <c r="K37" i="1" s="1"/>
  <c r="U86" i="1"/>
  <c r="U94" i="1" s="1"/>
  <c r="K35" i="1"/>
  <c r="V56" i="1"/>
  <c r="V85" i="1"/>
  <c r="V81" i="1"/>
  <c r="V93" i="1" s="1"/>
  <c r="L34" i="1"/>
  <c r="T27" i="1"/>
  <c r="T28" i="1" s="1"/>
  <c r="T29" i="1" s="1"/>
  <c r="T30" i="1" s="1"/>
  <c r="T31" i="1" s="1"/>
  <c r="T35" i="1" s="1"/>
  <c r="T71" i="1" s="1"/>
  <c r="T73" i="1" s="1"/>
  <c r="T64" i="1" s="1"/>
  <c r="S67" i="1"/>
  <c r="S68" i="1" s="1"/>
  <c r="S74" i="1" s="1"/>
  <c r="S75" i="1" s="1"/>
  <c r="U95" i="1" l="1"/>
  <c r="K40" i="1"/>
  <c r="T98" i="1"/>
  <c r="J41" i="1"/>
  <c r="J46" i="1" s="1"/>
  <c r="L35" i="1"/>
  <c r="V86" i="1"/>
  <c r="V94" i="1" s="1"/>
  <c r="L40" i="1" s="1"/>
  <c r="L39" i="1"/>
  <c r="U27" i="1"/>
  <c r="U28" i="1" s="1"/>
  <c r="U29" i="1" s="1"/>
  <c r="U30" i="1" s="1"/>
  <c r="U31" i="1" s="1"/>
  <c r="U35" i="1" s="1"/>
  <c r="U71" i="1" s="1"/>
  <c r="U73" i="1" s="1"/>
  <c r="U64" i="1" s="1"/>
  <c r="T67" i="1"/>
  <c r="T68" i="1" s="1"/>
  <c r="T74" i="1" s="1"/>
  <c r="T75" i="1" s="1"/>
  <c r="V95" i="1" l="1"/>
  <c r="L41" i="1" s="1"/>
  <c r="U98" i="1"/>
  <c r="K41" i="1"/>
  <c r="K46" i="1" s="1"/>
  <c r="V98" i="1"/>
  <c r="V100" i="1"/>
  <c r="Q101" i="1" s="1"/>
  <c r="V27" i="1"/>
  <c r="V28" i="1" s="1"/>
  <c r="V29" i="1" s="1"/>
  <c r="V30" i="1" s="1"/>
  <c r="V31" i="1" s="1"/>
  <c r="V35" i="1" s="1"/>
  <c r="V71" i="1" s="1"/>
  <c r="V73" i="1" s="1"/>
  <c r="V64" i="1" s="1"/>
  <c r="V67" i="1" s="1"/>
  <c r="V68" i="1" s="1"/>
  <c r="V74" i="1" s="1"/>
  <c r="V75" i="1" s="1"/>
  <c r="U67" i="1"/>
  <c r="U68" i="1" s="1"/>
  <c r="U74" i="1" s="1"/>
  <c r="U75" i="1" s="1"/>
  <c r="Q99" i="1" l="1"/>
  <c r="Q102" i="1" s="1"/>
  <c r="L44" i="1"/>
  <c r="G45" i="1" s="1"/>
  <c r="L46" i="1"/>
  <c r="G47" i="1" l="1"/>
  <c r="G49" i="1" s="1"/>
  <c r="G50" i="1" s="1"/>
  <c r="Q105" i="1"/>
  <c r="Q106" i="1" s="1"/>
  <c r="Q107" i="1" s="1"/>
  <c r="G28" i="1" l="1"/>
  <c r="D70" i="1"/>
  <c r="G51" i="1"/>
</calcChain>
</file>

<file path=xl/sharedStrings.xml><?xml version="1.0" encoding="utf-8"?>
<sst xmlns="http://schemas.openxmlformats.org/spreadsheetml/2006/main" count="168" uniqueCount="135">
  <si>
    <t>Past</t>
  </si>
  <si>
    <t>Forecast</t>
  </si>
  <si>
    <t>Year index</t>
  </si>
  <si>
    <t>WACC after tax</t>
  </si>
  <si>
    <t>Company name:</t>
  </si>
  <si>
    <t>Dividend payout ratio</t>
  </si>
  <si>
    <t xml:space="preserve">Revenue growth rate </t>
  </si>
  <si>
    <t>Free cash flow to the firm (FCFF)</t>
  </si>
  <si>
    <t>PV of the terminal value</t>
  </si>
  <si>
    <t>Equity value (DCF model estimated value. Calculate using above data)</t>
  </si>
  <si>
    <t>Year</t>
  </si>
  <si>
    <t>Less: Income tax on EBIT</t>
  </si>
  <si>
    <t xml:space="preserve">Less: Change in NOWC </t>
  </si>
  <si>
    <t>Cost of equity (calculate based on CAPM)</t>
  </si>
  <si>
    <t>Equity book value (retrieve from balance sheet)</t>
  </si>
  <si>
    <t>Less: Capital expenditures</t>
  </si>
  <si>
    <t>Equity beta (retrieve from Morningstar DatAnalysis Premium)</t>
  </si>
  <si>
    <t>Market risk premium (retrieve from reputable online source such as Fernandez, Pablo et al (March 10, 2024), Available at SSRN: https://papers.ssrn.com/sol3/papers.cfm?abstract_id=4754347</t>
  </si>
  <si>
    <t>Assumptions</t>
  </si>
  <si>
    <t>Long-term growth rate</t>
  </si>
  <si>
    <t>Net operating working capital (calculated from the balance sheet)</t>
  </si>
  <si>
    <t>EBIT (from the income statement)</t>
  </si>
  <si>
    <t>Add: Depreciation &amp; amortisation expense (from the income statement)</t>
  </si>
  <si>
    <t>Current traded share price (retrieve from Morningstar Datanalysis Premium)</t>
  </si>
  <si>
    <t>Units of all cash flows (for example, if in millions, then type 1,000,000)</t>
  </si>
  <si>
    <t>Cost of debt (retrieve from the RBA)</t>
  </si>
  <si>
    <t>Debt (retrieve the book value from the balance sheet)</t>
  </si>
  <si>
    <t>Equity market value (equity market capitalisation)</t>
  </si>
  <si>
    <t>Debt-to-value (D/V) ratio final estimate. This debt-to-assets ratio will be used as input into WACC after tax. Calculate using the above debt book value and equity market value.</t>
  </si>
  <si>
    <t>Corporate tax rate</t>
  </si>
  <si>
    <t>WACC after tax (calculate using corporate tax rate, cost of debt, cost of equity, debt-to-value ratio)</t>
  </si>
  <si>
    <t>Cash (retrieve from the balance sheet)</t>
  </si>
  <si>
    <t>NPV in dollars of buying one share (calculate based on above data)</t>
  </si>
  <si>
    <t>DCF valuation</t>
  </si>
  <si>
    <t>Weighted average cost of capital (WACC) after tax</t>
  </si>
  <si>
    <t>Estimated DCF share price in dollars per one share (DCF model estimated share price. Calculate based on above data)</t>
  </si>
  <si>
    <t>Risk-free rate (retrieve the 10-year government bond yield from Morningstar Datanalysis Premium, Bloomberg or Reuters website)</t>
  </si>
  <si>
    <t>Terminal value as at year 5 based on perpetuity of year 5 FCFF growing at long-term growth rate forever.</t>
  </si>
  <si>
    <t>Enterprise value (DCF model estimated value. Calculate using above data)</t>
  </si>
  <si>
    <t>Shares outstanding (retrieve from Morningstar Datanalysis Premium. Ensure consistent units with cash flows. For example, if the shares outstanding is 700 million, but your cash flows are all in millions, then your number of shares here should be 700.)</t>
  </si>
  <si>
    <t>Long-term assets (calculated from the balance sheet)</t>
  </si>
  <si>
    <t>Telstra Group Limited</t>
  </si>
  <si>
    <t>Revenue growth rate</t>
  </si>
  <si>
    <t>Tax rate</t>
  </si>
  <si>
    <t>Cost of debt</t>
  </si>
  <si>
    <t>WACC</t>
  </si>
  <si>
    <t>Current share price</t>
  </si>
  <si>
    <t>Shares Outstanding (millions)</t>
  </si>
  <si>
    <t>Year Index</t>
  </si>
  <si>
    <t xml:space="preserve">Year </t>
  </si>
  <si>
    <t>Income Statement ($Millions)</t>
  </si>
  <si>
    <t>%Revenue</t>
  </si>
  <si>
    <t>Operating Revenue</t>
  </si>
  <si>
    <t>Other Revenue</t>
  </si>
  <si>
    <t>Total Revenue Excluding Interest</t>
  </si>
  <si>
    <t>Operating Expenses</t>
  </si>
  <si>
    <t>EBITDA</t>
  </si>
  <si>
    <t>Depreciation</t>
  </si>
  <si>
    <t>Amortisation</t>
  </si>
  <si>
    <t>Depreciation and Amortisation</t>
  </si>
  <si>
    <t>EBIT</t>
  </si>
  <si>
    <t>Interest Revenue</t>
  </si>
  <si>
    <t>Interest Expense</t>
  </si>
  <si>
    <t>Net Interest Expense</t>
  </si>
  <si>
    <t>PreTax Profit</t>
  </si>
  <si>
    <t>Tax Expense</t>
  </si>
  <si>
    <t>Net Profit after Tax Before Abnormals</t>
  </si>
  <si>
    <t>Abnormals</t>
  </si>
  <si>
    <t>Abnormals Tax</t>
  </si>
  <si>
    <t>Net Abnormals</t>
  </si>
  <si>
    <t>Reported NPAT After Abnormals</t>
  </si>
  <si>
    <t>NM</t>
  </si>
  <si>
    <t>Balance Sheet ($Millions)</t>
  </si>
  <si>
    <t>Cash</t>
  </si>
  <si>
    <t>Receivables</t>
  </si>
  <si>
    <t>Prepaid Expenses</t>
  </si>
  <si>
    <t>Inventories</t>
  </si>
  <si>
    <t>Investments</t>
  </si>
  <si>
    <t>NCA Held Sale</t>
  </si>
  <si>
    <t>Other</t>
  </si>
  <si>
    <t>Total Current Assets</t>
  </si>
  <si>
    <t>PP&amp;E</t>
  </si>
  <si>
    <t>Intangibles(ExGW)</t>
  </si>
  <si>
    <t>Goodwill</t>
  </si>
  <si>
    <t>Future Tax Benefit</t>
  </si>
  <si>
    <t>Total Non-Current Assets</t>
  </si>
  <si>
    <t>Total Assets</t>
  </si>
  <si>
    <t>Short-Term Debt</t>
  </si>
  <si>
    <t>Provisions</t>
  </si>
  <si>
    <t>NCL Held Sale</t>
  </si>
  <si>
    <t>Total Current Liabilities</t>
  </si>
  <si>
    <t>Account Payable</t>
  </si>
  <si>
    <t>Long-Term Debt</t>
  </si>
  <si>
    <t>Total Non-Current Liabilities</t>
  </si>
  <si>
    <t>Total Liabilities</t>
  </si>
  <si>
    <t>Share Capital</t>
  </si>
  <si>
    <t>Reserves</t>
  </si>
  <si>
    <t>Retained Earnings</t>
  </si>
  <si>
    <t>Outside Equity</t>
  </si>
  <si>
    <t>Total Equity</t>
  </si>
  <si>
    <t>Total Liabilities and Equity</t>
  </si>
  <si>
    <t>Total Assets - Total Liabilities and Equity</t>
  </si>
  <si>
    <t>Capital expenditures ($ millions)</t>
  </si>
  <si>
    <t>Long term assets: PPE+Intangibles+Goodwill</t>
  </si>
  <si>
    <t>Depreciation &amp; amortisation</t>
  </si>
  <si>
    <t>Capital expenditures (CapEx)</t>
  </si>
  <si>
    <t>Change in NOWC ($ millions)</t>
  </si>
  <si>
    <t>NOWC: (CA - Cash) - (CL - Short-term Debt)</t>
  </si>
  <si>
    <t>Change in NOWC</t>
  </si>
  <si>
    <t>Free Cash Flow Forecast ($ millions)</t>
  </si>
  <si>
    <t>Less income tax 30% of EBIT</t>
  </si>
  <si>
    <t>Plus depreciation &amp; amortisation</t>
  </si>
  <si>
    <t>Less capital expenditures</t>
  </si>
  <si>
    <t>Less changes in NOWC</t>
  </si>
  <si>
    <t>Free cash flow to the firm</t>
  </si>
  <si>
    <t>n/a</t>
  </si>
  <si>
    <t>Valuation</t>
  </si>
  <si>
    <t>PV each FCFF from year 1-5</t>
  </si>
  <si>
    <t>Total PV of FCFF from year 1-5</t>
  </si>
  <si>
    <t>Terminal value</t>
  </si>
  <si>
    <t>PV of terminal value</t>
  </si>
  <si>
    <t>Enterprise value</t>
  </si>
  <si>
    <t>Cash (Cash in 2024)</t>
  </si>
  <si>
    <t>Debt (Short-term + Long-term debt in 2024)</t>
  </si>
  <si>
    <t>Equity value</t>
  </si>
  <si>
    <t>Estimated share price</t>
  </si>
  <si>
    <t>NPV of buying 1 share</t>
  </si>
  <si>
    <t>IRR</t>
  </si>
  <si>
    <t>Hard-coded WACC after taxfor future calculations (no formula).</t>
  </si>
  <si>
    <t>Finding the WACC after tax that makes the NPV zero</t>
  </si>
  <si>
    <t>(Finding the IRR)</t>
  </si>
  <si>
    <t>Long-term growth rate that makes the NPV zero</t>
  </si>
  <si>
    <t xml:space="preserve"> </t>
  </si>
  <si>
    <t xml:space="preserve">2-dimensional sensitity analysis of estimated DCF share price (based on previously calculated DCF model) </t>
  </si>
  <si>
    <r>
      <t>PV of FCFF for each year 1 to 5. Calculate using above data, ensure WACC after tax</t>
    </r>
    <r>
      <rPr>
        <b/>
        <sz val="11"/>
        <color theme="1"/>
        <rFont val="Calibri"/>
        <family val="2"/>
        <scheme val="minor"/>
      </rPr>
      <t xml:space="preserve"> </t>
    </r>
    <r>
      <rPr>
        <sz val="11"/>
        <color theme="1"/>
        <rFont val="Calibri"/>
        <family val="2"/>
        <scheme val="minor"/>
      </rPr>
      <t>is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</si>
</sst>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quot;$&quot;* #,##0.00_-;\-&quot;$&quot;* #,##0.00_-;_-&quot;$&quot;* &quot;-&quot;??_-;_-@_-"/>
    <numFmt numFmtId="165" formatCode="_-* #,##0.00_-;\-* #,##0.00_-;_-* &quot;-&quot;??_-;_-@_-"/>
    <numFmt numFmtId="166" formatCode="0.0%"/>
    <numFmt numFmtId="167" formatCode="#,##0.000"/>
    <numFmt numFmtId="168" formatCode="0.0000%"/>
    <numFmt numFmtId="169" formatCode="#,##0.0"/>
    <numFmt numFmtId="170" formatCode="0.00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sz val="12"/>
      <color indexed="8"/>
      <name val="Verdana"/>
      <family val="2"/>
    </font>
    <font>
      <sz val="12"/>
      <color theme="1"/>
      <name val="Calibri"/>
      <family val="2"/>
      <charset val="134"/>
      <scheme val="minor"/>
    </font>
    <font>
      <sz val="8"/>
      <name val="Calibri"/>
      <family val="2"/>
      <scheme val="minor"/>
    </font>
    <font>
      <b/>
      <sz val="11"/>
      <color indexed="8"/>
      <name val="Calibri"/>
      <family val="2"/>
    </font>
    <font>
      <b/>
      <sz val="12"/>
      <color theme="1"/>
      <name val="Calibri (Body)"/>
    </font>
    <font>
      <b/>
      <sz val="11"/>
      <color theme="1"/>
      <name val="Calibri (Body)"/>
    </font>
    <font>
      <sz val="11"/>
      <name val="Calibri"/>
      <family val="2"/>
      <scheme val="minor"/>
    </font>
    <font>
      <b/>
      <sz val="11"/>
      <name val="Calibri"/>
      <family val="2"/>
      <scheme val="minor"/>
    </font>
    <font>
      <sz val="11"/>
      <color theme="2" tint="-0.249977111117893"/>
      <name val="Calibri"/>
      <family val="2"/>
      <scheme val="minor"/>
    </font>
    <font>
      <b/>
      <sz val="12"/>
      <color theme="1"/>
      <name val="Calibri"/>
      <family val="2"/>
      <scheme val="minor"/>
    </font>
    <font>
      <sz val="11"/>
      <color indexed="8"/>
      <name val="Calibri"/>
      <family val="2"/>
      <scheme val="minor"/>
    </font>
    <font>
      <sz val="11"/>
      <color indexed="8"/>
      <name val="Calibri"/>
      <family val="2"/>
    </font>
    <font>
      <sz val="11"/>
      <color theme="1"/>
      <name val="Calibri (Body)"/>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2">
    <xf numFmtId="0" fontId="0" fillId="0" borderId="0"/>
    <xf numFmtId="165" fontId="2" fillId="0" borderId="0" applyFont="0" applyFill="0" applyBorder="0" applyAlignment="0" applyProtection="0"/>
    <xf numFmtId="0" fontId="3" fillId="0" borderId="0"/>
    <xf numFmtId="0" fontId="4" fillId="0" borderId="0" applyNumberFormat="0" applyFill="0" applyBorder="0" applyAlignment="0" applyProtection="0"/>
    <xf numFmtId="0" fontId="5" fillId="0" borderId="0" applyNumberFormat="0" applyFill="0" applyBorder="0" applyProtection="0">
      <alignment vertical="top" wrapText="1"/>
    </xf>
    <xf numFmtId="0" fontId="6" fillId="0" borderId="0"/>
    <xf numFmtId="43" fontId="6" fillId="0" borderId="0" applyFont="0" applyFill="0" applyBorder="0" applyAlignment="0" applyProtection="0"/>
    <xf numFmtId="9" fontId="6"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2" fillId="0" borderId="0" applyFont="0" applyFill="0" applyBorder="0" applyAlignment="0" applyProtection="0"/>
  </cellStyleXfs>
  <cellXfs count="110">
    <xf numFmtId="0" fontId="0" fillId="0" borderId="0" xfId="0"/>
    <xf numFmtId="15" fontId="0" fillId="0" borderId="0" xfId="0" applyNumberFormat="1"/>
    <xf numFmtId="0" fontId="1" fillId="0" borderId="0" xfId="0" applyFont="1"/>
    <xf numFmtId="0" fontId="0" fillId="0" borderId="0" xfId="0" applyAlignment="1">
      <alignment horizontal="center"/>
    </xf>
    <xf numFmtId="3" fontId="0" fillId="0" borderId="0" xfId="0" applyNumberFormat="1"/>
    <xf numFmtId="0" fontId="0" fillId="0" borderId="0" xfId="0" applyAlignment="1">
      <alignment horizontal="right"/>
    </xf>
    <xf numFmtId="3" fontId="0" fillId="2" borderId="0" xfId="1" applyNumberFormat="1" applyFont="1" applyFill="1" applyAlignment="1">
      <alignment horizontal="right" vertical="center"/>
    </xf>
    <xf numFmtId="0" fontId="0" fillId="0" borderId="0" xfId="0" quotePrefix="1"/>
    <xf numFmtId="2" fontId="0" fillId="2" borderId="0" xfId="0" applyNumberFormat="1" applyFill="1"/>
    <xf numFmtId="2" fontId="0" fillId="2" borderId="1" xfId="0" applyNumberFormat="1" applyFill="1" applyBorder="1"/>
    <xf numFmtId="2" fontId="0" fillId="2" borderId="2" xfId="0" applyNumberFormat="1" applyFill="1" applyBorder="1"/>
    <xf numFmtId="2" fontId="0" fillId="2" borderId="3" xfId="0" applyNumberFormat="1" applyFill="1" applyBorder="1"/>
    <xf numFmtId="2" fontId="0" fillId="2" borderId="4" xfId="0" applyNumberFormat="1" applyFill="1" applyBorder="1"/>
    <xf numFmtId="2" fontId="0" fillId="2" borderId="5" xfId="0" applyNumberFormat="1" applyFill="1" applyBorder="1"/>
    <xf numFmtId="2" fontId="0" fillId="2" borderId="6" xfId="0" applyNumberFormat="1" applyFill="1" applyBorder="1"/>
    <xf numFmtId="2" fontId="0" fillId="2" borderId="7" xfId="0" applyNumberFormat="1" applyFill="1" applyBorder="1"/>
    <xf numFmtId="2" fontId="0" fillId="2" borderId="8" xfId="0" applyNumberFormat="1" applyFill="1" applyBorder="1"/>
    <xf numFmtId="2" fontId="0" fillId="2" borderId="0" xfId="1" applyNumberFormat="1" applyFont="1" applyFill="1"/>
    <xf numFmtId="3" fontId="0" fillId="0" borderId="0" xfId="1" applyNumberFormat="1" applyFont="1" applyFill="1" applyAlignment="1">
      <alignment horizontal="right" vertical="center"/>
    </xf>
    <xf numFmtId="4" fontId="0" fillId="0" borderId="0" xfId="0" applyNumberFormat="1"/>
    <xf numFmtId="10" fontId="0" fillId="0" borderId="0" xfId="21" applyNumberFormat="1" applyFont="1"/>
    <xf numFmtId="4" fontId="1" fillId="0" borderId="0" xfId="0" applyNumberFormat="1" applyFont="1"/>
    <xf numFmtId="10" fontId="1" fillId="0" borderId="0" xfId="21" applyNumberFormat="1" applyFont="1"/>
    <xf numFmtId="40" fontId="0" fillId="0" borderId="0" xfId="0" applyNumberFormat="1"/>
    <xf numFmtId="168" fontId="0" fillId="0" borderId="0" xfId="21" applyNumberFormat="1" applyFont="1"/>
    <xf numFmtId="0" fontId="8" fillId="0" borderId="0" xfId="0" applyFont="1" applyAlignment="1">
      <alignment horizontal="center"/>
    </xf>
    <xf numFmtId="0" fontId="9" fillId="0" borderId="0" xfId="0" applyFont="1"/>
    <xf numFmtId="2" fontId="1" fillId="2" borderId="0" xfId="0" applyNumberFormat="1" applyFont="1" applyFill="1"/>
    <xf numFmtId="2" fontId="0" fillId="0" borderId="0" xfId="0" quotePrefix="1" applyNumberFormat="1"/>
    <xf numFmtId="3" fontId="1" fillId="2" borderId="0" xfId="1" applyNumberFormat="1" applyFont="1" applyFill="1" applyAlignment="1">
      <alignment horizontal="right" vertical="center"/>
    </xf>
    <xf numFmtId="4" fontId="10" fillId="0" borderId="0" xfId="0" applyNumberFormat="1" applyFont="1"/>
    <xf numFmtId="40" fontId="10" fillId="0" borderId="0" xfId="0" applyNumberFormat="1" applyFont="1"/>
    <xf numFmtId="169" fontId="0" fillId="2" borderId="0" xfId="1" quotePrefix="1" applyNumberFormat="1" applyFont="1" applyFill="1" applyAlignment="1">
      <alignment horizontal="right" vertical="center"/>
    </xf>
    <xf numFmtId="1" fontId="0" fillId="0" borderId="0" xfId="0" applyNumberFormat="1"/>
    <xf numFmtId="0" fontId="11" fillId="3" borderId="0" xfId="0" applyFont="1" applyFill="1"/>
    <xf numFmtId="1" fontId="11" fillId="3" borderId="0" xfId="0" applyNumberFormat="1" applyFont="1" applyFill="1"/>
    <xf numFmtId="167" fontId="11" fillId="0" borderId="0" xfId="1" applyNumberFormat="1" applyFont="1" applyFill="1"/>
    <xf numFmtId="0" fontId="11" fillId="3" borderId="0" xfId="1" applyNumberFormat="1" applyFont="1" applyFill="1"/>
    <xf numFmtId="3" fontId="11" fillId="0" borderId="0" xfId="1" applyNumberFormat="1" applyFont="1" applyFill="1" applyAlignment="1">
      <alignment horizontal="right" vertical="center"/>
    </xf>
    <xf numFmtId="2" fontId="11" fillId="3" borderId="0" xfId="1" applyNumberFormat="1" applyFont="1" applyFill="1"/>
    <xf numFmtId="3" fontId="11" fillId="3" borderId="0" xfId="1" applyNumberFormat="1" applyFont="1" applyFill="1" applyAlignment="1">
      <alignment horizontal="right" vertical="center"/>
    </xf>
    <xf numFmtId="0" fontId="11" fillId="0" borderId="0" xfId="0" applyFont="1"/>
    <xf numFmtId="1" fontId="11" fillId="0" borderId="0" xfId="0" applyNumberFormat="1" applyFont="1"/>
    <xf numFmtId="15" fontId="11" fillId="0" borderId="0" xfId="0" applyNumberFormat="1" applyFont="1"/>
    <xf numFmtId="0" fontId="12" fillId="0" borderId="0" xfId="0" applyFont="1"/>
    <xf numFmtId="167" fontId="11" fillId="0" borderId="0" xfId="0" applyNumberFormat="1" applyFont="1"/>
    <xf numFmtId="168" fontId="11" fillId="0" borderId="0" xfId="21" applyNumberFormat="1" applyFont="1" applyFill="1"/>
    <xf numFmtId="16" fontId="11" fillId="0" borderId="0" xfId="0" applyNumberFormat="1" applyFont="1"/>
    <xf numFmtId="3" fontId="11" fillId="0" borderId="0" xfId="0" applyNumberFormat="1" applyFont="1"/>
    <xf numFmtId="1" fontId="1" fillId="0" borderId="0" xfId="0" applyNumberFormat="1" applyFont="1"/>
    <xf numFmtId="1" fontId="1" fillId="0" borderId="0" xfId="0" applyNumberFormat="1" applyFont="1" applyAlignment="1">
      <alignment horizontal="center"/>
    </xf>
    <xf numFmtId="1" fontId="12" fillId="0" borderId="0" xfId="0" applyNumberFormat="1" applyFont="1"/>
    <xf numFmtId="1" fontId="0" fillId="0" borderId="0" xfId="0" applyNumberFormat="1" applyAlignment="1">
      <alignment horizontal="center"/>
    </xf>
    <xf numFmtId="0" fontId="0" fillId="0" borderId="0" xfId="0" applyAlignment="1">
      <alignment wrapText="1"/>
    </xf>
    <xf numFmtId="0" fontId="0" fillId="0" borderId="0" xfId="0" applyAlignment="1">
      <alignment horizontal="center" wrapText="1"/>
    </xf>
    <xf numFmtId="0" fontId="11" fillId="0" borderId="0" xfId="0" applyFont="1" applyAlignment="1">
      <alignment wrapText="1"/>
    </xf>
    <xf numFmtId="168" fontId="11" fillId="0" borderId="0" xfId="21" applyNumberFormat="1" applyFont="1" applyFill="1" applyAlignment="1">
      <alignment wrapText="1"/>
    </xf>
    <xf numFmtId="0" fontId="8" fillId="0" borderId="0" xfId="0" applyFont="1" applyAlignment="1">
      <alignment horizontal="right"/>
    </xf>
    <xf numFmtId="1" fontId="8" fillId="0" borderId="0" xfId="0" applyNumberFormat="1" applyFont="1" applyAlignment="1">
      <alignment horizontal="right"/>
    </xf>
    <xf numFmtId="1" fontId="8" fillId="0" borderId="0" xfId="0" applyNumberFormat="1" applyFont="1"/>
    <xf numFmtId="166" fontId="11" fillId="3" borderId="0" xfId="21" applyNumberFormat="1" applyFont="1" applyFill="1"/>
    <xf numFmtId="10" fontId="11" fillId="3" borderId="0" xfId="21" applyNumberFormat="1" applyFont="1" applyFill="1"/>
    <xf numFmtId="9" fontId="11" fillId="3" borderId="0" xfId="1" applyNumberFormat="1" applyFont="1" applyFill="1"/>
    <xf numFmtId="10" fontId="11" fillId="3" borderId="0" xfId="1" applyNumberFormat="1" applyFont="1" applyFill="1"/>
    <xf numFmtId="10" fontId="11" fillId="3" borderId="0" xfId="1" applyNumberFormat="1" applyFont="1" applyFill="1" applyAlignment="1">
      <alignment wrapText="1"/>
    </xf>
    <xf numFmtId="166" fontId="11" fillId="3" borderId="0" xfId="1" applyNumberFormat="1" applyFont="1" applyFill="1"/>
    <xf numFmtId="10" fontId="0" fillId="2" borderId="0" xfId="1" applyNumberFormat="1" applyFont="1" applyFill="1"/>
    <xf numFmtId="169" fontId="11" fillId="3" borderId="0" xfId="1" applyNumberFormat="1" applyFont="1" applyFill="1" applyAlignment="1">
      <alignment horizontal="right" vertical="center"/>
    </xf>
    <xf numFmtId="10" fontId="0" fillId="0" borderId="0" xfId="0" applyNumberFormat="1"/>
    <xf numFmtId="166" fontId="0" fillId="0" borderId="0" xfId="0" applyNumberFormat="1"/>
    <xf numFmtId="0" fontId="8" fillId="0" borderId="0" xfId="0" applyFont="1" applyAlignment="1">
      <alignment horizontal="center" vertical="center"/>
    </xf>
    <xf numFmtId="9" fontId="0" fillId="0" borderId="0" xfId="0" applyNumberFormat="1"/>
    <xf numFmtId="170" fontId="0" fillId="0" borderId="0" xfId="0" applyNumberFormat="1"/>
    <xf numFmtId="2" fontId="0" fillId="0" borderId="0" xfId="0" applyNumberFormat="1"/>
    <xf numFmtId="0" fontId="14" fillId="0" borderId="0" xfId="0" applyFont="1"/>
    <xf numFmtId="0" fontId="15" fillId="0" borderId="0" xfId="0" applyFont="1"/>
    <xf numFmtId="2" fontId="16" fillId="0" borderId="0" xfId="0" applyNumberFormat="1" applyFont="1" applyAlignment="1">
      <alignment horizontal="right"/>
    </xf>
    <xf numFmtId="2" fontId="0" fillId="0" borderId="0" xfId="0" applyNumberFormat="1" applyAlignment="1">
      <alignment horizontal="right"/>
    </xf>
    <xf numFmtId="2" fontId="1" fillId="0" borderId="0" xfId="0" applyNumberFormat="1" applyFont="1" applyAlignment="1">
      <alignment horizontal="right"/>
    </xf>
    <xf numFmtId="2" fontId="14" fillId="0" borderId="0" xfId="0" applyNumberFormat="1" applyFont="1" applyAlignment="1">
      <alignment horizontal="right"/>
    </xf>
    <xf numFmtId="4" fontId="14" fillId="0" borderId="0" xfId="0" applyNumberFormat="1" applyFont="1"/>
    <xf numFmtId="10" fontId="16" fillId="0" borderId="0" xfId="0" applyNumberFormat="1" applyFont="1" applyAlignment="1">
      <alignment horizontal="center"/>
    </xf>
    <xf numFmtId="2" fontId="1" fillId="0" borderId="0" xfId="21" applyNumberFormat="1" applyFont="1"/>
    <xf numFmtId="2" fontId="2" fillId="0" borderId="0" xfId="21" applyNumberFormat="1" applyFont="1"/>
    <xf numFmtId="2" fontId="1" fillId="0" borderId="0" xfId="0" applyNumberFormat="1" applyFont="1"/>
    <xf numFmtId="2" fontId="0" fillId="0" borderId="0" xfId="21" applyNumberFormat="1" applyFont="1"/>
    <xf numFmtId="2" fontId="2" fillId="0" borderId="0" xfId="21" applyNumberFormat="1" applyFont="1" applyAlignment="1">
      <alignment horizontal="right"/>
    </xf>
    <xf numFmtId="2" fontId="14" fillId="0" borderId="0" xfId="21" applyNumberFormat="1" applyFont="1" applyAlignment="1">
      <alignment horizontal="right"/>
    </xf>
    <xf numFmtId="2" fontId="14" fillId="0" borderId="0" xfId="21" applyNumberFormat="1" applyFont="1"/>
    <xf numFmtId="2" fontId="14" fillId="0" borderId="0" xfId="0" applyNumberFormat="1" applyFont="1"/>
    <xf numFmtId="0" fontId="14" fillId="0" borderId="0" xfId="21" applyNumberFormat="1" applyFont="1" applyAlignment="1">
      <alignment horizontal="right"/>
    </xf>
    <xf numFmtId="0" fontId="17" fillId="0" borderId="0" xfId="0" applyFont="1"/>
    <xf numFmtId="0" fontId="17" fillId="0" borderId="0" xfId="0" applyFont="1" applyAlignment="1">
      <alignment horizontal="left" vertical="top"/>
    </xf>
    <xf numFmtId="0" fontId="0" fillId="0" borderId="0" xfId="0" applyAlignment="1">
      <alignment horizontal="left" vertical="top"/>
    </xf>
    <xf numFmtId="0" fontId="14" fillId="0" borderId="0" xfId="0" applyFont="1" applyAlignment="1">
      <alignment horizontal="left" vertical="top"/>
    </xf>
    <xf numFmtId="2" fontId="17" fillId="0" borderId="0" xfId="0" applyNumberFormat="1" applyFont="1"/>
    <xf numFmtId="0" fontId="18" fillId="0" borderId="0" xfId="0" applyFont="1"/>
    <xf numFmtId="0" fontId="18" fillId="0" borderId="0" xfId="0" applyFont="1" applyAlignment="1">
      <alignment horizontal="right"/>
    </xf>
    <xf numFmtId="169" fontId="0" fillId="0" borderId="0" xfId="0" applyNumberFormat="1"/>
    <xf numFmtId="10" fontId="1" fillId="2" borderId="0" xfId="1" applyNumberFormat="1" applyFont="1" applyFill="1"/>
    <xf numFmtId="166" fontId="0" fillId="2" borderId="0" xfId="1" applyNumberFormat="1" applyFont="1" applyFill="1"/>
    <xf numFmtId="168" fontId="0" fillId="2" borderId="0" xfId="1" applyNumberFormat="1" applyFont="1" applyFill="1"/>
    <xf numFmtId="2" fontId="1" fillId="2" borderId="5" xfId="1" applyNumberFormat="1" applyFont="1" applyFill="1" applyBorder="1"/>
    <xf numFmtId="166" fontId="1" fillId="2" borderId="0" xfId="1" applyNumberFormat="1" applyFont="1" applyFill="1"/>
    <xf numFmtId="0" fontId="13" fillId="0" borderId="0" xfId="0" applyFont="1"/>
    <xf numFmtId="0" fontId="1" fillId="0" borderId="0" xfId="0" applyFont="1" applyAlignment="1">
      <alignment wrapText="1"/>
    </xf>
    <xf numFmtId="0" fontId="0" fillId="0" borderId="0" xfId="0" applyAlignment="1">
      <alignment wrapText="1"/>
    </xf>
    <xf numFmtId="0" fontId="0" fillId="0" borderId="0" xfId="0"/>
    <xf numFmtId="0" fontId="11" fillId="0" borderId="0" xfId="0" applyFont="1" applyAlignment="1">
      <alignment wrapText="1"/>
    </xf>
    <xf numFmtId="0" fontId="0" fillId="0" borderId="0" xfId="0" quotePrefix="1" applyAlignment="1">
      <alignment wrapText="1"/>
    </xf>
  </cellXfs>
  <cellStyles count="22">
    <cellStyle name="Comma" xfId="1" builtinId="3"/>
    <cellStyle name="Comma 2" xfId="6" xr:uid="{00000000-0005-0000-0000-000001000000}"/>
    <cellStyle name="Comma 2 2" xfId="16" xr:uid="{00000000-0005-0000-0000-000002000000}"/>
    <cellStyle name="Comma 2 2 2" xfId="20" xr:uid="{00000000-0005-0000-0000-000003000000}"/>
    <cellStyle name="Comma 2 3" xfId="12" xr:uid="{00000000-0005-0000-0000-000004000000}"/>
    <cellStyle name="Comma 2 3 2" xfId="19" xr:uid="{00000000-0005-0000-0000-000005000000}"/>
    <cellStyle name="Comma 3" xfId="8" xr:uid="{00000000-0005-0000-0000-000006000000}"/>
    <cellStyle name="Comma 3 2" xfId="17" xr:uid="{00000000-0005-0000-0000-000007000000}"/>
    <cellStyle name="Comma 3 3" xfId="13" xr:uid="{00000000-0005-0000-0000-000008000000}"/>
    <cellStyle name="Comma 4" xfId="15" xr:uid="{00000000-0005-0000-0000-000009000000}"/>
    <cellStyle name="Comma 5" xfId="11" xr:uid="{00000000-0005-0000-0000-00000A000000}"/>
    <cellStyle name="Currency 3" xfId="10" xr:uid="{00000000-0005-0000-0000-00000B000000}"/>
    <cellStyle name="Currency 3 2" xfId="18" xr:uid="{00000000-0005-0000-0000-00000C000000}"/>
    <cellStyle name="Currency 3 3" xfId="14" xr:uid="{00000000-0005-0000-0000-00000D000000}"/>
    <cellStyle name="Hyperlink 2" xfId="3" xr:uid="{00000000-0005-0000-0000-00000F000000}"/>
    <cellStyle name="Normal" xfId="0" builtinId="0"/>
    <cellStyle name="Normal 2" xfId="2" xr:uid="{00000000-0005-0000-0000-000011000000}"/>
    <cellStyle name="Normal 3" xfId="4" xr:uid="{00000000-0005-0000-0000-000012000000}"/>
    <cellStyle name="Normal 4" xfId="5" xr:uid="{00000000-0005-0000-0000-000013000000}"/>
    <cellStyle name="Per cent" xfId="21" builtinId="5"/>
    <cellStyle name="Percent 2" xfId="7" xr:uid="{00000000-0005-0000-0000-000014000000}"/>
    <cellStyle name="Percent 3" xfId="9" xr:uid="{00000000-0005-0000-0000-000015000000}"/>
  </cellStyles>
  <dxfs count="0"/>
  <tableStyles count="0" defaultTableStyle="TableStyleMedium2" defaultPivotStyle="PivotStyleLight16"/>
  <colors>
    <mruColors>
      <color rgb="FFFB5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12699</xdr:colOff>
      <xdr:row>83</xdr:row>
      <xdr:rowOff>88901</xdr:rowOff>
    </xdr:from>
    <xdr:to>
      <xdr:col>12</xdr:col>
      <xdr:colOff>4233</xdr:colOff>
      <xdr:row>93</xdr:row>
      <xdr:rowOff>25401</xdr:rowOff>
    </xdr:to>
    <xdr:sp macro="" textlink="">
      <xdr:nvSpPr>
        <xdr:cNvPr id="2" name="TextBox 1">
          <a:extLst>
            <a:ext uri="{FF2B5EF4-FFF2-40B4-BE49-F238E27FC236}">
              <a16:creationId xmlns:a16="http://schemas.microsoft.com/office/drawing/2014/main" id="{99DA7827-E87A-24F2-C77F-F8ED81A2E9F9}"/>
            </a:ext>
          </a:extLst>
        </xdr:cNvPr>
        <xdr:cNvSpPr txBox="1"/>
      </xdr:nvSpPr>
      <xdr:spPr>
        <a:xfrm>
          <a:off x="1206499" y="17259301"/>
          <a:ext cx="11688234" cy="1841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The DCF valuation estimates an intrinsic share price of </a:t>
          </a:r>
          <a:r>
            <a:rPr lang="en-AU" sz="1100" b="1">
              <a:solidFill>
                <a:schemeClr val="dk1"/>
              </a:solidFill>
              <a:effectLst/>
              <a:latin typeface="+mn-lt"/>
              <a:ea typeface="+mn-ea"/>
              <a:cs typeface="+mn-cs"/>
            </a:rPr>
            <a:t>$2.67</a:t>
          </a:r>
          <a:r>
            <a:rPr lang="en-AU" sz="1100">
              <a:solidFill>
                <a:schemeClr val="dk1"/>
              </a:solidFill>
              <a:effectLst/>
              <a:latin typeface="+mn-lt"/>
              <a:ea typeface="+mn-ea"/>
              <a:cs typeface="+mn-cs"/>
            </a:rPr>
            <a:t> for Telstra Group Limited, which is significantly lower than its current market price of </a:t>
          </a:r>
          <a:r>
            <a:rPr lang="en-AU" sz="1100" b="1">
              <a:solidFill>
                <a:schemeClr val="dk1"/>
              </a:solidFill>
              <a:effectLst/>
              <a:latin typeface="+mn-lt"/>
              <a:ea typeface="+mn-ea"/>
              <a:cs typeface="+mn-cs"/>
            </a:rPr>
            <a:t>$4.54</a:t>
          </a:r>
          <a:r>
            <a:rPr lang="en-AU" sz="1100">
              <a:solidFill>
                <a:schemeClr val="dk1"/>
              </a:solidFill>
              <a:effectLst/>
              <a:latin typeface="+mn-lt"/>
              <a:ea typeface="+mn-ea"/>
              <a:cs typeface="+mn-cs"/>
            </a:rPr>
            <a:t>. This implies the stock may be </a:t>
          </a:r>
          <a:r>
            <a:rPr lang="en-AU" sz="1100" b="1">
              <a:solidFill>
                <a:schemeClr val="dk1"/>
              </a:solidFill>
              <a:effectLst/>
              <a:latin typeface="+mn-lt"/>
              <a:ea typeface="+mn-ea"/>
              <a:cs typeface="+mn-cs"/>
            </a:rPr>
            <a:t>overvalued by approximately 41%</a:t>
          </a:r>
          <a:r>
            <a:rPr lang="en-AU" sz="1100">
              <a:solidFill>
                <a:schemeClr val="dk1"/>
              </a:solidFill>
              <a:effectLst/>
              <a:latin typeface="+mn-lt"/>
              <a:ea typeface="+mn-ea"/>
              <a:cs typeface="+mn-cs"/>
            </a:rPr>
            <a:t>, with an </a:t>
          </a:r>
          <a:r>
            <a:rPr lang="en-AU" sz="1100" b="1">
              <a:solidFill>
                <a:schemeClr val="dk1"/>
              </a:solidFill>
              <a:effectLst/>
              <a:latin typeface="+mn-lt"/>
              <a:ea typeface="+mn-ea"/>
              <a:cs typeface="+mn-cs"/>
            </a:rPr>
            <a:t>NPV of $-1.87</a:t>
          </a:r>
          <a:r>
            <a:rPr lang="en-AU" sz="1100">
              <a:solidFill>
                <a:schemeClr val="dk1"/>
              </a:solidFill>
              <a:effectLst/>
              <a:latin typeface="+mn-lt"/>
              <a:ea typeface="+mn-ea"/>
              <a:cs typeface="+mn-cs"/>
            </a:rPr>
            <a:t> per share if purchased at the current price.</a:t>
          </a:r>
        </a:p>
        <a:p>
          <a:r>
            <a:rPr lang="en-AU" sz="1100">
              <a:solidFill>
                <a:schemeClr val="dk1"/>
              </a:solidFill>
              <a:effectLst/>
              <a:latin typeface="+mn-lt"/>
              <a:ea typeface="+mn-ea"/>
              <a:cs typeface="+mn-cs"/>
            </a:rPr>
            <a:t>This valuation is based on key assumptions, including a </a:t>
          </a:r>
          <a:r>
            <a:rPr lang="en-AU" sz="1100" b="1">
              <a:solidFill>
                <a:schemeClr val="dk1"/>
              </a:solidFill>
              <a:effectLst/>
              <a:latin typeface="+mn-lt"/>
              <a:ea typeface="+mn-ea"/>
              <a:cs typeface="+mn-cs"/>
            </a:rPr>
            <a:t>WACC of 7.23%</a:t>
          </a:r>
          <a:r>
            <a:rPr lang="en-AU" sz="1100">
              <a:solidFill>
                <a:schemeClr val="dk1"/>
              </a:solidFill>
              <a:effectLst/>
              <a:latin typeface="+mn-lt"/>
              <a:ea typeface="+mn-ea"/>
              <a:cs typeface="+mn-cs"/>
            </a:rPr>
            <a:t>, a </a:t>
          </a:r>
          <a:r>
            <a:rPr lang="en-AU" sz="1100" b="1">
              <a:solidFill>
                <a:schemeClr val="dk1"/>
              </a:solidFill>
              <a:effectLst/>
              <a:latin typeface="+mn-lt"/>
              <a:ea typeface="+mn-ea"/>
              <a:cs typeface="+mn-cs"/>
            </a:rPr>
            <a:t>long-term growth rate of 2%</a:t>
          </a:r>
          <a:r>
            <a:rPr lang="en-AU" sz="1100">
              <a:solidFill>
                <a:schemeClr val="dk1"/>
              </a:solidFill>
              <a:effectLst/>
              <a:latin typeface="+mn-lt"/>
              <a:ea typeface="+mn-ea"/>
              <a:cs typeface="+mn-cs"/>
            </a:rPr>
            <a:t>, and a </a:t>
          </a:r>
          <a:r>
            <a:rPr lang="en-AU" sz="1100" b="1">
              <a:solidFill>
                <a:schemeClr val="dk1"/>
              </a:solidFill>
              <a:effectLst/>
              <a:latin typeface="+mn-lt"/>
              <a:ea typeface="+mn-ea"/>
              <a:cs typeface="+mn-cs"/>
            </a:rPr>
            <a:t>dividend payout ratio of 76.27%</a:t>
          </a:r>
          <a:r>
            <a:rPr lang="en-AU" sz="1100">
              <a:solidFill>
                <a:schemeClr val="dk1"/>
              </a:solidFill>
              <a:effectLst/>
              <a:latin typeface="+mn-lt"/>
              <a:ea typeface="+mn-ea"/>
              <a:cs typeface="+mn-cs"/>
            </a:rPr>
            <a:t>. While these inputs are reasonable based on Telstra’s financials and market data, the model is highly sensitive to changes in these assumptions. For example, in Question 6, the WACC would need to fall to </a:t>
          </a:r>
          <a:r>
            <a:rPr lang="en-AU" sz="1100" b="1">
              <a:solidFill>
                <a:schemeClr val="dk1"/>
              </a:solidFill>
              <a:effectLst/>
              <a:latin typeface="+mn-lt"/>
              <a:ea typeface="+mn-ea"/>
              <a:cs typeface="+mn-cs"/>
            </a:rPr>
            <a:t>5.60%</a:t>
          </a:r>
          <a:r>
            <a:rPr lang="en-AU" sz="1100">
              <a:solidFill>
                <a:schemeClr val="dk1"/>
              </a:solidFill>
              <a:effectLst/>
              <a:latin typeface="+mn-lt"/>
              <a:ea typeface="+mn-ea"/>
              <a:cs typeface="+mn-cs"/>
            </a:rPr>
            <a:t> to justify the current share price — an optimistic assumption given Telstra’s capital structure and risk profile. Similarly, Question 7 shows that a </a:t>
          </a:r>
          <a:r>
            <a:rPr lang="en-AU" sz="1100" b="1">
              <a:solidFill>
                <a:schemeClr val="dk1"/>
              </a:solidFill>
              <a:effectLst/>
              <a:latin typeface="+mn-lt"/>
              <a:ea typeface="+mn-ea"/>
              <a:cs typeface="+mn-cs"/>
            </a:rPr>
            <a:t>long-term growth rate of 3.86%</a:t>
          </a:r>
          <a:r>
            <a:rPr lang="en-AU" sz="1100">
              <a:solidFill>
                <a:schemeClr val="dk1"/>
              </a:solidFill>
              <a:effectLst/>
              <a:latin typeface="+mn-lt"/>
              <a:ea typeface="+mn-ea"/>
              <a:cs typeface="+mn-cs"/>
            </a:rPr>
            <a:t> would be required, which is unlikely for a mature and regulated telecommunications company.</a:t>
          </a:r>
        </a:p>
        <a:p>
          <a:r>
            <a:rPr lang="en-AU" sz="1100">
              <a:solidFill>
                <a:schemeClr val="dk1"/>
              </a:solidFill>
              <a:effectLst/>
              <a:latin typeface="+mn-lt"/>
              <a:ea typeface="+mn-ea"/>
              <a:cs typeface="+mn-cs"/>
            </a:rPr>
            <a:t>The two-dimensional sensitivity analysis in Question 8 reinforces this view. Under almost all realistic combinations of WACC and growth rate, the DCF share price remains below the current market price.</a:t>
          </a:r>
        </a:p>
        <a:p>
          <a:r>
            <a:rPr lang="en-AU" sz="1100">
              <a:solidFill>
                <a:schemeClr val="dk1"/>
              </a:solidFill>
              <a:effectLst/>
              <a:latin typeface="+mn-lt"/>
              <a:ea typeface="+mn-ea"/>
              <a:cs typeface="+mn-cs"/>
            </a:rPr>
            <a:t>This suggests that the market may be pricing in overly optimistic growth expectations or underestimating risk. Unless Telstra can materially reduce its cost of capital or outperform its historical growth, the current market price appears stretched. </a:t>
          </a:r>
          <a:r>
            <a:rPr lang="en-AU" sz="1100" b="1">
              <a:solidFill>
                <a:schemeClr val="dk1"/>
              </a:solidFill>
              <a:effectLst/>
              <a:latin typeface="+mn-lt"/>
              <a:ea typeface="+mn-ea"/>
              <a:cs typeface="+mn-cs"/>
            </a:rPr>
            <a:t>Based on this analysis, I recommend selling Telstra shares.</a:t>
          </a:r>
          <a:endParaRPr lang="en-AU" sz="11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TASHA%20K/personal/ARK/simple-s-cur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_Curve"/>
      <sheetName val="S_Curve (2)"/>
    </sheetNames>
    <sheetDataSet>
      <sheetData sheetId="0" refreshError="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S167"/>
  <sheetViews>
    <sheetView tabSelected="1" zoomScaleNormal="80" workbookViewId="0">
      <pane ySplit="3" topLeftCell="A4" activePane="bottomLeft" state="frozen"/>
      <selection pane="bottomLeft" activeCell="H19" sqref="H19"/>
    </sheetView>
  </sheetViews>
  <sheetFormatPr baseColWidth="10" defaultColWidth="8.83203125" defaultRowHeight="15" x14ac:dyDescent="0.2"/>
  <cols>
    <col min="1" max="1" width="8.33203125" bestFit="1" customWidth="1"/>
    <col min="2" max="2" width="7.33203125" style="3" customWidth="1"/>
    <col min="3" max="3" width="49.5" customWidth="1"/>
    <col min="4" max="4" width="12.1640625" customWidth="1"/>
    <col min="5" max="5" width="13.1640625" customWidth="1"/>
    <col min="6" max="8" width="11" customWidth="1"/>
    <col min="9" max="9" width="12.6640625" bestFit="1" customWidth="1"/>
    <col min="10" max="12" width="11" customWidth="1"/>
    <col min="13" max="13" width="5.33203125" customWidth="1"/>
    <col min="15" max="15" width="35.5" style="104" bestFit="1" customWidth="1"/>
    <col min="16" max="16" width="10.6640625" style="104" bestFit="1" customWidth="1"/>
    <col min="17" max="17" width="10.1640625" style="104" bestFit="1" customWidth="1"/>
    <col min="18" max="19" width="12.1640625" style="104" bestFit="1" customWidth="1"/>
    <col min="20" max="25" width="12.6640625" style="104" bestFit="1" customWidth="1"/>
    <col min="26" max="175" width="8.83203125" style="104"/>
  </cols>
  <sheetData>
    <row r="1" spans="1:175" x14ac:dyDescent="0.2">
      <c r="A1" t="s">
        <v>4</v>
      </c>
      <c r="C1" s="34" t="s">
        <v>41</v>
      </c>
      <c r="D1" s="41"/>
      <c r="E1" s="41"/>
      <c r="F1" s="41"/>
      <c r="G1" s="41" t="s">
        <v>0</v>
      </c>
      <c r="H1" s="41" t="s">
        <v>1</v>
      </c>
      <c r="I1" s="41" t="s">
        <v>1</v>
      </c>
      <c r="J1" s="41" t="s">
        <v>1</v>
      </c>
      <c r="K1" s="41" t="s">
        <v>1</v>
      </c>
      <c r="L1" s="41" t="s">
        <v>1</v>
      </c>
      <c r="N1" s="107"/>
      <c r="O1" s="107"/>
      <c r="P1" s="107"/>
      <c r="Q1" s="107"/>
      <c r="R1" s="107"/>
      <c r="S1" s="107"/>
      <c r="T1" s="107"/>
      <c r="U1" s="107"/>
      <c r="V1" s="107"/>
      <c r="W1" s="107"/>
      <c r="X1" s="107"/>
    </row>
    <row r="2" spans="1:175" x14ac:dyDescent="0.2">
      <c r="C2" s="41" t="s">
        <v>2</v>
      </c>
      <c r="D2" s="41"/>
      <c r="E2" s="41"/>
      <c r="F2" s="41"/>
      <c r="G2" s="41">
        <v>0</v>
      </c>
      <c r="H2" s="41">
        <v>1</v>
      </c>
      <c r="I2" s="41">
        <v>2</v>
      </c>
      <c r="J2" s="41">
        <v>3</v>
      </c>
      <c r="K2" s="41">
        <v>4</v>
      </c>
      <c r="L2" s="41">
        <v>5</v>
      </c>
    </row>
    <row r="3" spans="1:175" s="33" customFormat="1" x14ac:dyDescent="0.2">
      <c r="B3" s="52"/>
      <c r="C3" s="42" t="s">
        <v>10</v>
      </c>
      <c r="D3" s="42"/>
      <c r="E3" s="42"/>
      <c r="F3" s="42"/>
      <c r="G3" s="35">
        <v>2024</v>
      </c>
      <c r="H3" s="35">
        <v>2025</v>
      </c>
      <c r="I3" s="35">
        <v>2026</v>
      </c>
      <c r="J3" s="35">
        <v>2027</v>
      </c>
      <c r="K3" s="35">
        <v>2028</v>
      </c>
      <c r="L3" s="35">
        <v>2029</v>
      </c>
      <c r="N3"/>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c r="CC3" s="104"/>
      <c r="CD3" s="104"/>
      <c r="CE3" s="104"/>
      <c r="CF3" s="104"/>
      <c r="CG3" s="104"/>
      <c r="CH3" s="104"/>
      <c r="CI3" s="104"/>
      <c r="CJ3" s="104"/>
      <c r="CK3" s="104"/>
      <c r="CL3" s="104"/>
      <c r="CM3" s="104"/>
      <c r="CN3" s="104"/>
      <c r="CO3" s="104"/>
      <c r="CP3" s="104"/>
      <c r="CQ3" s="104"/>
      <c r="CR3" s="104"/>
      <c r="CS3" s="104"/>
      <c r="CT3" s="104"/>
      <c r="CU3" s="104"/>
      <c r="CV3" s="104"/>
      <c r="CW3" s="104"/>
      <c r="CX3" s="104"/>
      <c r="CY3" s="104"/>
      <c r="CZ3" s="104"/>
      <c r="DA3" s="104"/>
      <c r="DB3" s="104"/>
      <c r="DC3" s="104"/>
      <c r="DD3" s="104"/>
      <c r="DE3" s="104"/>
      <c r="DF3" s="104"/>
      <c r="DG3" s="104"/>
      <c r="DH3" s="104"/>
      <c r="DI3" s="104"/>
      <c r="DJ3" s="104"/>
      <c r="DK3" s="104"/>
      <c r="DL3" s="104"/>
      <c r="DM3" s="104"/>
      <c r="DN3" s="104"/>
      <c r="DO3" s="104"/>
      <c r="DP3" s="104"/>
      <c r="DQ3" s="104"/>
      <c r="DR3" s="104"/>
      <c r="DS3" s="104"/>
      <c r="DT3" s="104"/>
      <c r="DU3" s="104"/>
      <c r="DV3" s="104"/>
      <c r="DW3" s="104"/>
      <c r="DX3" s="104"/>
      <c r="DY3" s="104"/>
      <c r="DZ3" s="104"/>
      <c r="EA3" s="104"/>
      <c r="EB3" s="104"/>
      <c r="EC3" s="104"/>
      <c r="ED3" s="104"/>
      <c r="EE3" s="104"/>
      <c r="EF3" s="104"/>
      <c r="EG3" s="104"/>
      <c r="EH3" s="104"/>
      <c r="EI3" s="104"/>
      <c r="EJ3" s="104"/>
      <c r="EK3" s="104"/>
      <c r="EL3" s="104"/>
      <c r="EM3" s="104"/>
      <c r="EN3" s="104"/>
      <c r="EO3" s="104"/>
      <c r="EP3" s="104"/>
      <c r="EQ3" s="104"/>
      <c r="ER3" s="104"/>
      <c r="ES3" s="104"/>
      <c r="ET3" s="104"/>
      <c r="EU3" s="104"/>
      <c r="EV3" s="104"/>
      <c r="EW3" s="104"/>
      <c r="EX3" s="104"/>
      <c r="EY3" s="104"/>
      <c r="EZ3" s="104"/>
      <c r="FA3" s="104"/>
      <c r="FB3" s="104"/>
      <c r="FC3" s="104"/>
      <c r="FD3" s="104"/>
      <c r="FE3" s="104"/>
      <c r="FF3" s="104"/>
      <c r="FG3" s="104"/>
      <c r="FH3" s="104"/>
      <c r="FI3" s="104"/>
      <c r="FJ3" s="104"/>
      <c r="FK3" s="104"/>
      <c r="FL3" s="104"/>
      <c r="FM3" s="104"/>
      <c r="FN3" s="104"/>
      <c r="FO3" s="104"/>
      <c r="FP3" s="104"/>
      <c r="FQ3" s="104"/>
      <c r="FR3" s="104"/>
      <c r="FS3" s="104"/>
    </row>
    <row r="4" spans="1:175" s="33" customFormat="1" x14ac:dyDescent="0.2">
      <c r="A4" s="49"/>
      <c r="B4" s="50"/>
      <c r="C4" s="51"/>
      <c r="D4" s="51"/>
      <c r="E4" s="51"/>
      <c r="F4" s="51"/>
      <c r="G4" s="51"/>
      <c r="H4" s="51"/>
      <c r="I4" s="51"/>
      <c r="J4" s="51"/>
      <c r="K4" s="51"/>
      <c r="L4" s="51"/>
      <c r="N4"/>
      <c r="O4" s="25" t="s">
        <v>48</v>
      </c>
      <c r="P4" s="25"/>
      <c r="Q4" s="25">
        <v>0</v>
      </c>
      <c r="R4" s="57">
        <v>1</v>
      </c>
      <c r="S4" s="58">
        <v>2</v>
      </c>
      <c r="T4" s="58">
        <v>3</v>
      </c>
      <c r="U4" s="58">
        <v>4</v>
      </c>
      <c r="V4" s="58">
        <v>5</v>
      </c>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row>
    <row r="5" spans="1:175" s="33" customFormat="1" x14ac:dyDescent="0.2">
      <c r="A5" s="49"/>
      <c r="B5" s="50"/>
      <c r="C5"/>
      <c r="D5" s="51"/>
      <c r="E5" s="51"/>
      <c r="F5" s="51"/>
      <c r="G5" s="51"/>
      <c r="H5" s="51"/>
      <c r="I5" s="51"/>
      <c r="J5" s="51"/>
      <c r="K5" s="51"/>
      <c r="L5" s="51"/>
      <c r="N5"/>
      <c r="O5" s="70" t="s">
        <v>49</v>
      </c>
      <c r="P5" s="25"/>
      <c r="Q5" s="25">
        <v>2024</v>
      </c>
      <c r="R5" s="25">
        <v>2025</v>
      </c>
      <c r="S5" s="25">
        <v>2026</v>
      </c>
      <c r="T5" s="25">
        <v>2027</v>
      </c>
      <c r="U5" s="25">
        <v>2028</v>
      </c>
      <c r="V5" s="25">
        <v>2029</v>
      </c>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row>
    <row r="6" spans="1:175" ht="16" x14ac:dyDescent="0.2">
      <c r="D6" s="51"/>
      <c r="E6" s="41"/>
      <c r="F6" s="41"/>
      <c r="G6" s="43"/>
      <c r="H6" s="43"/>
      <c r="I6" s="43"/>
      <c r="J6" s="43"/>
      <c r="K6" s="43"/>
      <c r="L6" s="43"/>
      <c r="O6" s="26" t="s">
        <v>18</v>
      </c>
      <c r="P6"/>
      <c r="Q6" s="19"/>
      <c r="R6" s="20"/>
      <c r="S6" s="19"/>
      <c r="T6"/>
      <c r="U6"/>
      <c r="V6"/>
    </row>
    <row r="7" spans="1:175" x14ac:dyDescent="0.2">
      <c r="C7" s="3"/>
      <c r="D7" s="41"/>
      <c r="E7" s="41"/>
      <c r="F7" s="41"/>
      <c r="G7" s="43"/>
      <c r="H7" s="43"/>
      <c r="I7" s="43"/>
      <c r="J7" s="43"/>
      <c r="K7" s="43"/>
      <c r="L7" s="43"/>
      <c r="O7" t="s">
        <v>42</v>
      </c>
      <c r="P7"/>
      <c r="Q7"/>
      <c r="R7" s="69">
        <f>H10</f>
        <v>0.02</v>
      </c>
      <c r="S7" s="69">
        <f>I10</f>
        <v>2.5000000000000001E-2</v>
      </c>
      <c r="T7" s="69">
        <f>J10</f>
        <v>2.5000000000000001E-2</v>
      </c>
      <c r="U7" s="69">
        <f>K10</f>
        <v>0.02</v>
      </c>
      <c r="V7" s="69">
        <f>L10</f>
        <v>1.4999999999999999E-2</v>
      </c>
    </row>
    <row r="8" spans="1:175" x14ac:dyDescent="0.2">
      <c r="C8" s="3"/>
      <c r="D8" s="41"/>
      <c r="E8" s="41"/>
      <c r="F8" s="41"/>
      <c r="G8" s="43"/>
      <c r="H8" s="43"/>
      <c r="I8" s="43"/>
      <c r="J8" s="43"/>
      <c r="K8" s="43"/>
      <c r="L8" s="43"/>
      <c r="O8" t="s">
        <v>19</v>
      </c>
      <c r="P8" s="71">
        <f>F11</f>
        <v>0.02</v>
      </c>
      <c r="Q8" s="21"/>
      <c r="R8" s="22"/>
      <c r="S8" s="21"/>
      <c r="T8" s="21"/>
      <c r="U8" s="21"/>
      <c r="V8" s="21"/>
      <c r="W8"/>
      <c r="X8"/>
      <c r="Y8"/>
    </row>
    <row r="9" spans="1:175" x14ac:dyDescent="0.2">
      <c r="A9" s="2"/>
      <c r="C9" s="44" t="s">
        <v>18</v>
      </c>
      <c r="D9" s="41"/>
      <c r="E9" s="41"/>
      <c r="F9" s="41"/>
      <c r="G9" s="43"/>
      <c r="H9" s="43"/>
      <c r="I9" s="43"/>
      <c r="J9" s="43"/>
      <c r="K9" s="43"/>
      <c r="L9" s="43"/>
      <c r="O9" t="s">
        <v>43</v>
      </c>
      <c r="P9" s="71">
        <f>F12</f>
        <v>0.3</v>
      </c>
      <c r="Q9" s="19"/>
      <c r="R9" s="20"/>
      <c r="S9" s="19"/>
      <c r="T9" s="19"/>
      <c r="U9" s="19"/>
      <c r="V9" s="19"/>
      <c r="W9"/>
      <c r="X9"/>
      <c r="Y9"/>
    </row>
    <row r="10" spans="1:175" x14ac:dyDescent="0.2">
      <c r="C10" s="41" t="s">
        <v>6</v>
      </c>
      <c r="D10" s="45"/>
      <c r="E10" s="36"/>
      <c r="F10" s="36"/>
      <c r="G10" s="36"/>
      <c r="H10" s="60">
        <v>0.02</v>
      </c>
      <c r="I10" s="60">
        <v>2.5000000000000001E-2</v>
      </c>
      <c r="J10" s="60">
        <v>2.5000000000000001E-2</v>
      </c>
      <c r="K10" s="60">
        <v>0.02</v>
      </c>
      <c r="L10" s="60">
        <v>1.4999999999999999E-2</v>
      </c>
      <c r="O10" t="s">
        <v>44</v>
      </c>
      <c r="P10" s="68">
        <f>F14</f>
        <v>5.5500000000000001E-2</v>
      </c>
      <c r="Q10" s="21"/>
      <c r="R10" s="22"/>
      <c r="S10" s="21"/>
      <c r="T10" s="21"/>
      <c r="U10" s="21"/>
      <c r="V10" s="21"/>
      <c r="W10"/>
      <c r="X10"/>
      <c r="Y10"/>
    </row>
    <row r="11" spans="1:175" x14ac:dyDescent="0.2">
      <c r="C11" s="41" t="s">
        <v>19</v>
      </c>
      <c r="D11" s="41"/>
      <c r="E11" s="41"/>
      <c r="F11" s="62">
        <v>0.02</v>
      </c>
      <c r="G11" s="41"/>
      <c r="H11" s="38"/>
      <c r="I11" s="38"/>
      <c r="J11" s="38"/>
      <c r="K11" s="38"/>
      <c r="L11" s="38"/>
      <c r="O11" t="s">
        <v>45</v>
      </c>
      <c r="P11" s="72">
        <f>G30</f>
        <v>7.2310952851288954E-2</v>
      </c>
      <c r="Q11" s="19"/>
      <c r="R11" s="20"/>
      <c r="S11" s="19"/>
      <c r="T11" s="19"/>
      <c r="U11" s="19"/>
      <c r="V11" s="19"/>
      <c r="W11"/>
      <c r="X11"/>
      <c r="Y11"/>
    </row>
    <row r="12" spans="1:175" x14ac:dyDescent="0.2">
      <c r="C12" s="41" t="s">
        <v>29</v>
      </c>
      <c r="D12" s="41"/>
      <c r="E12" s="41"/>
      <c r="F12" s="62">
        <v>0.3</v>
      </c>
      <c r="G12" s="41"/>
      <c r="H12" s="43"/>
      <c r="I12" s="43"/>
      <c r="J12" s="43"/>
      <c r="K12" s="43"/>
      <c r="L12" s="43"/>
      <c r="O12" t="s">
        <v>5</v>
      </c>
      <c r="P12" s="68">
        <f>F13</f>
        <v>0.76270000000000004</v>
      </c>
      <c r="Q12" s="19"/>
      <c r="R12" s="20"/>
      <c r="S12" s="19"/>
      <c r="T12" s="19"/>
      <c r="U12" s="19"/>
      <c r="V12" s="19"/>
      <c r="W12"/>
      <c r="X12"/>
      <c r="Y12"/>
    </row>
    <row r="13" spans="1:175" x14ac:dyDescent="0.2">
      <c r="C13" s="41" t="s">
        <v>5</v>
      </c>
      <c r="D13" s="41"/>
      <c r="E13" s="41"/>
      <c r="F13" s="63">
        <v>0.76270000000000004</v>
      </c>
      <c r="G13" s="41"/>
      <c r="H13" s="43"/>
      <c r="I13" s="43"/>
      <c r="J13" s="43"/>
      <c r="K13" s="43"/>
      <c r="L13" s="43"/>
      <c r="O13" t="s">
        <v>46</v>
      </c>
      <c r="P13" s="73">
        <f>F18</f>
        <v>4.54</v>
      </c>
      <c r="Q13" s="21"/>
      <c r="R13" s="22"/>
      <c r="S13" s="21"/>
      <c r="T13" s="21"/>
      <c r="U13" s="21"/>
      <c r="V13" s="21"/>
      <c r="W13"/>
      <c r="X13"/>
      <c r="Y13"/>
    </row>
    <row r="14" spans="1:175" x14ac:dyDescent="0.2">
      <c r="C14" s="41" t="s">
        <v>25</v>
      </c>
      <c r="D14" s="41"/>
      <c r="E14" s="41"/>
      <c r="F14" s="61">
        <v>5.5500000000000001E-2</v>
      </c>
      <c r="G14" s="41"/>
      <c r="H14" s="41"/>
      <c r="I14" s="41"/>
      <c r="J14" s="41"/>
      <c r="K14" s="41"/>
      <c r="L14" s="41"/>
      <c r="O14" t="s">
        <v>47</v>
      </c>
      <c r="P14" s="98">
        <f>F19</f>
        <v>11432.3</v>
      </c>
      <c r="Q14" s="21"/>
      <c r="R14" s="22"/>
      <c r="S14" s="21"/>
      <c r="T14" s="21"/>
      <c r="U14" s="21"/>
      <c r="V14" s="21"/>
      <c r="W14"/>
      <c r="X14"/>
      <c r="Y14"/>
    </row>
    <row r="15" spans="1:175" s="53" customFormat="1" ht="31" customHeight="1" x14ac:dyDescent="0.2">
      <c r="B15" s="54"/>
      <c r="C15" s="108" t="s">
        <v>36</v>
      </c>
      <c r="D15" s="108"/>
      <c r="E15" s="108"/>
      <c r="F15" s="64">
        <v>4.4200000000000003E-2</v>
      </c>
      <c r="G15" s="55"/>
      <c r="H15" s="56"/>
      <c r="I15" s="56"/>
      <c r="J15" s="56"/>
      <c r="K15" s="56"/>
      <c r="L15" s="56"/>
      <c r="N15"/>
      <c r="O15"/>
      <c r="P15"/>
      <c r="Q15" s="19"/>
      <c r="R15" s="20"/>
      <c r="S15" s="19"/>
      <c r="T15" s="19"/>
      <c r="U15" s="19"/>
      <c r="V15" s="19"/>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04"/>
      <c r="BK15" s="104"/>
      <c r="BL15" s="104"/>
      <c r="BM15" s="104"/>
      <c r="BN15" s="104"/>
      <c r="BO15" s="104"/>
      <c r="BP15" s="104"/>
      <c r="BQ15" s="104"/>
      <c r="BR15" s="104"/>
      <c r="BS15" s="104"/>
      <c r="BT15" s="104"/>
      <c r="BU15" s="104"/>
      <c r="BV15" s="104"/>
      <c r="BW15" s="104"/>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04"/>
      <c r="CT15" s="104"/>
      <c r="CU15" s="104"/>
      <c r="CV15" s="104"/>
      <c r="CW15" s="104"/>
      <c r="CX15" s="104"/>
      <c r="CY15" s="104"/>
      <c r="CZ15" s="104"/>
      <c r="DA15" s="104"/>
      <c r="DB15" s="104"/>
      <c r="DC15" s="104"/>
      <c r="DD15" s="104"/>
      <c r="DE15" s="104"/>
      <c r="DF15" s="104"/>
      <c r="DG15" s="104"/>
      <c r="DH15" s="104"/>
      <c r="DI15" s="104"/>
      <c r="DJ15" s="104"/>
      <c r="DK15" s="104"/>
      <c r="DL15" s="104"/>
      <c r="DM15" s="104"/>
      <c r="DN15" s="104"/>
      <c r="DO15" s="104"/>
      <c r="DP15" s="104"/>
      <c r="DQ15" s="104"/>
      <c r="DR15" s="104"/>
      <c r="DS15" s="104"/>
      <c r="DT15" s="104"/>
      <c r="DU15" s="104"/>
      <c r="DV15" s="104"/>
      <c r="DW15" s="104"/>
      <c r="DX15" s="104"/>
      <c r="DY15" s="104"/>
      <c r="DZ15" s="104"/>
      <c r="EA15" s="104"/>
      <c r="EB15" s="104"/>
      <c r="EC15" s="104"/>
      <c r="ED15" s="104"/>
      <c r="EE15" s="104"/>
      <c r="EF15" s="104"/>
      <c r="EG15" s="104"/>
      <c r="EH15" s="104"/>
      <c r="EI15" s="104"/>
      <c r="EJ15" s="104"/>
      <c r="EK15" s="104"/>
      <c r="EL15" s="104"/>
      <c r="EM15" s="104"/>
      <c r="EN15" s="104"/>
      <c r="EO15" s="104"/>
      <c r="EP15" s="104"/>
      <c r="EQ15" s="104"/>
      <c r="ER15" s="104"/>
      <c r="ES15" s="104"/>
      <c r="ET15" s="104"/>
      <c r="EU15" s="104"/>
      <c r="EV15" s="104"/>
      <c r="EW15" s="104"/>
      <c r="EX15" s="104"/>
      <c r="EY15" s="104"/>
      <c r="EZ15" s="104"/>
      <c r="FA15" s="104"/>
      <c r="FB15" s="104"/>
      <c r="FC15" s="104"/>
      <c r="FD15" s="104"/>
      <c r="FE15" s="104"/>
      <c r="FF15" s="104"/>
      <c r="FG15" s="104"/>
      <c r="FH15" s="104"/>
      <c r="FI15" s="104"/>
      <c r="FJ15" s="104"/>
      <c r="FK15" s="104"/>
      <c r="FL15" s="104"/>
      <c r="FM15" s="104"/>
      <c r="FN15" s="104"/>
      <c r="FO15" s="104"/>
      <c r="FP15" s="104"/>
      <c r="FQ15" s="104"/>
      <c r="FR15" s="104"/>
      <c r="FS15" s="104"/>
    </row>
    <row r="16" spans="1:175" ht="30" customHeight="1" x14ac:dyDescent="0.2">
      <c r="C16" s="108" t="s">
        <v>17</v>
      </c>
      <c r="D16" s="106"/>
      <c r="E16" s="106"/>
      <c r="F16" s="65">
        <v>5.5E-2</v>
      </c>
      <c r="G16" s="41"/>
      <c r="H16" s="46"/>
      <c r="I16" s="46"/>
      <c r="J16" s="46"/>
      <c r="K16" s="46"/>
      <c r="L16" s="46"/>
      <c r="O16" s="26" t="s">
        <v>50</v>
      </c>
      <c r="P16" s="74" t="s">
        <v>51</v>
      </c>
      <c r="Q16" s="74">
        <v>2024</v>
      </c>
      <c r="R16" s="90">
        <v>2025</v>
      </c>
      <c r="S16" s="74">
        <v>2026</v>
      </c>
      <c r="T16" s="90">
        <v>2027</v>
      </c>
      <c r="U16" s="74">
        <v>2028</v>
      </c>
      <c r="V16" s="90">
        <v>2029</v>
      </c>
      <c r="W16"/>
      <c r="X16"/>
      <c r="Y16"/>
    </row>
    <row r="17" spans="1:25" x14ac:dyDescent="0.2">
      <c r="C17" s="41" t="s">
        <v>16</v>
      </c>
      <c r="D17" s="41"/>
      <c r="E17" s="41"/>
      <c r="F17" s="37">
        <v>0.71</v>
      </c>
      <c r="G17" s="41"/>
      <c r="H17" s="46"/>
      <c r="I17" s="46"/>
      <c r="J17" s="46"/>
      <c r="K17" s="46"/>
      <c r="L17" s="46"/>
      <c r="O17" t="s">
        <v>52</v>
      </c>
      <c r="P17" s="71">
        <v>1</v>
      </c>
      <c r="Q17" s="73">
        <v>22537</v>
      </c>
      <c r="R17" s="83">
        <f>Q17*(1+R7)</f>
        <v>22987.74</v>
      </c>
      <c r="S17" s="83">
        <f t="shared" ref="S17:V17" si="0">R17*(1+S7)</f>
        <v>23562.433499999999</v>
      </c>
      <c r="T17" s="83">
        <f t="shared" si="0"/>
        <v>24151.494337499997</v>
      </c>
      <c r="U17" s="83">
        <f t="shared" si="0"/>
        <v>24634.524224249995</v>
      </c>
      <c r="V17" s="83">
        <f t="shared" si="0"/>
        <v>25004.042087613743</v>
      </c>
      <c r="W17"/>
      <c r="X17"/>
      <c r="Y17"/>
    </row>
    <row r="18" spans="1:25" x14ac:dyDescent="0.2">
      <c r="C18" s="41" t="s">
        <v>23</v>
      </c>
      <c r="D18" s="41"/>
      <c r="E18" s="41"/>
      <c r="F18" s="39">
        <v>4.54</v>
      </c>
      <c r="G18" s="41"/>
      <c r="H18" s="47"/>
      <c r="I18" s="41"/>
      <c r="J18" s="41"/>
      <c r="K18" s="41"/>
      <c r="L18" s="41"/>
      <c r="O18" t="s">
        <v>53</v>
      </c>
      <c r="P18" s="68">
        <f>Q18/$Q$17</f>
        <v>4.1931046723166346E-2</v>
      </c>
      <c r="Q18" s="19">
        <v>945</v>
      </c>
      <c r="R18" s="83">
        <f>$P$18*R17</f>
        <v>963.9</v>
      </c>
      <c r="S18" s="83">
        <f>$P$18*S17</f>
        <v>987.99749999999995</v>
      </c>
      <c r="T18" s="83">
        <f>$P$18*T17</f>
        <v>1012.6974374999998</v>
      </c>
      <c r="U18" s="83">
        <f>$P$18*U17</f>
        <v>1032.9513862499998</v>
      </c>
      <c r="V18" s="83">
        <f>$P$18*V17</f>
        <v>1048.4456570437496</v>
      </c>
      <c r="W18"/>
      <c r="X18"/>
      <c r="Y18"/>
    </row>
    <row r="19" spans="1:25" ht="46" customHeight="1" x14ac:dyDescent="0.2">
      <c r="C19" s="108" t="s">
        <v>39</v>
      </c>
      <c r="D19" s="106"/>
      <c r="E19" s="106"/>
      <c r="F19" s="67">
        <v>11432.3</v>
      </c>
      <c r="G19" s="41"/>
      <c r="H19" s="41"/>
      <c r="I19" s="41"/>
      <c r="J19" s="41"/>
      <c r="K19" s="41"/>
      <c r="L19" s="41"/>
      <c r="O19" s="2" t="s">
        <v>54</v>
      </c>
      <c r="P19"/>
      <c r="Q19" s="80">
        <v>23482</v>
      </c>
      <c r="R19" s="87">
        <f>R17+R18</f>
        <v>23951.640000000003</v>
      </c>
      <c r="S19" s="87">
        <f t="shared" ref="S19:V19" si="1">S17+S18</f>
        <v>24550.431</v>
      </c>
      <c r="T19" s="87">
        <f t="shared" si="1"/>
        <v>25164.191774999996</v>
      </c>
      <c r="U19" s="87">
        <f t="shared" si="1"/>
        <v>25667.475610499994</v>
      </c>
      <c r="V19" s="87">
        <f t="shared" si="1"/>
        <v>26052.487744657494</v>
      </c>
      <c r="W19"/>
      <c r="X19"/>
      <c r="Y19"/>
    </row>
    <row r="20" spans="1:25" x14ac:dyDescent="0.2">
      <c r="C20" s="41" t="s">
        <v>24</v>
      </c>
      <c r="D20" s="41"/>
      <c r="E20" s="41"/>
      <c r="F20" s="40">
        <v>1000000</v>
      </c>
      <c r="G20" s="41"/>
      <c r="H20" s="48"/>
      <c r="I20" s="41"/>
      <c r="J20" s="41"/>
      <c r="K20" s="41"/>
      <c r="L20" s="41"/>
      <c r="O20" t="s">
        <v>55</v>
      </c>
      <c r="P20" s="68">
        <f>Q20/$Q$17</f>
        <v>-0.6585614766827883</v>
      </c>
      <c r="Q20" s="19">
        <v>-14842</v>
      </c>
      <c r="R20" s="83">
        <f>$P$20*R17</f>
        <v>-15138.840000000002</v>
      </c>
      <c r="S20" s="83">
        <f>$P$20*S17</f>
        <v>-15517.311</v>
      </c>
      <c r="T20" s="83">
        <f>$P$20*T17</f>
        <v>-15905.243774999997</v>
      </c>
      <c r="U20" s="83">
        <f>$P$20*U17</f>
        <v>-16223.348650499996</v>
      </c>
      <c r="V20" s="83">
        <f>$P$20*V17</f>
        <v>-16466.698880257496</v>
      </c>
      <c r="W20"/>
      <c r="X20"/>
      <c r="Y20"/>
    </row>
    <row r="21" spans="1:25" ht="16" x14ac:dyDescent="0.2">
      <c r="G21" s="1"/>
      <c r="H21" s="1"/>
      <c r="I21" s="1"/>
      <c r="J21" s="1"/>
      <c r="K21" s="1"/>
      <c r="L21" s="1"/>
      <c r="O21" s="74" t="s">
        <v>56</v>
      </c>
      <c r="P21"/>
      <c r="Q21" s="80">
        <v>8640</v>
      </c>
      <c r="R21" s="87">
        <f>R19+R20</f>
        <v>8812.8000000000011</v>
      </c>
      <c r="S21" s="87">
        <f t="shared" ref="S21:V21" si="2">S19+S20</f>
        <v>9033.1200000000008</v>
      </c>
      <c r="T21" s="87">
        <f t="shared" si="2"/>
        <v>9258.9479999999985</v>
      </c>
      <c r="U21" s="87">
        <f t="shared" si="2"/>
        <v>9444.1269599999978</v>
      </c>
      <c r="V21" s="87">
        <f t="shared" si="2"/>
        <v>9585.7888643999977</v>
      </c>
      <c r="W21"/>
      <c r="X21"/>
      <c r="Y21"/>
    </row>
    <row r="22" spans="1:25" x14ac:dyDescent="0.2">
      <c r="A22" s="2"/>
      <c r="C22" s="2"/>
      <c r="D22" s="1"/>
      <c r="E22" s="1"/>
      <c r="F22" s="1"/>
      <c r="G22" s="1"/>
      <c r="H22" s="1"/>
      <c r="I22" s="1"/>
      <c r="J22" s="1"/>
      <c r="K22" s="1"/>
      <c r="L22" s="1"/>
      <c r="O22" t="s">
        <v>57</v>
      </c>
      <c r="P22" s="68">
        <f>Q22/$Q$17</f>
        <v>-0.13524426498646669</v>
      </c>
      <c r="Q22" s="19">
        <v>-3048</v>
      </c>
      <c r="R22" s="86">
        <f>$P$22*R17</f>
        <v>-3108.96</v>
      </c>
      <c r="S22" s="86">
        <f>$P$22*S17</f>
        <v>-3186.6839999999997</v>
      </c>
      <c r="T22" s="86">
        <f>$P$22*T17</f>
        <v>-3266.3510999999994</v>
      </c>
      <c r="U22" s="86">
        <f>$P$22*U17</f>
        <v>-3331.6781219999989</v>
      </c>
      <c r="V22" s="86">
        <f>$P$22*V17</f>
        <v>-3381.6532938299988</v>
      </c>
      <c r="W22"/>
      <c r="X22"/>
      <c r="Y22"/>
    </row>
    <row r="23" spans="1:25" x14ac:dyDescent="0.2">
      <c r="D23" s="1"/>
      <c r="E23" s="1"/>
      <c r="F23" s="1"/>
      <c r="G23" s="1"/>
      <c r="H23" s="1"/>
      <c r="I23" s="1"/>
      <c r="J23" s="1"/>
      <c r="K23" s="1"/>
      <c r="L23" s="1"/>
      <c r="O23" t="s">
        <v>58</v>
      </c>
      <c r="P23" s="68">
        <f>Q23/$Q$17</f>
        <v>-6.3495585037937619E-2</v>
      </c>
      <c r="Q23" s="19">
        <v>-1431</v>
      </c>
      <c r="R23" s="83">
        <f>$P$23*R17</f>
        <v>-1459.6200000000001</v>
      </c>
      <c r="S23" s="83">
        <f>$P$23*S17</f>
        <v>-1496.1105</v>
      </c>
      <c r="T23" s="83">
        <f>$P$23*T17</f>
        <v>-1533.5132624999999</v>
      </c>
      <c r="U23" s="83">
        <f>$P$23*U17</f>
        <v>-1564.1835277499997</v>
      </c>
      <c r="V23" s="83">
        <f>$P$23*V17</f>
        <v>-1587.6462806662496</v>
      </c>
      <c r="W23"/>
      <c r="X23"/>
      <c r="Y23"/>
    </row>
    <row r="24" spans="1:25" ht="16" x14ac:dyDescent="0.2">
      <c r="A24" s="2"/>
      <c r="C24" s="2" t="s">
        <v>34</v>
      </c>
      <c r="O24" s="74" t="s">
        <v>59</v>
      </c>
      <c r="P24"/>
      <c r="Q24" s="80">
        <v>-4479</v>
      </c>
      <c r="R24" s="88">
        <f>R22+R23</f>
        <v>-4568.58</v>
      </c>
      <c r="S24" s="88">
        <f t="shared" ref="S24:V24" si="3">S22+S23</f>
        <v>-4682.7945</v>
      </c>
      <c r="T24" s="88">
        <f t="shared" si="3"/>
        <v>-4799.8643624999995</v>
      </c>
      <c r="U24" s="88">
        <f t="shared" si="3"/>
        <v>-4895.8616497499988</v>
      </c>
      <c r="V24" s="88">
        <f t="shared" si="3"/>
        <v>-4969.2995744962482</v>
      </c>
      <c r="W24"/>
      <c r="X24"/>
      <c r="Y24"/>
    </row>
    <row r="25" spans="1:25" ht="16" x14ac:dyDescent="0.2">
      <c r="C25" t="s">
        <v>13</v>
      </c>
      <c r="G25" s="66">
        <f>F15+F17*F16</f>
        <v>8.3250000000000005E-2</v>
      </c>
      <c r="H25" s="24"/>
      <c r="I25" s="24"/>
      <c r="J25" s="24"/>
      <c r="K25" s="24"/>
      <c r="L25" s="24"/>
      <c r="O25" s="74" t="s">
        <v>60</v>
      </c>
      <c r="P25"/>
      <c r="Q25" s="80">
        <v>4161</v>
      </c>
      <c r="R25" s="89">
        <f>R21+R24</f>
        <v>4244.2200000000012</v>
      </c>
      <c r="S25" s="89">
        <f t="shared" ref="S25:V25" si="4">S21+S24</f>
        <v>4350.3255000000008</v>
      </c>
      <c r="T25" s="89">
        <f t="shared" si="4"/>
        <v>4459.083637499999</v>
      </c>
      <c r="U25" s="89">
        <f t="shared" si="4"/>
        <v>4548.2653102499989</v>
      </c>
      <c r="V25" s="89">
        <f t="shared" si="4"/>
        <v>4616.4892899037495</v>
      </c>
      <c r="W25"/>
      <c r="X25"/>
      <c r="Y25"/>
    </row>
    <row r="26" spans="1:25" x14ac:dyDescent="0.2">
      <c r="C26" t="s">
        <v>26</v>
      </c>
      <c r="G26" s="6">
        <f>-Q104</f>
        <v>16968</v>
      </c>
      <c r="O26" s="75" t="s">
        <v>61</v>
      </c>
      <c r="P26" s="81">
        <f>Q26/$Q$17</f>
        <v>4.9696055375604564E-3</v>
      </c>
      <c r="Q26" s="76">
        <v>112</v>
      </c>
      <c r="R26" s="76">
        <f>$P$26*R17</f>
        <v>114.24000000000001</v>
      </c>
      <c r="S26" s="76">
        <f>$P$26*S17</f>
        <v>117.096</v>
      </c>
      <c r="T26" s="76">
        <f>$P$26*T17</f>
        <v>120.0234</v>
      </c>
      <c r="U26" s="76">
        <f>$P$26*U17</f>
        <v>122.42386799999998</v>
      </c>
      <c r="V26" s="76">
        <f>$P$26*V17</f>
        <v>124.26022601999998</v>
      </c>
      <c r="W26"/>
      <c r="X26"/>
      <c r="Y26"/>
    </row>
    <row r="27" spans="1:25" x14ac:dyDescent="0.2">
      <c r="C27" t="s">
        <v>27</v>
      </c>
      <c r="G27" s="6">
        <f>F18*F19</f>
        <v>51902.642</v>
      </c>
      <c r="O27" t="s">
        <v>62</v>
      </c>
      <c r="P27" t="s">
        <v>71</v>
      </c>
      <c r="Q27" s="77">
        <v>-696</v>
      </c>
      <c r="R27" s="83">
        <f>-$P$10*(Q58+Q64)</f>
        <v>-941.72400000000005</v>
      </c>
      <c r="S27" s="83">
        <f>-$P$10*(R58+R64)</f>
        <v>-948.88605205872034</v>
      </c>
      <c r="T27" s="83">
        <f>-$P$10*(S58+S64)</f>
        <v>-965.03383681792707</v>
      </c>
      <c r="U27" s="83">
        <f>-$P$10*(T58+T64)</f>
        <v>-981.51548731565344</v>
      </c>
      <c r="V27" s="83">
        <f>-$P$10*(U58+U64)</f>
        <v>-988.34074776194143</v>
      </c>
      <c r="W27"/>
      <c r="X27"/>
      <c r="Y27"/>
    </row>
    <row r="28" spans="1:25" x14ac:dyDescent="0.2">
      <c r="C28" t="s">
        <v>14</v>
      </c>
      <c r="G28" s="6">
        <f>Q105</f>
        <v>30528.938181062316</v>
      </c>
      <c r="O28" t="s">
        <v>63</v>
      </c>
      <c r="P28" t="s">
        <v>71</v>
      </c>
      <c r="Q28" s="77">
        <v>-584</v>
      </c>
      <c r="R28" s="83">
        <f>R26+R27</f>
        <v>-827.48400000000004</v>
      </c>
      <c r="S28" s="83">
        <f t="shared" ref="S28:V28" si="5">S26+S27</f>
        <v>-831.79005205872033</v>
      </c>
      <c r="T28" s="83">
        <f t="shared" si="5"/>
        <v>-845.01043681792703</v>
      </c>
      <c r="U28" s="83">
        <f t="shared" si="5"/>
        <v>-859.09161931565347</v>
      </c>
      <c r="V28" s="83">
        <f t="shared" si="5"/>
        <v>-864.08052174194142</v>
      </c>
      <c r="W28"/>
      <c r="X28"/>
      <c r="Y28"/>
    </row>
    <row r="29" spans="1:25" ht="30" customHeight="1" x14ac:dyDescent="0.2">
      <c r="C29" s="106" t="s">
        <v>28</v>
      </c>
      <c r="D29" s="106"/>
      <c r="E29" s="106"/>
      <c r="F29" s="106"/>
      <c r="G29" s="66">
        <f>G26/(G26+G27)</f>
        <v>0.2463749357817806</v>
      </c>
      <c r="O29" s="74" t="s">
        <v>64</v>
      </c>
      <c r="P29"/>
      <c r="Q29" s="79">
        <v>3577</v>
      </c>
      <c r="R29" s="88">
        <f>R25+R28</f>
        <v>3416.7360000000012</v>
      </c>
      <c r="S29" s="88">
        <f t="shared" ref="S29:V29" si="6">S25+S28</f>
        <v>3518.5354479412804</v>
      </c>
      <c r="T29" s="88">
        <f t="shared" si="6"/>
        <v>3614.0732006820717</v>
      </c>
      <c r="U29" s="88">
        <f t="shared" si="6"/>
        <v>3689.1736909343454</v>
      </c>
      <c r="V29" s="88">
        <f t="shared" si="6"/>
        <v>3752.408768161808</v>
      </c>
      <c r="W29"/>
      <c r="X29"/>
      <c r="Y29"/>
    </row>
    <row r="30" spans="1:25" x14ac:dyDescent="0.2">
      <c r="C30" t="s">
        <v>30</v>
      </c>
      <c r="G30" s="66">
        <f>F14*(1-F12)*(G26/(G27+G26)) + G25*(G27/(G26+G27))</f>
        <v>7.2310952851288954E-2</v>
      </c>
      <c r="O30" t="s">
        <v>65</v>
      </c>
      <c r="P30" t="s">
        <v>71</v>
      </c>
      <c r="Q30" s="77">
        <v>-677</v>
      </c>
      <c r="R30" s="83">
        <f>-$P$9*R29</f>
        <v>-1025.0208000000002</v>
      </c>
      <c r="S30" s="83">
        <f>-$P$9*S29</f>
        <v>-1055.560634382384</v>
      </c>
      <c r="T30" s="83">
        <f>-$P$9*T29</f>
        <v>-1084.2219602046214</v>
      </c>
      <c r="U30" s="83">
        <f>-$P$9*U29</f>
        <v>-1106.7521072803036</v>
      </c>
      <c r="V30" s="83">
        <f>-$P$9*V29</f>
        <v>-1125.7226304485423</v>
      </c>
      <c r="W30"/>
      <c r="X30"/>
      <c r="Y30"/>
    </row>
    <row r="31" spans="1:25" x14ac:dyDescent="0.2">
      <c r="C31" s="109" t="s">
        <v>128</v>
      </c>
      <c r="D31" s="106"/>
      <c r="E31" s="106"/>
      <c r="F31" s="106"/>
      <c r="G31" s="66">
        <v>7.2310952851288954E-2</v>
      </c>
      <c r="O31" s="2" t="s">
        <v>66</v>
      </c>
      <c r="P31" s="2"/>
      <c r="Q31" s="78">
        <v>2900</v>
      </c>
      <c r="R31" s="82">
        <f>R29+R30</f>
        <v>2391.715200000001</v>
      </c>
      <c r="S31" s="82">
        <f t="shared" ref="S31:V31" si="7">S29+S30</f>
        <v>2462.9748135588961</v>
      </c>
      <c r="T31" s="82">
        <f t="shared" si="7"/>
        <v>2529.8512404774501</v>
      </c>
      <c r="U31" s="82">
        <f t="shared" si="7"/>
        <v>2582.4215836540416</v>
      </c>
      <c r="V31" s="82">
        <f t="shared" si="7"/>
        <v>2626.6861377132655</v>
      </c>
      <c r="W31"/>
      <c r="X31"/>
      <c r="Y31"/>
    </row>
    <row r="32" spans="1:25" x14ac:dyDescent="0.2">
      <c r="D32" s="1"/>
      <c r="E32" s="1"/>
      <c r="F32" s="1"/>
      <c r="G32" s="1"/>
      <c r="H32" s="1"/>
      <c r="I32" s="1"/>
      <c r="J32" s="1"/>
      <c r="K32" s="1"/>
      <c r="L32" s="1"/>
      <c r="O32" t="s">
        <v>67</v>
      </c>
      <c r="P32" t="s">
        <v>71</v>
      </c>
      <c r="Q32" s="77">
        <v>-1112</v>
      </c>
      <c r="R32" s="83">
        <f>0</f>
        <v>0</v>
      </c>
      <c r="S32" s="83">
        <f>0</f>
        <v>0</v>
      </c>
      <c r="T32" s="83">
        <f>0</f>
        <v>0</v>
      </c>
      <c r="U32" s="83">
        <f>0</f>
        <v>0</v>
      </c>
      <c r="V32" s="83">
        <f>0</f>
        <v>0</v>
      </c>
      <c r="W32"/>
      <c r="X32"/>
      <c r="Y32"/>
    </row>
    <row r="33" spans="1:25" x14ac:dyDescent="0.2">
      <c r="A33" s="2"/>
      <c r="C33" s="2" t="s">
        <v>7</v>
      </c>
      <c r="D33" s="1"/>
      <c r="E33" s="1"/>
      <c r="F33" s="1"/>
      <c r="G33" s="1"/>
      <c r="H33" s="1"/>
      <c r="I33" s="1"/>
      <c r="J33" s="1"/>
      <c r="K33" s="1"/>
      <c r="L33" s="1"/>
      <c r="O33" t="s">
        <v>68</v>
      </c>
      <c r="P33" t="s">
        <v>71</v>
      </c>
      <c r="Q33" s="77">
        <v>0</v>
      </c>
      <c r="R33" s="83">
        <f>0</f>
        <v>0</v>
      </c>
      <c r="S33" s="83">
        <f>0</f>
        <v>0</v>
      </c>
      <c r="T33" s="83">
        <f>0</f>
        <v>0</v>
      </c>
      <c r="U33" s="83">
        <f>0</f>
        <v>0</v>
      </c>
      <c r="V33" s="83">
        <f>0</f>
        <v>0</v>
      </c>
      <c r="W33"/>
      <c r="X33"/>
      <c r="Y33"/>
    </row>
    <row r="34" spans="1:25" x14ac:dyDescent="0.2">
      <c r="C34" t="s">
        <v>40</v>
      </c>
      <c r="D34" s="4"/>
      <c r="E34" s="4"/>
      <c r="F34" s="20"/>
      <c r="G34" s="6">
        <f t="shared" ref="G34:L34" si="8">Q79</f>
        <v>35954</v>
      </c>
      <c r="H34" s="6">
        <f t="shared" si="8"/>
        <v>36673.08</v>
      </c>
      <c r="I34" s="6">
        <f t="shared" si="8"/>
        <v>37589.907000000007</v>
      </c>
      <c r="J34" s="6">
        <f t="shared" si="8"/>
        <v>38529.654674999998</v>
      </c>
      <c r="K34" s="6">
        <f t="shared" si="8"/>
        <v>39300.24776849999</v>
      </c>
      <c r="L34" s="6">
        <f t="shared" si="8"/>
        <v>39889.751485027497</v>
      </c>
      <c r="O34" s="2" t="s">
        <v>69</v>
      </c>
      <c r="P34"/>
      <c r="Q34" s="78">
        <v>-1112</v>
      </c>
      <c r="R34" s="82">
        <f>R32+R33</f>
        <v>0</v>
      </c>
      <c r="S34" s="82">
        <f t="shared" ref="S34:V34" si="9">S32+S33</f>
        <v>0</v>
      </c>
      <c r="T34" s="82">
        <f t="shared" si="9"/>
        <v>0</v>
      </c>
      <c r="U34" s="82">
        <f t="shared" si="9"/>
        <v>0</v>
      </c>
      <c r="V34" s="82">
        <f t="shared" si="9"/>
        <v>0</v>
      </c>
      <c r="W34"/>
      <c r="X34"/>
      <c r="Y34"/>
    </row>
    <row r="35" spans="1:25" ht="16" x14ac:dyDescent="0.2">
      <c r="C35" t="s">
        <v>20</v>
      </c>
      <c r="D35" s="4"/>
      <c r="E35" s="4"/>
      <c r="F35" s="20"/>
      <c r="G35" s="6">
        <f t="shared" ref="G35:L35" si="10">Q85</f>
        <v>-2237</v>
      </c>
      <c r="H35" s="6">
        <f t="shared" si="10"/>
        <v>-2281.7400000000016</v>
      </c>
      <c r="I35" s="6">
        <f t="shared" si="10"/>
        <v>-2338.7834999999995</v>
      </c>
      <c r="J35" s="6">
        <f t="shared" si="10"/>
        <v>-2397.2530875000002</v>
      </c>
      <c r="K35" s="6">
        <f t="shared" si="10"/>
        <v>-2445.1981492500008</v>
      </c>
      <c r="L35" s="6">
        <f t="shared" si="10"/>
        <v>-2481.8761214887509</v>
      </c>
      <c r="O35" s="74" t="s">
        <v>70</v>
      </c>
      <c r="P35"/>
      <c r="Q35" s="79">
        <v>1788</v>
      </c>
      <c r="R35" s="88">
        <f>R31+R34</f>
        <v>2391.715200000001</v>
      </c>
      <c r="S35" s="88">
        <f t="shared" ref="S35:V35" si="11">S31+S34</f>
        <v>2462.9748135588961</v>
      </c>
      <c r="T35" s="88">
        <f t="shared" si="11"/>
        <v>2529.8512404774501</v>
      </c>
      <c r="U35" s="88">
        <f t="shared" si="11"/>
        <v>2582.4215836540416</v>
      </c>
      <c r="V35" s="88">
        <f t="shared" si="11"/>
        <v>2626.6861377132655</v>
      </c>
      <c r="W35"/>
      <c r="X35"/>
      <c r="Y35"/>
    </row>
    <row r="36" spans="1:25" x14ac:dyDescent="0.2">
      <c r="C36" t="s">
        <v>21</v>
      </c>
      <c r="D36" s="18"/>
      <c r="E36" s="18"/>
      <c r="F36" s="18"/>
      <c r="G36" s="18"/>
      <c r="H36" s="6">
        <f t="shared" ref="H36:L41" si="12">R90</f>
        <v>4244.2200000000012</v>
      </c>
      <c r="I36" s="6">
        <f t="shared" si="12"/>
        <v>4350.3255000000008</v>
      </c>
      <c r="J36" s="6">
        <f t="shared" si="12"/>
        <v>4459.083637499999</v>
      </c>
      <c r="K36" s="6">
        <f t="shared" si="12"/>
        <v>4548.2653102499989</v>
      </c>
      <c r="L36" s="6">
        <f t="shared" si="12"/>
        <v>4616.4892899037495</v>
      </c>
      <c r="O36"/>
      <c r="P36"/>
      <c r="Q36" s="77"/>
      <c r="R36" s="20"/>
      <c r="S36" s="19"/>
      <c r="T36" s="19"/>
      <c r="U36" s="19"/>
      <c r="V36" s="19"/>
      <c r="W36"/>
      <c r="X36"/>
      <c r="Y36"/>
    </row>
    <row r="37" spans="1:25" x14ac:dyDescent="0.2">
      <c r="C37" t="s">
        <v>11</v>
      </c>
      <c r="D37" s="18"/>
      <c r="E37" s="18"/>
      <c r="F37" s="18"/>
      <c r="G37" s="18"/>
      <c r="H37" s="6">
        <f t="shared" si="12"/>
        <v>-1273.2660000000003</v>
      </c>
      <c r="I37" s="6">
        <f t="shared" si="12"/>
        <v>-1305.0976500000002</v>
      </c>
      <c r="J37" s="6">
        <f t="shared" si="12"/>
        <v>-1337.7250912499997</v>
      </c>
      <c r="K37" s="6">
        <f t="shared" si="12"/>
        <v>-1364.4795930749997</v>
      </c>
      <c r="L37" s="6">
        <f t="shared" si="12"/>
        <v>-1384.9467869711248</v>
      </c>
      <c r="O37"/>
      <c r="P37"/>
      <c r="Q37" s="77"/>
      <c r="R37" s="20"/>
      <c r="S37" s="19"/>
      <c r="T37" s="19"/>
      <c r="U37" s="19"/>
      <c r="V37" s="19"/>
      <c r="W37"/>
      <c r="X37"/>
      <c r="Y37"/>
    </row>
    <row r="38" spans="1:25" ht="16" x14ac:dyDescent="0.2">
      <c r="C38" t="s">
        <v>22</v>
      </c>
      <c r="D38" s="4"/>
      <c r="E38" s="4"/>
      <c r="F38" s="4"/>
      <c r="G38" s="4"/>
      <c r="H38" s="6">
        <f t="shared" si="12"/>
        <v>4568.58</v>
      </c>
      <c r="I38" s="6">
        <f t="shared" si="12"/>
        <v>4682.7945</v>
      </c>
      <c r="J38" s="6">
        <f t="shared" si="12"/>
        <v>4799.8643624999995</v>
      </c>
      <c r="K38" s="6">
        <f t="shared" si="12"/>
        <v>4895.8616497499988</v>
      </c>
      <c r="L38" s="6">
        <f t="shared" si="12"/>
        <v>4969.2995744962482</v>
      </c>
      <c r="O38" s="26" t="s">
        <v>72</v>
      </c>
      <c r="P38" s="74" t="s">
        <v>51</v>
      </c>
      <c r="Q38" s="74">
        <v>2024</v>
      </c>
      <c r="R38" s="90">
        <v>2025</v>
      </c>
      <c r="S38" s="74">
        <v>2026</v>
      </c>
      <c r="T38" s="90">
        <v>2027</v>
      </c>
      <c r="U38" s="74">
        <v>2028</v>
      </c>
      <c r="V38" s="90">
        <v>2029</v>
      </c>
      <c r="W38"/>
      <c r="X38"/>
      <c r="Y38"/>
    </row>
    <row r="39" spans="1:25" x14ac:dyDescent="0.2">
      <c r="C39" t="s">
        <v>15</v>
      </c>
      <c r="D39" s="4"/>
      <c r="E39" s="4"/>
      <c r="F39" s="4"/>
      <c r="G39" s="4"/>
      <c r="H39" s="6">
        <f t="shared" si="12"/>
        <v>-5287.6600000000017</v>
      </c>
      <c r="I39" s="6">
        <f t="shared" si="12"/>
        <v>-5599.6215000000047</v>
      </c>
      <c r="J39" s="6">
        <f t="shared" si="12"/>
        <v>-5739.6120374999909</v>
      </c>
      <c r="K39" s="6">
        <f t="shared" si="12"/>
        <v>-5666.4547432499912</v>
      </c>
      <c r="L39" s="6">
        <f t="shared" si="12"/>
        <v>-5558.8032910237544</v>
      </c>
      <c r="O39" t="s">
        <v>73</v>
      </c>
      <c r="P39" s="68">
        <f t="shared" ref="P39:P45" si="13">Q39/$Q$17</f>
        <v>4.6412566002573548E-2</v>
      </c>
      <c r="Q39" s="77">
        <v>1046</v>
      </c>
      <c r="R39" s="85">
        <f>$P$39*R17</f>
        <v>1066.92</v>
      </c>
      <c r="S39" s="85">
        <f>$P$39*S17</f>
        <v>1093.5930000000001</v>
      </c>
      <c r="T39" s="85">
        <f>$P$39*T17</f>
        <v>1120.9328249999999</v>
      </c>
      <c r="U39" s="85">
        <f>$P$39*U17</f>
        <v>1143.3514814999999</v>
      </c>
      <c r="V39" s="85">
        <f>$P$39*V17</f>
        <v>1160.5017537224996</v>
      </c>
      <c r="W39"/>
      <c r="X39"/>
      <c r="Y39"/>
    </row>
    <row r="40" spans="1:25" x14ac:dyDescent="0.2">
      <c r="C40" t="s">
        <v>12</v>
      </c>
      <c r="D40" s="4"/>
      <c r="E40" s="4"/>
      <c r="F40" s="4"/>
      <c r="G40" s="4"/>
      <c r="H40" s="6">
        <f t="shared" si="12"/>
        <v>44.740000000001601</v>
      </c>
      <c r="I40" s="6">
        <f t="shared" si="12"/>
        <v>57.043499999997948</v>
      </c>
      <c r="J40" s="6">
        <f t="shared" si="12"/>
        <v>58.469587500000671</v>
      </c>
      <c r="K40" s="6">
        <f t="shared" si="12"/>
        <v>47.945061750000605</v>
      </c>
      <c r="L40" s="6">
        <f t="shared" si="12"/>
        <v>36.677972238750044</v>
      </c>
      <c r="O40" t="s">
        <v>74</v>
      </c>
      <c r="P40" s="68">
        <f t="shared" si="13"/>
        <v>0.16985401783733417</v>
      </c>
      <c r="Q40" s="77">
        <v>3828</v>
      </c>
      <c r="R40" s="83">
        <f>$P$40*R17</f>
        <v>3904.5600000000004</v>
      </c>
      <c r="S40" s="83">
        <f>$P$40*S17</f>
        <v>4002.174</v>
      </c>
      <c r="T40" s="83">
        <f>$P$40*T17</f>
        <v>4102.2283499999994</v>
      </c>
      <c r="U40" s="83">
        <f>$P$40*U17</f>
        <v>4184.2729169999993</v>
      </c>
      <c r="V40" s="83">
        <f>$P$40*V17</f>
        <v>4247.0370107549988</v>
      </c>
      <c r="W40"/>
      <c r="X40"/>
      <c r="Y40"/>
    </row>
    <row r="41" spans="1:25" x14ac:dyDescent="0.2">
      <c r="C41" t="s">
        <v>7</v>
      </c>
      <c r="H41" s="29">
        <f t="shared" si="12"/>
        <v>2296.6140000000005</v>
      </c>
      <c r="I41" s="29">
        <f t="shared" si="12"/>
        <v>2185.4443499999943</v>
      </c>
      <c r="J41" s="29">
        <f t="shared" si="12"/>
        <v>2240.0804587500088</v>
      </c>
      <c r="K41" s="29">
        <f t="shared" si="12"/>
        <v>2461.1376854250075</v>
      </c>
      <c r="L41" s="29">
        <f t="shared" si="12"/>
        <v>2678.7167586438691</v>
      </c>
      <c r="O41" t="s">
        <v>75</v>
      </c>
      <c r="P41" s="68">
        <f t="shared" si="13"/>
        <v>1.3666415228291255E-2</v>
      </c>
      <c r="Q41" s="73">
        <v>308</v>
      </c>
      <c r="R41" s="83">
        <f>$P$41*R17</f>
        <v>314.16000000000003</v>
      </c>
      <c r="S41" s="83">
        <f>$P$41*S17</f>
        <v>322.01400000000001</v>
      </c>
      <c r="T41" s="83">
        <f>$P$41*T17</f>
        <v>330.06434999999999</v>
      </c>
      <c r="U41" s="83">
        <f>$P$41*U17</f>
        <v>336.66563699999995</v>
      </c>
      <c r="V41" s="83">
        <f>$P$41*V17</f>
        <v>341.71562155499993</v>
      </c>
      <c r="W41"/>
      <c r="X41"/>
      <c r="Y41"/>
    </row>
    <row r="42" spans="1:25" x14ac:dyDescent="0.2">
      <c r="O42" t="s">
        <v>76</v>
      </c>
      <c r="P42" s="68">
        <f t="shared" si="13"/>
        <v>2.2984425611217111E-2</v>
      </c>
      <c r="Q42" s="73">
        <v>518</v>
      </c>
      <c r="R42" s="83">
        <f>$P$42*R17</f>
        <v>528.36</v>
      </c>
      <c r="S42" s="83">
        <f>$P$42*S17</f>
        <v>541.56899999999996</v>
      </c>
      <c r="T42" s="83">
        <f>$P$42*T17</f>
        <v>555.10822499999995</v>
      </c>
      <c r="U42" s="83">
        <f>$P$42*U17</f>
        <v>566.21038949999991</v>
      </c>
      <c r="V42" s="83">
        <f>$P$42*V17</f>
        <v>574.70354534249987</v>
      </c>
      <c r="W42"/>
      <c r="X42"/>
      <c r="Y42"/>
    </row>
    <row r="43" spans="1:25" x14ac:dyDescent="0.2">
      <c r="A43" s="2"/>
      <c r="C43" s="2" t="s">
        <v>33</v>
      </c>
      <c r="O43" t="s">
        <v>77</v>
      </c>
      <c r="P43" s="68">
        <f t="shared" si="13"/>
        <v>1.0294182899232373E-2</v>
      </c>
      <c r="Q43" s="73">
        <v>232</v>
      </c>
      <c r="R43" s="83">
        <f>$P$43*R17</f>
        <v>236.64000000000001</v>
      </c>
      <c r="S43" s="83">
        <f>$P$43*S17</f>
        <v>242.55599999999998</v>
      </c>
      <c r="T43" s="83">
        <f>$P$43*T17</f>
        <v>248.61989999999997</v>
      </c>
      <c r="U43" s="83">
        <f>$P$43*U17</f>
        <v>253.59229799999994</v>
      </c>
      <c r="V43" s="83">
        <f>$P$43*V17</f>
        <v>257.39618246999993</v>
      </c>
      <c r="W43"/>
      <c r="X43"/>
      <c r="Y43"/>
    </row>
    <row r="44" spans="1:25" x14ac:dyDescent="0.2">
      <c r="C44" t="s">
        <v>37</v>
      </c>
      <c r="L44" s="6">
        <f>L41*(1+F11)/(G31-F11)</f>
        <v>52231.720985549255</v>
      </c>
      <c r="O44" t="s">
        <v>78</v>
      </c>
      <c r="P44" s="68">
        <f t="shared" si="13"/>
        <v>0</v>
      </c>
      <c r="Q44" s="73">
        <v>0</v>
      </c>
      <c r="R44" s="83">
        <f>$P$44*R17</f>
        <v>0</v>
      </c>
      <c r="S44" s="83">
        <f>$P$44*S17</f>
        <v>0</v>
      </c>
      <c r="T44" s="83">
        <f>$P$44*T17</f>
        <v>0</v>
      </c>
      <c r="U44" s="83">
        <f>$P$44*U17</f>
        <v>0</v>
      </c>
      <c r="V44" s="83">
        <f>$P$44*V17</f>
        <v>0</v>
      </c>
      <c r="W44"/>
      <c r="X44"/>
      <c r="Y44"/>
    </row>
    <row r="45" spans="1:25" x14ac:dyDescent="0.2">
      <c r="C45" t="s">
        <v>8</v>
      </c>
      <c r="G45" s="6">
        <f>L44/(1+G31)^L2</f>
        <v>36840.933461041721</v>
      </c>
      <c r="O45" t="s">
        <v>79</v>
      </c>
      <c r="P45" s="68">
        <f t="shared" si="13"/>
        <v>7.7650086524382123E-3</v>
      </c>
      <c r="Q45" s="73">
        <v>175</v>
      </c>
      <c r="R45" s="83">
        <f>$P$45*R17</f>
        <v>178.5</v>
      </c>
      <c r="S45" s="83">
        <f>$P$45*S17</f>
        <v>182.96249999999998</v>
      </c>
      <c r="T45" s="83">
        <f>$P$45*T17</f>
        <v>187.53656249999997</v>
      </c>
      <c r="U45" s="83">
        <f>$P$45*U17</f>
        <v>191.28729374999995</v>
      </c>
      <c r="V45" s="83">
        <f>$P$45*V17</f>
        <v>194.15660315624993</v>
      </c>
      <c r="W45"/>
      <c r="X45"/>
      <c r="Y45"/>
    </row>
    <row r="46" spans="1:25" ht="16" x14ac:dyDescent="0.2">
      <c r="C46" t="s">
        <v>134</v>
      </c>
      <c r="H46" s="6">
        <f>H41/(1+$G$31)^H2</f>
        <v>2141.7425550800108</v>
      </c>
      <c r="I46" s="6">
        <f t="shared" ref="I46:L46" si="14">I41/(1+$G$31)^I2</f>
        <v>1900.6330114861082</v>
      </c>
      <c r="J46" s="6">
        <f>J41/(1+$G$31)^J2</f>
        <v>1816.7760308641073</v>
      </c>
      <c r="K46" s="6">
        <f t="shared" si="14"/>
        <v>1861.456717415834</v>
      </c>
      <c r="L46" s="6">
        <f t="shared" si="14"/>
        <v>1889.3964051745359</v>
      </c>
      <c r="O46" s="74" t="s">
        <v>80</v>
      </c>
      <c r="P46" s="74"/>
      <c r="Q46" s="89">
        <v>6107</v>
      </c>
      <c r="R46" s="88">
        <f>SUM(R39:R45)</f>
        <v>6229.14</v>
      </c>
      <c r="S46" s="88">
        <f t="shared" ref="S46:V46" si="15">SUM(S39:S45)</f>
        <v>6384.8684999999996</v>
      </c>
      <c r="T46" s="88">
        <f t="shared" si="15"/>
        <v>6544.490212499999</v>
      </c>
      <c r="U46" s="88">
        <f t="shared" si="15"/>
        <v>6675.3800167499985</v>
      </c>
      <c r="V46" s="88">
        <f t="shared" si="15"/>
        <v>6775.5107170012479</v>
      </c>
      <c r="W46"/>
      <c r="X46"/>
      <c r="Y46"/>
    </row>
    <row r="47" spans="1:25" x14ac:dyDescent="0.2">
      <c r="C47" t="s">
        <v>38</v>
      </c>
      <c r="G47" s="6">
        <f>SUM(H46:L46)+G45</f>
        <v>46450.938181062316</v>
      </c>
      <c r="O47" t="s">
        <v>74</v>
      </c>
      <c r="P47" s="68">
        <f t="shared" ref="P47:P54" si="16">Q47/$Q$17</f>
        <v>5.9546523494697606E-2</v>
      </c>
      <c r="Q47" s="73">
        <v>1342</v>
      </c>
      <c r="R47" s="83">
        <f>$P$47*R17</f>
        <v>1368.8400000000001</v>
      </c>
      <c r="S47" s="83">
        <f>$P$47*S17</f>
        <v>1403.0609999999999</v>
      </c>
      <c r="T47" s="83">
        <f>$P$47*T17</f>
        <v>1438.1375249999996</v>
      </c>
      <c r="U47" s="83">
        <f>$P$47*U17</f>
        <v>1466.9002754999997</v>
      </c>
      <c r="V47" s="83">
        <f>$P$47*V17</f>
        <v>1488.9037796324994</v>
      </c>
      <c r="W47"/>
      <c r="X47"/>
      <c r="Y47"/>
    </row>
    <row r="48" spans="1:25" x14ac:dyDescent="0.2">
      <c r="C48" t="s">
        <v>31</v>
      </c>
      <c r="G48" s="32">
        <f>Q39</f>
        <v>1046</v>
      </c>
      <c r="O48" t="s">
        <v>76</v>
      </c>
      <c r="P48" s="68">
        <f t="shared" si="16"/>
        <v>7.188179438257088E-3</v>
      </c>
      <c r="Q48" s="73">
        <v>162</v>
      </c>
      <c r="R48" s="86">
        <f>$P$48*R17</f>
        <v>165.24</v>
      </c>
      <c r="S48" s="86">
        <f>$P$48*S17</f>
        <v>169.37099999999998</v>
      </c>
      <c r="T48" s="86">
        <f>$P$48*T17</f>
        <v>173.60527499999998</v>
      </c>
      <c r="U48" s="86">
        <f>$P$48*U17</f>
        <v>177.07738049999995</v>
      </c>
      <c r="V48" s="86">
        <f>$P$48*V17</f>
        <v>179.73354120749994</v>
      </c>
      <c r="W48"/>
      <c r="X48"/>
      <c r="Y48"/>
    </row>
    <row r="49" spans="1:25" x14ac:dyDescent="0.2">
      <c r="C49" t="s">
        <v>9</v>
      </c>
      <c r="G49" s="6">
        <f>G47+G48-G26</f>
        <v>30528.938181062316</v>
      </c>
      <c r="O49" t="s">
        <v>77</v>
      </c>
      <c r="P49" s="68">
        <f t="shared" si="16"/>
        <v>3.9046900652260727E-2</v>
      </c>
      <c r="Q49" s="73">
        <v>880</v>
      </c>
      <c r="R49" s="83">
        <f>$P$49*R17</f>
        <v>897.6</v>
      </c>
      <c r="S49" s="83">
        <f>$P$49*S17</f>
        <v>920.04</v>
      </c>
      <c r="T49" s="83">
        <f>$P$49*T17</f>
        <v>943.04099999999983</v>
      </c>
      <c r="U49" s="83">
        <f>$P$49*U17</f>
        <v>961.90181999999982</v>
      </c>
      <c r="V49" s="83">
        <f>$P$49*V17</f>
        <v>976.33034729999974</v>
      </c>
      <c r="W49"/>
      <c r="X49"/>
      <c r="Y49"/>
    </row>
    <row r="50" spans="1:25" x14ac:dyDescent="0.2">
      <c r="C50" t="s">
        <v>35</v>
      </c>
      <c r="G50" s="17">
        <f>G49/F19</f>
        <v>2.6704108692968447</v>
      </c>
      <c r="O50" t="s">
        <v>81</v>
      </c>
      <c r="P50" s="68">
        <f t="shared" si="16"/>
        <v>1.044193992101877</v>
      </c>
      <c r="Q50" s="73">
        <v>23533</v>
      </c>
      <c r="R50" s="83">
        <f>$P$50*R17</f>
        <v>24003.660000000003</v>
      </c>
      <c r="S50" s="83">
        <f>$P$50*S17</f>
        <v>24603.751500000002</v>
      </c>
      <c r="T50" s="83">
        <f>$P$50*T17</f>
        <v>25218.8452875</v>
      </c>
      <c r="U50" s="83">
        <f>$P$50*U17</f>
        <v>25723.222193249996</v>
      </c>
      <c r="V50" s="83">
        <f>$P$50*V17</f>
        <v>26109.070526148746</v>
      </c>
      <c r="W50"/>
      <c r="X50"/>
      <c r="Y50"/>
    </row>
    <row r="51" spans="1:25" x14ac:dyDescent="0.2">
      <c r="C51" t="s">
        <v>32</v>
      </c>
      <c r="G51" s="17">
        <f>G50-F18</f>
        <v>-1.8695891307031554</v>
      </c>
      <c r="I51" s="7"/>
      <c r="O51" t="s">
        <v>82</v>
      </c>
      <c r="P51" s="68">
        <f t="shared" si="16"/>
        <v>0.38967031991835649</v>
      </c>
      <c r="Q51" s="73">
        <v>8782</v>
      </c>
      <c r="R51" s="83">
        <f>$P$51*R17</f>
        <v>8957.6400000000012</v>
      </c>
      <c r="S51" s="83">
        <f>$P$51*S17</f>
        <v>9181.5810000000001</v>
      </c>
      <c r="T51" s="83">
        <f>$P$51*T17</f>
        <v>9411.1205249999985</v>
      </c>
      <c r="U51" s="83">
        <f>$P$51*U17</f>
        <v>9599.3429354999989</v>
      </c>
      <c r="V51" s="83">
        <f>$P$51*V17</f>
        <v>9743.3330795324982</v>
      </c>
      <c r="W51"/>
      <c r="X51"/>
      <c r="Y51"/>
    </row>
    <row r="52" spans="1:25" x14ac:dyDescent="0.2">
      <c r="I52" s="7"/>
      <c r="O52" t="s">
        <v>83</v>
      </c>
      <c r="P52" s="68">
        <f t="shared" si="16"/>
        <v>0.1614678084927009</v>
      </c>
      <c r="Q52" s="73">
        <v>3639</v>
      </c>
      <c r="R52" s="83">
        <f>$P$52*R17</f>
        <v>3711.78</v>
      </c>
      <c r="S52" s="83">
        <f>$P$52*S17</f>
        <v>3804.5745000000002</v>
      </c>
      <c r="T52" s="83">
        <f>$P$52*T17</f>
        <v>3899.6888624999997</v>
      </c>
      <c r="U52" s="83">
        <f>$P$52*U17</f>
        <v>3977.6826397499995</v>
      </c>
      <c r="V52" s="83">
        <f>$P$52*V17</f>
        <v>4037.3478793462491</v>
      </c>
      <c r="W52"/>
      <c r="X52"/>
      <c r="Y52"/>
    </row>
    <row r="53" spans="1:25" x14ac:dyDescent="0.2">
      <c r="A53" s="2"/>
      <c r="C53" s="2" t="s">
        <v>129</v>
      </c>
      <c r="G53" s="66">
        <v>5.6012854054097033E-2</v>
      </c>
      <c r="I53" s="28"/>
      <c r="O53" t="s">
        <v>84</v>
      </c>
      <c r="P53" s="68">
        <f t="shared" si="16"/>
        <v>3.2834893730310155E-3</v>
      </c>
      <c r="Q53" s="73">
        <v>74</v>
      </c>
      <c r="R53" s="86">
        <f>$P$53*R17</f>
        <v>75.48</v>
      </c>
      <c r="S53" s="86">
        <f>$P$53*S17</f>
        <v>77.36699999999999</v>
      </c>
      <c r="T53" s="86">
        <f>$P$53*T17</f>
        <v>79.301174999999986</v>
      </c>
      <c r="U53" s="86">
        <f>$P$53*U17</f>
        <v>80.887198499999982</v>
      </c>
      <c r="V53" s="86">
        <f>$P$53*V17</f>
        <v>82.100506477499977</v>
      </c>
      <c r="W53"/>
      <c r="X53"/>
      <c r="Y53"/>
    </row>
    <row r="54" spans="1:25" x14ac:dyDescent="0.2">
      <c r="C54" t="s">
        <v>130</v>
      </c>
      <c r="O54" t="s">
        <v>79</v>
      </c>
      <c r="P54" s="68">
        <f t="shared" si="16"/>
        <v>4.5746993832364559E-2</v>
      </c>
      <c r="Q54" s="73">
        <v>1031</v>
      </c>
      <c r="R54" s="86">
        <f>$P$54*R17</f>
        <v>1051.6200000000001</v>
      </c>
      <c r="S54" s="86">
        <f>$P$54*S17</f>
        <v>1077.9105</v>
      </c>
      <c r="T54" s="86">
        <f>$P$54*T17</f>
        <v>1104.8582624999999</v>
      </c>
      <c r="U54" s="86">
        <f>$P$54*U17</f>
        <v>1126.9554277499999</v>
      </c>
      <c r="V54" s="86">
        <f>$P$54*V17</f>
        <v>1143.8597591662497</v>
      </c>
      <c r="W54"/>
      <c r="X54"/>
      <c r="Y54"/>
    </row>
    <row r="55" spans="1:25" ht="16" x14ac:dyDescent="0.2">
      <c r="O55" s="74" t="s">
        <v>85</v>
      </c>
      <c r="P55" s="74"/>
      <c r="Q55" s="89">
        <v>39443</v>
      </c>
      <c r="R55" s="87">
        <f>SUM(R47:R54)</f>
        <v>40231.860000000008</v>
      </c>
      <c r="S55" s="87">
        <f t="shared" ref="S55:V55" si="17">SUM(S47:S54)</f>
        <v>41237.656499999997</v>
      </c>
      <c r="T55" s="87">
        <f t="shared" si="17"/>
        <v>42268.597912499994</v>
      </c>
      <c r="U55" s="87">
        <f t="shared" si="17"/>
        <v>43113.969870749992</v>
      </c>
      <c r="V55" s="87">
        <f t="shared" si="17"/>
        <v>43760.67941881124</v>
      </c>
      <c r="W55"/>
      <c r="X55"/>
      <c r="Y55"/>
    </row>
    <row r="56" spans="1:25" ht="16" x14ac:dyDescent="0.2">
      <c r="O56" s="74" t="s">
        <v>86</v>
      </c>
      <c r="P56" s="74"/>
      <c r="Q56" s="89">
        <v>45550</v>
      </c>
      <c r="R56" s="87">
        <f>R46+R55</f>
        <v>46461.000000000007</v>
      </c>
      <c r="S56" s="87">
        <f t="shared" ref="S56:V56" si="18">S46+S55</f>
        <v>47622.524999999994</v>
      </c>
      <c r="T56" s="87">
        <f t="shared" si="18"/>
        <v>48813.088124999995</v>
      </c>
      <c r="U56" s="87">
        <f t="shared" si="18"/>
        <v>49789.349887499993</v>
      </c>
      <c r="V56" s="87">
        <f t="shared" si="18"/>
        <v>50536.190135812489</v>
      </c>
      <c r="W56"/>
      <c r="X56"/>
      <c r="Y56"/>
    </row>
    <row r="57" spans="1:25" x14ac:dyDescent="0.2">
      <c r="O57" t="s">
        <v>91</v>
      </c>
      <c r="P57" s="68">
        <f>Q57/$Q$17</f>
        <v>0.2052624572924524</v>
      </c>
      <c r="Q57" s="73">
        <v>4626</v>
      </c>
      <c r="R57" s="83">
        <f>$P$57*R17</f>
        <v>4718.5200000000004</v>
      </c>
      <c r="S57" s="83">
        <f>$P$57*S17</f>
        <v>4836.4829999999993</v>
      </c>
      <c r="T57" s="83">
        <f>$P$57*T17</f>
        <v>4957.3950749999995</v>
      </c>
      <c r="U57" s="83">
        <f>$P$57*U17</f>
        <v>5056.542976499999</v>
      </c>
      <c r="V57" s="83">
        <f>$P$57*V17</f>
        <v>5132.3911211474988</v>
      </c>
      <c r="W57"/>
      <c r="X57"/>
      <c r="Y57"/>
    </row>
    <row r="58" spans="1:25" x14ac:dyDescent="0.2">
      <c r="O58" s="91" t="s">
        <v>87</v>
      </c>
      <c r="P58" s="68">
        <f>Q58/$Q$17</f>
        <v>0.18760260904290721</v>
      </c>
      <c r="Q58" s="95">
        <v>4228</v>
      </c>
      <c r="R58" s="83">
        <f>$P$58*R17</f>
        <v>4312.5600000000004</v>
      </c>
      <c r="S58" s="83">
        <f>$P$58*S17</f>
        <v>4420.3739999999998</v>
      </c>
      <c r="T58" s="83">
        <f>$P$58*T17</f>
        <v>4530.8833499999992</v>
      </c>
      <c r="U58" s="83">
        <f>$P$58*U17</f>
        <v>4621.5010169999987</v>
      </c>
      <c r="V58" s="83">
        <f>$P$58*V17</f>
        <v>4690.8235322549981</v>
      </c>
      <c r="W58"/>
      <c r="X58"/>
      <c r="Y58"/>
    </row>
    <row r="59" spans="1:25" x14ac:dyDescent="0.2">
      <c r="O59" s="92" t="s">
        <v>88</v>
      </c>
      <c r="P59" s="68">
        <f>Q59/$Q$17</f>
        <v>5.3023916226649509E-2</v>
      </c>
      <c r="Q59" s="95">
        <v>1195</v>
      </c>
      <c r="R59" s="83">
        <f>$P$59*R17</f>
        <v>1218.9000000000001</v>
      </c>
      <c r="S59" s="83">
        <f>$P$59*S17</f>
        <v>1249.3724999999999</v>
      </c>
      <c r="T59" s="83">
        <f>$P$59*T17</f>
        <v>1280.6068124999997</v>
      </c>
      <c r="U59" s="83">
        <f>$P$59*U17</f>
        <v>1306.2189487499998</v>
      </c>
      <c r="V59" s="83">
        <f>$P$59*V17</f>
        <v>1325.8122329812497</v>
      </c>
    </row>
    <row r="60" spans="1:25" x14ac:dyDescent="0.2">
      <c r="A60" s="2"/>
      <c r="C60" s="2" t="s">
        <v>131</v>
      </c>
      <c r="G60" s="101">
        <v>3.8602456082280787E-2</v>
      </c>
      <c r="O60" t="s">
        <v>89</v>
      </c>
      <c r="P60" s="68">
        <f>Q60/$Q$17</f>
        <v>0</v>
      </c>
      <c r="Q60" s="73">
        <v>0</v>
      </c>
      <c r="R60" s="73">
        <f>$P$60*R17</f>
        <v>0</v>
      </c>
      <c r="S60" s="73">
        <f>$P$60*S17</f>
        <v>0</v>
      </c>
      <c r="T60" s="73">
        <f>$P$60*T17</f>
        <v>0</v>
      </c>
      <c r="U60" s="73">
        <f>$P$60*U17</f>
        <v>0</v>
      </c>
      <c r="V60" s="73">
        <f>$P$60*V17</f>
        <v>0</v>
      </c>
      <c r="W60"/>
      <c r="X60"/>
      <c r="Y60"/>
    </row>
    <row r="61" spans="1:25" x14ac:dyDescent="0.2">
      <c r="O61" s="93" t="s">
        <v>79</v>
      </c>
      <c r="P61" s="68">
        <f>Q61/$Q$17</f>
        <v>6.5536673026578521E-2</v>
      </c>
      <c r="Q61" s="73">
        <v>1477</v>
      </c>
      <c r="R61" s="73">
        <f>$P$61*R17</f>
        <v>1506.5400000000002</v>
      </c>
      <c r="S61" s="73">
        <f>$P$61*S17</f>
        <v>1544.2035000000001</v>
      </c>
      <c r="T61" s="73">
        <f>$P$61*T17</f>
        <v>1582.8085874999999</v>
      </c>
      <c r="U61" s="73">
        <f>$P$61*U17</f>
        <v>1614.4647592499998</v>
      </c>
      <c r="V61" s="73">
        <f>$P$61*V17</f>
        <v>1638.6817306387497</v>
      </c>
      <c r="W61"/>
      <c r="X61"/>
      <c r="Y61"/>
    </row>
    <row r="62" spans="1:25" ht="16" x14ac:dyDescent="0.2">
      <c r="C62" t="s">
        <v>132</v>
      </c>
      <c r="O62" s="94" t="s">
        <v>90</v>
      </c>
      <c r="P62" s="74"/>
      <c r="Q62" s="89">
        <v>11526</v>
      </c>
      <c r="R62" s="89">
        <f>SUM(R57:R61)</f>
        <v>11756.520000000002</v>
      </c>
      <c r="S62" s="89">
        <f t="shared" ref="S62:V62" si="19">SUM(S57:S61)</f>
        <v>12050.432999999999</v>
      </c>
      <c r="T62" s="89">
        <f t="shared" si="19"/>
        <v>12351.693824999998</v>
      </c>
      <c r="U62" s="89">
        <f t="shared" si="19"/>
        <v>12598.727701499998</v>
      </c>
      <c r="V62" s="89">
        <f t="shared" si="19"/>
        <v>12787.708617022497</v>
      </c>
      <c r="W62"/>
      <c r="X62"/>
      <c r="Y62"/>
    </row>
    <row r="63" spans="1:25" x14ac:dyDescent="0.2">
      <c r="O63" t="s">
        <v>91</v>
      </c>
      <c r="P63" s="68">
        <f>Q63/$Q$17</f>
        <v>4.4371478013932646E-4</v>
      </c>
      <c r="Q63" s="73">
        <v>10</v>
      </c>
      <c r="R63">
        <f>$P$63*R17</f>
        <v>10.200000000000001</v>
      </c>
      <c r="S63">
        <f>$P$63*S17</f>
        <v>10.455</v>
      </c>
      <c r="T63">
        <f>$P$63*T17</f>
        <v>10.716374999999999</v>
      </c>
      <c r="U63">
        <f>$P$63*U17</f>
        <v>10.930702499999999</v>
      </c>
      <c r="V63">
        <f>$P$63*V17</f>
        <v>11.094663037499997</v>
      </c>
      <c r="W63"/>
      <c r="X63"/>
      <c r="Y63"/>
    </row>
    <row r="64" spans="1:25" x14ac:dyDescent="0.2">
      <c r="O64" t="s">
        <v>92</v>
      </c>
      <c r="P64" t="s">
        <v>71</v>
      </c>
      <c r="Q64" s="73">
        <v>12740</v>
      </c>
      <c r="R64" s="73">
        <f>R56-R62-R65-R66-R73</f>
        <v>12784.485983040006</v>
      </c>
      <c r="S64" s="73">
        <f>S56-S62-S65-S66-S73</f>
        <v>12967.623059782469</v>
      </c>
      <c r="T64" s="73">
        <f>T56-T62-T65-T66-T73</f>
        <v>13154.080385417179</v>
      </c>
      <c r="U64" s="73">
        <f>U56-U62-U65-U66-U73</f>
        <v>13186.440384116064</v>
      </c>
      <c r="V64" s="73">
        <f>V56-V62-V65-V66-V73</f>
        <v>13056.68177361921</v>
      </c>
    </row>
    <row r="65" spans="1:25" x14ac:dyDescent="0.2">
      <c r="A65" s="2"/>
      <c r="C65" s="2" t="s">
        <v>133</v>
      </c>
      <c r="O65" t="s">
        <v>88</v>
      </c>
      <c r="P65" s="68">
        <f>Q65/$Q$17</f>
        <v>0.10201002795403115</v>
      </c>
      <c r="Q65" s="73">
        <v>2299</v>
      </c>
      <c r="R65" s="73">
        <f>$P$65*R17</f>
        <v>2344.98</v>
      </c>
      <c r="S65" s="73">
        <f>$P$65*S17</f>
        <v>2403.6044999999999</v>
      </c>
      <c r="T65" s="73">
        <f>$P$65*T17</f>
        <v>2463.6946124999995</v>
      </c>
      <c r="U65" s="73">
        <f>$P$65*U17</f>
        <v>2512.9685047499997</v>
      </c>
      <c r="V65" s="73">
        <f>$P$65*V17</f>
        <v>2550.6630323212494</v>
      </c>
      <c r="W65"/>
      <c r="X65"/>
      <c r="Y65"/>
    </row>
    <row r="66" spans="1:25" x14ac:dyDescent="0.2">
      <c r="O66" t="s">
        <v>79</v>
      </c>
      <c r="P66" s="68">
        <f>Q66/$Q$17</f>
        <v>7.2014908816612683E-2</v>
      </c>
      <c r="Q66" s="73">
        <v>1623</v>
      </c>
      <c r="R66" s="73">
        <f>$P$66*R17</f>
        <v>1655.46</v>
      </c>
      <c r="S66" s="73">
        <f>$P$66*S17</f>
        <v>1696.8464999999999</v>
      </c>
      <c r="T66" s="73">
        <f>$P$66*T17</f>
        <v>1739.2676624999997</v>
      </c>
      <c r="U66" s="73">
        <f>$P$66*U17</f>
        <v>1774.0530157499998</v>
      </c>
      <c r="V66" s="73">
        <f>$P$66*V17</f>
        <v>1800.6638109862495</v>
      </c>
      <c r="W66"/>
      <c r="X66"/>
      <c r="Y66"/>
    </row>
    <row r="67" spans="1:25" ht="16" x14ac:dyDescent="0.2">
      <c r="O67" s="74" t="s">
        <v>93</v>
      </c>
      <c r="P67" s="74"/>
      <c r="Q67" s="89">
        <v>16672</v>
      </c>
      <c r="R67" s="89">
        <f>SUM(R64:R66)</f>
        <v>16784.925983040004</v>
      </c>
      <c r="S67" s="89">
        <f t="shared" ref="S67:V67" si="20">SUM(S64:S66)</f>
        <v>17068.07405978247</v>
      </c>
      <c r="T67" s="89">
        <f t="shared" si="20"/>
        <v>17357.042660417177</v>
      </c>
      <c r="U67" s="89">
        <f t="shared" si="20"/>
        <v>17473.461904616062</v>
      </c>
      <c r="V67" s="89">
        <f t="shared" si="20"/>
        <v>17408.008616926709</v>
      </c>
      <c r="W67"/>
      <c r="X67"/>
      <c r="Y67"/>
    </row>
    <row r="68" spans="1:25" ht="16" x14ac:dyDescent="0.2">
      <c r="O68" s="74" t="s">
        <v>94</v>
      </c>
      <c r="P68" s="74"/>
      <c r="Q68" s="89">
        <v>28198</v>
      </c>
      <c r="R68" s="89">
        <f>R62+R67</f>
        <v>28541.445983040008</v>
      </c>
      <c r="S68" s="89">
        <f>S62+S67</f>
        <v>29118.507059782467</v>
      </c>
      <c r="T68" s="89">
        <f>T62+T67</f>
        <v>29708.736485417176</v>
      </c>
      <c r="U68" s="89">
        <f>U62+U67</f>
        <v>30072.189606116059</v>
      </c>
      <c r="V68" s="89">
        <f>V62+V67</f>
        <v>30195.717233949206</v>
      </c>
      <c r="W68"/>
      <c r="X68"/>
      <c r="Y68"/>
    </row>
    <row r="69" spans="1:25" x14ac:dyDescent="0.2">
      <c r="H69" t="s">
        <v>19</v>
      </c>
      <c r="O69" t="s">
        <v>95</v>
      </c>
      <c r="P69" t="s">
        <v>71</v>
      </c>
      <c r="Q69" s="73">
        <v>3095</v>
      </c>
      <c r="R69" s="73">
        <f>Q69</f>
        <v>3095</v>
      </c>
      <c r="S69" s="73">
        <f t="shared" ref="S69:V69" si="21">R69</f>
        <v>3095</v>
      </c>
      <c r="T69" s="73">
        <f t="shared" si="21"/>
        <v>3095</v>
      </c>
      <c r="U69" s="73">
        <f t="shared" si="21"/>
        <v>3095</v>
      </c>
      <c r="V69" s="73">
        <f t="shared" si="21"/>
        <v>3095</v>
      </c>
      <c r="W69"/>
      <c r="X69"/>
      <c r="Y69"/>
    </row>
    <row r="70" spans="1:25" x14ac:dyDescent="0.2">
      <c r="D70" s="102">
        <f>G50</f>
        <v>2.6704108692968447</v>
      </c>
      <c r="E70" s="100">
        <v>5.0000000000000001E-3</v>
      </c>
      <c r="F70" s="100">
        <v>0.01</v>
      </c>
      <c r="G70" s="100">
        <v>1.4999999999999999E-2</v>
      </c>
      <c r="H70" s="103">
        <v>0.02</v>
      </c>
      <c r="I70" s="100">
        <v>2.5000000000000001E-2</v>
      </c>
      <c r="J70" s="100">
        <v>0.03</v>
      </c>
      <c r="K70" s="100">
        <v>3.5000000000000003E-2</v>
      </c>
      <c r="L70" s="100">
        <v>0.04</v>
      </c>
      <c r="O70" t="s">
        <v>96</v>
      </c>
      <c r="P70" t="s">
        <v>71</v>
      </c>
      <c r="Q70" s="73">
        <v>2135</v>
      </c>
      <c r="R70" s="73">
        <f>Q70</f>
        <v>2135</v>
      </c>
      <c r="S70" s="73">
        <f t="shared" ref="S70:V70" si="22">R70</f>
        <v>2135</v>
      </c>
      <c r="T70" s="73">
        <f t="shared" si="22"/>
        <v>2135</v>
      </c>
      <c r="U70" s="73">
        <f t="shared" si="22"/>
        <v>2135</v>
      </c>
      <c r="V70" s="73">
        <f t="shared" si="22"/>
        <v>2135</v>
      </c>
      <c r="W70"/>
      <c r="X70"/>
      <c r="Y70"/>
    </row>
    <row r="71" spans="1:25" x14ac:dyDescent="0.2">
      <c r="D71" s="66">
        <v>4.7310999999999999E-2</v>
      </c>
      <c r="E71" s="9">
        <f t="dataTable" ref="E71:L82" dt2D="1" dtr="1" r1="F11" r2="G31"/>
        <v>3.9258428594183066</v>
      </c>
      <c r="F71" s="10">
        <v>4.5426797621608559</v>
      </c>
      <c r="G71" s="10">
        <v>5.3504228277403785</v>
      </c>
      <c r="H71" s="10">
        <v>6.4539233044654196</v>
      </c>
      <c r="I71" s="10">
        <v>8.0520230715517336</v>
      </c>
      <c r="J71" s="10">
        <v>10.57329294266804</v>
      </c>
      <c r="K71" s="10">
        <v>15.142544189071735</v>
      </c>
      <c r="L71" s="11">
        <v>25.961626165066047</v>
      </c>
      <c r="O71" t="s">
        <v>97</v>
      </c>
      <c r="P71" t="s">
        <v>71</v>
      </c>
      <c r="Q71" s="73">
        <v>9692</v>
      </c>
      <c r="R71" s="73">
        <f>Q71+R35*(1-$P$12)</f>
        <v>10259.554016960001</v>
      </c>
      <c r="S71" s="73">
        <f>R71+S35*(1-$P$12)</f>
        <v>10844.017940217527</v>
      </c>
      <c r="T71" s="73">
        <f>S71+T35*(1-$P$12)</f>
        <v>11444.351639582826</v>
      </c>
      <c r="U71" s="73">
        <f>T71+U35*(1-$P$12)</f>
        <v>12057.160281383931</v>
      </c>
      <c r="V71" s="73">
        <f>U71+V35*(1-$P$12)</f>
        <v>12680.472901863288</v>
      </c>
      <c r="W71"/>
      <c r="X71"/>
      <c r="Y71"/>
    </row>
    <row r="72" spans="1:25" x14ac:dyDescent="0.2">
      <c r="D72" s="66">
        <v>5.2311000000000003E-2</v>
      </c>
      <c r="E72" s="12">
        <v>3.353343447321345</v>
      </c>
      <c r="F72" s="8">
        <v>3.8306213508891851</v>
      </c>
      <c r="G72" s="8">
        <v>4.4358180729201697</v>
      </c>
      <c r="H72" s="8">
        <v>5.2283184135426497</v>
      </c>
      <c r="I72" s="8">
        <v>6.3109949983972999</v>
      </c>
      <c r="J72" s="8">
        <v>7.8789374094608391</v>
      </c>
      <c r="K72" s="8">
        <v>10.352629003739411</v>
      </c>
      <c r="L72" s="13">
        <v>14.835655009746167</v>
      </c>
      <c r="O72" t="s">
        <v>98</v>
      </c>
      <c r="P72" t="s">
        <v>71</v>
      </c>
      <c r="Q72" s="73">
        <v>2430</v>
      </c>
      <c r="R72" s="73">
        <f>Q72</f>
        <v>2430</v>
      </c>
      <c r="S72" s="73">
        <f t="shared" ref="S72:V72" si="23">R72</f>
        <v>2430</v>
      </c>
      <c r="T72" s="73">
        <f t="shared" si="23"/>
        <v>2430</v>
      </c>
      <c r="U72" s="73">
        <f t="shared" si="23"/>
        <v>2430</v>
      </c>
      <c r="V72" s="73">
        <f t="shared" si="23"/>
        <v>2430</v>
      </c>
      <c r="W72"/>
      <c r="X72"/>
      <c r="Y72"/>
    </row>
    <row r="73" spans="1:25" ht="16" x14ac:dyDescent="0.2">
      <c r="D73" s="66">
        <v>5.7311000000000001E-2</v>
      </c>
      <c r="E73" s="12">
        <v>2.8904936588484129</v>
      </c>
      <c r="F73" s="8">
        <v>3.2692823761848064</v>
      </c>
      <c r="G73" s="8">
        <v>3.7375959729465018</v>
      </c>
      <c r="H73" s="8">
        <v>4.3314257972983699</v>
      </c>
      <c r="I73" s="8">
        <v>5.109041274942264</v>
      </c>
      <c r="J73" s="8">
        <v>6.1713828620819271</v>
      </c>
      <c r="K73" s="8">
        <v>7.7098759382358288</v>
      </c>
      <c r="L73" s="13">
        <v>10.137106277490592</v>
      </c>
      <c r="O73" s="74" t="s">
        <v>99</v>
      </c>
      <c r="P73" s="74"/>
      <c r="Q73" s="89">
        <v>17352</v>
      </c>
      <c r="R73" s="89">
        <f>SUM(R69:R72)</f>
        <v>17919.554016959999</v>
      </c>
      <c r="S73" s="89">
        <f t="shared" ref="S73:V73" si="24">SUM(S69:S72)</f>
        <v>18504.017940217527</v>
      </c>
      <c r="T73" s="89">
        <f>SUM(T69:T72)</f>
        <v>19104.351639582826</v>
      </c>
      <c r="U73" s="89">
        <f t="shared" si="24"/>
        <v>19717.160281383931</v>
      </c>
      <c r="V73" s="89">
        <f t="shared" si="24"/>
        <v>20340.472901863286</v>
      </c>
      <c r="W73"/>
      <c r="X73"/>
      <c r="Y73"/>
    </row>
    <row r="74" spans="1:25" ht="16" x14ac:dyDescent="0.2">
      <c r="D74" s="66">
        <v>6.2310999999999998E-2</v>
      </c>
      <c r="E74" s="12">
        <v>2.5085898940567555</v>
      </c>
      <c r="F74" s="8">
        <v>2.8154394250870403</v>
      </c>
      <c r="G74" s="8">
        <v>3.1871469238267958</v>
      </c>
      <c r="H74" s="8">
        <v>3.646705690260474</v>
      </c>
      <c r="I74" s="8">
        <v>4.2294342367680384</v>
      </c>
      <c r="J74" s="8">
        <v>4.9925126785148608</v>
      </c>
      <c r="K74" s="8">
        <v>6.0349944528920609</v>
      </c>
      <c r="L74" s="13">
        <v>7.5447263614529358</v>
      </c>
      <c r="O74" s="74" t="s">
        <v>100</v>
      </c>
      <c r="P74"/>
      <c r="Q74" s="89">
        <f>Q68+Q73</f>
        <v>45550</v>
      </c>
      <c r="R74" s="89">
        <f>R68+R73</f>
        <v>46461.000000000007</v>
      </c>
      <c r="S74" s="89">
        <f t="shared" ref="S74:V74" si="25">S68+S73</f>
        <v>47622.524999999994</v>
      </c>
      <c r="T74" s="89">
        <f t="shared" si="25"/>
        <v>48813.088125000002</v>
      </c>
      <c r="U74" s="89">
        <f t="shared" si="25"/>
        <v>49789.349887499993</v>
      </c>
      <c r="V74" s="89">
        <f t="shared" si="25"/>
        <v>50536.190135812489</v>
      </c>
      <c r="W74"/>
      <c r="X74"/>
      <c r="Y74"/>
    </row>
    <row r="75" spans="1:25" ht="16" x14ac:dyDescent="0.2">
      <c r="D75" s="66">
        <v>6.7310999999999996E-2</v>
      </c>
      <c r="E75" s="12">
        <v>2.1881417082483674</v>
      </c>
      <c r="F75" s="8">
        <v>2.4409530406453053</v>
      </c>
      <c r="G75" s="8">
        <v>2.7420928952262855</v>
      </c>
      <c r="H75" s="8">
        <v>3.1068838784202693</v>
      </c>
      <c r="I75" s="8">
        <v>3.5578914443454521</v>
      </c>
      <c r="J75" s="8">
        <v>4.1297769191782452</v>
      </c>
      <c r="K75" s="8">
        <v>4.8786564439732185</v>
      </c>
      <c r="L75" s="13">
        <v>5.9017403277425871</v>
      </c>
      <c r="O75" s="74" t="s">
        <v>101</v>
      </c>
      <c r="P75"/>
      <c r="Q75" s="89">
        <f t="shared" ref="Q75:V75" si="26">Q56-Q74</f>
        <v>0</v>
      </c>
      <c r="R75" s="89">
        <f t="shared" si="26"/>
        <v>0</v>
      </c>
      <c r="S75" s="89">
        <f t="shared" si="26"/>
        <v>0</v>
      </c>
      <c r="T75" s="89">
        <f t="shared" si="26"/>
        <v>0</v>
      </c>
      <c r="U75" s="89">
        <f t="shared" si="26"/>
        <v>0</v>
      </c>
      <c r="V75" s="89">
        <f t="shared" si="26"/>
        <v>0</v>
      </c>
      <c r="W75"/>
      <c r="X75"/>
      <c r="Y75"/>
    </row>
    <row r="76" spans="1:25" x14ac:dyDescent="0.2">
      <c r="C76" s="5" t="s">
        <v>3</v>
      </c>
      <c r="D76" s="99">
        <v>7.2310952851288954E-2</v>
      </c>
      <c r="E76" s="12">
        <v>1.9154523260370258</v>
      </c>
      <c r="F76" s="8">
        <v>2.1267185585584838</v>
      </c>
      <c r="G76" s="8">
        <v>2.3748479423644198</v>
      </c>
      <c r="H76" s="27">
        <v>2.6704108692968447</v>
      </c>
      <c r="I76" s="8">
        <v>3.0284462067641944</v>
      </c>
      <c r="J76" s="8">
        <v>3.4711015570981285</v>
      </c>
      <c r="K76" s="8">
        <v>4.032396426529373</v>
      </c>
      <c r="L76" s="13">
        <v>4.7674078904586521</v>
      </c>
      <c r="O76"/>
      <c r="P76"/>
      <c r="Q76"/>
      <c r="R76"/>
      <c r="S76"/>
      <c r="T76"/>
      <c r="U76"/>
      <c r="V76"/>
      <c r="W76"/>
      <c r="X76"/>
      <c r="Y76"/>
    </row>
    <row r="77" spans="1:25" x14ac:dyDescent="0.2">
      <c r="D77" s="66">
        <v>7.7311000000000005E-2</v>
      </c>
      <c r="E77" s="12">
        <v>1.680604522586437</v>
      </c>
      <c r="F77" s="8">
        <v>1.859297876138273</v>
      </c>
      <c r="G77" s="8">
        <v>2.0666688874956072</v>
      </c>
      <c r="H77" s="8">
        <v>2.3102233560177678</v>
      </c>
      <c r="I77" s="8">
        <v>2.6003367640597532</v>
      </c>
      <c r="J77" s="8">
        <v>2.9517706700920536</v>
      </c>
      <c r="K77" s="8">
        <v>3.38626427833709</v>
      </c>
      <c r="L77" s="13">
        <v>3.9372097662543517</v>
      </c>
      <c r="O77"/>
      <c r="P77"/>
      <c r="Q77"/>
      <c r="R77"/>
      <c r="S77"/>
      <c r="T77"/>
      <c r="U77"/>
      <c r="V77"/>
      <c r="W77"/>
      <c r="X77"/>
      <c r="Y77"/>
    </row>
    <row r="78" spans="1:25" ht="16" x14ac:dyDescent="0.2">
      <c r="D78" s="66">
        <v>8.2310999999999995E-2</v>
      </c>
      <c r="E78" s="12">
        <v>1.4762591484318583</v>
      </c>
      <c r="F78" s="8">
        <v>1.6289838336731042</v>
      </c>
      <c r="G78" s="8">
        <v>1.8043979285563465</v>
      </c>
      <c r="H78" s="8">
        <v>2.0079634084090552</v>
      </c>
      <c r="I78" s="8">
        <v>2.2470483312749217</v>
      </c>
      <c r="J78" s="8">
        <v>2.5318377757262804</v>
      </c>
      <c r="K78" s="8">
        <v>2.8768224061706129</v>
      </c>
      <c r="L78" s="13">
        <v>3.303342483766829</v>
      </c>
      <c r="O78" s="74" t="s">
        <v>102</v>
      </c>
      <c r="P78"/>
      <c r="Q78" s="96">
        <v>2024</v>
      </c>
      <c r="R78" s="97">
        <v>2025</v>
      </c>
      <c r="S78" s="96">
        <v>2026</v>
      </c>
      <c r="T78" s="97">
        <v>2027</v>
      </c>
      <c r="U78" s="96">
        <v>2028</v>
      </c>
      <c r="V78" s="97">
        <v>2029</v>
      </c>
      <c r="W78"/>
      <c r="X78"/>
      <c r="Y78"/>
    </row>
    <row r="79" spans="1:25" x14ac:dyDescent="0.2">
      <c r="D79" s="66">
        <v>8.7311E-2</v>
      </c>
      <c r="E79" s="12">
        <v>1.2968526368140818</v>
      </c>
      <c r="F79" s="8">
        <v>1.4285717782061844</v>
      </c>
      <c r="G79" s="8">
        <v>1.5785065633305144</v>
      </c>
      <c r="H79" s="8">
        <v>1.750716279019586</v>
      </c>
      <c r="I79" s="8">
        <v>1.9505631238975749</v>
      </c>
      <c r="J79" s="8">
        <v>2.1852805599147858</v>
      </c>
      <c r="K79" s="8">
        <v>2.4648676095920701</v>
      </c>
      <c r="L79" s="13">
        <v>2.8035502289417953</v>
      </c>
      <c r="O79" t="s">
        <v>103</v>
      </c>
      <c r="P79"/>
      <c r="Q79" s="73">
        <f>Q50+Q51+Q52</f>
        <v>35954</v>
      </c>
      <c r="R79" s="73">
        <f t="shared" ref="R79:V79" si="27">R50+R51+R52</f>
        <v>36673.08</v>
      </c>
      <c r="S79" s="73">
        <f>S50+S51+S52</f>
        <v>37589.907000000007</v>
      </c>
      <c r="T79" s="73">
        <f t="shared" si="27"/>
        <v>38529.654674999998</v>
      </c>
      <c r="U79" s="73">
        <f t="shared" si="27"/>
        <v>39300.24776849999</v>
      </c>
      <c r="V79" s="73">
        <f t="shared" si="27"/>
        <v>39889.751485027497</v>
      </c>
      <c r="W79"/>
      <c r="X79"/>
      <c r="Y79"/>
    </row>
    <row r="80" spans="1:25" x14ac:dyDescent="0.2">
      <c r="D80" s="66">
        <v>9.2311000000000004E-2</v>
      </c>
      <c r="E80" s="12">
        <v>1.1380977660918343</v>
      </c>
      <c r="F80" s="8">
        <v>1.2526097971130279</v>
      </c>
      <c r="G80" s="8">
        <v>1.3819336959177451</v>
      </c>
      <c r="H80" s="8">
        <v>1.5291419966536635</v>
      </c>
      <c r="I80" s="8">
        <v>1.6982201701794555</v>
      </c>
      <c r="J80" s="8">
        <v>1.8944329063869247</v>
      </c>
      <c r="K80" s="8">
        <v>2.1248821305648464</v>
      </c>
      <c r="L80" s="13">
        <v>2.3993850383232642</v>
      </c>
      <c r="O80" t="s">
        <v>104</v>
      </c>
      <c r="P80"/>
      <c r="Q80" s="73"/>
      <c r="R80" s="73">
        <f>-R24</f>
        <v>4568.58</v>
      </c>
      <c r="S80" s="73">
        <f t="shared" ref="S80:V80" si="28">-S24</f>
        <v>4682.7945</v>
      </c>
      <c r="T80" s="73">
        <f t="shared" si="28"/>
        <v>4799.8643624999995</v>
      </c>
      <c r="U80" s="73">
        <f t="shared" si="28"/>
        <v>4895.8616497499988</v>
      </c>
      <c r="V80" s="73">
        <f t="shared" si="28"/>
        <v>4969.2995744962482</v>
      </c>
      <c r="W80"/>
      <c r="X80"/>
      <c r="Y80"/>
    </row>
    <row r="81" spans="1:25" ht="16" x14ac:dyDescent="0.2">
      <c r="D81" s="66">
        <v>9.7310999999999995E-2</v>
      </c>
      <c r="E81" s="12">
        <v>0.99663625728797645</v>
      </c>
      <c r="F81" s="8">
        <v>1.0968949037987825</v>
      </c>
      <c r="G81" s="8">
        <v>1.2093340178668786</v>
      </c>
      <c r="H81" s="8">
        <v>1.3363168726792534</v>
      </c>
      <c r="I81" s="8">
        <v>1.480860382829319</v>
      </c>
      <c r="J81" s="8">
        <v>1.646877873480352</v>
      </c>
      <c r="K81" s="8">
        <v>1.839538732180531</v>
      </c>
      <c r="L81" s="13">
        <v>2.0658163239162848</v>
      </c>
      <c r="O81" s="74" t="s">
        <v>105</v>
      </c>
      <c r="P81" s="74"/>
      <c r="Q81" s="74"/>
      <c r="R81" s="89">
        <f>R79-Q79+R80</f>
        <v>5287.6600000000017</v>
      </c>
      <c r="S81" s="89">
        <f t="shared" ref="S81:V81" si="29">S79-R79+S80</f>
        <v>5599.6215000000047</v>
      </c>
      <c r="T81" s="89">
        <f>T79-S79+T80</f>
        <v>5739.6120374999909</v>
      </c>
      <c r="U81" s="89">
        <f t="shared" si="29"/>
        <v>5666.4547432499912</v>
      </c>
      <c r="V81" s="89">
        <f t="shared" si="29"/>
        <v>5558.8032910237544</v>
      </c>
      <c r="W81"/>
      <c r="X81"/>
      <c r="Y81"/>
    </row>
    <row r="82" spans="1:25" x14ac:dyDescent="0.2">
      <c r="D82" s="66">
        <v>0.102311</v>
      </c>
      <c r="E82" s="14">
        <v>0.86980011848488759</v>
      </c>
      <c r="F82" s="15">
        <v>0.95813479649222177</v>
      </c>
      <c r="G82" s="15">
        <v>1.0565867195210692</v>
      </c>
      <c r="H82" s="15">
        <v>1.1669996104677949</v>
      </c>
      <c r="I82" s="15">
        <v>1.2916941548592726</v>
      </c>
      <c r="J82" s="15">
        <v>1.4336329006020629</v>
      </c>
      <c r="K82" s="15">
        <v>1.5966586522937765</v>
      </c>
      <c r="L82" s="16">
        <v>1.7858476418875795</v>
      </c>
      <c r="O82"/>
      <c r="P82"/>
      <c r="Q82"/>
      <c r="R82"/>
      <c r="S82"/>
      <c r="T82"/>
      <c r="U82"/>
      <c r="V82"/>
      <c r="W82"/>
      <c r="X82"/>
      <c r="Y82"/>
    </row>
    <row r="83" spans="1:25" x14ac:dyDescent="0.2">
      <c r="O83"/>
      <c r="P83"/>
      <c r="Q83"/>
      <c r="R83"/>
      <c r="S83"/>
      <c r="T83"/>
      <c r="U83"/>
      <c r="V83"/>
    </row>
    <row r="84" spans="1:25" ht="16" x14ac:dyDescent="0.2">
      <c r="A84" s="2"/>
      <c r="C84" s="2"/>
      <c r="O84" s="74" t="s">
        <v>106</v>
      </c>
      <c r="P84"/>
      <c r="Q84"/>
      <c r="R84"/>
      <c r="S84"/>
      <c r="T84"/>
      <c r="U84"/>
      <c r="V84"/>
      <c r="W84"/>
      <c r="X84"/>
      <c r="Y84"/>
    </row>
    <row r="85" spans="1:25" x14ac:dyDescent="0.2">
      <c r="O85" t="s">
        <v>107</v>
      </c>
      <c r="P85"/>
      <c r="Q85" s="73">
        <f>(Q46 - Q39) - (Q62 - Q58)</f>
        <v>-2237</v>
      </c>
      <c r="R85" s="73">
        <f>(R46 - R39) - (R62 - R58)</f>
        <v>-2281.7400000000016</v>
      </c>
      <c r="S85" s="73">
        <f t="shared" ref="S85:V85" si="30">(S46 - S39) - (S62 - S58)</f>
        <v>-2338.7834999999995</v>
      </c>
      <c r="T85" s="73">
        <f t="shared" si="30"/>
        <v>-2397.2530875000002</v>
      </c>
      <c r="U85" s="73">
        <f t="shared" si="30"/>
        <v>-2445.1981492500008</v>
      </c>
      <c r="V85" s="73">
        <f t="shared" si="30"/>
        <v>-2481.8761214887509</v>
      </c>
      <c r="W85"/>
      <c r="X85"/>
      <c r="Y85"/>
    </row>
    <row r="86" spans="1:25" x14ac:dyDescent="0.2">
      <c r="O86" t="s">
        <v>108</v>
      </c>
      <c r="P86"/>
      <c r="Q86"/>
      <c r="R86" s="73">
        <f>R85-Q85</f>
        <v>-44.740000000001601</v>
      </c>
      <c r="S86" s="73">
        <f>S85-R85</f>
        <v>-57.043499999997948</v>
      </c>
      <c r="T86" s="73">
        <f t="shared" ref="T86:V86" si="31">T85-S85</f>
        <v>-58.469587500000671</v>
      </c>
      <c r="U86" s="73">
        <f t="shared" si="31"/>
        <v>-47.945061750000605</v>
      </c>
      <c r="V86" s="73">
        <f t="shared" si="31"/>
        <v>-36.677972238750044</v>
      </c>
      <c r="W86"/>
      <c r="X86"/>
      <c r="Y86"/>
    </row>
    <row r="87" spans="1:25" x14ac:dyDescent="0.2">
      <c r="O87"/>
      <c r="P87"/>
      <c r="Q87"/>
      <c r="R87"/>
      <c r="S87"/>
      <c r="T87"/>
      <c r="U87"/>
      <c r="V87"/>
      <c r="W87"/>
      <c r="X87"/>
      <c r="Y87"/>
    </row>
    <row r="88" spans="1:25" x14ac:dyDescent="0.2">
      <c r="O88"/>
      <c r="P88"/>
      <c r="Q88"/>
      <c r="R88"/>
      <c r="S88"/>
      <c r="T88"/>
      <c r="U88"/>
      <c r="V88"/>
    </row>
    <row r="89" spans="1:25" ht="16" x14ac:dyDescent="0.2">
      <c r="O89" s="74" t="s">
        <v>109</v>
      </c>
      <c r="P89"/>
      <c r="Q89" s="96">
        <v>2024</v>
      </c>
      <c r="R89" s="97">
        <v>2025</v>
      </c>
      <c r="S89" s="96">
        <v>2026</v>
      </c>
      <c r="T89" s="97">
        <v>2027</v>
      </c>
      <c r="U89" s="96">
        <v>2028</v>
      </c>
      <c r="V89" s="97">
        <v>2029</v>
      </c>
    </row>
    <row r="90" spans="1:25" x14ac:dyDescent="0.2">
      <c r="O90" t="s">
        <v>60</v>
      </c>
      <c r="P90"/>
      <c r="Q90" t="s">
        <v>115</v>
      </c>
      <c r="R90" s="73">
        <f>R25</f>
        <v>4244.2200000000012</v>
      </c>
      <c r="S90" s="73">
        <f t="shared" ref="S90:V90" si="32">S25</f>
        <v>4350.3255000000008</v>
      </c>
      <c r="T90" s="73">
        <f t="shared" si="32"/>
        <v>4459.083637499999</v>
      </c>
      <c r="U90" s="73">
        <f t="shared" si="32"/>
        <v>4548.2653102499989</v>
      </c>
      <c r="V90" s="73">
        <f t="shared" si="32"/>
        <v>4616.4892899037495</v>
      </c>
    </row>
    <row r="91" spans="1:25" x14ac:dyDescent="0.2">
      <c r="O91" t="s">
        <v>110</v>
      </c>
      <c r="P91"/>
      <c r="Q91" t="s">
        <v>115</v>
      </c>
      <c r="R91">
        <f>-R90*$P$9</f>
        <v>-1273.2660000000003</v>
      </c>
      <c r="S91">
        <f>-S90*$P$9</f>
        <v>-1305.0976500000002</v>
      </c>
      <c r="T91">
        <f>-T90*$P$9</f>
        <v>-1337.7250912499997</v>
      </c>
      <c r="U91">
        <f>-U90*$P$9</f>
        <v>-1364.4795930749997</v>
      </c>
      <c r="V91">
        <f>-V90*$P$9</f>
        <v>-1384.9467869711248</v>
      </c>
    </row>
    <row r="92" spans="1:25" x14ac:dyDescent="0.2">
      <c r="O92" t="s">
        <v>111</v>
      </c>
      <c r="P92"/>
      <c r="Q92" t="s">
        <v>115</v>
      </c>
      <c r="R92" s="73">
        <f>-R24</f>
        <v>4568.58</v>
      </c>
      <c r="S92" s="73">
        <f t="shared" ref="S92:V92" si="33">-S24</f>
        <v>4682.7945</v>
      </c>
      <c r="T92" s="73">
        <f t="shared" si="33"/>
        <v>4799.8643624999995</v>
      </c>
      <c r="U92" s="73">
        <f t="shared" si="33"/>
        <v>4895.8616497499988</v>
      </c>
      <c r="V92" s="73">
        <f t="shared" si="33"/>
        <v>4969.2995744962482</v>
      </c>
    </row>
    <row r="93" spans="1:25" x14ac:dyDescent="0.2">
      <c r="O93" t="s">
        <v>112</v>
      </c>
      <c r="P93"/>
      <c r="Q93" t="s">
        <v>115</v>
      </c>
      <c r="R93" s="73">
        <f>-R81</f>
        <v>-5287.6600000000017</v>
      </c>
      <c r="S93" s="73">
        <f t="shared" ref="S93:V93" si="34">-S81</f>
        <v>-5599.6215000000047</v>
      </c>
      <c r="T93" s="73">
        <f t="shared" si="34"/>
        <v>-5739.6120374999909</v>
      </c>
      <c r="U93" s="73">
        <f>-U81</f>
        <v>-5666.4547432499912</v>
      </c>
      <c r="V93" s="73">
        <f t="shared" si="34"/>
        <v>-5558.8032910237544</v>
      </c>
    </row>
    <row r="94" spans="1:25" x14ac:dyDescent="0.2">
      <c r="O94" t="s">
        <v>113</v>
      </c>
      <c r="P94"/>
      <c r="Q94" t="s">
        <v>115</v>
      </c>
      <c r="R94" s="73">
        <f>-R86</f>
        <v>44.740000000001601</v>
      </c>
      <c r="S94" s="73">
        <f>-S86</f>
        <v>57.043499999997948</v>
      </c>
      <c r="T94" s="73">
        <f t="shared" ref="T94:V94" si="35">-T86</f>
        <v>58.469587500000671</v>
      </c>
      <c r="U94" s="73">
        <f t="shared" si="35"/>
        <v>47.945061750000605</v>
      </c>
      <c r="V94" s="73">
        <f t="shared" si="35"/>
        <v>36.677972238750044</v>
      </c>
    </row>
    <row r="95" spans="1:25" x14ac:dyDescent="0.2">
      <c r="O95" s="2" t="s">
        <v>114</v>
      </c>
      <c r="P95" s="2"/>
      <c r="Q95" s="2" t="s">
        <v>115</v>
      </c>
      <c r="R95" s="84">
        <f>SUM(R90:R94)</f>
        <v>2296.6140000000005</v>
      </c>
      <c r="S95" s="84">
        <f>SUM(S90:S94)</f>
        <v>2185.4443499999943</v>
      </c>
      <c r="T95" s="84">
        <f t="shared" ref="T95:V95" si="36">SUM(T90:T94)</f>
        <v>2240.0804587500088</v>
      </c>
      <c r="U95" s="84">
        <f>SUM(U90:U94)</f>
        <v>2461.1376854250075</v>
      </c>
      <c r="V95" s="84">
        <f t="shared" si="36"/>
        <v>2678.7167586438691</v>
      </c>
    </row>
    <row r="96" spans="1:25" x14ac:dyDescent="0.2">
      <c r="O96"/>
      <c r="P96"/>
      <c r="Q96"/>
      <c r="R96"/>
      <c r="S96"/>
      <c r="T96"/>
      <c r="U96"/>
      <c r="V96"/>
    </row>
    <row r="97" spans="1:175" ht="16" x14ac:dyDescent="0.2">
      <c r="O97" s="74" t="s">
        <v>116</v>
      </c>
      <c r="P97"/>
      <c r="Q97" s="96">
        <v>2024</v>
      </c>
      <c r="R97" s="97">
        <v>2025</v>
      </c>
      <c r="S97" s="96">
        <v>2026</v>
      </c>
      <c r="T97" s="97">
        <v>2027</v>
      </c>
      <c r="U97" s="96">
        <v>2028</v>
      </c>
      <c r="V97" s="97">
        <v>2029</v>
      </c>
    </row>
    <row r="98" spans="1:175" x14ac:dyDescent="0.2">
      <c r="O98" t="s">
        <v>117</v>
      </c>
      <c r="P98"/>
      <c r="Q98"/>
      <c r="R98">
        <f>R95/(1+$P$11)^H2</f>
        <v>2141.7425550800108</v>
      </c>
      <c r="S98">
        <f>S95/(1+$P$11)^I2</f>
        <v>1900.6330114861082</v>
      </c>
      <c r="T98">
        <f>T95/(1+$P$11)^J2</f>
        <v>1816.7760308641073</v>
      </c>
      <c r="U98">
        <f>U95/(1+$P$11)^K2</f>
        <v>1861.456717415834</v>
      </c>
      <c r="V98">
        <f>V95/(1+$P$11)^L2</f>
        <v>1889.3964051745359</v>
      </c>
    </row>
    <row r="99" spans="1:175" x14ac:dyDescent="0.2">
      <c r="O99" t="s">
        <v>118</v>
      </c>
      <c r="P99"/>
      <c r="Q99" s="73">
        <f>SUM(R98:V98)</f>
        <v>9610.0047200205954</v>
      </c>
      <c r="R99"/>
      <c r="S99"/>
      <c r="T99"/>
      <c r="U99"/>
      <c r="V99"/>
    </row>
    <row r="100" spans="1:175" x14ac:dyDescent="0.2">
      <c r="O100" t="s">
        <v>119</v>
      </c>
      <c r="P100"/>
      <c r="Q100"/>
      <c r="R100"/>
      <c r="S100"/>
      <c r="T100"/>
      <c r="U100"/>
      <c r="V100">
        <f>V95*(1+P8)/(P11-P8)</f>
        <v>52231.720985549255</v>
      </c>
    </row>
    <row r="101" spans="1:175" x14ac:dyDescent="0.2">
      <c r="O101" t="s">
        <v>120</v>
      </c>
      <c r="P101"/>
      <c r="Q101" s="73">
        <f>V100/(1+P11)^5</f>
        <v>36840.933461041721</v>
      </c>
      <c r="R101"/>
      <c r="S101"/>
      <c r="T101"/>
      <c r="U101"/>
      <c r="V101"/>
    </row>
    <row r="102" spans="1:175" x14ac:dyDescent="0.2">
      <c r="O102" t="s">
        <v>121</v>
      </c>
      <c r="P102"/>
      <c r="Q102" s="73">
        <f>Q99+Q101</f>
        <v>46450.938181062316</v>
      </c>
      <c r="R102"/>
      <c r="S102"/>
      <c r="T102"/>
      <c r="U102"/>
      <c r="V102"/>
      <c r="W102"/>
      <c r="X102"/>
      <c r="Y102"/>
    </row>
    <row r="103" spans="1:175" x14ac:dyDescent="0.2">
      <c r="O103" t="s">
        <v>122</v>
      </c>
      <c r="P103"/>
      <c r="Q103" s="73">
        <f>Q39</f>
        <v>1046</v>
      </c>
      <c r="R103"/>
      <c r="S103"/>
      <c r="T103"/>
      <c r="U103"/>
      <c r="V103"/>
    </row>
    <row r="104" spans="1:175" ht="30" customHeight="1" x14ac:dyDescent="0.2">
      <c r="C104" s="105"/>
      <c r="D104" s="106"/>
      <c r="E104" s="106"/>
      <c r="F104" s="106"/>
      <c r="G104" s="106"/>
      <c r="H104" s="106"/>
      <c r="I104" s="106"/>
      <c r="J104" s="106"/>
      <c r="K104" s="106"/>
      <c r="L104" s="106"/>
      <c r="O104" t="s">
        <v>123</v>
      </c>
      <c r="P104"/>
      <c r="Q104" s="73">
        <f>-(Q64+Q58)</f>
        <v>-16968</v>
      </c>
      <c r="R104"/>
      <c r="S104"/>
      <c r="T104"/>
      <c r="U104"/>
      <c r="V104"/>
      <c r="W104"/>
      <c r="X104"/>
      <c r="Y104"/>
    </row>
    <row r="105" spans="1:175" ht="30" customHeight="1" x14ac:dyDescent="0.2">
      <c r="C105" s="105"/>
      <c r="D105" s="106"/>
      <c r="E105" s="106"/>
      <c r="F105" s="106"/>
      <c r="G105" s="106"/>
      <c r="H105" s="106"/>
      <c r="I105" s="106"/>
      <c r="J105" s="106"/>
      <c r="K105" s="106"/>
      <c r="L105" s="106"/>
      <c r="O105" t="s">
        <v>124</v>
      </c>
      <c r="P105"/>
      <c r="Q105" s="73">
        <f>SUM(Q102:Q104)</f>
        <v>30528.938181062316</v>
      </c>
      <c r="R105"/>
      <c r="S105"/>
      <c r="T105"/>
      <c r="U105"/>
      <c r="V105"/>
      <c r="W105"/>
      <c r="X105"/>
      <c r="Y105"/>
    </row>
    <row r="106" spans="1:175" x14ac:dyDescent="0.2">
      <c r="O106" t="s">
        <v>125</v>
      </c>
      <c r="P106"/>
      <c r="Q106" s="73">
        <f>Q105/P14</f>
        <v>2.6704108692968447</v>
      </c>
      <c r="R106"/>
      <c r="S106"/>
      <c r="T106"/>
      <c r="U106"/>
      <c r="V106"/>
    </row>
    <row r="107" spans="1:175" x14ac:dyDescent="0.2">
      <c r="A107" s="25"/>
      <c r="B107" s="25"/>
      <c r="K107" s="58"/>
      <c r="L107" s="58"/>
      <c r="O107" t="s">
        <v>126</v>
      </c>
      <c r="P107"/>
      <c r="Q107" s="73">
        <f>Q106-P13</f>
        <v>-1.8695891307031554</v>
      </c>
      <c r="R107"/>
      <c r="S107"/>
      <c r="T107"/>
      <c r="U107"/>
      <c r="V107"/>
      <c r="W107"/>
      <c r="X107"/>
      <c r="Y107"/>
    </row>
    <row r="108" spans="1:175" x14ac:dyDescent="0.2">
      <c r="A108" s="25"/>
      <c r="B108" s="25"/>
      <c r="K108" s="25"/>
      <c r="L108" s="25"/>
      <c r="O108" t="s">
        <v>127</v>
      </c>
      <c r="P108"/>
      <c r="Q108" s="68">
        <f>0.056012854</f>
        <v>5.6012854000000001E-2</v>
      </c>
      <c r="R108"/>
      <c r="S108"/>
      <c r="T108"/>
      <c r="U108"/>
      <c r="V108"/>
      <c r="W108"/>
      <c r="X108"/>
      <c r="Y108"/>
    </row>
    <row r="109" spans="1:175" x14ac:dyDescent="0.2">
      <c r="B109"/>
      <c r="R109"/>
      <c r="S109"/>
      <c r="T109"/>
      <c r="U109"/>
      <c r="V109"/>
      <c r="W109"/>
      <c r="X109"/>
      <c r="Y109"/>
    </row>
    <row r="110" spans="1:175" x14ac:dyDescent="0.2">
      <c r="B110"/>
      <c r="K110" s="19"/>
      <c r="L110" s="19"/>
      <c r="R110"/>
      <c r="S110"/>
      <c r="T110"/>
      <c r="U110"/>
      <c r="V110"/>
      <c r="W110"/>
      <c r="X110"/>
      <c r="Y110"/>
    </row>
    <row r="111" spans="1:175" s="2" customFormat="1" x14ac:dyDescent="0.2">
      <c r="K111" s="21"/>
      <c r="L111" s="21"/>
      <c r="N111"/>
      <c r="O111" s="104"/>
      <c r="P111" s="104"/>
      <c r="Q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c r="CZ111" s="104"/>
      <c r="DA111" s="104"/>
      <c r="DB111" s="104"/>
      <c r="DC111" s="104"/>
      <c r="DD111" s="104"/>
      <c r="DE111" s="104"/>
      <c r="DF111" s="104"/>
      <c r="DG111" s="104"/>
      <c r="DH111" s="104"/>
      <c r="DI111" s="104"/>
      <c r="DJ111" s="104"/>
      <c r="DK111" s="104"/>
      <c r="DL111" s="104"/>
      <c r="DM111" s="104"/>
      <c r="DN111" s="104"/>
      <c r="DO111" s="104"/>
      <c r="DP111" s="104"/>
      <c r="DQ111" s="104"/>
      <c r="DR111" s="104"/>
      <c r="DS111" s="104"/>
      <c r="DT111" s="104"/>
      <c r="DU111" s="104"/>
      <c r="DV111" s="104"/>
      <c r="DW111" s="104"/>
      <c r="DX111" s="104"/>
      <c r="DY111" s="104"/>
      <c r="DZ111" s="104"/>
      <c r="EA111" s="104"/>
      <c r="EB111" s="104"/>
      <c r="EC111" s="104"/>
      <c r="ED111" s="104"/>
      <c r="EE111" s="104"/>
      <c r="EF111" s="104"/>
      <c r="EG111" s="104"/>
      <c r="EH111" s="104"/>
      <c r="EI111" s="104"/>
      <c r="EJ111" s="104"/>
      <c r="EK111" s="104"/>
      <c r="EL111" s="104"/>
      <c r="EM111" s="104"/>
      <c r="EN111" s="104"/>
      <c r="EO111" s="104"/>
      <c r="EP111" s="104"/>
      <c r="EQ111" s="104"/>
      <c r="ER111" s="104"/>
      <c r="ES111" s="104"/>
      <c r="ET111" s="104"/>
      <c r="EU111" s="104"/>
      <c r="EV111" s="104"/>
      <c r="EW111" s="104"/>
      <c r="EX111" s="104"/>
      <c r="EY111" s="104"/>
      <c r="EZ111" s="104"/>
      <c r="FA111" s="104"/>
      <c r="FB111" s="104"/>
      <c r="FC111" s="104"/>
      <c r="FD111" s="104"/>
      <c r="FE111" s="104"/>
      <c r="FF111" s="104"/>
      <c r="FG111" s="104"/>
      <c r="FH111" s="104"/>
      <c r="FI111" s="104"/>
      <c r="FJ111" s="104"/>
      <c r="FK111" s="104"/>
      <c r="FL111" s="104"/>
      <c r="FM111" s="104"/>
      <c r="FN111" s="104"/>
      <c r="FO111" s="104"/>
      <c r="FP111" s="104"/>
      <c r="FQ111" s="104"/>
      <c r="FR111" s="104"/>
      <c r="FS111" s="104"/>
    </row>
    <row r="112" spans="1:175" x14ac:dyDescent="0.2">
      <c r="B112"/>
      <c r="K112" s="19"/>
      <c r="L112" s="19"/>
      <c r="R112"/>
      <c r="S112"/>
      <c r="T112"/>
      <c r="U112"/>
      <c r="V112"/>
      <c r="W112"/>
      <c r="X112"/>
      <c r="Y112"/>
    </row>
    <row r="113" spans="2:175" s="2" customFormat="1" x14ac:dyDescent="0.2">
      <c r="K113" s="21"/>
      <c r="L113" s="21"/>
      <c r="N113"/>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c r="CZ113" s="104"/>
      <c r="DA113" s="104"/>
      <c r="DB113" s="104"/>
      <c r="DC113" s="104"/>
      <c r="DD113" s="104"/>
      <c r="DE113" s="104"/>
      <c r="DF113" s="104"/>
      <c r="DG113" s="104"/>
      <c r="DH113" s="104"/>
      <c r="DI113" s="104"/>
      <c r="DJ113" s="104"/>
      <c r="DK113" s="104"/>
      <c r="DL113" s="104"/>
      <c r="DM113" s="104"/>
      <c r="DN113" s="104"/>
      <c r="DO113" s="104"/>
      <c r="DP113" s="104"/>
      <c r="DQ113" s="104"/>
      <c r="DR113" s="104"/>
      <c r="DS113" s="104"/>
      <c r="DT113" s="104"/>
      <c r="DU113" s="104"/>
      <c r="DV113" s="104"/>
      <c r="DW113" s="104"/>
      <c r="DX113" s="104"/>
      <c r="DY113" s="104"/>
      <c r="DZ113" s="104"/>
      <c r="EA113" s="104"/>
      <c r="EB113" s="104"/>
      <c r="EC113" s="104"/>
      <c r="ED113" s="104"/>
      <c r="EE113" s="104"/>
      <c r="EF113" s="104"/>
      <c r="EG113" s="104"/>
      <c r="EH113" s="104"/>
      <c r="EI113" s="104"/>
      <c r="EJ113" s="104"/>
      <c r="EK113" s="104"/>
      <c r="EL113" s="104"/>
      <c r="EM113" s="104"/>
      <c r="EN113" s="104"/>
      <c r="EO113" s="104"/>
      <c r="EP113" s="104"/>
      <c r="EQ113" s="104"/>
      <c r="ER113" s="104"/>
      <c r="ES113" s="104"/>
      <c r="ET113" s="104"/>
      <c r="EU113" s="104"/>
      <c r="EV113" s="104"/>
      <c r="EW113" s="104"/>
      <c r="EX113" s="104"/>
      <c r="EY113" s="104"/>
      <c r="EZ113" s="104"/>
      <c r="FA113" s="104"/>
      <c r="FB113" s="104"/>
      <c r="FC113" s="104"/>
      <c r="FD113" s="104"/>
      <c r="FE113" s="104"/>
      <c r="FF113" s="104"/>
      <c r="FG113" s="104"/>
      <c r="FH113" s="104"/>
      <c r="FI113" s="104"/>
      <c r="FJ113" s="104"/>
      <c r="FK113" s="104"/>
      <c r="FL113" s="104"/>
      <c r="FM113" s="104"/>
      <c r="FN113" s="104"/>
      <c r="FO113" s="104"/>
      <c r="FP113" s="104"/>
      <c r="FQ113" s="104"/>
      <c r="FR113" s="104"/>
      <c r="FS113" s="104"/>
    </row>
    <row r="114" spans="2:175" x14ac:dyDescent="0.2">
      <c r="B114"/>
      <c r="K114" s="19"/>
      <c r="L114" s="19"/>
    </row>
    <row r="115" spans="2:175" x14ac:dyDescent="0.2">
      <c r="B115"/>
      <c r="K115" s="19"/>
      <c r="L115" s="19"/>
    </row>
    <row r="116" spans="2:175" s="2" customFormat="1" x14ac:dyDescent="0.2">
      <c r="K116" s="21"/>
      <c r="L116" s="21"/>
      <c r="N116"/>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c r="CZ116" s="104"/>
      <c r="DA116" s="104"/>
      <c r="DB116" s="104"/>
      <c r="DC116" s="104"/>
      <c r="DD116" s="104"/>
      <c r="DE116" s="104"/>
      <c r="DF116" s="104"/>
      <c r="DG116" s="104"/>
      <c r="DH116" s="104"/>
      <c r="DI116" s="104"/>
      <c r="DJ116" s="104"/>
      <c r="DK116" s="104"/>
      <c r="DL116" s="104"/>
      <c r="DM116" s="104"/>
      <c r="DN116" s="104"/>
      <c r="DO116" s="104"/>
      <c r="DP116" s="104"/>
      <c r="DQ116" s="104"/>
      <c r="DR116" s="104"/>
      <c r="DS116" s="104"/>
      <c r="DT116" s="104"/>
      <c r="DU116" s="104"/>
      <c r="DV116" s="104"/>
      <c r="DW116" s="104"/>
      <c r="DX116" s="104"/>
      <c r="DY116" s="104"/>
      <c r="DZ116" s="104"/>
      <c r="EA116" s="104"/>
      <c r="EB116" s="104"/>
      <c r="EC116" s="104"/>
      <c r="ED116" s="104"/>
      <c r="EE116" s="104"/>
      <c r="EF116" s="104"/>
      <c r="EG116" s="104"/>
      <c r="EH116" s="104"/>
      <c r="EI116" s="104"/>
      <c r="EJ116" s="104"/>
      <c r="EK116" s="104"/>
      <c r="EL116" s="104"/>
      <c r="EM116" s="104"/>
      <c r="EN116" s="104"/>
      <c r="EO116" s="104"/>
      <c r="EP116" s="104"/>
      <c r="EQ116" s="104"/>
      <c r="ER116" s="104"/>
      <c r="ES116" s="104"/>
      <c r="ET116" s="104"/>
      <c r="EU116" s="104"/>
      <c r="EV116" s="104"/>
      <c r="EW116" s="104"/>
      <c r="EX116" s="104"/>
      <c r="EY116" s="104"/>
      <c r="EZ116" s="104"/>
      <c r="FA116" s="104"/>
      <c r="FB116" s="104"/>
      <c r="FC116" s="104"/>
      <c r="FD116" s="104"/>
      <c r="FE116" s="104"/>
      <c r="FF116" s="104"/>
      <c r="FG116" s="104"/>
      <c r="FH116" s="104"/>
      <c r="FI116" s="104"/>
      <c r="FJ116" s="104"/>
      <c r="FK116" s="104"/>
      <c r="FL116" s="104"/>
      <c r="FM116" s="104"/>
      <c r="FN116" s="104"/>
      <c r="FO116" s="104"/>
      <c r="FP116" s="104"/>
      <c r="FQ116" s="104"/>
      <c r="FR116" s="104"/>
      <c r="FS116" s="104"/>
    </row>
    <row r="117" spans="2:175" s="2" customFormat="1" x14ac:dyDescent="0.2">
      <c r="K117" s="21"/>
      <c r="L117" s="21"/>
      <c r="N117"/>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c r="CZ117" s="104"/>
      <c r="DA117" s="104"/>
      <c r="DB117" s="104"/>
      <c r="DC117" s="104"/>
      <c r="DD117" s="104"/>
      <c r="DE117" s="104"/>
      <c r="DF117" s="104"/>
      <c r="DG117" s="104"/>
      <c r="DH117" s="104"/>
      <c r="DI117" s="104"/>
      <c r="DJ117" s="104"/>
      <c r="DK117" s="104"/>
      <c r="DL117" s="104"/>
      <c r="DM117" s="104"/>
      <c r="DN117" s="104"/>
      <c r="DO117" s="104"/>
      <c r="DP117" s="104"/>
      <c r="DQ117" s="104"/>
      <c r="DR117" s="104"/>
      <c r="DS117" s="104"/>
      <c r="DT117" s="104"/>
      <c r="DU117" s="104"/>
      <c r="DV117" s="104"/>
      <c r="DW117" s="104"/>
      <c r="DX117" s="104"/>
      <c r="DY117" s="104"/>
      <c r="DZ117" s="104"/>
      <c r="EA117" s="104"/>
      <c r="EB117" s="104"/>
      <c r="EC117" s="104"/>
      <c r="ED117" s="104"/>
      <c r="EE117" s="104"/>
      <c r="EF117" s="104"/>
      <c r="EG117" s="104"/>
      <c r="EH117" s="104"/>
      <c r="EI117" s="104"/>
      <c r="EJ117" s="104"/>
      <c r="EK117" s="104"/>
      <c r="EL117" s="104"/>
      <c r="EM117" s="104"/>
      <c r="EN117" s="104"/>
      <c r="EO117" s="104"/>
      <c r="EP117" s="104"/>
      <c r="EQ117" s="104"/>
      <c r="ER117" s="104"/>
      <c r="ES117" s="104"/>
      <c r="ET117" s="104"/>
      <c r="EU117" s="104"/>
      <c r="EV117" s="104"/>
      <c r="EW117" s="104"/>
      <c r="EX117" s="104"/>
      <c r="EY117" s="104"/>
      <c r="EZ117" s="104"/>
      <c r="FA117" s="104"/>
      <c r="FB117" s="104"/>
      <c r="FC117" s="104"/>
      <c r="FD117" s="104"/>
      <c r="FE117" s="104"/>
      <c r="FF117" s="104"/>
      <c r="FG117" s="104"/>
      <c r="FH117" s="104"/>
      <c r="FI117" s="104"/>
      <c r="FJ117" s="104"/>
      <c r="FK117" s="104"/>
      <c r="FL117" s="104"/>
      <c r="FM117" s="104"/>
      <c r="FN117" s="104"/>
      <c r="FO117" s="104"/>
      <c r="FP117" s="104"/>
      <c r="FQ117" s="104"/>
      <c r="FR117" s="104"/>
      <c r="FS117" s="104"/>
    </row>
    <row r="118" spans="2:175" x14ac:dyDescent="0.2">
      <c r="B118"/>
      <c r="K118" s="19"/>
      <c r="L118" s="19"/>
    </row>
    <row r="119" spans="2:175" x14ac:dyDescent="0.2">
      <c r="B119"/>
      <c r="K119" s="19"/>
      <c r="L119" s="19"/>
    </row>
    <row r="120" spans="2:175" s="2" customFormat="1" x14ac:dyDescent="0.2">
      <c r="K120" s="21"/>
      <c r="L120" s="21"/>
      <c r="N120"/>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c r="CZ120" s="104"/>
      <c r="DA120" s="104"/>
      <c r="DB120" s="104"/>
      <c r="DC120" s="104"/>
      <c r="DD120" s="104"/>
      <c r="DE120" s="104"/>
      <c r="DF120" s="104"/>
      <c r="DG120" s="104"/>
      <c r="DH120" s="104"/>
      <c r="DI120" s="104"/>
      <c r="DJ120" s="104"/>
      <c r="DK120" s="104"/>
      <c r="DL120" s="104"/>
      <c r="DM120" s="104"/>
      <c r="DN120" s="104"/>
      <c r="DO120" s="104"/>
      <c r="DP120" s="104"/>
      <c r="DQ120" s="104"/>
      <c r="DR120" s="104"/>
      <c r="DS120" s="104"/>
      <c r="DT120" s="104"/>
      <c r="DU120" s="104"/>
      <c r="DV120" s="104"/>
      <c r="DW120" s="104"/>
      <c r="DX120" s="104"/>
      <c r="DY120" s="104"/>
      <c r="DZ120" s="104"/>
      <c r="EA120" s="104"/>
      <c r="EB120" s="104"/>
      <c r="EC120" s="104"/>
      <c r="ED120" s="104"/>
      <c r="EE120" s="104"/>
      <c r="EF120" s="104"/>
      <c r="EG120" s="104"/>
      <c r="EH120" s="104"/>
      <c r="EI120" s="104"/>
      <c r="EJ120" s="104"/>
      <c r="EK120" s="104"/>
      <c r="EL120" s="104"/>
      <c r="EM120" s="104"/>
      <c r="EN120" s="104"/>
      <c r="EO120" s="104"/>
      <c r="EP120" s="104"/>
      <c r="EQ120" s="104"/>
      <c r="ER120" s="104"/>
      <c r="ES120" s="104"/>
      <c r="ET120" s="104"/>
      <c r="EU120" s="104"/>
      <c r="EV120" s="104"/>
      <c r="EW120" s="104"/>
      <c r="EX120" s="104"/>
      <c r="EY120" s="104"/>
      <c r="EZ120" s="104"/>
      <c r="FA120" s="104"/>
      <c r="FB120" s="104"/>
      <c r="FC120" s="104"/>
      <c r="FD120" s="104"/>
      <c r="FE120" s="104"/>
      <c r="FF120" s="104"/>
      <c r="FG120" s="104"/>
      <c r="FH120" s="104"/>
      <c r="FI120" s="104"/>
      <c r="FJ120" s="104"/>
      <c r="FK120" s="104"/>
      <c r="FL120" s="104"/>
      <c r="FM120" s="104"/>
      <c r="FN120" s="104"/>
      <c r="FO120" s="104"/>
      <c r="FP120" s="104"/>
      <c r="FQ120" s="104"/>
      <c r="FR120" s="104"/>
      <c r="FS120" s="104"/>
    </row>
    <row r="121" spans="2:175" s="2" customFormat="1" x14ac:dyDescent="0.2">
      <c r="K121" s="21"/>
      <c r="L121" s="21"/>
      <c r="N121"/>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c r="CZ121" s="104"/>
      <c r="DA121" s="104"/>
      <c r="DB121" s="104"/>
      <c r="DC121" s="104"/>
      <c r="DD121" s="104"/>
      <c r="DE121" s="104"/>
      <c r="DF121" s="104"/>
      <c r="DG121" s="104"/>
      <c r="DH121" s="104"/>
      <c r="DI121" s="104"/>
      <c r="DJ121" s="104"/>
      <c r="DK121" s="104"/>
      <c r="DL121" s="104"/>
      <c r="DM121" s="104"/>
      <c r="DN121" s="104"/>
      <c r="DO121" s="104"/>
      <c r="DP121" s="104"/>
      <c r="DQ121" s="104"/>
      <c r="DR121" s="104"/>
      <c r="DS121" s="104"/>
      <c r="DT121" s="104"/>
      <c r="DU121" s="104"/>
      <c r="DV121" s="104"/>
      <c r="DW121" s="104"/>
      <c r="DX121" s="104"/>
      <c r="DY121" s="104"/>
      <c r="DZ121" s="104"/>
      <c r="EA121" s="104"/>
      <c r="EB121" s="104"/>
      <c r="EC121" s="104"/>
      <c r="ED121" s="104"/>
      <c r="EE121" s="104"/>
      <c r="EF121" s="104"/>
      <c r="EG121" s="104"/>
      <c r="EH121" s="104"/>
      <c r="EI121" s="104"/>
      <c r="EJ121" s="104"/>
      <c r="EK121" s="104"/>
      <c r="EL121" s="104"/>
      <c r="EM121" s="104"/>
      <c r="EN121" s="104"/>
      <c r="EO121" s="104"/>
      <c r="EP121" s="104"/>
      <c r="EQ121" s="104"/>
      <c r="ER121" s="104"/>
      <c r="ES121" s="104"/>
      <c r="ET121" s="104"/>
      <c r="EU121" s="104"/>
      <c r="EV121" s="104"/>
      <c r="EW121" s="104"/>
      <c r="EX121" s="104"/>
      <c r="EY121" s="104"/>
      <c r="EZ121" s="104"/>
      <c r="FA121" s="104"/>
      <c r="FB121" s="104"/>
      <c r="FC121" s="104"/>
      <c r="FD121" s="104"/>
      <c r="FE121" s="104"/>
      <c r="FF121" s="104"/>
      <c r="FG121" s="104"/>
      <c r="FH121" s="104"/>
      <c r="FI121" s="104"/>
      <c r="FJ121" s="104"/>
      <c r="FK121" s="104"/>
      <c r="FL121" s="104"/>
      <c r="FM121" s="104"/>
      <c r="FN121" s="104"/>
      <c r="FO121" s="104"/>
      <c r="FP121" s="104"/>
      <c r="FQ121" s="104"/>
      <c r="FR121" s="104"/>
      <c r="FS121" s="104"/>
    </row>
    <row r="122" spans="2:175" x14ac:dyDescent="0.2">
      <c r="B122"/>
      <c r="K122" s="19"/>
      <c r="L122" s="19"/>
    </row>
    <row r="123" spans="2:175" s="2" customFormat="1" x14ac:dyDescent="0.2">
      <c r="K123" s="21"/>
      <c r="L123" s="21"/>
      <c r="N123"/>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c r="CZ123" s="104"/>
      <c r="DA123" s="104"/>
      <c r="DB123" s="104"/>
      <c r="DC123" s="104"/>
      <c r="DD123" s="104"/>
      <c r="DE123" s="104"/>
      <c r="DF123" s="104"/>
      <c r="DG123" s="104"/>
      <c r="DH123" s="104"/>
      <c r="DI123" s="104"/>
      <c r="DJ123" s="104"/>
      <c r="DK123" s="104"/>
      <c r="DL123" s="104"/>
      <c r="DM123" s="104"/>
      <c r="DN123" s="104"/>
      <c r="DO123" s="104"/>
      <c r="DP123" s="104"/>
      <c r="DQ123" s="104"/>
      <c r="DR123" s="104"/>
      <c r="DS123" s="104"/>
      <c r="DT123" s="104"/>
      <c r="DU123" s="104"/>
      <c r="DV123" s="104"/>
      <c r="DW123" s="104"/>
      <c r="DX123" s="104"/>
      <c r="DY123" s="104"/>
      <c r="DZ123" s="104"/>
      <c r="EA123" s="104"/>
      <c r="EB123" s="104"/>
      <c r="EC123" s="104"/>
      <c r="ED123" s="104"/>
      <c r="EE123" s="104"/>
      <c r="EF123" s="104"/>
      <c r="EG123" s="104"/>
      <c r="EH123" s="104"/>
      <c r="EI123" s="104"/>
      <c r="EJ123" s="104"/>
      <c r="EK123" s="104"/>
      <c r="EL123" s="104"/>
      <c r="EM123" s="104"/>
      <c r="EN123" s="104"/>
      <c r="EO123" s="104"/>
      <c r="EP123" s="104"/>
      <c r="EQ123" s="104"/>
      <c r="ER123" s="104"/>
      <c r="ES123" s="104"/>
      <c r="ET123" s="104"/>
      <c r="EU123" s="104"/>
      <c r="EV123" s="104"/>
      <c r="EW123" s="104"/>
      <c r="EX123" s="104"/>
      <c r="EY123" s="104"/>
      <c r="EZ123" s="104"/>
      <c r="FA123" s="104"/>
      <c r="FB123" s="104"/>
      <c r="FC123" s="104"/>
      <c r="FD123" s="104"/>
      <c r="FE123" s="104"/>
      <c r="FF123" s="104"/>
      <c r="FG123" s="104"/>
      <c r="FH123" s="104"/>
      <c r="FI123" s="104"/>
      <c r="FJ123" s="104"/>
      <c r="FK123" s="104"/>
      <c r="FL123" s="104"/>
      <c r="FM123" s="104"/>
      <c r="FN123" s="104"/>
      <c r="FO123" s="104"/>
      <c r="FP123" s="104"/>
      <c r="FQ123" s="104"/>
      <c r="FR123" s="104"/>
      <c r="FS123" s="104"/>
    </row>
    <row r="124" spans="2:175" x14ac:dyDescent="0.2">
      <c r="B124"/>
      <c r="K124" s="19"/>
      <c r="L124" s="19"/>
    </row>
    <row r="125" spans="2:175" x14ac:dyDescent="0.2">
      <c r="B125"/>
      <c r="K125" s="19"/>
      <c r="L125" s="19"/>
    </row>
    <row r="126" spans="2:175" s="2" customFormat="1" x14ac:dyDescent="0.2">
      <c r="K126" s="21"/>
      <c r="L126" s="21"/>
      <c r="N126"/>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c r="CZ126" s="104"/>
      <c r="DA126" s="104"/>
      <c r="DB126" s="104"/>
      <c r="DC126" s="104"/>
      <c r="DD126" s="104"/>
      <c r="DE126" s="104"/>
      <c r="DF126" s="104"/>
      <c r="DG126" s="104"/>
      <c r="DH126" s="104"/>
      <c r="DI126" s="104"/>
      <c r="DJ126" s="104"/>
      <c r="DK126" s="104"/>
      <c r="DL126" s="104"/>
      <c r="DM126" s="104"/>
      <c r="DN126" s="104"/>
      <c r="DO126" s="104"/>
      <c r="DP126" s="104"/>
      <c r="DQ126" s="104"/>
      <c r="DR126" s="104"/>
      <c r="DS126" s="104"/>
      <c r="DT126" s="104"/>
      <c r="DU126" s="104"/>
      <c r="DV126" s="104"/>
      <c r="DW126" s="104"/>
      <c r="DX126" s="104"/>
      <c r="DY126" s="104"/>
      <c r="DZ126" s="104"/>
      <c r="EA126" s="104"/>
      <c r="EB126" s="104"/>
      <c r="EC126" s="104"/>
      <c r="ED126" s="104"/>
      <c r="EE126" s="104"/>
      <c r="EF126" s="104"/>
      <c r="EG126" s="104"/>
      <c r="EH126" s="104"/>
      <c r="EI126" s="104"/>
      <c r="EJ126" s="104"/>
      <c r="EK126" s="104"/>
      <c r="EL126" s="104"/>
      <c r="EM126" s="104"/>
      <c r="EN126" s="104"/>
      <c r="EO126" s="104"/>
      <c r="EP126" s="104"/>
      <c r="EQ126" s="104"/>
      <c r="ER126" s="104"/>
      <c r="ES126" s="104"/>
      <c r="ET126" s="104"/>
      <c r="EU126" s="104"/>
      <c r="EV126" s="104"/>
      <c r="EW126" s="104"/>
      <c r="EX126" s="104"/>
      <c r="EY126" s="104"/>
      <c r="EZ126" s="104"/>
      <c r="FA126" s="104"/>
      <c r="FB126" s="104"/>
      <c r="FC126" s="104"/>
      <c r="FD126" s="104"/>
      <c r="FE126" s="104"/>
      <c r="FF126" s="104"/>
      <c r="FG126" s="104"/>
      <c r="FH126" s="104"/>
      <c r="FI126" s="104"/>
      <c r="FJ126" s="104"/>
      <c r="FK126" s="104"/>
      <c r="FL126" s="104"/>
      <c r="FM126" s="104"/>
      <c r="FN126" s="104"/>
      <c r="FO126" s="104"/>
      <c r="FP126" s="104"/>
      <c r="FQ126" s="104"/>
      <c r="FR126" s="104"/>
      <c r="FS126" s="104"/>
    </row>
    <row r="127" spans="2:175" s="2" customFormat="1" x14ac:dyDescent="0.2">
      <c r="K127" s="21"/>
      <c r="L127" s="21"/>
      <c r="N127"/>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c r="CZ127" s="104"/>
      <c r="DA127" s="104"/>
      <c r="DB127" s="104"/>
      <c r="DC127" s="104"/>
      <c r="DD127" s="104"/>
      <c r="DE127" s="104"/>
      <c r="DF127" s="104"/>
      <c r="DG127" s="104"/>
      <c r="DH127" s="104"/>
      <c r="DI127" s="104"/>
      <c r="DJ127" s="104"/>
      <c r="DK127" s="104"/>
      <c r="DL127" s="104"/>
      <c r="DM127" s="104"/>
      <c r="DN127" s="104"/>
      <c r="DO127" s="104"/>
      <c r="DP127" s="104"/>
      <c r="DQ127" s="104"/>
      <c r="DR127" s="104"/>
      <c r="DS127" s="104"/>
      <c r="DT127" s="104"/>
      <c r="DU127" s="104"/>
      <c r="DV127" s="104"/>
      <c r="DW127" s="104"/>
      <c r="DX127" s="104"/>
      <c r="DY127" s="104"/>
      <c r="DZ127" s="104"/>
      <c r="EA127" s="104"/>
      <c r="EB127" s="104"/>
      <c r="EC127" s="104"/>
      <c r="ED127" s="104"/>
      <c r="EE127" s="104"/>
      <c r="EF127" s="104"/>
      <c r="EG127" s="104"/>
      <c r="EH127" s="104"/>
      <c r="EI127" s="104"/>
      <c r="EJ127" s="104"/>
      <c r="EK127" s="104"/>
      <c r="EL127" s="104"/>
      <c r="EM127" s="104"/>
      <c r="EN127" s="104"/>
      <c r="EO127" s="104"/>
      <c r="EP127" s="104"/>
      <c r="EQ127" s="104"/>
      <c r="ER127" s="104"/>
      <c r="ES127" s="104"/>
      <c r="ET127" s="104"/>
      <c r="EU127" s="104"/>
      <c r="EV127" s="104"/>
      <c r="EW127" s="104"/>
      <c r="EX127" s="104"/>
      <c r="EY127" s="104"/>
      <c r="EZ127" s="104"/>
      <c r="FA127" s="104"/>
      <c r="FB127" s="104"/>
      <c r="FC127" s="104"/>
      <c r="FD127" s="104"/>
      <c r="FE127" s="104"/>
      <c r="FF127" s="104"/>
      <c r="FG127" s="104"/>
      <c r="FH127" s="104"/>
      <c r="FI127" s="104"/>
      <c r="FJ127" s="104"/>
      <c r="FK127" s="104"/>
      <c r="FL127" s="104"/>
      <c r="FM127" s="104"/>
      <c r="FN127" s="104"/>
      <c r="FO127" s="104"/>
      <c r="FP127" s="104"/>
      <c r="FQ127" s="104"/>
      <c r="FR127" s="104"/>
      <c r="FS127" s="104"/>
    </row>
    <row r="129" spans="1:175" x14ac:dyDescent="0.2">
      <c r="A129" s="25"/>
      <c r="B129" s="25"/>
      <c r="K129" s="59"/>
      <c r="L129" s="59"/>
    </row>
    <row r="130" spans="1:175" x14ac:dyDescent="0.2">
      <c r="B130"/>
      <c r="K130" s="19"/>
      <c r="L130" s="19"/>
    </row>
    <row r="131" spans="1:175" x14ac:dyDescent="0.2">
      <c r="B131"/>
      <c r="K131" s="19"/>
      <c r="L131" s="19"/>
    </row>
    <row r="132" spans="1:175" x14ac:dyDescent="0.2">
      <c r="B132"/>
      <c r="K132" s="19"/>
      <c r="L132" s="19"/>
    </row>
    <row r="133" spans="1:175" x14ac:dyDescent="0.2">
      <c r="B133"/>
      <c r="K133" s="19"/>
      <c r="L133" s="19"/>
    </row>
    <row r="134" spans="1:175" x14ac:dyDescent="0.2">
      <c r="B134"/>
      <c r="K134" s="19"/>
      <c r="L134" s="19"/>
    </row>
    <row r="135" spans="1:175" x14ac:dyDescent="0.2">
      <c r="B135"/>
      <c r="K135" s="19"/>
      <c r="L135" s="19"/>
    </row>
    <row r="136" spans="1:175" s="2" customFormat="1" x14ac:dyDescent="0.2">
      <c r="K136" s="21"/>
      <c r="L136" s="21"/>
      <c r="N136"/>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c r="CZ136" s="104"/>
      <c r="DA136" s="104"/>
      <c r="DB136" s="104"/>
      <c r="DC136" s="104"/>
      <c r="DD136" s="104"/>
      <c r="DE136" s="104"/>
      <c r="DF136" s="104"/>
      <c r="DG136" s="104"/>
      <c r="DH136" s="104"/>
      <c r="DI136" s="104"/>
      <c r="DJ136" s="104"/>
      <c r="DK136" s="104"/>
      <c r="DL136" s="104"/>
      <c r="DM136" s="104"/>
      <c r="DN136" s="104"/>
      <c r="DO136" s="104"/>
      <c r="DP136" s="104"/>
      <c r="DQ136" s="104"/>
      <c r="DR136" s="104"/>
      <c r="DS136" s="104"/>
      <c r="DT136" s="104"/>
      <c r="DU136" s="104"/>
      <c r="DV136" s="104"/>
      <c r="DW136" s="104"/>
      <c r="DX136" s="104"/>
      <c r="DY136" s="104"/>
      <c r="DZ136" s="104"/>
      <c r="EA136" s="104"/>
      <c r="EB136" s="104"/>
      <c r="EC136" s="104"/>
      <c r="ED136" s="104"/>
      <c r="EE136" s="104"/>
      <c r="EF136" s="104"/>
      <c r="EG136" s="104"/>
      <c r="EH136" s="104"/>
      <c r="EI136" s="104"/>
      <c r="EJ136" s="104"/>
      <c r="EK136" s="104"/>
      <c r="EL136" s="104"/>
      <c r="EM136" s="104"/>
      <c r="EN136" s="104"/>
      <c r="EO136" s="104"/>
      <c r="EP136" s="104"/>
      <c r="EQ136" s="104"/>
      <c r="ER136" s="104"/>
      <c r="ES136" s="104"/>
      <c r="ET136" s="104"/>
      <c r="EU136" s="104"/>
      <c r="EV136" s="104"/>
      <c r="EW136" s="104"/>
      <c r="EX136" s="104"/>
      <c r="EY136" s="104"/>
      <c r="EZ136" s="104"/>
      <c r="FA136" s="104"/>
      <c r="FB136" s="104"/>
      <c r="FC136" s="104"/>
      <c r="FD136" s="104"/>
      <c r="FE136" s="104"/>
      <c r="FF136" s="104"/>
      <c r="FG136" s="104"/>
      <c r="FH136" s="104"/>
      <c r="FI136" s="104"/>
      <c r="FJ136" s="104"/>
      <c r="FK136" s="104"/>
      <c r="FL136" s="104"/>
      <c r="FM136" s="104"/>
      <c r="FN136" s="104"/>
      <c r="FO136" s="104"/>
      <c r="FP136" s="104"/>
      <c r="FQ136" s="104"/>
      <c r="FR136" s="104"/>
      <c r="FS136" s="104"/>
    </row>
    <row r="137" spans="1:175" x14ac:dyDescent="0.2">
      <c r="B137"/>
      <c r="K137" s="19"/>
      <c r="L137" s="19"/>
    </row>
    <row r="138" spans="1:175" x14ac:dyDescent="0.2">
      <c r="B138"/>
      <c r="K138" s="19"/>
      <c r="L138" s="19"/>
    </row>
    <row r="139" spans="1:175" x14ac:dyDescent="0.2">
      <c r="B139"/>
      <c r="K139" s="19"/>
      <c r="L139" s="19"/>
    </row>
    <row r="140" spans="1:175" x14ac:dyDescent="0.2">
      <c r="B140"/>
      <c r="K140" s="19"/>
      <c r="L140" s="19"/>
    </row>
    <row r="141" spans="1:175" x14ac:dyDescent="0.2">
      <c r="B141"/>
      <c r="K141" s="19"/>
      <c r="L141" s="19"/>
    </row>
    <row r="142" spans="1:175" x14ac:dyDescent="0.2">
      <c r="B142"/>
      <c r="K142" s="19"/>
      <c r="L142" s="19"/>
    </row>
    <row r="143" spans="1:175" x14ac:dyDescent="0.2">
      <c r="B143"/>
      <c r="K143" s="19"/>
      <c r="L143" s="19"/>
    </row>
    <row r="144" spans="1:175" s="2" customFormat="1" x14ac:dyDescent="0.2">
      <c r="K144" s="21"/>
      <c r="L144" s="21"/>
      <c r="N14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c r="CZ144" s="104"/>
      <c r="DA144" s="104"/>
      <c r="DB144" s="104"/>
      <c r="DC144" s="104"/>
      <c r="DD144" s="104"/>
      <c r="DE144" s="104"/>
      <c r="DF144" s="104"/>
      <c r="DG144" s="104"/>
      <c r="DH144" s="104"/>
      <c r="DI144" s="104"/>
      <c r="DJ144" s="104"/>
      <c r="DK144" s="104"/>
      <c r="DL144" s="104"/>
      <c r="DM144" s="104"/>
      <c r="DN144" s="104"/>
      <c r="DO144" s="104"/>
      <c r="DP144" s="104"/>
      <c r="DQ144" s="104"/>
      <c r="DR144" s="104"/>
      <c r="DS144" s="104"/>
      <c r="DT144" s="104"/>
      <c r="DU144" s="104"/>
      <c r="DV144" s="104"/>
      <c r="DW144" s="104"/>
      <c r="DX144" s="104"/>
      <c r="DY144" s="104"/>
      <c r="DZ144" s="104"/>
      <c r="EA144" s="104"/>
      <c r="EB144" s="104"/>
      <c r="EC144" s="104"/>
      <c r="ED144" s="104"/>
      <c r="EE144" s="104"/>
      <c r="EF144" s="104"/>
      <c r="EG144" s="104"/>
      <c r="EH144" s="104"/>
      <c r="EI144" s="104"/>
      <c r="EJ144" s="104"/>
      <c r="EK144" s="104"/>
      <c r="EL144" s="104"/>
      <c r="EM144" s="104"/>
      <c r="EN144" s="104"/>
      <c r="EO144" s="104"/>
      <c r="EP144" s="104"/>
      <c r="EQ144" s="104"/>
      <c r="ER144" s="104"/>
      <c r="ES144" s="104"/>
      <c r="ET144" s="104"/>
      <c r="EU144" s="104"/>
      <c r="EV144" s="104"/>
      <c r="EW144" s="104"/>
      <c r="EX144" s="104"/>
      <c r="EY144" s="104"/>
      <c r="EZ144" s="104"/>
      <c r="FA144" s="104"/>
      <c r="FB144" s="104"/>
      <c r="FC144" s="104"/>
      <c r="FD144" s="104"/>
      <c r="FE144" s="104"/>
      <c r="FF144" s="104"/>
      <c r="FG144" s="104"/>
      <c r="FH144" s="104"/>
      <c r="FI144" s="104"/>
      <c r="FJ144" s="104"/>
      <c r="FK144" s="104"/>
      <c r="FL144" s="104"/>
      <c r="FM144" s="104"/>
      <c r="FN144" s="104"/>
      <c r="FO144" s="104"/>
      <c r="FP144" s="104"/>
      <c r="FQ144" s="104"/>
      <c r="FR144" s="104"/>
      <c r="FS144" s="104"/>
    </row>
    <row r="145" spans="2:175" s="2" customFormat="1" x14ac:dyDescent="0.2">
      <c r="K145" s="21"/>
      <c r="L145" s="21"/>
      <c r="N145"/>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c r="CZ145" s="104"/>
      <c r="DA145" s="104"/>
      <c r="DB145" s="104"/>
      <c r="DC145" s="104"/>
      <c r="DD145" s="104"/>
      <c r="DE145" s="104"/>
      <c r="DF145" s="104"/>
      <c r="DG145" s="104"/>
      <c r="DH145" s="104"/>
      <c r="DI145" s="104"/>
      <c r="DJ145" s="104"/>
      <c r="DK145" s="104"/>
      <c r="DL145" s="104"/>
      <c r="DM145" s="104"/>
      <c r="DN145" s="104"/>
      <c r="DO145" s="104"/>
      <c r="DP145" s="104"/>
      <c r="DQ145" s="104"/>
      <c r="DR145" s="104"/>
      <c r="DS145" s="104"/>
      <c r="DT145" s="104"/>
      <c r="DU145" s="104"/>
      <c r="DV145" s="104"/>
      <c r="DW145" s="104"/>
      <c r="DX145" s="104"/>
      <c r="DY145" s="104"/>
      <c r="DZ145" s="104"/>
      <c r="EA145" s="104"/>
      <c r="EB145" s="104"/>
      <c r="EC145" s="104"/>
      <c r="ED145" s="104"/>
      <c r="EE145" s="104"/>
      <c r="EF145" s="104"/>
      <c r="EG145" s="104"/>
      <c r="EH145" s="104"/>
      <c r="EI145" s="104"/>
      <c r="EJ145" s="104"/>
      <c r="EK145" s="104"/>
      <c r="EL145" s="104"/>
      <c r="EM145" s="104"/>
      <c r="EN145" s="104"/>
      <c r="EO145" s="104"/>
      <c r="EP145" s="104"/>
      <c r="EQ145" s="104"/>
      <c r="ER145" s="104"/>
      <c r="ES145" s="104"/>
      <c r="ET145" s="104"/>
      <c r="EU145" s="104"/>
      <c r="EV145" s="104"/>
      <c r="EW145" s="104"/>
      <c r="EX145" s="104"/>
      <c r="EY145" s="104"/>
      <c r="EZ145" s="104"/>
      <c r="FA145" s="104"/>
      <c r="FB145" s="104"/>
      <c r="FC145" s="104"/>
      <c r="FD145" s="104"/>
      <c r="FE145" s="104"/>
      <c r="FF145" s="104"/>
      <c r="FG145" s="104"/>
      <c r="FH145" s="104"/>
      <c r="FI145" s="104"/>
      <c r="FJ145" s="104"/>
      <c r="FK145" s="104"/>
      <c r="FL145" s="104"/>
      <c r="FM145" s="104"/>
      <c r="FN145" s="104"/>
      <c r="FO145" s="104"/>
      <c r="FP145" s="104"/>
      <c r="FQ145" s="104"/>
      <c r="FR145" s="104"/>
      <c r="FS145" s="104"/>
    </row>
    <row r="146" spans="2:175" x14ac:dyDescent="0.2">
      <c r="B146"/>
      <c r="K146" s="19"/>
      <c r="L146" s="19"/>
    </row>
    <row r="147" spans="2:175" x14ac:dyDescent="0.2">
      <c r="B147"/>
      <c r="K147" s="19"/>
      <c r="L147" s="19"/>
    </row>
    <row r="148" spans="2:175" x14ac:dyDescent="0.2">
      <c r="B148"/>
      <c r="K148" s="19"/>
      <c r="L148" s="19"/>
    </row>
    <row r="149" spans="2:175" x14ac:dyDescent="0.2">
      <c r="B149"/>
      <c r="K149" s="19"/>
      <c r="L149" s="19"/>
    </row>
    <row r="150" spans="2:175" s="2" customFormat="1" x14ac:dyDescent="0.2">
      <c r="K150" s="21"/>
      <c r="L150" s="21"/>
      <c r="N150"/>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c r="CZ150" s="104"/>
      <c r="DA150" s="104"/>
      <c r="DB150" s="104"/>
      <c r="DC150" s="104"/>
      <c r="DD150" s="104"/>
      <c r="DE150" s="104"/>
      <c r="DF150" s="104"/>
      <c r="DG150" s="104"/>
      <c r="DH150" s="104"/>
      <c r="DI150" s="104"/>
      <c r="DJ150" s="104"/>
      <c r="DK150" s="104"/>
      <c r="DL150" s="104"/>
      <c r="DM150" s="104"/>
      <c r="DN150" s="104"/>
      <c r="DO150" s="104"/>
      <c r="DP150" s="104"/>
      <c r="DQ150" s="104"/>
      <c r="DR150" s="104"/>
      <c r="DS150" s="104"/>
      <c r="DT150" s="104"/>
      <c r="DU150" s="104"/>
      <c r="DV150" s="104"/>
      <c r="DW150" s="104"/>
      <c r="DX150" s="104"/>
      <c r="DY150" s="104"/>
      <c r="DZ150" s="104"/>
      <c r="EA150" s="104"/>
      <c r="EB150" s="104"/>
      <c r="EC150" s="104"/>
      <c r="ED150" s="104"/>
      <c r="EE150" s="104"/>
      <c r="EF150" s="104"/>
      <c r="EG150" s="104"/>
      <c r="EH150" s="104"/>
      <c r="EI150" s="104"/>
      <c r="EJ150" s="104"/>
      <c r="EK150" s="104"/>
      <c r="EL150" s="104"/>
      <c r="EM150" s="104"/>
      <c r="EN150" s="104"/>
      <c r="EO150" s="104"/>
      <c r="EP150" s="104"/>
      <c r="EQ150" s="104"/>
      <c r="ER150" s="104"/>
      <c r="ES150" s="104"/>
      <c r="ET150" s="104"/>
      <c r="EU150" s="104"/>
      <c r="EV150" s="104"/>
      <c r="EW150" s="104"/>
      <c r="EX150" s="104"/>
      <c r="EY150" s="104"/>
      <c r="EZ150" s="104"/>
      <c r="FA150" s="104"/>
      <c r="FB150" s="104"/>
      <c r="FC150" s="104"/>
      <c r="FD150" s="104"/>
      <c r="FE150" s="104"/>
      <c r="FF150" s="104"/>
      <c r="FG150" s="104"/>
      <c r="FH150" s="104"/>
      <c r="FI150" s="104"/>
      <c r="FJ150" s="104"/>
      <c r="FK150" s="104"/>
      <c r="FL150" s="104"/>
      <c r="FM150" s="104"/>
      <c r="FN150" s="104"/>
      <c r="FO150" s="104"/>
      <c r="FP150" s="104"/>
      <c r="FQ150" s="104"/>
      <c r="FR150" s="104"/>
      <c r="FS150" s="104"/>
    </row>
    <row r="151" spans="2:175" x14ac:dyDescent="0.2">
      <c r="B151"/>
      <c r="K151" s="19"/>
      <c r="L151" s="19"/>
    </row>
    <row r="152" spans="2:175" x14ac:dyDescent="0.2">
      <c r="B152"/>
      <c r="K152" s="19"/>
      <c r="L152" s="19"/>
    </row>
    <row r="153" spans="2:175" x14ac:dyDescent="0.2">
      <c r="B153"/>
      <c r="K153" s="19"/>
      <c r="L153" s="19"/>
    </row>
    <row r="154" spans="2:175" s="2" customFormat="1" x14ac:dyDescent="0.2">
      <c r="K154" s="21"/>
      <c r="L154" s="21"/>
      <c r="N15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c r="CZ154" s="104"/>
      <c r="DA154" s="104"/>
      <c r="DB154" s="104"/>
      <c r="DC154" s="104"/>
      <c r="DD154" s="104"/>
      <c r="DE154" s="104"/>
      <c r="DF154" s="104"/>
      <c r="DG154" s="104"/>
      <c r="DH154" s="104"/>
      <c r="DI154" s="104"/>
      <c r="DJ154" s="104"/>
      <c r="DK154" s="104"/>
      <c r="DL154" s="104"/>
      <c r="DM154" s="104"/>
      <c r="DN154" s="104"/>
      <c r="DO154" s="104"/>
      <c r="DP154" s="104"/>
      <c r="DQ154" s="104"/>
      <c r="DR154" s="104"/>
      <c r="DS154" s="104"/>
      <c r="DT154" s="104"/>
      <c r="DU154" s="104"/>
      <c r="DV154" s="104"/>
      <c r="DW154" s="104"/>
      <c r="DX154" s="104"/>
      <c r="DY154" s="104"/>
      <c r="DZ154" s="104"/>
      <c r="EA154" s="104"/>
      <c r="EB154" s="104"/>
      <c r="EC154" s="104"/>
      <c r="ED154" s="104"/>
      <c r="EE154" s="104"/>
      <c r="EF154" s="104"/>
      <c r="EG154" s="104"/>
      <c r="EH154" s="104"/>
      <c r="EI154" s="104"/>
      <c r="EJ154" s="104"/>
      <c r="EK154" s="104"/>
      <c r="EL154" s="104"/>
      <c r="EM154" s="104"/>
      <c r="EN154" s="104"/>
      <c r="EO154" s="104"/>
      <c r="EP154" s="104"/>
      <c r="EQ154" s="104"/>
      <c r="ER154" s="104"/>
      <c r="ES154" s="104"/>
      <c r="ET154" s="104"/>
      <c r="EU154" s="104"/>
      <c r="EV154" s="104"/>
      <c r="EW154" s="104"/>
      <c r="EX154" s="104"/>
      <c r="EY154" s="104"/>
      <c r="EZ154" s="104"/>
      <c r="FA154" s="104"/>
      <c r="FB154" s="104"/>
      <c r="FC154" s="104"/>
      <c r="FD154" s="104"/>
      <c r="FE154" s="104"/>
      <c r="FF154" s="104"/>
      <c r="FG154" s="104"/>
      <c r="FH154" s="104"/>
      <c r="FI154" s="104"/>
      <c r="FJ154" s="104"/>
      <c r="FK154" s="104"/>
      <c r="FL154" s="104"/>
      <c r="FM154" s="104"/>
      <c r="FN154" s="104"/>
      <c r="FO154" s="104"/>
      <c r="FP154" s="104"/>
      <c r="FQ154" s="104"/>
      <c r="FR154" s="104"/>
      <c r="FS154" s="104"/>
    </row>
    <row r="155" spans="2:175" s="2" customFormat="1" x14ac:dyDescent="0.2">
      <c r="K155" s="21"/>
      <c r="L155" s="21"/>
      <c r="N155"/>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c r="CZ155" s="104"/>
      <c r="DA155" s="104"/>
      <c r="DB155" s="104"/>
      <c r="DC155" s="104"/>
      <c r="DD155" s="104"/>
      <c r="DE155" s="104"/>
      <c r="DF155" s="104"/>
      <c r="DG155" s="104"/>
      <c r="DH155" s="104"/>
      <c r="DI155" s="104"/>
      <c r="DJ155" s="104"/>
      <c r="DK155" s="104"/>
      <c r="DL155" s="104"/>
      <c r="DM155" s="104"/>
      <c r="DN155" s="104"/>
      <c r="DO155" s="104"/>
      <c r="DP155" s="104"/>
      <c r="DQ155" s="104"/>
      <c r="DR155" s="104"/>
      <c r="DS155" s="104"/>
      <c r="DT155" s="104"/>
      <c r="DU155" s="104"/>
      <c r="DV155" s="104"/>
      <c r="DW155" s="104"/>
      <c r="DX155" s="104"/>
      <c r="DY155" s="104"/>
      <c r="DZ155" s="104"/>
      <c r="EA155" s="104"/>
      <c r="EB155" s="104"/>
      <c r="EC155" s="104"/>
      <c r="ED155" s="104"/>
      <c r="EE155" s="104"/>
      <c r="EF155" s="104"/>
      <c r="EG155" s="104"/>
      <c r="EH155" s="104"/>
      <c r="EI155" s="104"/>
      <c r="EJ155" s="104"/>
      <c r="EK155" s="104"/>
      <c r="EL155" s="104"/>
      <c r="EM155" s="104"/>
      <c r="EN155" s="104"/>
      <c r="EO155" s="104"/>
      <c r="EP155" s="104"/>
      <c r="EQ155" s="104"/>
      <c r="ER155" s="104"/>
      <c r="ES155" s="104"/>
      <c r="ET155" s="104"/>
      <c r="EU155" s="104"/>
      <c r="EV155" s="104"/>
      <c r="EW155" s="104"/>
      <c r="EX155" s="104"/>
      <c r="EY155" s="104"/>
      <c r="EZ155" s="104"/>
      <c r="FA155" s="104"/>
      <c r="FB155" s="104"/>
      <c r="FC155" s="104"/>
      <c r="FD155" s="104"/>
      <c r="FE155" s="104"/>
      <c r="FF155" s="104"/>
      <c r="FG155" s="104"/>
      <c r="FH155" s="104"/>
      <c r="FI155" s="104"/>
      <c r="FJ155" s="104"/>
      <c r="FK155" s="104"/>
      <c r="FL155" s="104"/>
      <c r="FM155" s="104"/>
      <c r="FN155" s="104"/>
      <c r="FO155" s="104"/>
      <c r="FP155" s="104"/>
      <c r="FQ155" s="104"/>
      <c r="FR155" s="104"/>
      <c r="FS155" s="104"/>
    </row>
    <row r="156" spans="2:175" x14ac:dyDescent="0.2">
      <c r="B156"/>
      <c r="K156" s="19"/>
      <c r="L156" s="19"/>
    </row>
    <row r="157" spans="2:175" x14ac:dyDescent="0.2">
      <c r="B157"/>
      <c r="K157" s="19"/>
      <c r="L157" s="19"/>
    </row>
    <row r="158" spans="2:175" x14ac:dyDescent="0.2">
      <c r="B158"/>
      <c r="K158" s="19"/>
      <c r="L158" s="19"/>
    </row>
    <row r="159" spans="2:175" x14ac:dyDescent="0.2">
      <c r="B159"/>
      <c r="K159" s="19"/>
      <c r="L159" s="19"/>
    </row>
    <row r="160" spans="2:175" s="2" customFormat="1" x14ac:dyDescent="0.2">
      <c r="K160" s="21"/>
      <c r="L160" s="21"/>
      <c r="N160"/>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c r="CZ160" s="104"/>
      <c r="DA160" s="104"/>
      <c r="DB160" s="104"/>
      <c r="DC160" s="104"/>
      <c r="DD160" s="104"/>
      <c r="DE160" s="104"/>
      <c r="DF160" s="104"/>
      <c r="DG160" s="104"/>
      <c r="DH160" s="104"/>
      <c r="DI160" s="104"/>
      <c r="DJ160" s="104"/>
      <c r="DK160" s="104"/>
      <c r="DL160" s="104"/>
      <c r="DM160" s="104"/>
      <c r="DN160" s="104"/>
      <c r="DO160" s="104"/>
      <c r="DP160" s="104"/>
      <c r="DQ160" s="104"/>
      <c r="DR160" s="104"/>
      <c r="DS160" s="104"/>
      <c r="DT160" s="104"/>
      <c r="DU160" s="104"/>
      <c r="DV160" s="104"/>
      <c r="DW160" s="104"/>
      <c r="DX160" s="104"/>
      <c r="DY160" s="104"/>
      <c r="DZ160" s="104"/>
      <c r="EA160" s="104"/>
      <c r="EB160" s="104"/>
      <c r="EC160" s="104"/>
      <c r="ED160" s="104"/>
      <c r="EE160" s="104"/>
      <c r="EF160" s="104"/>
      <c r="EG160" s="104"/>
      <c r="EH160" s="104"/>
      <c r="EI160" s="104"/>
      <c r="EJ160" s="104"/>
      <c r="EK160" s="104"/>
      <c r="EL160" s="104"/>
      <c r="EM160" s="104"/>
      <c r="EN160" s="104"/>
      <c r="EO160" s="104"/>
      <c r="EP160" s="104"/>
      <c r="EQ160" s="104"/>
      <c r="ER160" s="104"/>
      <c r="ES160" s="104"/>
      <c r="ET160" s="104"/>
      <c r="EU160" s="104"/>
      <c r="EV160" s="104"/>
      <c r="EW160" s="104"/>
      <c r="EX160" s="104"/>
      <c r="EY160" s="104"/>
      <c r="EZ160" s="104"/>
      <c r="FA160" s="104"/>
      <c r="FB160" s="104"/>
      <c r="FC160" s="104"/>
      <c r="FD160" s="104"/>
      <c r="FE160" s="104"/>
      <c r="FF160" s="104"/>
      <c r="FG160" s="104"/>
      <c r="FH160" s="104"/>
      <c r="FI160" s="104"/>
      <c r="FJ160" s="104"/>
      <c r="FK160" s="104"/>
      <c r="FL160" s="104"/>
      <c r="FM160" s="104"/>
      <c r="FN160" s="104"/>
      <c r="FO160" s="104"/>
      <c r="FP160" s="104"/>
      <c r="FQ160" s="104"/>
      <c r="FR160" s="104"/>
      <c r="FS160" s="104"/>
    </row>
    <row r="161" spans="11:175" s="2" customFormat="1" x14ac:dyDescent="0.2">
      <c r="K161" s="30"/>
      <c r="L161" s="30"/>
      <c r="N161"/>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c r="CZ161" s="104"/>
      <c r="DA161" s="104"/>
      <c r="DB161" s="104"/>
      <c r="DC161" s="104"/>
      <c r="DD161" s="104"/>
      <c r="DE161" s="104"/>
      <c r="DF161" s="104"/>
      <c r="DG161" s="104"/>
      <c r="DH161" s="104"/>
      <c r="DI161" s="104"/>
      <c r="DJ161" s="104"/>
      <c r="DK161" s="104"/>
      <c r="DL161" s="104"/>
      <c r="DM161" s="104"/>
      <c r="DN161" s="104"/>
      <c r="DO161" s="104"/>
      <c r="DP161" s="104"/>
      <c r="DQ161" s="104"/>
      <c r="DR161" s="104"/>
      <c r="DS161" s="104"/>
      <c r="DT161" s="104"/>
      <c r="DU161" s="104"/>
      <c r="DV161" s="104"/>
      <c r="DW161" s="104"/>
      <c r="DX161" s="104"/>
      <c r="DY161" s="104"/>
      <c r="DZ161" s="104"/>
      <c r="EA161" s="104"/>
      <c r="EB161" s="104"/>
      <c r="EC161" s="104"/>
      <c r="ED161" s="104"/>
      <c r="EE161" s="104"/>
      <c r="EF161" s="104"/>
      <c r="EG161" s="104"/>
      <c r="EH161" s="104"/>
      <c r="EI161" s="104"/>
      <c r="EJ161" s="104"/>
      <c r="EK161" s="104"/>
      <c r="EL161" s="104"/>
      <c r="EM161" s="104"/>
      <c r="EN161" s="104"/>
      <c r="EO161" s="104"/>
      <c r="EP161" s="104"/>
      <c r="EQ161" s="104"/>
      <c r="ER161" s="104"/>
      <c r="ES161" s="104"/>
      <c r="ET161" s="104"/>
      <c r="EU161" s="104"/>
      <c r="EV161" s="104"/>
      <c r="EW161" s="104"/>
      <c r="EX161" s="104"/>
      <c r="EY161" s="104"/>
      <c r="EZ161" s="104"/>
      <c r="FA161" s="104"/>
      <c r="FB161" s="104"/>
      <c r="FC161" s="104"/>
      <c r="FD161" s="104"/>
      <c r="FE161" s="104"/>
      <c r="FF161" s="104"/>
      <c r="FG161" s="104"/>
      <c r="FH161" s="104"/>
      <c r="FI161" s="104"/>
      <c r="FJ161" s="104"/>
      <c r="FK161" s="104"/>
      <c r="FL161" s="104"/>
      <c r="FM161" s="104"/>
      <c r="FN161" s="104"/>
      <c r="FO161" s="104"/>
      <c r="FP161" s="104"/>
      <c r="FQ161" s="104"/>
      <c r="FR161" s="104"/>
      <c r="FS161" s="104"/>
    </row>
    <row r="162" spans="11:175" s="2" customFormat="1" x14ac:dyDescent="0.2">
      <c r="K162" s="31"/>
      <c r="L162" s="31"/>
      <c r="N162"/>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c r="CZ162" s="104"/>
      <c r="DA162" s="104"/>
      <c r="DB162" s="104"/>
      <c r="DC162" s="104"/>
      <c r="DD162" s="104"/>
      <c r="DE162" s="104"/>
      <c r="DF162" s="104"/>
      <c r="DG162" s="104"/>
      <c r="DH162" s="104"/>
      <c r="DI162" s="104"/>
      <c r="DJ162" s="104"/>
      <c r="DK162" s="104"/>
      <c r="DL162" s="104"/>
      <c r="DM162" s="104"/>
      <c r="DN162" s="104"/>
      <c r="DO162" s="104"/>
      <c r="DP162" s="104"/>
      <c r="DQ162" s="104"/>
      <c r="DR162" s="104"/>
      <c r="DS162" s="104"/>
      <c r="DT162" s="104"/>
      <c r="DU162" s="104"/>
      <c r="DV162" s="104"/>
      <c r="DW162" s="104"/>
      <c r="DX162" s="104"/>
      <c r="DY162" s="104"/>
      <c r="DZ162" s="104"/>
      <c r="EA162" s="104"/>
      <c r="EB162" s="104"/>
      <c r="EC162" s="104"/>
      <c r="ED162" s="104"/>
      <c r="EE162" s="104"/>
      <c r="EF162" s="104"/>
      <c r="EG162" s="104"/>
      <c r="EH162" s="104"/>
      <c r="EI162" s="104"/>
      <c r="EJ162" s="104"/>
      <c r="EK162" s="104"/>
      <c r="EL162" s="104"/>
      <c r="EM162" s="104"/>
      <c r="EN162" s="104"/>
      <c r="EO162" s="104"/>
      <c r="EP162" s="104"/>
      <c r="EQ162" s="104"/>
      <c r="ER162" s="104"/>
      <c r="ES162" s="104"/>
      <c r="ET162" s="104"/>
      <c r="EU162" s="104"/>
      <c r="EV162" s="104"/>
      <c r="EW162" s="104"/>
      <c r="EX162" s="104"/>
      <c r="EY162" s="104"/>
      <c r="EZ162" s="104"/>
      <c r="FA162" s="104"/>
      <c r="FB162" s="104"/>
      <c r="FC162" s="104"/>
      <c r="FD162" s="104"/>
      <c r="FE162" s="104"/>
      <c r="FF162" s="104"/>
      <c r="FG162" s="104"/>
      <c r="FH162" s="104"/>
      <c r="FI162" s="104"/>
      <c r="FJ162" s="104"/>
      <c r="FK162" s="104"/>
      <c r="FL162" s="104"/>
      <c r="FM162" s="104"/>
      <c r="FN162" s="104"/>
      <c r="FO162" s="104"/>
      <c r="FP162" s="104"/>
      <c r="FQ162" s="104"/>
      <c r="FR162" s="104"/>
      <c r="FS162" s="104"/>
    </row>
    <row r="164" spans="11:175" x14ac:dyDescent="0.2">
      <c r="K164" s="23"/>
      <c r="L164" s="23"/>
    </row>
    <row r="165" spans="11:175" x14ac:dyDescent="0.2">
      <c r="K165" s="19"/>
      <c r="L165" s="19"/>
    </row>
    <row r="167" spans="11:175" x14ac:dyDescent="0.2">
      <c r="K167" s="23"/>
      <c r="L167" s="23"/>
    </row>
  </sheetData>
  <mergeCells count="8">
    <mergeCell ref="C104:L104"/>
    <mergeCell ref="C105:L105"/>
    <mergeCell ref="N1:X1"/>
    <mergeCell ref="C15:E15"/>
    <mergeCell ref="C16:E16"/>
    <mergeCell ref="C19:E19"/>
    <mergeCell ref="C29:F29"/>
    <mergeCell ref="C31:F31"/>
  </mergeCells>
  <phoneticPr fontId="7" type="noConversion"/>
  <conditionalFormatting sqref="D70:L82">
    <cfRule type="colorScale" priority="1">
      <colorScale>
        <cfvo type="min"/>
        <cfvo type="percentile" val="50"/>
        <cfvo type="max"/>
        <color rgb="FFF8696B"/>
        <color rgb="FFFFEB84"/>
        <color rgb="FF63BE7B"/>
      </colorScale>
    </cfRule>
  </conditionalFormatting>
  <conditionalFormatting sqref="E71">
    <cfRule type="colorScale" priority="3">
      <colorScale>
        <cfvo type="min"/>
        <cfvo type="percentile" val="50"/>
        <cfvo type="max"/>
        <color rgb="FFF8696B"/>
        <color rgb="FFFFEB84"/>
        <color rgb="FF63BE7B"/>
      </colorScale>
    </cfRule>
  </conditionalFormatting>
  <conditionalFormatting sqref="E71:L82">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Acharya</cp:lastModifiedBy>
  <dcterms:created xsi:type="dcterms:W3CDTF">2020-09-17T01:36:54Z</dcterms:created>
  <dcterms:modified xsi:type="dcterms:W3CDTF">2025-07-07T05:01:20Z</dcterms:modified>
  <cp:category/>
</cp:coreProperties>
</file>